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houx\Desktop\"/>
    </mc:Choice>
  </mc:AlternateContent>
  <xr:revisionPtr revIDLastSave="0" documentId="13_ncr:1_{F5617D92-63CB-4867-AE36-EED5DE4A7CC8}" xr6:coauthVersionLast="47" xr6:coauthVersionMax="47" xr10:uidLastSave="{00000000-0000-0000-0000-000000000000}"/>
  <bookViews>
    <workbookView xWindow="-5840" yWindow="-21710" windowWidth="38620" windowHeight="21100" activeTab="1" xr2:uid="{00000000-000D-0000-FFFF-FFFF00000000}"/>
  </bookViews>
  <sheets>
    <sheet name="【华泰固收|使用说明】" sheetId="15" r:id="rId1"/>
    <sheet name="Monitor" sheetId="2" r:id="rId2"/>
    <sheet name="条款概览" sheetId="6" r:id="rId3"/>
    <sheet name="正股信息" sheetId="4" r:id="rId4"/>
    <sheet name="个券分析" sheetId="7" r:id="rId5"/>
    <sheet name="个券数据" sheetId="8" state="hidden" r:id="rId6"/>
    <sheet name="Sheet1" sheetId="3" state="hidden" r:id="rId7"/>
  </sheets>
  <functionGroups builtInGroupCount="19"/>
  <externalReferences>
    <externalReference r:id="rId8"/>
  </externalReferences>
  <definedNames>
    <definedName name="_xlnm._FilterDatabase" localSheetId="1" hidden="1">Monitor!$A$5:$T$672</definedName>
    <definedName name="_xlnm._FilterDatabase" localSheetId="3" hidden="1">正股信息!$A$5:$W$674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4" l="1"/>
  <c r="D2" i="7"/>
  <c r="O320" i="2" a="1"/>
  <c r="O320" i="2" s="1"/>
  <c r="O328" i="2" a="1"/>
  <c r="O328" i="2" s="1"/>
  <c r="O287" i="2" a="1"/>
  <c r="O287" i="2" s="1"/>
  <c r="O289" i="2" a="1"/>
  <c r="O289" i="2" s="1"/>
  <c r="O214" i="2" a="1"/>
  <c r="O214" i="2" s="1"/>
  <c r="O221" i="2" a="1"/>
  <c r="O221" i="2" s="1"/>
  <c r="O270" i="2" a="1"/>
  <c r="O270" i="2" s="1"/>
  <c r="O146" i="2" a="1"/>
  <c r="O146" i="2" s="1"/>
  <c r="O372" i="2" a="1"/>
  <c r="O372" i="2" s="1"/>
  <c r="O139" i="2" a="1"/>
  <c r="O139" i="2" s="1"/>
  <c r="O254" i="2" a="1"/>
  <c r="O254" i="2" s="1"/>
  <c r="O211" i="2" a="1"/>
  <c r="O211" i="2" s="1"/>
  <c r="O224" i="2" a="1"/>
  <c r="O224" i="2" s="1"/>
  <c r="O278" i="2" a="1"/>
  <c r="O278" i="2" s="1"/>
  <c r="O272" i="2" a="1"/>
  <c r="O272" i="2" s="1"/>
  <c r="O276" i="2" a="1"/>
  <c r="O276" i="2" s="1"/>
  <c r="O209" i="2" a="1"/>
  <c r="O209" i="2" s="1"/>
  <c r="O206" i="2" a="1"/>
  <c r="O206" i="2" s="1"/>
  <c r="O363" i="2" a="1"/>
  <c r="O363" i="2" s="1"/>
  <c r="O210" i="2" a="1"/>
  <c r="O210" i="2" s="1"/>
  <c r="O291" i="2" a="1"/>
  <c r="O291" i="2" s="1"/>
  <c r="O57" i="2" a="1"/>
  <c r="O57" i="2" s="1"/>
  <c r="O253" i="2" a="1"/>
  <c r="O253" i="2" s="1"/>
  <c r="O348" i="2" a="1"/>
  <c r="O348" i="2" s="1"/>
  <c r="O344" i="2" a="1"/>
  <c r="O344" i="2" s="1"/>
  <c r="O286" i="2" a="1"/>
  <c r="O286" i="2" s="1"/>
  <c r="O329" i="2" a="1"/>
  <c r="O329" i="2" s="1"/>
  <c r="O361" i="2" a="1"/>
  <c r="O361" i="2" s="1"/>
  <c r="O24" i="2" a="1"/>
  <c r="O24" i="2" s="1"/>
  <c r="O368" i="2" a="1"/>
  <c r="O368" i="2" s="1"/>
  <c r="O251" i="2" a="1"/>
  <c r="O251" i="2" s="1"/>
  <c r="O69" i="2" a="1"/>
  <c r="O69" i="2" s="1"/>
  <c r="O97" i="2" a="1"/>
  <c r="O97" i="2" s="1"/>
  <c r="O255" i="2" a="1"/>
  <c r="O255" i="2" s="1"/>
  <c r="O233" i="2" a="1"/>
  <c r="O233" i="2" s="1"/>
  <c r="O171" i="2" a="1"/>
  <c r="O171" i="2" s="1"/>
  <c r="O130" i="2" a="1"/>
  <c r="O130" i="2" s="1"/>
  <c r="O269" i="2" a="1"/>
  <c r="O269" i="2" s="1"/>
  <c r="O199" i="2" a="1"/>
  <c r="O199" i="2" s="1"/>
  <c r="O232" i="2" a="1"/>
  <c r="O232" i="2" s="1"/>
  <c r="O364" i="2" a="1"/>
  <c r="O364" i="2" s="1"/>
  <c r="O149" i="2" a="1"/>
  <c r="O149" i="2" s="1"/>
  <c r="O46" i="2" a="1"/>
  <c r="O46" i="2" s="1"/>
  <c r="O129" i="2" a="1"/>
  <c r="O129" i="2" s="1"/>
  <c r="O244" i="2" a="1"/>
  <c r="O244" i="2" s="1"/>
  <c r="O55" i="2" a="1"/>
  <c r="O55" i="2" s="1"/>
  <c r="O112" i="2" a="1"/>
  <c r="O112" i="2" s="1"/>
  <c r="O56" i="2" a="1"/>
  <c r="O56" i="2" s="1"/>
  <c r="O294" i="2" a="1"/>
  <c r="O294" i="2" s="1"/>
  <c r="O367" i="2" a="1"/>
  <c r="O367" i="2" s="1"/>
  <c r="O23" i="2" a="1"/>
  <c r="O23" i="2" s="1"/>
  <c r="O8" i="2" a="1"/>
  <c r="O8" i="2" s="1"/>
  <c r="O318" i="2" a="1"/>
  <c r="O318" i="2" s="1"/>
  <c r="O228" i="2" a="1"/>
  <c r="O228" i="2" s="1"/>
  <c r="O241" i="2" a="1"/>
  <c r="O241" i="2" s="1"/>
  <c r="O379" i="2" a="1"/>
  <c r="O379" i="2" s="1"/>
  <c r="O325" i="2" a="1"/>
  <c r="O325" i="2" s="1"/>
  <c r="O135" i="2" a="1"/>
  <c r="O135" i="2" s="1"/>
  <c r="O262" i="2" a="1"/>
  <c r="O262" i="2" s="1"/>
  <c r="O67" i="2" a="1"/>
  <c r="O67" i="2" s="1"/>
  <c r="O345" i="2" a="1"/>
  <c r="O345" i="2" s="1"/>
  <c r="O337" i="2" a="1"/>
  <c r="O337" i="2" s="1"/>
  <c r="O116" i="2" a="1"/>
  <c r="O116" i="2" s="1"/>
  <c r="O65" i="2" a="1"/>
  <c r="O65" i="2" s="1"/>
  <c r="O20" i="2" a="1"/>
  <c r="O20" i="2" s="1"/>
  <c r="O201" i="2" a="1"/>
  <c r="O201" i="2" s="1"/>
  <c r="O40" i="2" a="1"/>
  <c r="O40" i="2" s="1"/>
  <c r="O92" i="2" a="1"/>
  <c r="O92" i="2" s="1"/>
  <c r="O319" i="2" a="1"/>
  <c r="O319" i="2" s="1"/>
  <c r="O217" i="2" a="1"/>
  <c r="O217" i="2" s="1"/>
  <c r="O156" i="2" a="1"/>
  <c r="O156" i="2" s="1"/>
  <c r="O223" i="2" a="1"/>
  <c r="O223" i="2" s="1"/>
  <c r="O163" i="2" a="1"/>
  <c r="O163" i="2" s="1"/>
  <c r="O202" i="2" a="1"/>
  <c r="O202" i="2" s="1"/>
  <c r="O216" i="2" a="1"/>
  <c r="O216" i="2" s="1"/>
  <c r="O213" i="2" a="1"/>
  <c r="O213" i="2" s="1"/>
  <c r="O301" i="2" a="1"/>
  <c r="O301" i="2" s="1"/>
  <c r="O190" i="2" a="1"/>
  <c r="O190" i="2" s="1"/>
  <c r="O355" i="2" a="1"/>
  <c r="O355" i="2" s="1"/>
  <c r="O331" i="2" a="1"/>
  <c r="O331" i="2" s="1"/>
  <c r="O48" i="2" a="1"/>
  <c r="O48" i="2" s="1"/>
  <c r="O162" i="2" a="1"/>
  <c r="O162" i="2" s="1"/>
  <c r="O66" i="2" a="1"/>
  <c r="O66" i="2" s="1"/>
  <c r="O166" i="2" a="1"/>
  <c r="O166" i="2" s="1"/>
  <c r="O132" i="2" a="1"/>
  <c r="O132" i="2" s="1"/>
  <c r="O104" i="2" a="1"/>
  <c r="O104" i="2" s="1"/>
  <c r="O22" i="2" a="1"/>
  <c r="O22" i="2" s="1"/>
  <c r="O315" i="2" a="1"/>
  <c r="O315" i="2" s="1"/>
  <c r="O63" i="2" a="1"/>
  <c r="O63" i="2" s="1"/>
  <c r="O145" i="2" a="1"/>
  <c r="O145" i="2" s="1"/>
  <c r="O311" i="2" a="1"/>
  <c r="O311" i="2" s="1"/>
  <c r="O235" i="2" a="1"/>
  <c r="O235" i="2" s="1"/>
  <c r="O52" i="2" a="1"/>
  <c r="O52" i="2" s="1"/>
  <c r="O84" i="2" a="1"/>
  <c r="O84" i="2" s="1"/>
  <c r="O343" i="2" a="1"/>
  <c r="O343" i="2" s="1"/>
  <c r="O333" i="2" a="1"/>
  <c r="O333" i="2" s="1"/>
  <c r="O358" i="2" a="1"/>
  <c r="O358" i="2" s="1"/>
  <c r="O230" i="2" a="1"/>
  <c r="O230" i="2" s="1"/>
  <c r="O369" i="2" a="1"/>
  <c r="O369" i="2" s="1"/>
  <c r="O197" i="2" a="1"/>
  <c r="O197" i="2" s="1"/>
  <c r="O131" i="2" a="1"/>
  <c r="O131" i="2" s="1"/>
  <c r="O220" i="2" a="1"/>
  <c r="O220" i="2" s="1"/>
  <c r="O119" i="2" a="1"/>
  <c r="O119" i="2" s="1"/>
  <c r="O275" i="2" a="1"/>
  <c r="O275" i="2" s="1"/>
  <c r="O18" i="2" a="1"/>
  <c r="O18" i="2" s="1"/>
  <c r="O188" i="2" a="1"/>
  <c r="O188" i="2" s="1"/>
  <c r="O271" i="2" a="1"/>
  <c r="O271" i="2" s="1"/>
  <c r="O378" i="2" a="1"/>
  <c r="O378" i="2" s="1"/>
  <c r="O321" i="2" a="1"/>
  <c r="O321" i="2" s="1"/>
  <c r="O110" i="2" a="1"/>
  <c r="O110" i="2" s="1"/>
  <c r="O17" i="2" a="1"/>
  <c r="O17" i="2" s="1"/>
  <c r="O323" i="2" a="1"/>
  <c r="O323" i="2" s="1"/>
  <c r="O322" i="2" a="1"/>
  <c r="O322" i="2" s="1"/>
  <c r="O102" i="2" a="1"/>
  <c r="O102" i="2" s="1"/>
  <c r="O123" i="2" a="1"/>
  <c r="O123" i="2" s="1"/>
  <c r="O299" i="2" a="1"/>
  <c r="O299" i="2" s="1"/>
  <c r="O215" i="2" a="1"/>
  <c r="O215" i="2" s="1"/>
  <c r="O359" i="2" a="1"/>
  <c r="O359" i="2" s="1"/>
  <c r="O280" i="2" a="1"/>
  <c r="O280" i="2" s="1"/>
  <c r="O155" i="2" a="1"/>
  <c r="O155" i="2" s="1"/>
  <c r="O293" i="2" a="1"/>
  <c r="O293" i="2" s="1"/>
  <c r="O193" i="2" a="1"/>
  <c r="O193" i="2" s="1"/>
  <c r="O27" i="2" a="1"/>
  <c r="O27" i="2" s="1"/>
  <c r="O178" i="2" a="1"/>
  <c r="O178" i="2" s="1"/>
  <c r="O353" i="2" a="1"/>
  <c r="O353" i="2" s="1"/>
  <c r="O152" i="2" a="1"/>
  <c r="O152" i="2" s="1"/>
  <c r="O35" i="2" a="1"/>
  <c r="O35" i="2" s="1"/>
  <c r="O134" i="2" a="1"/>
  <c r="O134" i="2" s="1"/>
  <c r="O292" i="2" a="1"/>
  <c r="O292" i="2" s="1"/>
  <c r="O332" i="2" a="1"/>
  <c r="O332" i="2" s="1"/>
  <c r="O10" i="2" a="1"/>
  <c r="O10" i="2" s="1"/>
  <c r="O184" i="2" a="1"/>
  <c r="O184" i="2" s="1"/>
  <c r="O39" i="2" a="1"/>
  <c r="O39" i="2" s="1"/>
  <c r="O137" i="2" a="1"/>
  <c r="O137" i="2" s="1"/>
  <c r="O354" i="2" a="1"/>
  <c r="O354" i="2" s="1"/>
  <c r="O362" i="2" a="1"/>
  <c r="O362" i="2" s="1"/>
  <c r="O99" i="2" a="1"/>
  <c r="O99" i="2" s="1"/>
  <c r="O234" i="2" a="1"/>
  <c r="O234" i="2" s="1"/>
  <c r="O147" i="2" a="1"/>
  <c r="O147" i="2" s="1"/>
  <c r="O327" i="2" a="1"/>
  <c r="O327" i="2" s="1"/>
  <c r="O194" i="2" a="1"/>
  <c r="O194" i="2" s="1"/>
  <c r="O61" i="2" a="1"/>
  <c r="O61" i="2" s="1"/>
  <c r="O64" i="2" a="1"/>
  <c r="O64" i="2" s="1"/>
  <c r="O260" i="2" a="1"/>
  <c r="O260" i="2" s="1"/>
  <c r="O212" i="2" a="1"/>
  <c r="O212" i="2" s="1"/>
  <c r="O351" i="2" a="1"/>
  <c r="O351" i="2" s="1"/>
  <c r="O371" i="2" a="1"/>
  <c r="O371" i="2" s="1"/>
  <c r="O347" i="2" a="1"/>
  <c r="O347" i="2" s="1"/>
  <c r="O237" i="2" a="1"/>
  <c r="O237" i="2" s="1"/>
  <c r="O180" i="2" a="1"/>
  <c r="O180" i="2" s="1"/>
  <c r="O267" i="2" a="1"/>
  <c r="O267" i="2" s="1"/>
  <c r="O205" i="2" a="1"/>
  <c r="O205" i="2" s="1"/>
  <c r="O75" i="2" a="1"/>
  <c r="O75" i="2" s="1"/>
  <c r="O106" i="2" a="1"/>
  <c r="O106" i="2" s="1"/>
  <c r="O279" i="2" a="1"/>
  <c r="O279" i="2" s="1"/>
  <c r="O73" i="2" a="1"/>
  <c r="O73" i="2" s="1"/>
  <c r="O236" i="2" a="1"/>
  <c r="O236" i="2" s="1"/>
  <c r="O357" i="2" a="1"/>
  <c r="O357" i="2" s="1"/>
  <c r="O125" i="2" a="1"/>
  <c r="O125" i="2" s="1"/>
  <c r="O349" i="2" a="1"/>
  <c r="O349" i="2" s="1"/>
  <c r="O274" i="2" a="1"/>
  <c r="O274" i="2" s="1"/>
  <c r="O114" i="2" a="1"/>
  <c r="O114" i="2" s="1"/>
  <c r="O71" i="2" a="1"/>
  <c r="O71" i="2" s="1"/>
  <c r="O356" i="2" a="1"/>
  <c r="O356" i="2" s="1"/>
  <c r="O231" i="2" a="1"/>
  <c r="O231" i="2" s="1"/>
  <c r="O324" i="2" a="1"/>
  <c r="O324" i="2" s="1"/>
  <c r="O249" i="2" a="1"/>
  <c r="O249" i="2" s="1"/>
  <c r="O74" i="2" a="1"/>
  <c r="O74" i="2" s="1"/>
  <c r="O128" i="2" a="1"/>
  <c r="O128" i="2" s="1"/>
  <c r="O195" i="2" a="1"/>
  <c r="O195" i="2" s="1"/>
  <c r="O381" i="2" a="1"/>
  <c r="O381" i="2" s="1"/>
  <c r="O263" i="2" a="1"/>
  <c r="O263" i="2" s="1"/>
  <c r="O257" i="2" a="1"/>
  <c r="O257" i="2" s="1"/>
  <c r="O144" i="2" a="1"/>
  <c r="O144" i="2" s="1"/>
  <c r="O208" i="2" a="1"/>
  <c r="O208" i="2" s="1"/>
  <c r="O200" i="2" a="1"/>
  <c r="O200" i="2" s="1"/>
  <c r="O268" i="2" a="1"/>
  <c r="O268" i="2" s="1"/>
  <c r="O350" i="2" a="1"/>
  <c r="O350" i="2" s="1"/>
  <c r="O124" i="2" a="1"/>
  <c r="O124" i="2" s="1"/>
  <c r="O160" i="2" a="1"/>
  <c r="O160" i="2" s="1"/>
  <c r="O45" i="2" a="1"/>
  <c r="O45" i="2" s="1"/>
  <c r="O164" i="2" a="1"/>
  <c r="O164" i="2" s="1"/>
  <c r="O38" i="2" a="1"/>
  <c r="O38" i="2" s="1"/>
  <c r="O346" i="2" a="1"/>
  <c r="O346" i="2" s="1"/>
  <c r="O158" i="2" a="1"/>
  <c r="O158" i="2" s="1"/>
  <c r="O169" i="2" a="1"/>
  <c r="O169" i="2" s="1"/>
  <c r="O87" i="2" a="1"/>
  <c r="O87" i="2" s="1"/>
  <c r="O334" i="2" a="1"/>
  <c r="O334" i="2" s="1"/>
  <c r="O173" i="2" a="1"/>
  <c r="O173" i="2" s="1"/>
  <c r="O43" i="2" a="1"/>
  <c r="O43" i="2" s="1"/>
  <c r="O103" i="2" a="1"/>
  <c r="O103" i="2" s="1"/>
  <c r="O240" i="2" a="1"/>
  <c r="O240" i="2" s="1"/>
  <c r="O261" i="2" a="1"/>
  <c r="O261" i="2" s="1"/>
  <c r="O330" i="2" a="1"/>
  <c r="O330" i="2" s="1"/>
  <c r="O290" i="2" a="1"/>
  <c r="O290" i="2" s="1"/>
  <c r="O141" i="2" a="1"/>
  <c r="O141" i="2" s="1"/>
  <c r="O187" i="2" a="1"/>
  <c r="O187" i="2" s="1"/>
  <c r="O252" i="2" a="1"/>
  <c r="O252" i="2" s="1"/>
  <c r="O70" i="2" a="1"/>
  <c r="O70" i="2" s="1"/>
  <c r="O312" i="2" a="1"/>
  <c r="O312" i="2" s="1"/>
  <c r="O115" i="2" a="1"/>
  <c r="O115" i="2" s="1"/>
  <c r="O60" i="2" a="1"/>
  <c r="O60" i="2" s="1"/>
  <c r="O317" i="2" a="1"/>
  <c r="O317" i="2" s="1"/>
  <c r="O304" i="2" a="1"/>
  <c r="O304" i="2" s="1"/>
  <c r="O12" i="2" a="1"/>
  <c r="O12" i="2" s="1"/>
  <c r="O89" i="2" a="1"/>
  <c r="O89" i="2" s="1"/>
  <c r="O243" i="2" a="1"/>
  <c r="O243" i="2" s="1"/>
  <c r="O88" i="2" a="1"/>
  <c r="O88" i="2" s="1"/>
  <c r="O15" i="2" a="1"/>
  <c r="O15" i="2" s="1"/>
  <c r="O168" i="2" a="1"/>
  <c r="O168" i="2" s="1"/>
  <c r="O250" i="2" a="1"/>
  <c r="O250" i="2" s="1"/>
  <c r="O138" i="2" a="1"/>
  <c r="O138" i="2" s="1"/>
  <c r="O326" i="2" a="1"/>
  <c r="O326" i="2" s="1"/>
  <c r="O189" i="2" a="1"/>
  <c r="O189" i="2" s="1"/>
  <c r="O126" i="2" a="1"/>
  <c r="O126" i="2" s="1"/>
  <c r="O133" i="2" a="1"/>
  <c r="O133" i="2" s="1"/>
  <c r="O222" i="2" a="1"/>
  <c r="O222" i="2" s="1"/>
  <c r="O207" i="2" a="1"/>
  <c r="O207" i="2" s="1"/>
  <c r="O105" i="2" a="1"/>
  <c r="O105" i="2" s="1"/>
  <c r="O314" i="2" a="1"/>
  <c r="O314" i="2" s="1"/>
  <c r="O111" i="2" a="1"/>
  <c r="O111" i="2" s="1"/>
  <c r="O68" i="2" a="1"/>
  <c r="O68" i="2" s="1"/>
  <c r="O109" i="2" a="1"/>
  <c r="O109" i="2" s="1"/>
  <c r="O16" i="2" a="1"/>
  <c r="O16" i="2" s="1"/>
  <c r="O19" i="2" a="1"/>
  <c r="O19" i="2" s="1"/>
  <c r="O177" i="2" a="1"/>
  <c r="O177" i="2" s="1"/>
  <c r="O239" i="2" a="1"/>
  <c r="O239" i="2" s="1"/>
  <c r="O21" i="2" a="1"/>
  <c r="O21" i="2" s="1"/>
  <c r="O196" i="2" a="1"/>
  <c r="O196" i="2" s="1"/>
  <c r="O373" i="2" a="1"/>
  <c r="O373" i="2" s="1"/>
  <c r="O229" i="2" a="1"/>
  <c r="O229" i="2" s="1"/>
  <c r="O107" i="2" a="1"/>
  <c r="O107" i="2" s="1"/>
  <c r="O51" i="2" a="1"/>
  <c r="O51" i="2" s="1"/>
  <c r="O47" i="2" a="1"/>
  <c r="O47" i="2" s="1"/>
  <c r="O203" i="2" a="1"/>
  <c r="O203" i="2" s="1"/>
  <c r="O98" i="2" a="1"/>
  <c r="O98" i="2" s="1"/>
  <c r="O50" i="2" a="1"/>
  <c r="O50" i="2" s="1"/>
  <c r="O77" i="2" a="1"/>
  <c r="O77" i="2" s="1"/>
  <c r="O108" i="2" a="1"/>
  <c r="O108" i="2" s="1"/>
  <c r="O259" i="2" a="1"/>
  <c r="O259" i="2" s="1"/>
  <c r="O127" i="2" a="1"/>
  <c r="O127" i="2" s="1"/>
  <c r="O273" i="2" a="1"/>
  <c r="O273" i="2" s="1"/>
  <c r="O28" i="2" a="1"/>
  <c r="O28" i="2" s="1"/>
  <c r="O143" i="2" a="1"/>
  <c r="O143" i="2" s="1"/>
  <c r="O167" i="2" a="1"/>
  <c r="O167" i="2" s="1"/>
  <c r="O365" i="2" a="1"/>
  <c r="O365" i="2" s="1"/>
  <c r="O151" i="2" a="1"/>
  <c r="O151" i="2" s="1"/>
  <c r="O140" i="2" a="1"/>
  <c r="O140" i="2" s="1"/>
  <c r="O29" i="2" a="1"/>
  <c r="O29" i="2" s="1"/>
  <c r="O238" i="2" a="1"/>
  <c r="O238" i="2" s="1"/>
  <c r="O79" i="2" a="1"/>
  <c r="O79" i="2" s="1"/>
  <c r="O165" i="2" a="1"/>
  <c r="O165" i="2" s="1"/>
  <c r="O53" i="2" a="1"/>
  <c r="O53" i="2" s="1"/>
  <c r="O342" i="2" a="1"/>
  <c r="O342" i="2" s="1"/>
  <c r="O150" i="2" a="1"/>
  <c r="O150" i="2" s="1"/>
  <c r="O298" i="2" a="1"/>
  <c r="O298" i="2" s="1"/>
  <c r="O186" i="2" a="1"/>
  <c r="O186" i="2" s="1"/>
  <c r="O157" i="2" a="1"/>
  <c r="O157" i="2" s="1"/>
  <c r="O192" i="2" a="1"/>
  <c r="O192" i="2" s="1"/>
  <c r="O170" i="2" a="1"/>
  <c r="O170" i="2" s="1"/>
  <c r="O113" i="2" a="1"/>
  <c r="O113" i="2" s="1"/>
  <c r="O227" i="2" a="1"/>
  <c r="O227" i="2" s="1"/>
  <c r="O176" i="2" a="1"/>
  <c r="O176" i="2" s="1"/>
  <c r="O185" i="2" a="1"/>
  <c r="O185" i="2" s="1"/>
  <c r="O258" i="2" a="1"/>
  <c r="O258" i="2" s="1"/>
  <c r="O256" i="2" a="1"/>
  <c r="O256" i="2" s="1"/>
  <c r="O266" i="2" a="1"/>
  <c r="O266" i="2" s="1"/>
  <c r="O360" i="2" a="1"/>
  <c r="O360" i="2" s="1"/>
  <c r="O36" i="2" a="1"/>
  <c r="O36" i="2" s="1"/>
  <c r="O148" i="2" a="1"/>
  <c r="O148" i="2" s="1"/>
  <c r="O246" i="2" a="1"/>
  <c r="O246" i="2" s="1"/>
  <c r="O85" i="2" a="1"/>
  <c r="O85" i="2" s="1"/>
  <c r="O341" i="2" a="1"/>
  <c r="O341" i="2" s="1"/>
  <c r="O136" i="2" a="1"/>
  <c r="O136" i="2" s="1"/>
  <c r="O198" i="2" a="1"/>
  <c r="O198" i="2" s="1"/>
  <c r="O297" i="2" a="1"/>
  <c r="O297" i="2" s="1"/>
  <c r="O95" i="2" a="1"/>
  <c r="O95" i="2" s="1"/>
  <c r="O142" i="2" a="1"/>
  <c r="O142" i="2" s="1"/>
  <c r="O245" i="2" a="1"/>
  <c r="O245" i="2" s="1"/>
  <c r="O183" i="2" a="1"/>
  <c r="O183" i="2" s="1"/>
  <c r="O288" i="2" a="1"/>
  <c r="O288" i="2" s="1"/>
  <c r="O174" i="2" a="1"/>
  <c r="O174" i="2" s="1"/>
  <c r="O242" i="2" a="1"/>
  <c r="O242" i="2" s="1"/>
  <c r="O121" i="2" a="1"/>
  <c r="O121" i="2" s="1"/>
  <c r="O159" i="2" a="1"/>
  <c r="O159" i="2" s="1"/>
  <c r="O83" i="2" a="1"/>
  <c r="O83" i="2" s="1"/>
  <c r="O41" i="2" a="1"/>
  <c r="O41" i="2" s="1"/>
  <c r="O335" i="2" a="1"/>
  <c r="O335" i="2" s="1"/>
  <c r="O14" i="2" a="1"/>
  <c r="O14" i="2" s="1"/>
  <c r="O54" i="2" a="1"/>
  <c r="O54" i="2" s="1"/>
  <c r="O182" i="2" a="1"/>
  <c r="O182" i="2" s="1"/>
  <c r="O154" i="2" a="1"/>
  <c r="O154" i="2" s="1"/>
  <c r="O380" i="2" a="1"/>
  <c r="O380" i="2" s="1"/>
  <c r="O13" i="2" a="1"/>
  <c r="O13" i="2" s="1"/>
  <c r="O191" i="2" a="1"/>
  <c r="O191" i="2" s="1"/>
  <c r="O302" i="2" a="1"/>
  <c r="O302" i="2" s="1"/>
  <c r="O376" i="2" a="1"/>
  <c r="O376" i="2" s="1"/>
  <c r="O316" i="2" a="1"/>
  <c r="O316" i="2" s="1"/>
  <c r="O44" i="2" a="1"/>
  <c r="O44" i="2" s="1"/>
  <c r="O90" i="2" a="1"/>
  <c r="O90" i="2" s="1"/>
  <c r="O76" i="2" a="1"/>
  <c r="O76" i="2" s="1"/>
  <c r="O309" i="2" a="1"/>
  <c r="O309" i="2" s="1"/>
  <c r="O94" i="2" a="1"/>
  <c r="O94" i="2" s="1"/>
  <c r="O58" i="2" a="1"/>
  <c r="O58" i="2" s="1"/>
  <c r="O310" i="2" a="1"/>
  <c r="O310" i="2" s="1"/>
  <c r="O277" i="2" a="1"/>
  <c r="O277" i="2" s="1"/>
  <c r="O339" i="2" a="1"/>
  <c r="O339" i="2" s="1"/>
  <c r="O338" i="2" a="1"/>
  <c r="O338" i="2" s="1"/>
  <c r="O122" i="2" a="1"/>
  <c r="O122" i="2" s="1"/>
  <c r="O296" i="2" a="1"/>
  <c r="O296" i="2" s="1"/>
  <c r="O264" i="2" a="1"/>
  <c r="O264" i="2" s="1"/>
  <c r="O340" i="2" a="1"/>
  <c r="O340" i="2" s="1"/>
  <c r="O226" i="2" a="1"/>
  <c r="O226" i="2" s="1"/>
  <c r="O204" i="2" a="1"/>
  <c r="O204" i="2" s="1"/>
  <c r="O295" i="2" a="1"/>
  <c r="O295" i="2" s="1"/>
  <c r="O265" i="2" a="1"/>
  <c r="O265" i="2" s="1"/>
  <c r="O59" i="2" a="1"/>
  <c r="O59" i="2" s="1"/>
  <c r="O218" i="2" a="1"/>
  <c r="O218" i="2" s="1"/>
  <c r="O225" i="2" a="1"/>
  <c r="O225" i="2" s="1"/>
  <c r="O161" i="2" a="1"/>
  <c r="O161" i="2" s="1"/>
  <c r="O300" i="2" a="1"/>
  <c r="O300" i="2" s="1"/>
  <c r="O9" i="2" a="1"/>
  <c r="O9" i="2" s="1"/>
  <c r="O93" i="2" a="1"/>
  <c r="O93" i="2" s="1"/>
  <c r="O307" i="2" a="1"/>
  <c r="O307" i="2" s="1"/>
  <c r="O31" i="2" a="1"/>
  <c r="O31" i="2" s="1"/>
  <c r="O282" i="2" a="1"/>
  <c r="O282" i="2" s="1"/>
  <c r="O96" i="2" a="1"/>
  <c r="O96" i="2" s="1"/>
  <c r="O11" i="2" a="1"/>
  <c r="O11" i="2" s="1"/>
  <c r="O377" i="2" a="1"/>
  <c r="O377" i="2" s="1"/>
  <c r="O247" i="2" a="1"/>
  <c r="O247" i="2" s="1"/>
  <c r="O179" i="2" a="1"/>
  <c r="O179" i="2" s="1"/>
  <c r="O34" i="2" a="1"/>
  <c r="O34" i="2" s="1"/>
  <c r="O32" i="2" a="1"/>
  <c r="O32" i="2" s="1"/>
  <c r="O49" i="2" a="1"/>
  <c r="O49" i="2" s="1"/>
  <c r="O219" i="2" a="1"/>
  <c r="O219" i="2" s="1"/>
  <c r="O153" i="2" a="1"/>
  <c r="O153" i="2" s="1"/>
  <c r="O305" i="2" a="1"/>
  <c r="O305" i="2" s="1"/>
  <c r="O117" i="2" a="1"/>
  <c r="O117" i="2" s="1"/>
  <c r="O26" i="2" a="1"/>
  <c r="O26" i="2" s="1"/>
  <c r="O370" i="2" a="1"/>
  <c r="O370" i="2" s="1"/>
  <c r="O285" i="2" a="1"/>
  <c r="O285" i="2" s="1"/>
  <c r="O352" i="2" a="1"/>
  <c r="O352" i="2" s="1"/>
  <c r="O7" i="2" a="1"/>
  <c r="O7" i="2" s="1"/>
  <c r="O172" i="2" a="1"/>
  <c r="O172" i="2" s="1"/>
  <c r="O308" i="2" a="1"/>
  <c r="O308" i="2" s="1"/>
  <c r="O175" i="2" a="1"/>
  <c r="O175" i="2" s="1"/>
  <c r="O25" i="2" a="1"/>
  <c r="O25" i="2" s="1"/>
  <c r="O306" i="2" a="1"/>
  <c r="O306" i="2" s="1"/>
  <c r="O118" i="2" a="1"/>
  <c r="O118" i="2" s="1"/>
  <c r="O366" i="2" a="1"/>
  <c r="O366" i="2" s="1"/>
  <c r="O303" i="2" a="1"/>
  <c r="O303" i="2" s="1"/>
  <c r="O120" i="2" a="1"/>
  <c r="O120" i="2" s="1"/>
  <c r="O248" i="2" a="1"/>
  <c r="O248" i="2" s="1"/>
  <c r="O336" i="2" a="1"/>
  <c r="O336" i="2" s="1"/>
  <c r="O283" i="2" a="1"/>
  <c r="O283" i="2" s="1"/>
  <c r="O181" i="2" a="1"/>
  <c r="O181" i="2" s="1"/>
  <c r="O80" i="2" a="1"/>
  <c r="O80" i="2" s="1"/>
  <c r="O72" i="2" a="1"/>
  <c r="O72" i="2" s="1"/>
  <c r="O313" i="2" a="1"/>
  <c r="O313" i="2" s="1"/>
  <c r="O101" i="2" a="1"/>
  <c r="O101" i="2" s="1"/>
  <c r="O374" i="2" a="1"/>
  <c r="O374" i="2" s="1"/>
  <c r="O281" i="2" a="1"/>
  <c r="O281" i="2" s="1"/>
  <c r="O42" i="2" a="1"/>
  <c r="O42" i="2" s="1"/>
  <c r="O37" i="2" a="1"/>
  <c r="O37" i="2" s="1"/>
  <c r="O86" i="2" a="1"/>
  <c r="O86" i="2" s="1"/>
  <c r="O33" i="2" a="1"/>
  <c r="O33" i="2" s="1"/>
  <c r="O62" i="2" a="1"/>
  <c r="O62" i="2" s="1"/>
  <c r="O375" i="2" a="1"/>
  <c r="O375" i="2" s="1"/>
  <c r="O81" i="2" a="1"/>
  <c r="O81" i="2" s="1"/>
  <c r="O284" i="2" a="1"/>
  <c r="O284" i="2" s="1"/>
  <c r="O30" i="2" a="1"/>
  <c r="O30" i="2" s="1"/>
  <c r="O91" i="2" a="1"/>
  <c r="O91" i="2" s="1"/>
  <c r="O100" i="2" a="1"/>
  <c r="O100" i="2" s="1"/>
  <c r="O82" i="2" a="1"/>
  <c r="O82" i="2" s="1"/>
  <c r="O78" i="2" a="1"/>
  <c r="O78" i="2" s="1"/>
  <c r="H91" i="2"/>
  <c r="H72" i="2"/>
  <c r="H62" i="2"/>
  <c r="H281" i="2"/>
  <c r="H30" i="2"/>
  <c r="H374" i="2"/>
  <c r="H313" i="2"/>
  <c r="H101" i="2"/>
  <c r="H284" i="2"/>
  <c r="H81" i="2"/>
  <c r="H375" i="2"/>
  <c r="H33" i="2"/>
  <c r="H86" i="2"/>
  <c r="H78" i="2"/>
  <c r="H42" i="2"/>
  <c r="H80" i="2"/>
  <c r="H37" i="2"/>
  <c r="H181" i="2"/>
  <c r="H283" i="2"/>
  <c r="H82" i="2"/>
  <c r="H100" i="2"/>
  <c r="H172" i="2"/>
  <c r="H7" i="2"/>
  <c r="H306" i="2"/>
  <c r="H219" i="2"/>
  <c r="H303" i="2"/>
  <c r="H248" i="2"/>
  <c r="H120" i="2"/>
  <c r="H305" i="2"/>
  <c r="H352" i="2"/>
  <c r="H153" i="2"/>
  <c r="H49" i="2"/>
  <c r="H285" i="2"/>
  <c r="H25" i="2"/>
  <c r="H175" i="2"/>
  <c r="H336" i="2"/>
  <c r="H366" i="2"/>
  <c r="H118" i="2"/>
  <c r="H26" i="2"/>
  <c r="H308" i="2"/>
  <c r="H370" i="2"/>
  <c r="H117" i="2"/>
  <c r="H377" i="2"/>
  <c r="H34" i="2"/>
  <c r="H179" i="2"/>
  <c r="H9" i="2"/>
  <c r="H300" i="2"/>
  <c r="H11" i="2"/>
  <c r="H96" i="2"/>
  <c r="H93" i="2"/>
  <c r="H247" i="2"/>
  <c r="H161" i="2"/>
  <c r="H31" i="2"/>
  <c r="H282" i="2"/>
  <c r="H32" i="2"/>
  <c r="H307" i="2"/>
  <c r="H152" i="2"/>
  <c r="H332" i="2"/>
  <c r="H10" i="2"/>
  <c r="H184" i="2"/>
  <c r="H292" i="2"/>
  <c r="H134" i="2"/>
  <c r="H35" i="2"/>
  <c r="H293" i="2"/>
  <c r="H271" i="2"/>
  <c r="H323" i="2"/>
  <c r="H359" i="2"/>
  <c r="H27" i="2"/>
  <c r="H155" i="2"/>
  <c r="H193" i="2"/>
  <c r="H322" i="2"/>
  <c r="H280" i="2"/>
  <c r="H321" i="2"/>
  <c r="H353" i="2"/>
  <c r="H178" i="2"/>
  <c r="H299" i="2"/>
  <c r="H17" i="2"/>
  <c r="H215" i="2"/>
  <c r="H188" i="2"/>
  <c r="H123" i="2"/>
  <c r="H102" i="2"/>
  <c r="H110" i="2"/>
  <c r="H378" i="2"/>
  <c r="H369" i="2"/>
  <c r="H22" i="2"/>
  <c r="H358" i="2"/>
  <c r="H119" i="2"/>
  <c r="H131" i="2"/>
  <c r="H63" i="2"/>
  <c r="H145" i="2"/>
  <c r="H104" i="2"/>
  <c r="H220" i="2"/>
  <c r="H235" i="2"/>
  <c r="H197" i="2"/>
  <c r="H230" i="2"/>
  <c r="H18" i="2"/>
  <c r="H84" i="2"/>
  <c r="H333" i="2"/>
  <c r="H132" i="2"/>
  <c r="H315" i="2"/>
  <c r="H343" i="2"/>
  <c r="H166" i="2"/>
  <c r="H52" i="2"/>
  <c r="H311" i="2"/>
  <c r="H275" i="2"/>
  <c r="H92" i="2"/>
  <c r="H65" i="2"/>
  <c r="H48" i="2"/>
  <c r="H319" i="2"/>
  <c r="H116" i="2"/>
  <c r="H217" i="2"/>
  <c r="H202" i="2"/>
  <c r="H163" i="2"/>
  <c r="H162" i="2"/>
  <c r="H216" i="2"/>
  <c r="H223" i="2"/>
  <c r="H156" i="2"/>
  <c r="H20" i="2"/>
  <c r="H66" i="2"/>
  <c r="H331" i="2"/>
  <c r="H355" i="2"/>
  <c r="H201" i="2"/>
  <c r="H40" i="2"/>
  <c r="H190" i="2"/>
  <c r="H301" i="2"/>
  <c r="H213" i="2"/>
  <c r="H129" i="2"/>
  <c r="H67" i="2"/>
  <c r="H241" i="2"/>
  <c r="H46" i="2"/>
  <c r="H379" i="2"/>
  <c r="H345" i="2"/>
  <c r="H55" i="2"/>
  <c r="H325" i="2"/>
  <c r="H149" i="2"/>
  <c r="H244" i="2"/>
  <c r="H228" i="2"/>
  <c r="H262" i="2"/>
  <c r="H56" i="2"/>
  <c r="H112" i="2"/>
  <c r="H135" i="2"/>
  <c r="H318" i="2"/>
  <c r="H337" i="2"/>
  <c r="H8" i="2"/>
  <c r="H23" i="2"/>
  <c r="H367" i="2"/>
  <c r="H294" i="2"/>
  <c r="H171" i="2"/>
  <c r="H286" i="2"/>
  <c r="H130" i="2"/>
  <c r="H97" i="2"/>
  <c r="H255" i="2"/>
  <c r="H364" i="2"/>
  <c r="H199" i="2"/>
  <c r="H69" i="2"/>
  <c r="H344" i="2"/>
  <c r="H291" i="2"/>
  <c r="H233" i="2"/>
  <c r="H232" i="2"/>
  <c r="H253" i="2"/>
  <c r="H251" i="2"/>
  <c r="H57" i="2"/>
  <c r="H368" i="2"/>
  <c r="H269" i="2"/>
  <c r="H24" i="2"/>
  <c r="H361" i="2"/>
  <c r="H329" i="2"/>
  <c r="H348" i="2"/>
  <c r="H320" i="2"/>
  <c r="H214" i="2"/>
  <c r="H209" i="2"/>
  <c r="H363" i="2"/>
  <c r="H139" i="2"/>
  <c r="H272" i="2"/>
  <c r="H289" i="2"/>
  <c r="H278" i="2"/>
  <c r="H287" i="2"/>
  <c r="H328" i="2"/>
  <c r="H210" i="2"/>
  <c r="H270" i="2"/>
  <c r="H372" i="2"/>
  <c r="H211" i="2"/>
  <c r="H146" i="2"/>
  <c r="H254" i="2"/>
  <c r="H206" i="2"/>
  <c r="H221" i="2"/>
  <c r="H276" i="2"/>
  <c r="H224" i="2"/>
  <c r="H147" i="2"/>
  <c r="H61" i="2"/>
  <c r="H75" i="2"/>
  <c r="H212" i="2"/>
  <c r="H327" i="2"/>
  <c r="H237" i="2"/>
  <c r="H354" i="2"/>
  <c r="H362" i="2"/>
  <c r="H99" i="2"/>
  <c r="H39" i="2"/>
  <c r="H347" i="2"/>
  <c r="H137" i="2"/>
  <c r="H260" i="2"/>
  <c r="H205" i="2"/>
  <c r="H267" i="2"/>
  <c r="H371" i="2"/>
  <c r="H180" i="2"/>
  <c r="H351" i="2"/>
  <c r="H64" i="2"/>
  <c r="H194" i="2"/>
  <c r="H234" i="2"/>
  <c r="H114" i="2"/>
  <c r="H274" i="2"/>
  <c r="H349" i="2"/>
  <c r="H125" i="2"/>
  <c r="H357" i="2"/>
  <c r="H73" i="2"/>
  <c r="H236" i="2"/>
  <c r="H279" i="2"/>
  <c r="H106" i="2"/>
  <c r="H263" i="2"/>
  <c r="H381" i="2"/>
  <c r="H195" i="2"/>
  <c r="H128" i="2"/>
  <c r="H74" i="2"/>
  <c r="H71" i="2"/>
  <c r="H324" i="2"/>
  <c r="H231" i="2"/>
  <c r="H356" i="2"/>
  <c r="H249" i="2"/>
  <c r="H200" i="2"/>
  <c r="H208" i="2"/>
  <c r="H257" i="2"/>
  <c r="H144" i="2"/>
  <c r="H76" i="2"/>
  <c r="H218" i="2"/>
  <c r="H44" i="2"/>
  <c r="H310" i="2"/>
  <c r="H225" i="2"/>
  <c r="H90" i="2"/>
  <c r="H277" i="2"/>
  <c r="H338" i="2"/>
  <c r="H204" i="2"/>
  <c r="H58" i="2"/>
  <c r="H295" i="2"/>
  <c r="H59" i="2"/>
  <c r="H296" i="2"/>
  <c r="H226" i="2"/>
  <c r="H339" i="2"/>
  <c r="H340" i="2"/>
  <c r="H264" i="2"/>
  <c r="H265" i="2"/>
  <c r="H94" i="2"/>
  <c r="H122" i="2"/>
  <c r="H309" i="2"/>
  <c r="H41" i="2"/>
  <c r="H376" i="2"/>
  <c r="H121" i="2"/>
  <c r="H154" i="2"/>
  <c r="H191" i="2"/>
  <c r="H174" i="2"/>
  <c r="H142" i="2"/>
  <c r="H316" i="2"/>
  <c r="H182" i="2"/>
  <c r="H302" i="2"/>
  <c r="H13" i="2"/>
  <c r="H14" i="2"/>
  <c r="H83" i="2"/>
  <c r="H245" i="2"/>
  <c r="H288" i="2"/>
  <c r="H183" i="2"/>
  <c r="H335" i="2"/>
  <c r="H380" i="2"/>
  <c r="H54" i="2"/>
  <c r="H159" i="2"/>
  <c r="H242" i="2"/>
  <c r="H258" i="2"/>
  <c r="H36" i="2"/>
  <c r="H176" i="2"/>
  <c r="H297" i="2"/>
  <c r="H185" i="2"/>
  <c r="H192" i="2"/>
  <c r="H136" i="2"/>
  <c r="H341" i="2"/>
  <c r="H157" i="2"/>
  <c r="H95" i="2"/>
  <c r="H227" i="2"/>
  <c r="H113" i="2"/>
  <c r="H266" i="2"/>
  <c r="H186" i="2"/>
  <c r="H148" i="2"/>
  <c r="H170" i="2"/>
  <c r="H246" i="2"/>
  <c r="H198" i="2"/>
  <c r="H85" i="2"/>
  <c r="H360" i="2"/>
  <c r="H256" i="2"/>
  <c r="H77" i="2"/>
  <c r="H127" i="2"/>
  <c r="H50" i="2"/>
  <c r="H151" i="2"/>
  <c r="H98" i="2"/>
  <c r="H143" i="2"/>
  <c r="H298" i="2"/>
  <c r="H28" i="2"/>
  <c r="H342" i="2"/>
  <c r="H150" i="2"/>
  <c r="H165" i="2"/>
  <c r="H259" i="2"/>
  <c r="H53" i="2"/>
  <c r="H79" i="2"/>
  <c r="H365" i="2"/>
  <c r="H167" i="2"/>
  <c r="H238" i="2"/>
  <c r="H29" i="2"/>
  <c r="H108" i="2"/>
  <c r="H140" i="2"/>
  <c r="H273" i="2"/>
  <c r="H68" i="2"/>
  <c r="H133" i="2"/>
  <c r="H207" i="2"/>
  <c r="H47" i="2"/>
  <c r="H107" i="2"/>
  <c r="H177" i="2"/>
  <c r="H51" i="2"/>
  <c r="H222" i="2"/>
  <c r="H109" i="2"/>
  <c r="H19" i="2"/>
  <c r="H105" i="2"/>
  <c r="H373" i="2"/>
  <c r="H126" i="2"/>
  <c r="H229" i="2"/>
  <c r="H196" i="2"/>
  <c r="H111" i="2"/>
  <c r="H16" i="2"/>
  <c r="H21" i="2"/>
  <c r="H203" i="2"/>
  <c r="H239" i="2"/>
  <c r="H314" i="2"/>
  <c r="H138" i="2"/>
  <c r="H70" i="2"/>
  <c r="H261" i="2"/>
  <c r="H189" i="2"/>
  <c r="H243" i="2"/>
  <c r="H115" i="2"/>
  <c r="H187" i="2"/>
  <c r="H312" i="2"/>
  <c r="H326" i="2"/>
  <c r="H250" i="2"/>
  <c r="H290" i="2"/>
  <c r="H89" i="2"/>
  <c r="H168" i="2"/>
  <c r="H60" i="2"/>
  <c r="H12" i="2"/>
  <c r="H15" i="2"/>
  <c r="H317" i="2"/>
  <c r="H141" i="2"/>
  <c r="H304" i="2"/>
  <c r="H252" i="2"/>
  <c r="H330" i="2"/>
  <c r="H88" i="2"/>
  <c r="H124" i="2"/>
  <c r="H158" i="2"/>
  <c r="H350" i="2"/>
  <c r="H268" i="2"/>
  <c r="H45" i="2"/>
  <c r="H173" i="2"/>
  <c r="H160" i="2"/>
  <c r="H240" i="2"/>
  <c r="H38" i="2"/>
  <c r="H103" i="2"/>
  <c r="H346" i="2"/>
  <c r="H169" i="2"/>
  <c r="H43" i="2"/>
  <c r="H164" i="2"/>
  <c r="H87" i="2"/>
  <c r="H334" i="2"/>
  <c r="K91" i="2"/>
  <c r="K72" i="2"/>
  <c r="K62" i="2"/>
  <c r="K281" i="2"/>
  <c r="K30" i="2"/>
  <c r="K374" i="2"/>
  <c r="K313" i="2"/>
  <c r="K101" i="2"/>
  <c r="K284" i="2"/>
  <c r="K81" i="2"/>
  <c r="K375" i="2"/>
  <c r="K33" i="2"/>
  <c r="K86" i="2"/>
  <c r="K78" i="2"/>
  <c r="K42" i="2"/>
  <c r="K80" i="2"/>
  <c r="K37" i="2"/>
  <c r="K181" i="2"/>
  <c r="K283" i="2"/>
  <c r="K82" i="2"/>
  <c r="K100" i="2"/>
  <c r="K172" i="2"/>
  <c r="K7" i="2"/>
  <c r="K306" i="2"/>
  <c r="K219" i="2"/>
  <c r="K303" i="2"/>
  <c r="K248" i="2"/>
  <c r="K120" i="2"/>
  <c r="K305" i="2"/>
  <c r="K352" i="2"/>
  <c r="K153" i="2"/>
  <c r="K49" i="2"/>
  <c r="K285" i="2"/>
  <c r="K25" i="2"/>
  <c r="K175" i="2"/>
  <c r="K336" i="2"/>
  <c r="K366" i="2"/>
  <c r="K118" i="2"/>
  <c r="K26" i="2"/>
  <c r="K308" i="2"/>
  <c r="K370" i="2"/>
  <c r="K117" i="2"/>
  <c r="K377" i="2"/>
  <c r="K34" i="2"/>
  <c r="K179" i="2"/>
  <c r="K9" i="2"/>
  <c r="K300" i="2"/>
  <c r="K11" i="2"/>
  <c r="K96" i="2"/>
  <c r="K93" i="2"/>
  <c r="K247" i="2"/>
  <c r="K161" i="2"/>
  <c r="K31" i="2"/>
  <c r="K282" i="2"/>
  <c r="K32" i="2"/>
  <c r="K307" i="2"/>
  <c r="K152" i="2"/>
  <c r="K332" i="2"/>
  <c r="K10" i="2"/>
  <c r="K184" i="2"/>
  <c r="K292" i="2"/>
  <c r="K134" i="2"/>
  <c r="K35" i="2"/>
  <c r="K293" i="2"/>
  <c r="K271" i="2"/>
  <c r="K323" i="2"/>
  <c r="K359" i="2"/>
  <c r="K27" i="2"/>
  <c r="K155" i="2"/>
  <c r="K193" i="2"/>
  <c r="K322" i="2"/>
  <c r="K280" i="2"/>
  <c r="K321" i="2"/>
  <c r="K353" i="2"/>
  <c r="K178" i="2"/>
  <c r="K299" i="2"/>
  <c r="K17" i="2"/>
  <c r="K215" i="2"/>
  <c r="K188" i="2"/>
  <c r="K123" i="2"/>
  <c r="K102" i="2"/>
  <c r="K110" i="2"/>
  <c r="K378" i="2"/>
  <c r="K369" i="2"/>
  <c r="K22" i="2"/>
  <c r="K358" i="2"/>
  <c r="K119" i="2"/>
  <c r="K131" i="2"/>
  <c r="K63" i="2"/>
  <c r="K145" i="2"/>
  <c r="K104" i="2"/>
  <c r="K220" i="2"/>
  <c r="K235" i="2"/>
  <c r="K197" i="2"/>
  <c r="K230" i="2"/>
  <c r="K18" i="2"/>
  <c r="K84" i="2"/>
  <c r="K333" i="2"/>
  <c r="K132" i="2"/>
  <c r="K315" i="2"/>
  <c r="K343" i="2"/>
  <c r="K166" i="2"/>
  <c r="K52" i="2"/>
  <c r="K311" i="2"/>
  <c r="K275" i="2"/>
  <c r="K92" i="2"/>
  <c r="K65" i="2"/>
  <c r="K48" i="2"/>
  <c r="K319" i="2"/>
  <c r="K116" i="2"/>
  <c r="K217" i="2"/>
  <c r="K202" i="2"/>
  <c r="K163" i="2"/>
  <c r="K162" i="2"/>
  <c r="K216" i="2"/>
  <c r="K223" i="2"/>
  <c r="K156" i="2"/>
  <c r="K20" i="2"/>
  <c r="K66" i="2"/>
  <c r="K331" i="2"/>
  <c r="K355" i="2"/>
  <c r="K201" i="2"/>
  <c r="K40" i="2"/>
  <c r="K190" i="2"/>
  <c r="K301" i="2"/>
  <c r="K213" i="2"/>
  <c r="K129" i="2"/>
  <c r="K67" i="2"/>
  <c r="K241" i="2"/>
  <c r="K46" i="2"/>
  <c r="K379" i="2"/>
  <c r="K345" i="2"/>
  <c r="K55" i="2"/>
  <c r="K325" i="2"/>
  <c r="K149" i="2"/>
  <c r="K244" i="2"/>
  <c r="K228" i="2"/>
  <c r="K262" i="2"/>
  <c r="K56" i="2"/>
  <c r="K112" i="2"/>
  <c r="K135" i="2"/>
  <c r="K318" i="2"/>
  <c r="K337" i="2"/>
  <c r="K8" i="2"/>
  <c r="K23" i="2"/>
  <c r="K367" i="2"/>
  <c r="K294" i="2"/>
  <c r="K171" i="2"/>
  <c r="K286" i="2"/>
  <c r="K130" i="2"/>
  <c r="K97" i="2"/>
  <c r="K255" i="2"/>
  <c r="K364" i="2"/>
  <c r="K199" i="2"/>
  <c r="K69" i="2"/>
  <c r="K344" i="2"/>
  <c r="K291" i="2"/>
  <c r="K233" i="2"/>
  <c r="K232" i="2"/>
  <c r="K253" i="2"/>
  <c r="K251" i="2"/>
  <c r="K57" i="2"/>
  <c r="K368" i="2"/>
  <c r="K269" i="2"/>
  <c r="K24" i="2"/>
  <c r="K361" i="2"/>
  <c r="K329" i="2"/>
  <c r="K348" i="2"/>
  <c r="K320" i="2"/>
  <c r="K214" i="2"/>
  <c r="K209" i="2"/>
  <c r="K363" i="2"/>
  <c r="K139" i="2"/>
  <c r="K272" i="2"/>
  <c r="K289" i="2"/>
  <c r="K278" i="2"/>
  <c r="K287" i="2"/>
  <c r="K328" i="2"/>
  <c r="K210" i="2"/>
  <c r="K270" i="2"/>
  <c r="K372" i="2"/>
  <c r="K211" i="2"/>
  <c r="K146" i="2"/>
  <c r="K254" i="2"/>
  <c r="K206" i="2"/>
  <c r="K221" i="2"/>
  <c r="K276" i="2"/>
  <c r="K224" i="2"/>
  <c r="K147" i="2"/>
  <c r="K61" i="2"/>
  <c r="K75" i="2"/>
  <c r="K212" i="2"/>
  <c r="K327" i="2"/>
  <c r="K237" i="2"/>
  <c r="K354" i="2"/>
  <c r="K362" i="2"/>
  <c r="K99" i="2"/>
  <c r="K39" i="2"/>
  <c r="K347" i="2"/>
  <c r="K137" i="2"/>
  <c r="K260" i="2"/>
  <c r="K205" i="2"/>
  <c r="K267" i="2"/>
  <c r="K371" i="2"/>
  <c r="K180" i="2"/>
  <c r="K351" i="2"/>
  <c r="K64" i="2"/>
  <c r="K194" i="2"/>
  <c r="K234" i="2"/>
  <c r="K114" i="2"/>
  <c r="K274" i="2"/>
  <c r="K349" i="2"/>
  <c r="K125" i="2"/>
  <c r="K357" i="2"/>
  <c r="K73" i="2"/>
  <c r="K236" i="2"/>
  <c r="K279" i="2"/>
  <c r="K106" i="2"/>
  <c r="K263" i="2"/>
  <c r="K381" i="2"/>
  <c r="K195" i="2"/>
  <c r="K128" i="2"/>
  <c r="K74" i="2"/>
  <c r="K71" i="2"/>
  <c r="K324" i="2"/>
  <c r="K231" i="2"/>
  <c r="K356" i="2"/>
  <c r="K249" i="2"/>
  <c r="K200" i="2"/>
  <c r="K208" i="2"/>
  <c r="K257" i="2"/>
  <c r="K144" i="2"/>
  <c r="K76" i="2"/>
  <c r="K218" i="2"/>
  <c r="K44" i="2"/>
  <c r="K310" i="2"/>
  <c r="K225" i="2"/>
  <c r="K90" i="2"/>
  <c r="K277" i="2"/>
  <c r="K338" i="2"/>
  <c r="K204" i="2"/>
  <c r="K58" i="2"/>
  <c r="K295" i="2"/>
  <c r="K59" i="2"/>
  <c r="K296" i="2"/>
  <c r="K226" i="2"/>
  <c r="K339" i="2"/>
  <c r="K340" i="2"/>
  <c r="K264" i="2"/>
  <c r="K265" i="2"/>
  <c r="K94" i="2"/>
  <c r="K122" i="2"/>
  <c r="K309" i="2"/>
  <c r="K41" i="2"/>
  <c r="K376" i="2"/>
  <c r="K121" i="2"/>
  <c r="K154" i="2"/>
  <c r="K191" i="2"/>
  <c r="K174" i="2"/>
  <c r="K142" i="2"/>
  <c r="K316" i="2"/>
  <c r="K182" i="2"/>
  <c r="K302" i="2"/>
  <c r="K13" i="2"/>
  <c r="K14" i="2"/>
  <c r="K83" i="2"/>
  <c r="K245" i="2"/>
  <c r="K288" i="2"/>
  <c r="K183" i="2"/>
  <c r="K335" i="2"/>
  <c r="K380" i="2"/>
  <c r="K54" i="2"/>
  <c r="K159" i="2"/>
  <c r="K242" i="2"/>
  <c r="K258" i="2"/>
  <c r="K36" i="2"/>
  <c r="K176" i="2"/>
  <c r="K297" i="2"/>
  <c r="K185" i="2"/>
  <c r="K192" i="2"/>
  <c r="K136" i="2"/>
  <c r="K341" i="2"/>
  <c r="K157" i="2"/>
  <c r="K95" i="2"/>
  <c r="K227" i="2"/>
  <c r="K113" i="2"/>
  <c r="K266" i="2"/>
  <c r="K186" i="2"/>
  <c r="K148" i="2"/>
  <c r="K170" i="2"/>
  <c r="K246" i="2"/>
  <c r="K198" i="2"/>
  <c r="K85" i="2"/>
  <c r="K360" i="2"/>
  <c r="K256" i="2"/>
  <c r="K77" i="2"/>
  <c r="K127" i="2"/>
  <c r="K50" i="2"/>
  <c r="K151" i="2"/>
  <c r="K98" i="2"/>
  <c r="K143" i="2"/>
  <c r="K298" i="2"/>
  <c r="K28" i="2"/>
  <c r="K342" i="2"/>
  <c r="K150" i="2"/>
  <c r="K165" i="2"/>
  <c r="K259" i="2"/>
  <c r="K53" i="2"/>
  <c r="K79" i="2"/>
  <c r="K365" i="2"/>
  <c r="K167" i="2"/>
  <c r="K238" i="2"/>
  <c r="K29" i="2"/>
  <c r="K108" i="2"/>
  <c r="K140" i="2"/>
  <c r="K273" i="2"/>
  <c r="K68" i="2"/>
  <c r="K133" i="2"/>
  <c r="K207" i="2"/>
  <c r="K47" i="2"/>
  <c r="K107" i="2"/>
  <c r="K177" i="2"/>
  <c r="K51" i="2"/>
  <c r="K222" i="2"/>
  <c r="K109" i="2"/>
  <c r="K19" i="2"/>
  <c r="K105" i="2"/>
  <c r="K373" i="2"/>
  <c r="K126" i="2"/>
  <c r="K229" i="2"/>
  <c r="K196" i="2"/>
  <c r="K111" i="2"/>
  <c r="K16" i="2"/>
  <c r="K21" i="2"/>
  <c r="K203" i="2"/>
  <c r="K239" i="2"/>
  <c r="K314" i="2"/>
  <c r="K138" i="2"/>
  <c r="K70" i="2"/>
  <c r="K261" i="2"/>
  <c r="K189" i="2"/>
  <c r="K243" i="2"/>
  <c r="K115" i="2"/>
  <c r="K187" i="2"/>
  <c r="K312" i="2"/>
  <c r="K326" i="2"/>
  <c r="K250" i="2"/>
  <c r="K290" i="2"/>
  <c r="K89" i="2"/>
  <c r="K168" i="2"/>
  <c r="K60" i="2"/>
  <c r="K12" i="2"/>
  <c r="K15" i="2"/>
  <c r="K317" i="2"/>
  <c r="K141" i="2"/>
  <c r="K304" i="2"/>
  <c r="K252" i="2"/>
  <c r="K330" i="2"/>
  <c r="K88" i="2"/>
  <c r="K124" i="2"/>
  <c r="K158" i="2"/>
  <c r="K350" i="2"/>
  <c r="K268" i="2"/>
  <c r="K45" i="2"/>
  <c r="K173" i="2"/>
  <c r="K160" i="2"/>
  <c r="K240" i="2"/>
  <c r="K38" i="2"/>
  <c r="K103" i="2"/>
  <c r="K346" i="2"/>
  <c r="K169" i="2"/>
  <c r="K43" i="2"/>
  <c r="K164" i="2"/>
  <c r="K87" i="2"/>
  <c r="K334" i="2"/>
  <c r="E3" i="2"/>
  <c r="F3" i="2"/>
  <c r="G3" i="2"/>
  <c r="H3" i="2"/>
  <c r="I3" i="2"/>
  <c r="J3" i="2"/>
  <c r="F91" i="2"/>
  <c r="F72" i="2"/>
  <c r="F62" i="2"/>
  <c r="F281" i="2"/>
  <c r="F30" i="2"/>
  <c r="F374" i="2"/>
  <c r="F313" i="2"/>
  <c r="F101" i="2"/>
  <c r="F284" i="2"/>
  <c r="F81" i="2"/>
  <c r="F375" i="2"/>
  <c r="F33" i="2"/>
  <c r="F86" i="2"/>
  <c r="F78" i="2"/>
  <c r="F42" i="2"/>
  <c r="F80" i="2"/>
  <c r="F37" i="2"/>
  <c r="F181" i="2"/>
  <c r="F283" i="2"/>
  <c r="F82" i="2"/>
  <c r="F100" i="2"/>
  <c r="F172" i="2"/>
  <c r="F7" i="2"/>
  <c r="F306" i="2"/>
  <c r="F219" i="2"/>
  <c r="F303" i="2"/>
  <c r="F248" i="2"/>
  <c r="F120" i="2"/>
  <c r="F305" i="2"/>
  <c r="F352" i="2"/>
  <c r="F153" i="2"/>
  <c r="F49" i="2"/>
  <c r="F285" i="2"/>
  <c r="F25" i="2"/>
  <c r="F175" i="2"/>
  <c r="F336" i="2"/>
  <c r="F366" i="2"/>
  <c r="F118" i="2"/>
  <c r="F26" i="2"/>
  <c r="F308" i="2"/>
  <c r="F370" i="2"/>
  <c r="F117" i="2"/>
  <c r="F377" i="2"/>
  <c r="F34" i="2"/>
  <c r="F179" i="2"/>
  <c r="F9" i="2"/>
  <c r="F300" i="2"/>
  <c r="F11" i="2"/>
  <c r="F96" i="2"/>
  <c r="F93" i="2"/>
  <c r="F247" i="2"/>
  <c r="F161" i="2"/>
  <c r="F31" i="2"/>
  <c r="F282" i="2"/>
  <c r="F32" i="2"/>
  <c r="F307" i="2"/>
  <c r="F152" i="2"/>
  <c r="F332" i="2"/>
  <c r="F10" i="2"/>
  <c r="F184" i="2"/>
  <c r="F292" i="2"/>
  <c r="F134" i="2"/>
  <c r="F35" i="2"/>
  <c r="F293" i="2"/>
  <c r="F271" i="2"/>
  <c r="F323" i="2"/>
  <c r="F359" i="2"/>
  <c r="F27" i="2"/>
  <c r="F155" i="2"/>
  <c r="F193" i="2"/>
  <c r="F322" i="2"/>
  <c r="F280" i="2"/>
  <c r="F321" i="2"/>
  <c r="F353" i="2"/>
  <c r="F178" i="2"/>
  <c r="F299" i="2"/>
  <c r="F17" i="2"/>
  <c r="F215" i="2"/>
  <c r="F188" i="2"/>
  <c r="F123" i="2"/>
  <c r="F102" i="2"/>
  <c r="F110" i="2"/>
  <c r="F378" i="2"/>
  <c r="F369" i="2"/>
  <c r="F22" i="2"/>
  <c r="F358" i="2"/>
  <c r="F119" i="2"/>
  <c r="F131" i="2"/>
  <c r="F63" i="2"/>
  <c r="F145" i="2"/>
  <c r="F104" i="2"/>
  <c r="F220" i="2"/>
  <c r="F235" i="2"/>
  <c r="F197" i="2"/>
  <c r="F230" i="2"/>
  <c r="F18" i="2"/>
  <c r="F84" i="2"/>
  <c r="F333" i="2"/>
  <c r="F132" i="2"/>
  <c r="F315" i="2"/>
  <c r="F343" i="2"/>
  <c r="F166" i="2"/>
  <c r="F52" i="2"/>
  <c r="F311" i="2"/>
  <c r="F275" i="2"/>
  <c r="F92" i="2"/>
  <c r="F65" i="2"/>
  <c r="F48" i="2"/>
  <c r="F319" i="2"/>
  <c r="F116" i="2"/>
  <c r="F217" i="2"/>
  <c r="F202" i="2"/>
  <c r="F163" i="2"/>
  <c r="F162" i="2"/>
  <c r="F216" i="2"/>
  <c r="F223" i="2"/>
  <c r="F156" i="2"/>
  <c r="F20" i="2"/>
  <c r="F66" i="2"/>
  <c r="F331" i="2"/>
  <c r="F355" i="2"/>
  <c r="F201" i="2"/>
  <c r="F40" i="2"/>
  <c r="F190" i="2"/>
  <c r="F301" i="2"/>
  <c r="F213" i="2"/>
  <c r="F129" i="2"/>
  <c r="F67" i="2"/>
  <c r="F241" i="2"/>
  <c r="F46" i="2"/>
  <c r="F379" i="2"/>
  <c r="F345" i="2"/>
  <c r="F55" i="2"/>
  <c r="F325" i="2"/>
  <c r="F149" i="2"/>
  <c r="F244" i="2"/>
  <c r="F228" i="2"/>
  <c r="F262" i="2"/>
  <c r="F56" i="2"/>
  <c r="F112" i="2"/>
  <c r="F135" i="2"/>
  <c r="F318" i="2"/>
  <c r="F337" i="2"/>
  <c r="F8" i="2"/>
  <c r="F23" i="2"/>
  <c r="F367" i="2"/>
  <c r="F294" i="2"/>
  <c r="F171" i="2"/>
  <c r="F286" i="2"/>
  <c r="F130" i="2"/>
  <c r="F97" i="2"/>
  <c r="F255" i="2"/>
  <c r="F364" i="2"/>
  <c r="F199" i="2"/>
  <c r="F69" i="2"/>
  <c r="F344" i="2"/>
  <c r="F291" i="2"/>
  <c r="F233" i="2"/>
  <c r="F232" i="2"/>
  <c r="F253" i="2"/>
  <c r="F251" i="2"/>
  <c r="F57" i="2"/>
  <c r="F368" i="2"/>
  <c r="F269" i="2"/>
  <c r="F24" i="2"/>
  <c r="F361" i="2"/>
  <c r="F329" i="2"/>
  <c r="F348" i="2"/>
  <c r="F320" i="2"/>
  <c r="F214" i="2"/>
  <c r="F209" i="2"/>
  <c r="F363" i="2"/>
  <c r="F139" i="2"/>
  <c r="F272" i="2"/>
  <c r="F289" i="2"/>
  <c r="F278" i="2"/>
  <c r="F287" i="2"/>
  <c r="F328" i="2"/>
  <c r="F210" i="2"/>
  <c r="F270" i="2"/>
  <c r="F372" i="2"/>
  <c r="F211" i="2"/>
  <c r="F146" i="2"/>
  <c r="F254" i="2"/>
  <c r="F206" i="2"/>
  <c r="F221" i="2"/>
  <c r="F276" i="2"/>
  <c r="F224" i="2"/>
  <c r="F147" i="2"/>
  <c r="F61" i="2"/>
  <c r="F75" i="2"/>
  <c r="F212" i="2"/>
  <c r="F327" i="2"/>
  <c r="F237" i="2"/>
  <c r="F354" i="2"/>
  <c r="F362" i="2"/>
  <c r="F99" i="2"/>
  <c r="F39" i="2"/>
  <c r="F347" i="2"/>
  <c r="F137" i="2"/>
  <c r="F260" i="2"/>
  <c r="F205" i="2"/>
  <c r="F267" i="2"/>
  <c r="F371" i="2"/>
  <c r="F180" i="2"/>
  <c r="F351" i="2"/>
  <c r="F64" i="2"/>
  <c r="F194" i="2"/>
  <c r="F234" i="2"/>
  <c r="F114" i="2"/>
  <c r="F274" i="2"/>
  <c r="F349" i="2"/>
  <c r="F125" i="2"/>
  <c r="F357" i="2"/>
  <c r="F73" i="2"/>
  <c r="F236" i="2"/>
  <c r="F279" i="2"/>
  <c r="F106" i="2"/>
  <c r="F263" i="2"/>
  <c r="F381" i="2"/>
  <c r="Q381" i="2" s="1"/>
  <c r="F195" i="2"/>
  <c r="F128" i="2"/>
  <c r="F74" i="2"/>
  <c r="F71" i="2"/>
  <c r="F324" i="2"/>
  <c r="F231" i="2"/>
  <c r="F356" i="2"/>
  <c r="F249" i="2"/>
  <c r="F200" i="2"/>
  <c r="F208" i="2"/>
  <c r="F257" i="2"/>
  <c r="F144" i="2"/>
  <c r="F76" i="2"/>
  <c r="F218" i="2"/>
  <c r="F44" i="2"/>
  <c r="F310" i="2"/>
  <c r="F225" i="2"/>
  <c r="F90" i="2"/>
  <c r="F277" i="2"/>
  <c r="F338" i="2"/>
  <c r="F204" i="2"/>
  <c r="F58" i="2"/>
  <c r="F295" i="2"/>
  <c r="F59" i="2"/>
  <c r="F296" i="2"/>
  <c r="F226" i="2"/>
  <c r="F339" i="2"/>
  <c r="F340" i="2"/>
  <c r="F264" i="2"/>
  <c r="F265" i="2"/>
  <c r="N265" i="2" s="1"/>
  <c r="F94" i="2"/>
  <c r="F122" i="2"/>
  <c r="F309" i="2"/>
  <c r="F41" i="2"/>
  <c r="F376" i="2"/>
  <c r="F121" i="2"/>
  <c r="F154" i="2"/>
  <c r="F191" i="2"/>
  <c r="F174" i="2"/>
  <c r="F142" i="2"/>
  <c r="F316" i="2"/>
  <c r="F182" i="2"/>
  <c r="F302" i="2"/>
  <c r="F13" i="2"/>
  <c r="F14" i="2"/>
  <c r="F83" i="2"/>
  <c r="F245" i="2"/>
  <c r="F288" i="2"/>
  <c r="F183" i="2"/>
  <c r="F335" i="2"/>
  <c r="F380" i="2"/>
  <c r="F54" i="2"/>
  <c r="F159" i="2"/>
  <c r="F242" i="2"/>
  <c r="F258" i="2"/>
  <c r="F36" i="2"/>
  <c r="F176" i="2"/>
  <c r="F297" i="2"/>
  <c r="F185" i="2"/>
  <c r="F192" i="2"/>
  <c r="F136" i="2"/>
  <c r="F341" i="2"/>
  <c r="F157" i="2"/>
  <c r="F95" i="2"/>
  <c r="F227" i="2"/>
  <c r="F113" i="2"/>
  <c r="F266" i="2"/>
  <c r="N266" i="2" s="1"/>
  <c r="F186" i="2"/>
  <c r="Q186" i="2" s="1"/>
  <c r="F148" i="2"/>
  <c r="N148" i="2" s="1"/>
  <c r="F170" i="2"/>
  <c r="F246" i="2"/>
  <c r="F198" i="2"/>
  <c r="F85" i="2"/>
  <c r="F360" i="2"/>
  <c r="F256" i="2"/>
  <c r="F77" i="2"/>
  <c r="F127" i="2"/>
  <c r="F50" i="2"/>
  <c r="F151" i="2"/>
  <c r="F98" i="2"/>
  <c r="F143" i="2"/>
  <c r="F298" i="2"/>
  <c r="F28" i="2"/>
  <c r="F342" i="2"/>
  <c r="F150" i="2"/>
  <c r="F165" i="2"/>
  <c r="F259" i="2"/>
  <c r="F53" i="2"/>
  <c r="F79" i="2"/>
  <c r="F365" i="2"/>
  <c r="F167" i="2"/>
  <c r="F238" i="2"/>
  <c r="F29" i="2"/>
  <c r="F108" i="2"/>
  <c r="F140" i="2"/>
  <c r="F273" i="2"/>
  <c r="F68" i="2"/>
  <c r="F133" i="2"/>
  <c r="F207" i="2"/>
  <c r="F47" i="2"/>
  <c r="F107" i="2"/>
  <c r="F177" i="2"/>
  <c r="F51" i="2"/>
  <c r="F222" i="2"/>
  <c r="F109" i="2"/>
  <c r="F19" i="2"/>
  <c r="F105" i="2"/>
  <c r="F373" i="2"/>
  <c r="F126" i="2"/>
  <c r="F229" i="2"/>
  <c r="F196" i="2"/>
  <c r="F111" i="2"/>
  <c r="F16" i="2"/>
  <c r="F21" i="2"/>
  <c r="F203" i="2"/>
  <c r="F239" i="2"/>
  <c r="F314" i="2"/>
  <c r="F138" i="2"/>
  <c r="F70" i="2"/>
  <c r="F261" i="2"/>
  <c r="F189" i="2"/>
  <c r="F243" i="2"/>
  <c r="F115" i="2"/>
  <c r="F187" i="2"/>
  <c r="F312" i="2"/>
  <c r="F326" i="2"/>
  <c r="F250" i="2"/>
  <c r="F290" i="2"/>
  <c r="F89" i="2"/>
  <c r="F168" i="2"/>
  <c r="F60" i="2"/>
  <c r="F12" i="2"/>
  <c r="F15" i="2"/>
  <c r="F317" i="2"/>
  <c r="F141" i="2"/>
  <c r="F304" i="2"/>
  <c r="F252" i="2"/>
  <c r="F330" i="2"/>
  <c r="F88" i="2"/>
  <c r="F124" i="2"/>
  <c r="F158" i="2"/>
  <c r="F350" i="2"/>
  <c r="F268" i="2"/>
  <c r="F45" i="2"/>
  <c r="F173" i="2"/>
  <c r="F160" i="2"/>
  <c r="F240" i="2"/>
  <c r="F38" i="2"/>
  <c r="F103" i="2"/>
  <c r="F346" i="2"/>
  <c r="F169" i="2"/>
  <c r="F43" i="2"/>
  <c r="F164" i="2"/>
  <c r="F87" i="2"/>
  <c r="F334" i="2"/>
  <c r="G31" i="7"/>
  <c r="G27" i="7"/>
  <c r="G30" i="7"/>
  <c r="G28" i="7"/>
  <c r="G26" i="7"/>
  <c r="G35" i="7"/>
  <c r="G29" i="7"/>
  <c r="G34" i="7"/>
  <c r="G32" i="7"/>
  <c r="G33" i="7"/>
  <c r="N381" i="2" l="1"/>
  <c r="Q148" i="2"/>
  <c r="K3" i="2"/>
  <c r="Z3" i="2"/>
  <c r="Q266" i="2"/>
  <c r="N3" i="2"/>
  <c r="Q265" i="2"/>
  <c r="M3" i="2"/>
  <c r="U3" i="2"/>
  <c r="R3" i="2"/>
  <c r="W3" i="2"/>
  <c r="N186" i="2"/>
  <c r="X3" i="2"/>
  <c r="V3" i="2"/>
  <c r="Q3" i="2"/>
  <c r="S3" i="2"/>
  <c r="T3" i="2"/>
  <c r="Y3" i="2"/>
  <c r="D228" i="4"/>
  <c r="D138" i="4"/>
  <c r="F269" i="4"/>
  <c r="F111" i="4"/>
  <c r="AR266" i="4"/>
  <c r="D186" i="4"/>
  <c r="E268" i="4"/>
  <c r="D137" i="4"/>
  <c r="AR227" i="4"/>
  <c r="E270" i="4"/>
  <c r="E112" i="4"/>
  <c r="H112" i="4"/>
  <c r="AR296" i="4"/>
  <c r="E362" i="4"/>
  <c r="F186" i="4"/>
  <c r="AR113" i="4"/>
  <c r="D295" i="4"/>
  <c r="D221" i="4"/>
  <c r="AR224" i="4"/>
  <c r="AR174" i="4"/>
  <c r="F361" i="4"/>
  <c r="F177" i="4"/>
  <c r="D268" i="4"/>
  <c r="E177" i="4"/>
  <c r="D133" i="4"/>
  <c r="AR69" i="4"/>
  <c r="D222" i="4"/>
  <c r="M270" i="4"/>
  <c r="E220" i="4"/>
  <c r="AR264" i="4"/>
  <c r="F176" i="4"/>
  <c r="D220" i="4"/>
  <c r="AR265" i="4"/>
  <c r="AR341" i="4"/>
  <c r="F110" i="4"/>
  <c r="F261" i="4"/>
  <c r="N220" i="4"/>
  <c r="D24" i="4"/>
  <c r="E110" i="4"/>
  <c r="AR203" i="4"/>
  <c r="D128" i="4"/>
  <c r="AR294" i="4"/>
  <c r="E359" i="4"/>
  <c r="AR130" i="4"/>
  <c r="V359" i="4"/>
  <c r="F68" i="4"/>
  <c r="D293" i="4"/>
  <c r="E71" i="4"/>
  <c r="F315" i="4"/>
  <c r="F155" i="4"/>
  <c r="E175" i="4"/>
  <c r="AR131" i="4"/>
  <c r="F127" i="4"/>
  <c r="F81" i="4"/>
  <c r="D317" i="4"/>
  <c r="E262" i="4"/>
  <c r="AR354" i="4"/>
  <c r="D125" i="4"/>
  <c r="AR108" i="4"/>
  <c r="AR292" i="4"/>
  <c r="G175" i="4"/>
  <c r="AR125" i="4"/>
  <c r="AR216" i="4"/>
  <c r="F340" i="4"/>
  <c r="E155" i="4"/>
  <c r="F64" i="4"/>
  <c r="Z110" i="4"/>
  <c r="AR106" i="4"/>
  <c r="F201" i="4"/>
  <c r="D65" i="4"/>
  <c r="F62" i="4"/>
  <c r="AR148" i="4"/>
  <c r="D183" i="4"/>
  <c r="E313" i="4"/>
  <c r="F107" i="4"/>
  <c r="D126" i="4"/>
  <c r="AR353" i="4"/>
  <c r="E129" i="4"/>
  <c r="D291" i="4"/>
  <c r="AR254" i="4"/>
  <c r="AR26" i="4"/>
  <c r="AR112" i="4"/>
  <c r="E227" i="4"/>
  <c r="AR318" i="4"/>
  <c r="F266" i="4"/>
  <c r="E72" i="4"/>
  <c r="D318" i="4"/>
  <c r="E113" i="4"/>
  <c r="D227" i="4"/>
  <c r="E228" i="4"/>
  <c r="AR186" i="4"/>
  <c r="Z228" i="4"/>
  <c r="M72" i="4"/>
  <c r="D205" i="4"/>
  <c r="AR82" i="4"/>
  <c r="AR133" i="4"/>
  <c r="X72" i="4"/>
  <c r="AR362" i="4"/>
  <c r="G268" i="4"/>
  <c r="F224" i="4"/>
  <c r="D362" i="4"/>
  <c r="Z113" i="4"/>
  <c r="E224" i="4"/>
  <c r="AR205" i="4"/>
  <c r="AR204" i="4"/>
  <c r="F69" i="4"/>
  <c r="Y362" i="4"/>
  <c r="G72" i="4"/>
  <c r="F174" i="4"/>
  <c r="F264" i="4"/>
  <c r="F71" i="4"/>
  <c r="E174" i="4"/>
  <c r="M174" i="4" s="1"/>
  <c r="F265" i="4"/>
  <c r="F341" i="4"/>
  <c r="E148" i="4"/>
  <c r="E260" i="4"/>
  <c r="X260" i="4" s="1"/>
  <c r="E204" i="4"/>
  <c r="E341" i="4"/>
  <c r="Y341" i="4" s="1"/>
  <c r="V148" i="4"/>
  <c r="F203" i="4"/>
  <c r="AR171" i="4"/>
  <c r="D173" i="4"/>
  <c r="N341" i="4"/>
  <c r="V110" i="4"/>
  <c r="F130" i="4"/>
  <c r="D354" i="4"/>
  <c r="AT220" i="4"/>
  <c r="M341" i="4"/>
  <c r="D359" i="4"/>
  <c r="E130" i="4"/>
  <c r="AR259" i="4"/>
  <c r="D172" i="4"/>
  <c r="AR202" i="4"/>
  <c r="E126" i="4"/>
  <c r="E273" i="4"/>
  <c r="F131" i="4"/>
  <c r="AR358" i="4"/>
  <c r="D106" i="4"/>
  <c r="E125" i="4"/>
  <c r="D175" i="4"/>
  <c r="E131" i="4"/>
  <c r="F274" i="4"/>
  <c r="AR105" i="4"/>
  <c r="V204" i="4"/>
  <c r="AR360" i="4"/>
  <c r="F108" i="4"/>
  <c r="F128" i="4"/>
  <c r="F292" i="4"/>
  <c r="AR109" i="4"/>
  <c r="E202" i="4"/>
  <c r="X125" i="4"/>
  <c r="F273" i="4"/>
  <c r="F216" i="4"/>
  <c r="AR24" i="4"/>
  <c r="D67" i="4"/>
  <c r="D81" i="4"/>
  <c r="E22" i="4"/>
  <c r="AS148" i="4"/>
  <c r="E257" i="4"/>
  <c r="X273" i="4"/>
  <c r="E124" i="4"/>
  <c r="E103" i="4"/>
  <c r="N204" i="4"/>
  <c r="F148" i="4"/>
  <c r="F354" i="4"/>
  <c r="AS273" i="4"/>
  <c r="M124" i="4"/>
  <c r="E104" i="4"/>
  <c r="F317" i="4"/>
  <c r="W202" i="4"/>
  <c r="N125" i="4"/>
  <c r="F353" i="4"/>
  <c r="W124" i="4"/>
  <c r="X148" i="4"/>
  <c r="E128" i="4"/>
  <c r="I22" i="4"/>
  <c r="AR168" i="4"/>
  <c r="AR270" i="4"/>
  <c r="AR269" i="4"/>
  <c r="F72" i="4"/>
  <c r="E111" i="4"/>
  <c r="E226" i="4"/>
  <c r="AS226" i="4" s="1"/>
  <c r="F363" i="4"/>
  <c r="F113" i="4"/>
  <c r="M228" i="4"/>
  <c r="H111" i="4"/>
  <c r="W228" i="4"/>
  <c r="AS362" i="4"/>
  <c r="AR132" i="4"/>
  <c r="W72" i="4"/>
  <c r="E134" i="4"/>
  <c r="D226" i="4"/>
  <c r="N227" i="4"/>
  <c r="I362" i="4"/>
  <c r="F263" i="4"/>
  <c r="V220" i="4"/>
  <c r="E269" i="4"/>
  <c r="F173" i="4"/>
  <c r="AR110" i="4"/>
  <c r="E295" i="4"/>
  <c r="F359" i="4"/>
  <c r="V260" i="4"/>
  <c r="AT224" i="4"/>
  <c r="E316" i="4"/>
  <c r="E147" i="4"/>
  <c r="E293" i="4"/>
  <c r="I293" i="4" s="1"/>
  <c r="E172" i="4"/>
  <c r="V172" i="4" s="1"/>
  <c r="D203" i="4"/>
  <c r="AT72" i="4"/>
  <c r="AQ172" i="4"/>
  <c r="F106" i="4"/>
  <c r="E339" i="4"/>
  <c r="N339" i="4" s="1"/>
  <c r="I147" i="4"/>
  <c r="D202" i="4"/>
  <c r="AR257" i="4"/>
  <c r="D82" i="4"/>
  <c r="AR274" i="4"/>
  <c r="AT293" i="4"/>
  <c r="V125" i="4"/>
  <c r="D218" i="4"/>
  <c r="D257" i="4"/>
  <c r="D263" i="4"/>
  <c r="G262" i="4"/>
  <c r="V339" i="4"/>
  <c r="F22" i="4"/>
  <c r="AQ71" i="4"/>
  <c r="F339" i="4"/>
  <c r="F124" i="4"/>
  <c r="F170" i="4"/>
  <c r="V22" i="4"/>
  <c r="D134" i="4"/>
  <c r="I130" i="4"/>
  <c r="E170" i="4"/>
  <c r="M155" i="4"/>
  <c r="D103" i="4"/>
  <c r="AS339" i="4"/>
  <c r="AR273" i="4"/>
  <c r="AQ175" i="4"/>
  <c r="E259" i="4"/>
  <c r="E314" i="4"/>
  <c r="AR199" i="4"/>
  <c r="AR100" i="4"/>
  <c r="X339" i="4"/>
  <c r="AR104" i="4"/>
  <c r="E168" i="4"/>
  <c r="AR252" i="4"/>
  <c r="M202" i="4"/>
  <c r="G22" i="4"/>
  <c r="AR255" i="4"/>
  <c r="F334" i="4"/>
  <c r="E169" i="4"/>
  <c r="Y168" i="4"/>
  <c r="AR200" i="4"/>
  <c r="AS110" i="4"/>
  <c r="H125" i="4"/>
  <c r="E253" i="4"/>
  <c r="D88" i="4"/>
  <c r="AR336" i="4"/>
  <c r="AT104" i="4"/>
  <c r="D4" i="7" a="1"/>
  <c r="F112" i="4"/>
  <c r="F226" i="4"/>
  <c r="D267" i="4"/>
  <c r="E318" i="4"/>
  <c r="V318" i="4" s="1"/>
  <c r="F295" i="4"/>
  <c r="E137" i="4"/>
  <c r="M137" i="4" s="1"/>
  <c r="N113" i="4"/>
  <c r="AS268" i="4"/>
  <c r="M268" i="4"/>
  <c r="AR136" i="4"/>
  <c r="W226" i="4"/>
  <c r="F136" i="4"/>
  <c r="AR225" i="4"/>
  <c r="D343" i="4"/>
  <c r="F132" i="4"/>
  <c r="D342" i="4"/>
  <c r="AR219" i="4"/>
  <c r="AS111" i="4"/>
  <c r="V134" i="4"/>
  <c r="AR25" i="4"/>
  <c r="N134" i="4"/>
  <c r="E219" i="4"/>
  <c r="AQ219" i="4" s="1"/>
  <c r="F217" i="4"/>
  <c r="F147" i="4"/>
  <c r="F293" i="4"/>
  <c r="E221" i="4"/>
  <c r="D23" i="4"/>
  <c r="E203" i="4"/>
  <c r="Z316" i="4"/>
  <c r="E218" i="4"/>
  <c r="E66" i="4"/>
  <c r="AS316" i="4"/>
  <c r="F357" i="4"/>
  <c r="AR128" i="4"/>
  <c r="D124" i="4"/>
  <c r="AT204" i="4"/>
  <c r="D155" i="4"/>
  <c r="D109" i="4"/>
  <c r="E67" i="4"/>
  <c r="AR127" i="4"/>
  <c r="F256" i="4"/>
  <c r="F109" i="4"/>
  <c r="D171" i="4"/>
  <c r="D338" i="4"/>
  <c r="E255" i="4"/>
  <c r="D74" i="4"/>
  <c r="Y273" i="4"/>
  <c r="AR103" i="4"/>
  <c r="F26" i="4"/>
  <c r="F229" i="4"/>
  <c r="D72" i="4"/>
  <c r="D136" i="4"/>
  <c r="V227" i="4"/>
  <c r="D229" i="4"/>
  <c r="Z137" i="4"/>
  <c r="H12" i="7"/>
  <c r="F138" i="4"/>
  <c r="AR175" i="4"/>
  <c r="F223" i="4"/>
  <c r="F185" i="4"/>
  <c r="G228" i="4"/>
  <c r="AR134" i="4"/>
  <c r="Y137" i="4"/>
  <c r="AR176" i="4"/>
  <c r="E361" i="4"/>
  <c r="AR173" i="4"/>
  <c r="H362" i="4"/>
  <c r="E69" i="4"/>
  <c r="X362" i="4"/>
  <c r="E263" i="4"/>
  <c r="V362" i="4"/>
  <c r="D70" i="4"/>
  <c r="F23" i="4"/>
  <c r="D262" i="4"/>
  <c r="AR317" i="4"/>
  <c r="F171" i="4"/>
  <c r="F133" i="4"/>
  <c r="D110" i="4"/>
  <c r="D261" i="4"/>
  <c r="D147" i="4"/>
  <c r="F259" i="4"/>
  <c r="V130" i="4"/>
  <c r="D170" i="4"/>
  <c r="F183" i="4"/>
  <c r="E317" i="4"/>
  <c r="F358" i="4"/>
  <c r="AR262" i="4"/>
  <c r="G341" i="4"/>
  <c r="N148" i="4"/>
  <c r="D107" i="4"/>
  <c r="E373" i="4"/>
  <c r="D223" i="4"/>
  <c r="F360" i="4"/>
  <c r="D66" i="4"/>
  <c r="D127" i="4"/>
  <c r="F145" i="4"/>
  <c r="AR144" i="4"/>
  <c r="H148" i="4"/>
  <c r="AT126" i="4"/>
  <c r="D273" i="4"/>
  <c r="E206" i="4"/>
  <c r="G148" i="4"/>
  <c r="Y126" i="4"/>
  <c r="E146" i="4"/>
  <c r="W146" i="4" s="1"/>
  <c r="E64" i="4"/>
  <c r="F313" i="4"/>
  <c r="AR126" i="4"/>
  <c r="Z146" i="4"/>
  <c r="F291" i="4"/>
  <c r="F93" i="4"/>
  <c r="E106" i="4"/>
  <c r="F372" i="4"/>
  <c r="AS64" i="4"/>
  <c r="V67" i="4"/>
  <c r="AR167" i="4"/>
  <c r="F251" i="4"/>
  <c r="F78" i="4"/>
  <c r="H22" i="4"/>
  <c r="AS255" i="4"/>
  <c r="E199" i="4"/>
  <c r="AR59" i="4"/>
  <c r="AQ104" i="4"/>
  <c r="AS314" i="4"/>
  <c r="N168" i="4"/>
  <c r="AR88" i="4"/>
  <c r="Z359" i="4"/>
  <c r="M104" i="4"/>
  <c r="AR21" i="4"/>
  <c r="AR60" i="4"/>
  <c r="AT260" i="4"/>
  <c r="E352" i="4"/>
  <c r="H255" i="4"/>
  <c r="F21" i="4"/>
  <c r="AR370" i="4"/>
  <c r="I259" i="4"/>
  <c r="AR253" i="4"/>
  <c r="E229" i="4"/>
  <c r="I229" i="4" s="1"/>
  <c r="AR111" i="4"/>
  <c r="E225" i="4"/>
  <c r="I227" i="4"/>
  <c r="N137" i="4"/>
  <c r="X113" i="4"/>
  <c r="AR363" i="4"/>
  <c r="W113" i="4"/>
  <c r="AQ111" i="4"/>
  <c r="F175" i="4"/>
  <c r="AS72" i="4"/>
  <c r="E222" i="4"/>
  <c r="AR343" i="4"/>
  <c r="I226" i="4"/>
  <c r="F134" i="4"/>
  <c r="G226" i="4"/>
  <c r="F343" i="4"/>
  <c r="F222" i="4"/>
  <c r="D131" i="4"/>
  <c r="AR220" i="4"/>
  <c r="D294" i="4"/>
  <c r="F70" i="4"/>
  <c r="I270" i="4"/>
  <c r="AR70" i="4"/>
  <c r="D25" i="4"/>
  <c r="D174" i="4"/>
  <c r="E274" i="4"/>
  <c r="AR261" i="4"/>
  <c r="F316" i="4"/>
  <c r="D274" i="4"/>
  <c r="D355" i="4"/>
  <c r="D204" i="4"/>
  <c r="AR218" i="4"/>
  <c r="AR66" i="4"/>
  <c r="AR68" i="4"/>
  <c r="E74" i="4"/>
  <c r="G263" i="4"/>
  <c r="D130" i="4"/>
  <c r="AR258" i="4"/>
  <c r="Y112" i="4"/>
  <c r="AQ316" i="4"/>
  <c r="E109" i="4"/>
  <c r="F262" i="4"/>
  <c r="D315" i="4"/>
  <c r="D363" i="4"/>
  <c r="D270" i="4"/>
  <c r="F318" i="4"/>
  <c r="E186" i="4"/>
  <c r="E296" i="4"/>
  <c r="N318" i="4"/>
  <c r="X137" i="4"/>
  <c r="AR228" i="4"/>
  <c r="AR135" i="4"/>
  <c r="W186" i="4"/>
  <c r="W111" i="4"/>
  <c r="G296" i="4"/>
  <c r="F82" i="4"/>
  <c r="Y222" i="4"/>
  <c r="F362" i="4"/>
  <c r="F225" i="4"/>
  <c r="E223" i="4"/>
  <c r="W137" i="4"/>
  <c r="M318" i="4"/>
  <c r="Z362" i="4"/>
  <c r="W270" i="4"/>
  <c r="F220" i="4"/>
  <c r="AR263" i="4"/>
  <c r="AT296" i="4"/>
  <c r="E70" i="4"/>
  <c r="E264" i="4"/>
  <c r="F204" i="4"/>
  <c r="D358" i="4"/>
  <c r="W225" i="4"/>
  <c r="E173" i="4"/>
  <c r="AR359" i="4"/>
  <c r="E261" i="4"/>
  <c r="H261" i="4" s="1"/>
  <c r="V225" i="4"/>
  <c r="M219" i="4"/>
  <c r="D341" i="4"/>
  <c r="F218" i="4"/>
  <c r="F66" i="4"/>
  <c r="E133" i="4"/>
  <c r="Y133" i="4" s="1"/>
  <c r="AS69" i="4"/>
  <c r="AR172" i="4"/>
  <c r="V203" i="4"/>
  <c r="AT112" i="4"/>
  <c r="F202" i="4"/>
  <c r="F258" i="4"/>
  <c r="AQ72" i="4"/>
  <c r="D357" i="4"/>
  <c r="E107" i="4"/>
  <c r="D258" i="4"/>
  <c r="X227" i="4"/>
  <c r="D225" i="4"/>
  <c r="H227" i="4"/>
  <c r="G362" i="4"/>
  <c r="AR361" i="4"/>
  <c r="AT186" i="4"/>
  <c r="I72" i="4"/>
  <c r="AT362" i="4"/>
  <c r="D356" i="4"/>
  <c r="E23" i="4"/>
  <c r="AR185" i="4"/>
  <c r="D316" i="4"/>
  <c r="F67" i="4"/>
  <c r="D259" i="4"/>
  <c r="D264" i="4"/>
  <c r="D176" i="4"/>
  <c r="F65" i="4"/>
  <c r="E360" i="4"/>
  <c r="H126" i="4"/>
  <c r="F103" i="4"/>
  <c r="AT261" i="4"/>
  <c r="Z203" i="4"/>
  <c r="AQ146" i="4"/>
  <c r="AT64" i="4"/>
  <c r="F169" i="4"/>
  <c r="W23" i="4"/>
  <c r="W373" i="4"/>
  <c r="Y146" i="4"/>
  <c r="Y106" i="4"/>
  <c r="D213" i="4"/>
  <c r="AT203" i="4"/>
  <c r="D105" i="4"/>
  <c r="F337" i="4"/>
  <c r="F214" i="4"/>
  <c r="E100" i="4"/>
  <c r="V100" i="4" s="1"/>
  <c r="AQ373" i="4"/>
  <c r="AR64" i="4"/>
  <c r="AS313" i="4"/>
  <c r="E214" i="4"/>
  <c r="E59" i="4"/>
  <c r="V59" i="4" s="1"/>
  <c r="F356" i="4"/>
  <c r="I155" i="4"/>
  <c r="I255" i="4"/>
  <c r="D214" i="4"/>
  <c r="AR335" i="4"/>
  <c r="Z261" i="4"/>
  <c r="H155" i="4"/>
  <c r="Y314" i="4"/>
  <c r="I110" i="4"/>
  <c r="V313" i="4"/>
  <c r="D165" i="4"/>
  <c r="D349" i="4"/>
  <c r="E108" i="4"/>
  <c r="D62" i="4"/>
  <c r="I199" i="4"/>
  <c r="Z59" i="4"/>
  <c r="E289" i="4"/>
  <c r="AR333" i="4"/>
  <c r="G110" i="4"/>
  <c r="M169" i="4"/>
  <c r="D61" i="4"/>
  <c r="E363" i="4"/>
  <c r="E138" i="4"/>
  <c r="F135" i="4"/>
  <c r="D113" i="4"/>
  <c r="AR268" i="4"/>
  <c r="Y111" i="4"/>
  <c r="Z225" i="4"/>
  <c r="AR221" i="4"/>
  <c r="AT111" i="4"/>
  <c r="M111" i="4"/>
  <c r="E343" i="4"/>
  <c r="AT343" i="4" s="1"/>
  <c r="D361" i="4"/>
  <c r="F342" i="4"/>
  <c r="AR217" i="4"/>
  <c r="D148" i="4"/>
  <c r="M220" i="4"/>
  <c r="D217" i="4"/>
  <c r="G69" i="4"/>
  <c r="V293" i="4"/>
  <c r="AT74" i="4"/>
  <c r="AT23" i="4"/>
  <c r="F373" i="4"/>
  <c r="Z263" i="4"/>
  <c r="AR355" i="4"/>
  <c r="E127" i="4"/>
  <c r="X341" i="4"/>
  <c r="D373" i="4"/>
  <c r="AR316" i="4"/>
  <c r="AR22" i="4"/>
  <c r="AT148" i="4"/>
  <c r="D256" i="4"/>
  <c r="M224" i="4"/>
  <c r="M107" i="4"/>
  <c r="E183" i="4"/>
  <c r="N316" i="4"/>
  <c r="AS261" i="4"/>
  <c r="N146" i="4"/>
  <c r="M64" i="4"/>
  <c r="D254" i="4"/>
  <c r="M146" i="4"/>
  <c r="W64" i="4"/>
  <c r="AS104" i="4"/>
  <c r="F167" i="4"/>
  <c r="F100" i="4"/>
  <c r="F260" i="4"/>
  <c r="V104" i="4"/>
  <c r="E216" i="4"/>
  <c r="M216" i="4" s="1"/>
  <c r="D197" i="4"/>
  <c r="AS22" i="4"/>
  <c r="Z255" i="4"/>
  <c r="V199" i="4"/>
  <c r="D100" i="4"/>
  <c r="I203" i="4"/>
  <c r="I273" i="4"/>
  <c r="F253" i="4"/>
  <c r="F200" i="4"/>
  <c r="F335" i="4"/>
  <c r="M373" i="4"/>
  <c r="H273" i="4"/>
  <c r="Y313" i="4"/>
  <c r="E200" i="4"/>
  <c r="F336" i="4"/>
  <c r="F123" i="4"/>
  <c r="AR58" i="4"/>
  <c r="AR286" i="4"/>
  <c r="AR260" i="4"/>
  <c r="E61" i="4"/>
  <c r="AR213" i="4"/>
  <c r="F333" i="4"/>
  <c r="D211" i="4"/>
  <c r="H260" i="4"/>
  <c r="I216" i="4"/>
  <c r="Z100" i="4"/>
  <c r="F350" i="4"/>
  <c r="D288" i="4"/>
  <c r="W360" i="4"/>
  <c r="AS168" i="4"/>
  <c r="D80" i="4"/>
  <c r="Y100" i="4"/>
  <c r="E350" i="4"/>
  <c r="AR369" i="4"/>
  <c r="D192" i="4"/>
  <c r="AR61" i="4"/>
  <c r="F212" i="4"/>
  <c r="I183" i="4"/>
  <c r="AR153" i="4"/>
  <c r="D283" i="4"/>
  <c r="D367" i="4"/>
  <c r="D365" i="4"/>
  <c r="D85" i="4"/>
  <c r="D281" i="4"/>
  <c r="D102" i="4"/>
  <c r="F164" i="4"/>
  <c r="F243" i="4"/>
  <c r="D36" i="4"/>
  <c r="E142" i="4"/>
  <c r="AR16" i="4"/>
  <c r="D104" i="4"/>
  <c r="F79" i="4"/>
  <c r="F270" i="4"/>
  <c r="D206" i="4"/>
  <c r="AR295" i="4"/>
  <c r="F228" i="4"/>
  <c r="AR138" i="4"/>
  <c r="D177" i="4"/>
  <c r="E342" i="4"/>
  <c r="D135" i="4"/>
  <c r="F137" i="4"/>
  <c r="AR222" i="4"/>
  <c r="E25" i="4"/>
  <c r="V296" i="4"/>
  <c r="E355" i="4"/>
  <c r="AR147" i="4"/>
  <c r="I25" i="4"/>
  <c r="V261" i="4"/>
  <c r="AQ295" i="4"/>
  <c r="E171" i="4"/>
  <c r="V23" i="4"/>
  <c r="F257" i="4"/>
  <c r="AS23" i="4"/>
  <c r="F355" i="4"/>
  <c r="F105" i="4"/>
  <c r="E184" i="4"/>
  <c r="V184" i="4" s="1"/>
  <c r="AR315" i="4"/>
  <c r="G131" i="4"/>
  <c r="E315" i="4"/>
  <c r="E154" i="4"/>
  <c r="AR340" i="4"/>
  <c r="F146" i="4"/>
  <c r="N174" i="4"/>
  <c r="Y260" i="4"/>
  <c r="AR146" i="4"/>
  <c r="F104" i="4"/>
  <c r="E294" i="4"/>
  <c r="G261" i="4"/>
  <c r="Z155" i="4"/>
  <c r="D64" i="4"/>
  <c r="AR93" i="4"/>
  <c r="E357" i="4"/>
  <c r="V126" i="4"/>
  <c r="AR372" i="4"/>
  <c r="D111" i="4"/>
  <c r="W104" i="4"/>
  <c r="D312" i="4"/>
  <c r="E197" i="4"/>
  <c r="X106" i="4"/>
  <c r="M257" i="4"/>
  <c r="AR291" i="4"/>
  <c r="D314" i="4"/>
  <c r="D351" i="4"/>
  <c r="AR123" i="4"/>
  <c r="M170" i="4"/>
  <c r="Y22" i="4"/>
  <c r="D199" i="4"/>
  <c r="AR334" i="4"/>
  <c r="N373" i="4"/>
  <c r="AQ64" i="4"/>
  <c r="D93" i="4"/>
  <c r="E88" i="4"/>
  <c r="E292" i="4"/>
  <c r="X255" i="4"/>
  <c r="V88" i="4"/>
  <c r="E335" i="4"/>
  <c r="AS260" i="4"/>
  <c r="V168" i="4"/>
  <c r="E79" i="4"/>
  <c r="N79" i="4" s="1"/>
  <c r="F58" i="4"/>
  <c r="E26" i="4"/>
  <c r="F296" i="4"/>
  <c r="E266" i="4"/>
  <c r="D269" i="4"/>
  <c r="Y138" i="4"/>
  <c r="D71" i="4"/>
  <c r="D185" i="4"/>
  <c r="D296" i="4"/>
  <c r="H266" i="4"/>
  <c r="AR206" i="4"/>
  <c r="X342" i="4"/>
  <c r="D69" i="4"/>
  <c r="AR177" i="4"/>
  <c r="E217" i="4"/>
  <c r="AT69" i="4"/>
  <c r="AR74" i="4"/>
  <c r="H263" i="4"/>
  <c r="E176" i="4"/>
  <c r="D146" i="4"/>
  <c r="Y274" i="4"/>
  <c r="E338" i="4"/>
  <c r="E358" i="4"/>
  <c r="I66" i="4"/>
  <c r="I111" i="4"/>
  <c r="V218" i="4"/>
  <c r="V127" i="4"/>
  <c r="AT274" i="4"/>
  <c r="G127" i="4"/>
  <c r="D337" i="4"/>
  <c r="I261" i="4"/>
  <c r="N273" i="4"/>
  <c r="F294" i="4"/>
  <c r="AS171" i="4"/>
  <c r="D22" i="4"/>
  <c r="AT359" i="4"/>
  <c r="X126" i="4"/>
  <c r="V273" i="4"/>
  <c r="Y183" i="4"/>
  <c r="E215" i="4"/>
  <c r="X215" i="4" s="1"/>
  <c r="AT355" i="4"/>
  <c r="Y155" i="4"/>
  <c r="N173" i="4"/>
  <c r="Y257" i="4"/>
  <c r="Z154" i="4"/>
  <c r="F199" i="4"/>
  <c r="D250" i="4"/>
  <c r="D129" i="4"/>
  <c r="AT22" i="4"/>
  <c r="N255" i="4"/>
  <c r="F252" i="4"/>
  <c r="AR154" i="4"/>
  <c r="F88" i="4"/>
  <c r="E123" i="4"/>
  <c r="G171" i="4"/>
  <c r="AR352" i="4"/>
  <c r="M168" i="4"/>
  <c r="AR342" i="4"/>
  <c r="AR63" i="4"/>
  <c r="F102" i="4"/>
  <c r="D334" i="4"/>
  <c r="N126" i="4"/>
  <c r="AR166" i="4"/>
  <c r="E194" i="4"/>
  <c r="E211" i="4"/>
  <c r="V255" i="4"/>
  <c r="AR197" i="4"/>
  <c r="AR311" i="4"/>
  <c r="F192" i="4"/>
  <c r="I146" i="4"/>
  <c r="Y215" i="4"/>
  <c r="AR229" i="4"/>
  <c r="D224" i="4"/>
  <c r="F268" i="4"/>
  <c r="N268" i="4"/>
  <c r="AR267" i="4"/>
  <c r="AR137" i="4"/>
  <c r="AR223" i="4"/>
  <c r="E135" i="4"/>
  <c r="W134" i="4"/>
  <c r="H342" i="4"/>
  <c r="E205" i="4"/>
  <c r="D266" i="4"/>
  <c r="D260" i="4"/>
  <c r="H69" i="4"/>
  <c r="F74" i="4"/>
  <c r="AR184" i="4"/>
  <c r="AR155" i="4"/>
  <c r="AT217" i="4"/>
  <c r="AR81" i="4"/>
  <c r="V109" i="4"/>
  <c r="N260" i="4"/>
  <c r="AR71" i="4"/>
  <c r="I148" i="4"/>
  <c r="I126" i="4"/>
  <c r="H274" i="4"/>
  <c r="F125" i="4"/>
  <c r="D253" i="4"/>
  <c r="Z260" i="4"/>
  <c r="E145" i="4"/>
  <c r="D360" i="4"/>
  <c r="AS126" i="4"/>
  <c r="AT145" i="4"/>
  <c r="AR62" i="4"/>
  <c r="H359" i="4"/>
  <c r="F126" i="4"/>
  <c r="AS145" i="4"/>
  <c r="D112" i="4"/>
  <c r="Z26" i="4"/>
  <c r="F227" i="4"/>
  <c r="F267" i="4"/>
  <c r="E267" i="4"/>
  <c r="N267" i="4" s="1"/>
  <c r="H138" i="4"/>
  <c r="E185" i="4"/>
  <c r="D132" i="4"/>
  <c r="Y342" i="4"/>
  <c r="F25" i="4"/>
  <c r="X185" i="4"/>
  <c r="E265" i="4"/>
  <c r="F221" i="4"/>
  <c r="AR293" i="4"/>
  <c r="Z23" i="4"/>
  <c r="AR226" i="4"/>
  <c r="D26" i="4"/>
  <c r="F219" i="4"/>
  <c r="E24" i="4"/>
  <c r="AS224" i="4"/>
  <c r="E68" i="4"/>
  <c r="V68" i="4" s="1"/>
  <c r="W133" i="4"/>
  <c r="Y221" i="4"/>
  <c r="AR256" i="4"/>
  <c r="E167" i="4"/>
  <c r="I359" i="4"/>
  <c r="AT339" i="4"/>
  <c r="AR169" i="4"/>
  <c r="AR129" i="4"/>
  <c r="AR65" i="4"/>
  <c r="AS183" i="4"/>
  <c r="E166" i="4"/>
  <c r="I166" i="4" s="1"/>
  <c r="N170" i="4"/>
  <c r="AR337" i="4"/>
  <c r="F59" i="4"/>
  <c r="N167" i="4"/>
  <c r="AT110" i="4"/>
  <c r="Y255" i="4"/>
  <c r="D59" i="4"/>
  <c r="I338" i="4"/>
  <c r="F215" i="4"/>
  <c r="H23" i="4"/>
  <c r="E249" i="4"/>
  <c r="G23" i="4"/>
  <c r="E144" i="4"/>
  <c r="E336" i="4"/>
  <c r="E58" i="4"/>
  <c r="AR192" i="4"/>
  <c r="Z103" i="4"/>
  <c r="AR371" i="4"/>
  <c r="AR92" i="4"/>
  <c r="F195" i="4"/>
  <c r="AR348" i="4"/>
  <c r="X104" i="4"/>
  <c r="I168" i="4"/>
  <c r="AR79" i="4"/>
  <c r="AR250" i="4"/>
  <c r="F248" i="4"/>
  <c r="AR380" i="4"/>
  <c r="I315" i="4"/>
  <c r="G255" i="4"/>
  <c r="V61" i="4"/>
  <c r="F166" i="4"/>
  <c r="E290" i="4"/>
  <c r="I194" i="4"/>
  <c r="E380" i="4"/>
  <c r="F285" i="4"/>
  <c r="V380" i="4"/>
  <c r="F99" i="4"/>
  <c r="D37" i="4"/>
  <c r="AR181" i="4"/>
  <c r="F91" i="4"/>
  <c r="E12" i="4"/>
  <c r="V12" i="4" s="1"/>
  <c r="Y289" i="4"/>
  <c r="E153" i="4"/>
  <c r="E309" i="4"/>
  <c r="F329" i="4"/>
  <c r="F16" i="4"/>
  <c r="AR51" i="4"/>
  <c r="D313" i="4"/>
  <c r="AR122" i="4"/>
  <c r="AT194" i="4"/>
  <c r="D153" i="4"/>
  <c r="F161" i="4"/>
  <c r="D242" i="4"/>
  <c r="E331" i="4"/>
  <c r="AR119" i="4"/>
  <c r="AQ61" i="4"/>
  <c r="F92" i="4"/>
  <c r="AS194" i="4"/>
  <c r="Z153" i="4"/>
  <c r="F56" i="4"/>
  <c r="D243" i="4"/>
  <c r="E17" i="4"/>
  <c r="AR300" i="4"/>
  <c r="AT253" i="4"/>
  <c r="E196" i="4"/>
  <c r="E180" i="4"/>
  <c r="F159" i="4"/>
  <c r="F98" i="4"/>
  <c r="D237" i="4"/>
  <c r="M61" i="4"/>
  <c r="G211" i="4"/>
  <c r="I123" i="4"/>
  <c r="F211" i="4"/>
  <c r="F55" i="4"/>
  <c r="D209" i="4"/>
  <c r="D255" i="4"/>
  <c r="D73" i="4"/>
  <c r="H338" i="4"/>
  <c r="H249" i="4"/>
  <c r="D380" i="4"/>
  <c r="AR163" i="4"/>
  <c r="F307" i="4"/>
  <c r="AS199" i="4"/>
  <c r="H153" i="4"/>
  <c r="E136" i="4"/>
  <c r="M113" i="4"/>
  <c r="I267" i="4"/>
  <c r="AR23" i="4"/>
  <c r="Z342" i="4"/>
  <c r="AR183" i="4"/>
  <c r="AS204" i="4"/>
  <c r="D219" i="4"/>
  <c r="D68" i="4"/>
  <c r="V264" i="4"/>
  <c r="N358" i="4"/>
  <c r="D216" i="4"/>
  <c r="AR338" i="4"/>
  <c r="AR72" i="4"/>
  <c r="V341" i="4"/>
  <c r="H154" i="4"/>
  <c r="AR78" i="4"/>
  <c r="X338" i="4"/>
  <c r="AT342" i="4"/>
  <c r="X154" i="4"/>
  <c r="E252" i="4"/>
  <c r="I125" i="4"/>
  <c r="AS215" i="4"/>
  <c r="X131" i="4"/>
  <c r="F63" i="4"/>
  <c r="AR80" i="4"/>
  <c r="AR124" i="4"/>
  <c r="H100" i="4"/>
  <c r="D164" i="4"/>
  <c r="H110" i="4"/>
  <c r="G167" i="4"/>
  <c r="G100" i="4"/>
  <c r="V194" i="4"/>
  <c r="E19" i="4"/>
  <c r="V289" i="4"/>
  <c r="E333" i="4"/>
  <c r="F348" i="4"/>
  <c r="V352" i="4"/>
  <c r="E21" i="4"/>
  <c r="V79" i="4"/>
  <c r="E250" i="4"/>
  <c r="E195" i="4"/>
  <c r="F380" i="4"/>
  <c r="AT125" i="4"/>
  <c r="G168" i="4"/>
  <c r="V336" i="4"/>
  <c r="V350" i="4"/>
  <c r="AR20" i="4"/>
  <c r="M79" i="4"/>
  <c r="D248" i="4"/>
  <c r="D163" i="4"/>
  <c r="AR242" i="4"/>
  <c r="F181" i="4"/>
  <c r="E381" i="4"/>
  <c r="AR96" i="4"/>
  <c r="W168" i="4"/>
  <c r="Z249" i="4"/>
  <c r="E99" i="4"/>
  <c r="D160" i="4"/>
  <c r="E328" i="4"/>
  <c r="V328" i="4" s="1"/>
  <c r="F51" i="4"/>
  <c r="X194" i="4"/>
  <c r="E332" i="4"/>
  <c r="Z99" i="4"/>
  <c r="E182" i="4"/>
  <c r="AT182" i="4" s="1"/>
  <c r="AR87" i="4"/>
  <c r="F119" i="4"/>
  <c r="D328" i="4"/>
  <c r="V290" i="4"/>
  <c r="H333" i="4"/>
  <c r="X332" i="4"/>
  <c r="M153" i="4"/>
  <c r="E161" i="4"/>
  <c r="V161" i="4" s="1"/>
  <c r="AR53" i="4"/>
  <c r="V331" i="4"/>
  <c r="F300" i="4"/>
  <c r="D16" i="4"/>
  <c r="Z144" i="4"/>
  <c r="D122" i="4"/>
  <c r="AR194" i="4"/>
  <c r="AS19" i="4"/>
  <c r="D161" i="4"/>
  <c r="AR379" i="4"/>
  <c r="E210" i="4"/>
  <c r="AT225" i="4"/>
  <c r="V186" i="4"/>
  <c r="I342" i="4"/>
  <c r="D265" i="4"/>
  <c r="I361" i="4"/>
  <c r="E82" i="4"/>
  <c r="I218" i="4"/>
  <c r="Z131" i="4"/>
  <c r="Z355" i="4"/>
  <c r="E340" i="4"/>
  <c r="X340" i="4" s="1"/>
  <c r="AR313" i="4"/>
  <c r="W145" i="4"/>
  <c r="AS131" i="4"/>
  <c r="E258" i="4"/>
  <c r="AR356" i="4"/>
  <c r="AT255" i="4"/>
  <c r="AT135" i="4"/>
  <c r="E372" i="4"/>
  <c r="V215" i="4"/>
  <c r="I172" i="4"/>
  <c r="F154" i="4"/>
  <c r="D251" i="4"/>
  <c r="AR201" i="4"/>
  <c r="G215" i="4"/>
  <c r="E356" i="4"/>
  <c r="AS356" i="4" s="1"/>
  <c r="V169" i="4"/>
  <c r="F80" i="4"/>
  <c r="D198" i="4"/>
  <c r="AR288" i="4"/>
  <c r="AQ292" i="4"/>
  <c r="H214" i="4"/>
  <c r="X197" i="4"/>
  <c r="D194" i="4"/>
  <c r="D99" i="4"/>
  <c r="D144" i="4"/>
  <c r="W79" i="4"/>
  <c r="D289" i="4"/>
  <c r="N262" i="4"/>
  <c r="Z214" i="4"/>
  <c r="G166" i="4"/>
  <c r="V333" i="4"/>
  <c r="E348" i="4"/>
  <c r="V348" i="4" s="1"/>
  <c r="E291" i="4"/>
  <c r="N215" i="4"/>
  <c r="AT100" i="4"/>
  <c r="D350" i="4"/>
  <c r="F20" i="4"/>
  <c r="D348" i="4"/>
  <c r="AS166" i="4"/>
  <c r="Y58" i="4"/>
  <c r="AT211" i="4"/>
  <c r="AR162" i="4"/>
  <c r="F242" i="4"/>
  <c r="X225" i="4"/>
  <c r="W268" i="4"/>
  <c r="H361" i="4"/>
  <c r="I69" i="4"/>
  <c r="F184" i="4"/>
  <c r="X133" i="4"/>
  <c r="AT147" i="4"/>
  <c r="M68" i="4"/>
  <c r="AS262" i="4"/>
  <c r="AT171" i="4"/>
  <c r="G126" i="4"/>
  <c r="E254" i="4"/>
  <c r="X24" i="4"/>
  <c r="D201" i="4"/>
  <c r="D108" i="4"/>
  <c r="AR102" i="4"/>
  <c r="N362" i="4"/>
  <c r="D167" i="4"/>
  <c r="D184" i="4"/>
  <c r="E337" i="4"/>
  <c r="AR101" i="4"/>
  <c r="AS257" i="4"/>
  <c r="Y167" i="4"/>
  <c r="W340" i="4"/>
  <c r="D169" i="4"/>
  <c r="E60" i="4"/>
  <c r="W216" i="4"/>
  <c r="AS197" i="4"/>
  <c r="F288" i="4"/>
  <c r="W155" i="4"/>
  <c r="F197" i="4"/>
  <c r="E288" i="4"/>
  <c r="V288" i="4" s="1"/>
  <c r="AS175" i="4"/>
  <c r="H166" i="4"/>
  <c r="AR350" i="4"/>
  <c r="AR287" i="4"/>
  <c r="F129" i="4"/>
  <c r="AT216" i="4"/>
  <c r="AR312" i="4"/>
  <c r="W336" i="4"/>
  <c r="AR290" i="4"/>
  <c r="D333" i="4"/>
  <c r="AR246" i="4"/>
  <c r="I103" i="4"/>
  <c r="V167" i="4"/>
  <c r="AT252" i="4"/>
  <c r="I249" i="4"/>
  <c r="E369" i="4"/>
  <c r="AR193" i="4"/>
  <c r="N352" i="4"/>
  <c r="M336" i="4"/>
  <c r="Z194" i="4"/>
  <c r="X211" i="4"/>
  <c r="F162" i="4"/>
  <c r="E307" i="4"/>
  <c r="AR142" i="4"/>
  <c r="F328" i="4"/>
  <c r="Y361" i="4"/>
  <c r="AT58" i="4"/>
  <c r="V229" i="4"/>
  <c r="AS225" i="4"/>
  <c r="F205" i="4"/>
  <c r="E354" i="4"/>
  <c r="V147" i="4"/>
  <c r="Z217" i="4"/>
  <c r="AS217" i="4"/>
  <c r="V66" i="4"/>
  <c r="G339" i="4"/>
  <c r="Z126" i="4"/>
  <c r="AR170" i="4"/>
  <c r="Y110" i="4"/>
  <c r="AT124" i="4"/>
  <c r="I264" i="4"/>
  <c r="Z338" i="4"/>
  <c r="G260" i="4"/>
  <c r="F168" i="4"/>
  <c r="M109" i="4"/>
  <c r="H124" i="4"/>
  <c r="AR214" i="4"/>
  <c r="W106" i="4"/>
  <c r="N314" i="4"/>
  <c r="F101" i="4"/>
  <c r="AT155" i="4"/>
  <c r="V214" i="4"/>
  <c r="H203" i="4"/>
  <c r="AQ314" i="4"/>
  <c r="D101" i="4"/>
  <c r="W314" i="4"/>
  <c r="Y197" i="4"/>
  <c r="E247" i="4"/>
  <c r="AQ124" i="4"/>
  <c r="AR351" i="4"/>
  <c r="D123" i="4"/>
  <c r="D247" i="4"/>
  <c r="W138" i="4"/>
  <c r="V111" i="4"/>
  <c r="Y185" i="4"/>
  <c r="W205" i="4"/>
  <c r="AR67" i="4"/>
  <c r="G355" i="4"/>
  <c r="N23" i="4"/>
  <c r="I74" i="4"/>
  <c r="V154" i="4"/>
  <c r="M183" i="4"/>
  <c r="V145" i="4"/>
  <c r="G315" i="4"/>
  <c r="F24" i="4"/>
  <c r="AR339" i="4"/>
  <c r="I214" i="4"/>
  <c r="W131" i="4"/>
  <c r="D249" i="4"/>
  <c r="D63" i="4"/>
  <c r="D286" i="4"/>
  <c r="Z253" i="4"/>
  <c r="N123" i="4"/>
  <c r="D310" i="4"/>
  <c r="G313" i="4"/>
  <c r="Z166" i="4"/>
  <c r="D195" i="4"/>
  <c r="AR285" i="4"/>
  <c r="AR73" i="4"/>
  <c r="AR99" i="4"/>
  <c r="D241" i="4"/>
  <c r="D14" i="4"/>
  <c r="F312" i="4"/>
  <c r="V369" i="4"/>
  <c r="F284" i="4"/>
  <c r="V307" i="4"/>
  <c r="D179" i="4"/>
  <c r="I127" i="4"/>
  <c r="AT197" i="4"/>
  <c r="I333" i="4"/>
  <c r="D246" i="4"/>
  <c r="D162" i="4"/>
  <c r="F87" i="4"/>
  <c r="F120" i="4"/>
  <c r="F90" i="4"/>
  <c r="E371" i="4"/>
  <c r="X249" i="4"/>
  <c r="Y99" i="4"/>
  <c r="AR121" i="4"/>
  <c r="AR210" i="4"/>
  <c r="E119" i="4"/>
  <c r="E34" i="4"/>
  <c r="E198" i="4"/>
  <c r="W332" i="4"/>
  <c r="X99" i="4"/>
  <c r="F379" i="4"/>
  <c r="E300" i="4"/>
  <c r="I381" i="4"/>
  <c r="E13" i="4"/>
  <c r="H59" i="4"/>
  <c r="I182" i="4"/>
  <c r="N154" i="4"/>
  <c r="E20" i="4"/>
  <c r="I153" i="4"/>
  <c r="AR244" i="4"/>
  <c r="H58" i="4"/>
  <c r="N332" i="4"/>
  <c r="AS309" i="4"/>
  <c r="E367" i="4"/>
  <c r="F281" i="4"/>
  <c r="E178" i="4"/>
  <c r="E7" i="4"/>
  <c r="E43" i="4"/>
  <c r="E277" i="4"/>
  <c r="E37" i="4"/>
  <c r="F365" i="4"/>
  <c r="H328" i="4"/>
  <c r="X12" i="4"/>
  <c r="AR325" i="4"/>
  <c r="F271" i="4"/>
  <c r="D43" i="4"/>
  <c r="E41" i="4"/>
  <c r="F94" i="4"/>
  <c r="AQ367" i="4"/>
  <c r="AT142" i="4"/>
  <c r="D52" i="4"/>
  <c r="E158" i="4"/>
  <c r="AR279" i="4"/>
  <c r="W250" i="4"/>
  <c r="F272" i="4"/>
  <c r="D118" i="4"/>
  <c r="F49" i="4"/>
  <c r="E278" i="4"/>
  <c r="AR42" i="4"/>
  <c r="D40" i="4"/>
  <c r="E230" i="4"/>
  <c r="AS142" i="4"/>
  <c r="Z328" i="4"/>
  <c r="AR47" i="4"/>
  <c r="F187" i="4"/>
  <c r="AR40" i="4"/>
  <c r="F230" i="4"/>
  <c r="U378" i="6"/>
  <c r="U313" i="6"/>
  <c r="U249" i="6"/>
  <c r="U184" i="6"/>
  <c r="U120" i="6"/>
  <c r="U56" i="6"/>
  <c r="D20" i="4"/>
  <c r="AT178" i="4"/>
  <c r="D187" i="4"/>
  <c r="E151" i="4"/>
  <c r="AR114" i="4"/>
  <c r="D275" i="4"/>
  <c r="U336" i="6"/>
  <c r="U272" i="6"/>
  <c r="U207" i="6"/>
  <c r="U143" i="6"/>
  <c r="U79" i="6"/>
  <c r="U14" i="6"/>
  <c r="D244" i="4"/>
  <c r="D378" i="4"/>
  <c r="G178" i="4"/>
  <c r="AR283" i="4"/>
  <c r="D35" i="4"/>
  <c r="Y13" i="4"/>
  <c r="E326" i="4"/>
  <c r="E324" i="4"/>
  <c r="E323" i="4"/>
  <c r="F298" i="4"/>
  <c r="I41" i="4"/>
  <c r="D9" i="4"/>
  <c r="F375" i="4"/>
  <c r="U325" i="6"/>
  <c r="U261" i="6"/>
  <c r="U196" i="6"/>
  <c r="U132" i="6"/>
  <c r="U68" i="6"/>
  <c r="AT381" i="4"/>
  <c r="D377" i="4"/>
  <c r="G43" i="4"/>
  <c r="D150" i="4"/>
  <c r="E320" i="4"/>
  <c r="U347" i="6"/>
  <c r="U244" i="6"/>
  <c r="U141" i="6"/>
  <c r="U38" i="6"/>
  <c r="Y169" i="2"/>
  <c r="W173" i="2"/>
  <c r="T88" i="2"/>
  <c r="X12" i="2"/>
  <c r="AA312" i="2"/>
  <c r="Y70" i="2"/>
  <c r="W16" i="2"/>
  <c r="T105" i="2"/>
  <c r="X47" i="2"/>
  <c r="AA29" i="2"/>
  <c r="Y259" i="2"/>
  <c r="W143" i="2"/>
  <c r="T256" i="2"/>
  <c r="X186" i="2"/>
  <c r="AA136" i="2"/>
  <c r="Y258" i="2"/>
  <c r="W183" i="2"/>
  <c r="T302" i="2"/>
  <c r="X121" i="2"/>
  <c r="AA264" i="2"/>
  <c r="Y295" i="2"/>
  <c r="W225" i="2"/>
  <c r="T257" i="2"/>
  <c r="X71" i="2"/>
  <c r="AA279" i="2"/>
  <c r="Y274" i="2"/>
  <c r="W180" i="2"/>
  <c r="T347" i="2"/>
  <c r="X212" i="2"/>
  <c r="AA206" i="2"/>
  <c r="Y210" i="2"/>
  <c r="W139" i="2"/>
  <c r="T329" i="2"/>
  <c r="X253" i="2"/>
  <c r="AA364" i="2"/>
  <c r="Y294" i="2"/>
  <c r="W135" i="2"/>
  <c r="T149" i="2"/>
  <c r="F172" i="4"/>
  <c r="I260" i="4"/>
  <c r="D154" i="4"/>
  <c r="E62" i="4"/>
  <c r="I62" i="4" s="1"/>
  <c r="Y339" i="4"/>
  <c r="Z125" i="4"/>
  <c r="X146" i="4"/>
  <c r="F352" i="4"/>
  <c r="H339" i="4"/>
  <c r="E312" i="4"/>
  <c r="H64" i="4"/>
  <c r="F311" i="4"/>
  <c r="W312" i="4"/>
  <c r="E311" i="4"/>
  <c r="AT311" i="4" s="1"/>
  <c r="D292" i="4"/>
  <c r="G199" i="4"/>
  <c r="F290" i="4"/>
  <c r="V360" i="4"/>
  <c r="D21" i="4"/>
  <c r="D370" i="4"/>
  <c r="D287" i="4"/>
  <c r="E102" i="4"/>
  <c r="F194" i="4"/>
  <c r="E272" i="4"/>
  <c r="V272" i="4" s="1"/>
  <c r="E179" i="4"/>
  <c r="AT179" i="4" s="1"/>
  <c r="AR190" i="4"/>
  <c r="Y166" i="4"/>
  <c r="AS288" i="4"/>
  <c r="E162" i="4"/>
  <c r="D307" i="4"/>
  <c r="AR329" i="4"/>
  <c r="D15" i="4"/>
  <c r="Z123" i="4"/>
  <c r="E164" i="4"/>
  <c r="V19" i="4"/>
  <c r="AR161" i="4"/>
  <c r="E18" i="4"/>
  <c r="E329" i="4"/>
  <c r="I329" i="4" s="1"/>
  <c r="E16" i="4"/>
  <c r="F213" i="4"/>
  <c r="I311" i="4"/>
  <c r="M99" i="4"/>
  <c r="F121" i="4"/>
  <c r="F210" i="4"/>
  <c r="W341" i="4"/>
  <c r="V123" i="4"/>
  <c r="W164" i="4"/>
  <c r="H211" i="4"/>
  <c r="E56" i="4"/>
  <c r="E53" i="4"/>
  <c r="AR209" i="4"/>
  <c r="V119" i="4"/>
  <c r="AR98" i="4"/>
  <c r="I12" i="4"/>
  <c r="E283" i="4"/>
  <c r="F255" i="4"/>
  <c r="E163" i="4"/>
  <c r="D143" i="4"/>
  <c r="AR86" i="4"/>
  <c r="V60" i="4"/>
  <c r="AT309" i="4"/>
  <c r="E365" i="4"/>
  <c r="X365" i="4" s="1"/>
  <c r="H194" i="4"/>
  <c r="AR55" i="4"/>
  <c r="F160" i="4"/>
  <c r="AT214" i="4"/>
  <c r="AR366" i="4"/>
  <c r="D97" i="4"/>
  <c r="D77" i="4"/>
  <c r="D46" i="4"/>
  <c r="D305" i="4"/>
  <c r="N197" i="4"/>
  <c r="G163" i="4"/>
  <c r="H18" i="4"/>
  <c r="F35" i="4"/>
  <c r="AR15" i="4"/>
  <c r="H12" i="4"/>
  <c r="F325" i="4"/>
  <c r="D234" i="4"/>
  <c r="E116" i="4"/>
  <c r="AS116" i="4" s="1"/>
  <c r="AR322" i="4"/>
  <c r="V277" i="4"/>
  <c r="E149" i="4"/>
  <c r="AR36" i="4"/>
  <c r="I142" i="4"/>
  <c r="N381" i="4"/>
  <c r="AR13" i="4"/>
  <c r="AR326" i="4"/>
  <c r="F279" i="4"/>
  <c r="D75" i="4"/>
  <c r="Y288" i="4"/>
  <c r="F206" i="4"/>
  <c r="I274" i="4"/>
  <c r="E105" i="4"/>
  <c r="D339" i="4"/>
  <c r="V103" i="4"/>
  <c r="Z22" i="4"/>
  <c r="D372" i="4"/>
  <c r="AR314" i="4"/>
  <c r="F254" i="4"/>
  <c r="F61" i="4"/>
  <c r="E63" i="4"/>
  <c r="AR310" i="4"/>
  <c r="H199" i="4"/>
  <c r="V58" i="4"/>
  <c r="W61" i="4"/>
  <c r="V311" i="4"/>
  <c r="Z148" i="4"/>
  <c r="AQ312" i="4"/>
  <c r="AQ250" i="4"/>
  <c r="I247" i="4"/>
  <c r="AT288" i="4"/>
  <c r="AR54" i="4"/>
  <c r="F142" i="4"/>
  <c r="F190" i="4"/>
  <c r="AS100" i="4"/>
  <c r="D272" i="4"/>
  <c r="AR18" i="4"/>
  <c r="D191" i="4"/>
  <c r="AR346" i="4"/>
  <c r="AT103" i="4"/>
  <c r="AT289" i="4"/>
  <c r="F57" i="4"/>
  <c r="I19" i="4"/>
  <c r="V309" i="4"/>
  <c r="V142" i="4"/>
  <c r="Z339" i="4"/>
  <c r="F198" i="4"/>
  <c r="E165" i="4"/>
  <c r="D332" i="4"/>
  <c r="E38" i="4"/>
  <c r="D331" i="4"/>
  <c r="D239" i="4"/>
  <c r="D353" i="4"/>
  <c r="E92" i="4"/>
  <c r="Y92" i="4" s="1"/>
  <c r="H288" i="4"/>
  <c r="I272" i="4"/>
  <c r="F209" i="4"/>
  <c r="D119" i="4"/>
  <c r="E208" i="4"/>
  <c r="AR364" i="4"/>
  <c r="AQ165" i="4"/>
  <c r="W153" i="4"/>
  <c r="F244" i="4"/>
  <c r="I88" i="4"/>
  <c r="AR332" i="4"/>
  <c r="AS272" i="4"/>
  <c r="N307" i="4"/>
  <c r="G179" i="4"/>
  <c r="AT166" i="4"/>
  <c r="W180" i="4"/>
  <c r="M250" i="4"/>
  <c r="D180" i="4"/>
  <c r="G162" i="4"/>
  <c r="I17" i="4"/>
  <c r="Y261" i="4"/>
  <c r="Z333" i="4"/>
  <c r="G272" i="4"/>
  <c r="E78" i="4"/>
  <c r="E366" i="4"/>
  <c r="X366" i="4" s="1"/>
  <c r="AR10" i="4"/>
  <c r="AR189" i="4"/>
  <c r="AR116" i="4"/>
  <c r="AR299" i="4"/>
  <c r="Z92" i="4"/>
  <c r="AT162" i="4"/>
  <c r="AQ366" i="4"/>
  <c r="E51" i="4"/>
  <c r="E280" i="4"/>
  <c r="AR306" i="4"/>
  <c r="F322" i="4"/>
  <c r="D277" i="4"/>
  <c r="D200" i="4"/>
  <c r="F36" i="4"/>
  <c r="E35" i="4"/>
  <c r="E98" i="4"/>
  <c r="F326" i="4"/>
  <c r="D189" i="4"/>
  <c r="E271" i="4"/>
  <c r="AR233" i="4"/>
  <c r="V180" i="4"/>
  <c r="I38" i="4"/>
  <c r="D330" i="4"/>
  <c r="Y328" i="4"/>
  <c r="F378" i="4"/>
  <c r="D117" i="4"/>
  <c r="F89" i="4"/>
  <c r="E304" i="4"/>
  <c r="AR232" i="4"/>
  <c r="AT123" i="4"/>
  <c r="AQ37" i="4"/>
  <c r="E282" i="4"/>
  <c r="F47" i="4"/>
  <c r="E279" i="4"/>
  <c r="Z277" i="4"/>
  <c r="E139" i="4"/>
  <c r="N139" i="4" s="1"/>
  <c r="U361" i="6"/>
  <c r="U297" i="6"/>
  <c r="U233" i="6"/>
  <c r="U168" i="6"/>
  <c r="U104" i="6"/>
  <c r="U40" i="6"/>
  <c r="I161" i="4"/>
  <c r="V35" i="4"/>
  <c r="E10" i="4"/>
  <c r="H178" i="4"/>
  <c r="Z7" i="4"/>
  <c r="AT43" i="4"/>
  <c r="AT41" i="4"/>
  <c r="AR276" i="4"/>
  <c r="F374" i="4"/>
  <c r="U320" i="6"/>
  <c r="U256" i="6"/>
  <c r="U191" i="6"/>
  <c r="U127" i="6"/>
  <c r="U63" i="6"/>
  <c r="N366" i="4"/>
  <c r="V208" i="4"/>
  <c r="X314" i="4"/>
  <c r="D325" i="4"/>
  <c r="D306" i="4"/>
  <c r="D156" i="4"/>
  <c r="AT151" i="4"/>
  <c r="F277" i="4"/>
  <c r="F31" i="4"/>
  <c r="AR29" i="4"/>
  <c r="U373" i="6"/>
  <c r="U309" i="6"/>
  <c r="U245" i="6"/>
  <c r="U180" i="6"/>
  <c r="U116" i="6"/>
  <c r="U52" i="6"/>
  <c r="N37" i="4"/>
  <c r="I323" i="4"/>
  <c r="G277" i="4"/>
  <c r="U322" i="6"/>
  <c r="U218" i="6"/>
  <c r="U115" i="6"/>
  <c r="U12" i="6"/>
  <c r="AA103" i="2"/>
  <c r="Y268" i="2"/>
  <c r="H72" i="4"/>
  <c r="AR357" i="4"/>
  <c r="I339" i="4"/>
  <c r="M145" i="4"/>
  <c r="H355" i="4"/>
  <c r="I124" i="4"/>
  <c r="AS154" i="4"/>
  <c r="E93" i="4"/>
  <c r="M314" i="4"/>
  <c r="X168" i="4"/>
  <c r="D92" i="4"/>
  <c r="V314" i="4"/>
  <c r="F310" i="4"/>
  <c r="X61" i="4"/>
  <c r="D58" i="4"/>
  <c r="H146" i="4"/>
  <c r="D311" i="4"/>
  <c r="V340" i="4"/>
  <c r="N312" i="4"/>
  <c r="AR180" i="4"/>
  <c r="G312" i="4"/>
  <c r="F54" i="4"/>
  <c r="E191" i="4"/>
  <c r="F96" i="4"/>
  <c r="E334" i="4"/>
  <c r="E349" i="4"/>
  <c r="AR182" i="4"/>
  <c r="F18" i="4"/>
  <c r="AR239" i="4"/>
  <c r="F346" i="4"/>
  <c r="Z216" i="4"/>
  <c r="I350" i="4"/>
  <c r="AS247" i="4"/>
  <c r="N153" i="4"/>
  <c r="D54" i="4"/>
  <c r="D309" i="4"/>
  <c r="D142" i="4"/>
  <c r="E353" i="4"/>
  <c r="X123" i="4"/>
  <c r="F196" i="4"/>
  <c r="N211" i="4"/>
  <c r="AR330" i="4"/>
  <c r="AR238" i="4"/>
  <c r="AT337" i="4"/>
  <c r="F73" i="4"/>
  <c r="AR245" i="4"/>
  <c r="D87" i="4"/>
  <c r="E330" i="4"/>
  <c r="AR118" i="4"/>
  <c r="V34" i="4"/>
  <c r="F364" i="4"/>
  <c r="X196" i="4"/>
  <c r="AT99" i="4"/>
  <c r="AR19" i="4"/>
  <c r="H182" i="4"/>
  <c r="E159" i="4"/>
  <c r="V159" i="4" s="1"/>
  <c r="AT329" i="4"/>
  <c r="V335" i="4"/>
  <c r="AQ349" i="4"/>
  <c r="H289" i="4"/>
  <c r="V332" i="4"/>
  <c r="H272" i="4"/>
  <c r="D53" i="4"/>
  <c r="F338" i="4"/>
  <c r="M164" i="4"/>
  <c r="M283" i="4"/>
  <c r="I331" i="4"/>
  <c r="AR165" i="4"/>
  <c r="F37" i="4"/>
  <c r="E132" i="4"/>
  <c r="M134" i="4"/>
  <c r="Z293" i="4"/>
  <c r="F144" i="4"/>
  <c r="N355" i="4"/>
  <c r="AR251" i="4"/>
  <c r="V166" i="4"/>
  <c r="AS342" i="4"/>
  <c r="E101" i="4"/>
  <c r="F370" i="4"/>
  <c r="F286" i="4"/>
  <c r="N166" i="4"/>
  <c r="V105" i="4"/>
  <c r="AR198" i="4"/>
  <c r="E310" i="4"/>
  <c r="G314" i="4"/>
  <c r="D335" i="4"/>
  <c r="E287" i="4"/>
  <c r="AS216" i="4"/>
  <c r="E248" i="4"/>
  <c r="E246" i="4"/>
  <c r="D78" i="4"/>
  <c r="Y19" i="4"/>
  <c r="F309" i="4"/>
  <c r="AR328" i="4"/>
  <c r="V63" i="4"/>
  <c r="I195" i="4"/>
  <c r="F246" i="4"/>
  <c r="AR243" i="4"/>
  <c r="E181" i="4"/>
  <c r="V381" i="4"/>
  <c r="E96" i="4"/>
  <c r="F371" i="4"/>
  <c r="V248" i="4"/>
  <c r="AR211" i="4"/>
  <c r="E284" i="4"/>
  <c r="E243" i="4"/>
  <c r="D181" i="4"/>
  <c r="D91" i="4"/>
  <c r="Y216" i="4"/>
  <c r="AS289" i="4"/>
  <c r="E57" i="4"/>
  <c r="AT19" i="4"/>
  <c r="V182" i="4"/>
  <c r="V18" i="4"/>
  <c r="V329" i="4"/>
  <c r="AR208" i="4"/>
  <c r="AQ336" i="4"/>
  <c r="X165" i="4"/>
  <c r="AR349" i="4"/>
  <c r="AR368" i="4"/>
  <c r="V38" i="4"/>
  <c r="V17" i="4"/>
  <c r="AR240" i="4"/>
  <c r="AR282" i="4"/>
  <c r="I23" i="4"/>
  <c r="F247" i="4"/>
  <c r="AT272" i="4"/>
  <c r="AR307" i="4"/>
  <c r="W165" i="4"/>
  <c r="AS99" i="4"/>
  <c r="E244" i="4"/>
  <c r="G309" i="4"/>
  <c r="I154" i="4"/>
  <c r="D212" i="4"/>
  <c r="AT167" i="4"/>
  <c r="N194" i="4"/>
  <c r="Y246" i="4"/>
  <c r="N283" i="4"/>
  <c r="AS181" i="4"/>
  <c r="I100" i="4"/>
  <c r="N349" i="4"/>
  <c r="AQ163" i="4"/>
  <c r="AQ244" i="4"/>
  <c r="F367" i="4"/>
  <c r="AS179" i="4"/>
  <c r="D56" i="4"/>
  <c r="M159" i="4"/>
  <c r="AS365" i="4"/>
  <c r="H16" i="4"/>
  <c r="AR378" i="4"/>
  <c r="AR280" i="4"/>
  <c r="AR376" i="4"/>
  <c r="AR75" i="4"/>
  <c r="AR41" i="4"/>
  <c r="AR301" i="4"/>
  <c r="Y181" i="4"/>
  <c r="E52" i="4"/>
  <c r="N13" i="4"/>
  <c r="F158" i="4"/>
  <c r="D7" i="4"/>
  <c r="E75" i="4"/>
  <c r="V75" i="4" s="1"/>
  <c r="AR151" i="4"/>
  <c r="D276" i="4"/>
  <c r="Y211" i="4"/>
  <c r="H307" i="4"/>
  <c r="Z179" i="4"/>
  <c r="N34" i="4"/>
  <c r="AR117" i="4"/>
  <c r="F323" i="4"/>
  <c r="D299" i="4"/>
  <c r="D285" i="4"/>
  <c r="Y367" i="4"/>
  <c r="W35" i="4"/>
  <c r="G381" i="4"/>
  <c r="M51" i="4"/>
  <c r="E84" i="4"/>
  <c r="AR157" i="4"/>
  <c r="D233" i="4"/>
  <c r="F321" i="4"/>
  <c r="AR150" i="4"/>
  <c r="AS163" i="4"/>
  <c r="H381" i="4"/>
  <c r="N84" i="4"/>
  <c r="AR187" i="4"/>
  <c r="Z220" i="4"/>
  <c r="Y262" i="4"/>
  <c r="D166" i="4"/>
  <c r="I197" i="4"/>
  <c r="E286" i="4"/>
  <c r="V286" i="4"/>
  <c r="F369" i="4"/>
  <c r="Z289" i="4"/>
  <c r="AR91" i="4"/>
  <c r="F332" i="4"/>
  <c r="V179" i="4"/>
  <c r="F351" i="4"/>
  <c r="N99" i="4"/>
  <c r="AR120" i="4"/>
  <c r="F122" i="4"/>
  <c r="D284" i="4"/>
  <c r="D329" i="4"/>
  <c r="H311" i="4"/>
  <c r="F245" i="4"/>
  <c r="F240" i="4"/>
  <c r="D10" i="4"/>
  <c r="H243" i="4"/>
  <c r="H99" i="4"/>
  <c r="Y142" i="4"/>
  <c r="Z311" i="4"/>
  <c r="X21" i="4"/>
  <c r="D121" i="4"/>
  <c r="H329" i="4"/>
  <c r="D240" i="4"/>
  <c r="D33" i="4"/>
  <c r="D141" i="4"/>
  <c r="AR11" i="4"/>
  <c r="V7" i="4"/>
  <c r="D95" i="4"/>
  <c r="H247" i="4"/>
  <c r="G328" i="4"/>
  <c r="D280" i="4"/>
  <c r="AR323" i="4"/>
  <c r="Z329" i="4"/>
  <c r="D208" i="4"/>
  <c r="AT51" i="4"/>
  <c r="I178" i="4"/>
  <c r="F157" i="4"/>
  <c r="D30" i="4"/>
  <c r="AT331" i="4"/>
  <c r="AR83" i="4"/>
  <c r="N304" i="4"/>
  <c r="U369" i="6"/>
  <c r="U281" i="6"/>
  <c r="U200" i="6"/>
  <c r="U112" i="6"/>
  <c r="U23" i="6"/>
  <c r="V366" i="4"/>
  <c r="E49" i="4"/>
  <c r="V49" i="4" s="1"/>
  <c r="I75" i="4"/>
  <c r="Y277" i="4"/>
  <c r="V149" i="4"/>
  <c r="AR374" i="4"/>
  <c r="U304" i="6"/>
  <c r="U223" i="6"/>
  <c r="U135" i="6"/>
  <c r="U47" i="6"/>
  <c r="I162" i="4"/>
  <c r="AQ98" i="4"/>
  <c r="AS178" i="4"/>
  <c r="D379" i="4"/>
  <c r="F327" i="4"/>
  <c r="Z96" i="4"/>
  <c r="AR31" i="4"/>
  <c r="E319" i="4"/>
  <c r="U341" i="6"/>
  <c r="U253" i="6"/>
  <c r="U164" i="6"/>
  <c r="U84" i="6"/>
  <c r="Z182" i="4"/>
  <c r="X178" i="4"/>
  <c r="I116" i="4"/>
  <c r="F345" i="4"/>
  <c r="E28" i="4"/>
  <c r="U295" i="6"/>
  <c r="U166" i="6"/>
  <c r="U25" i="6"/>
  <c r="X38" i="2"/>
  <c r="X124" i="2"/>
  <c r="R15" i="2"/>
  <c r="R312" i="2"/>
  <c r="AA314" i="2"/>
  <c r="AD229" i="2"/>
  <c r="Y51" i="2"/>
  <c r="AB273" i="2"/>
  <c r="W79" i="2"/>
  <c r="Z298" i="2"/>
  <c r="Z360" i="2"/>
  <c r="T266" i="2"/>
  <c r="AC185" i="2"/>
  <c r="X54" i="2"/>
  <c r="R14" i="2"/>
  <c r="AA154" i="2"/>
  <c r="AD265" i="2"/>
  <c r="AD58" i="2"/>
  <c r="Y44" i="2"/>
  <c r="AB249" i="2"/>
  <c r="W195" i="2"/>
  <c r="Z357" i="2"/>
  <c r="T64" i="2"/>
  <c r="AC347" i="2"/>
  <c r="AC75" i="2"/>
  <c r="X254" i="2"/>
  <c r="R287" i="2"/>
  <c r="AA320" i="2"/>
  <c r="AD57" i="2"/>
  <c r="Y69" i="2"/>
  <c r="AB171" i="2"/>
  <c r="AB112" i="2"/>
  <c r="W55" i="2"/>
  <c r="T129" i="2"/>
  <c r="X331" i="2"/>
  <c r="AA163" i="2"/>
  <c r="Y65" i="2"/>
  <c r="W343" i="2"/>
  <c r="T230" i="2"/>
  <c r="X131" i="2"/>
  <c r="AA102" i="2"/>
  <c r="Y178" i="2"/>
  <c r="W155" i="2"/>
  <c r="T35" i="2"/>
  <c r="X307" i="2"/>
  <c r="AA96" i="2"/>
  <c r="Y377" i="2"/>
  <c r="W366" i="2"/>
  <c r="T153" i="2"/>
  <c r="X306" i="2"/>
  <c r="AA37" i="2"/>
  <c r="Y375" i="2"/>
  <c r="W30" i="2"/>
  <c r="I289" i="4"/>
  <c r="AQ52" i="4"/>
  <c r="V278" i="4"/>
  <c r="H293" i="4"/>
  <c r="AR107" i="4"/>
  <c r="D168" i="4"/>
  <c r="E122" i="4"/>
  <c r="N274" i="4"/>
  <c r="I145" i="4"/>
  <c r="V310" i="4"/>
  <c r="AR212" i="4"/>
  <c r="F349" i="4"/>
  <c r="E15" i="4"/>
  <c r="F301" i="4"/>
  <c r="F239" i="4"/>
  <c r="X166" i="4"/>
  <c r="AR284" i="4"/>
  <c r="E239" i="4"/>
  <c r="AT249" i="4"/>
  <c r="AR56" i="4"/>
  <c r="F238" i="4"/>
  <c r="I58" i="4"/>
  <c r="E121" i="4"/>
  <c r="F118" i="4"/>
  <c r="G273" i="4"/>
  <c r="E143" i="4"/>
  <c r="X283" i="4"/>
  <c r="M312" i="4"/>
  <c r="Z58" i="4"/>
  <c r="G289" i="4"/>
  <c r="M349" i="4"/>
  <c r="G365" i="4"/>
  <c r="Y12" i="4"/>
  <c r="F376" i="4"/>
  <c r="F41" i="4"/>
  <c r="I243" i="4"/>
  <c r="AR381" i="4"/>
  <c r="D50" i="4"/>
  <c r="AR271" i="4"/>
  <c r="F151" i="4"/>
  <c r="H284" i="4"/>
  <c r="AQ365" i="4"/>
  <c r="F117" i="4"/>
  <c r="E156" i="4"/>
  <c r="Y162" i="4"/>
  <c r="G142" i="4"/>
  <c r="E327" i="4"/>
  <c r="V327" i="4" s="1"/>
  <c r="AR281" i="4"/>
  <c r="AR236" i="4"/>
  <c r="D323" i="4"/>
  <c r="AR321" i="4"/>
  <c r="N249" i="4"/>
  <c r="I181" i="4"/>
  <c r="F83" i="4"/>
  <c r="AR230" i="4"/>
  <c r="U353" i="6"/>
  <c r="U273" i="6"/>
  <c r="U192" i="6"/>
  <c r="U96" i="6"/>
  <c r="U15" i="6"/>
  <c r="G13" i="4"/>
  <c r="D83" i="4"/>
  <c r="Z43" i="4"/>
  <c r="I149" i="4"/>
  <c r="U377" i="6"/>
  <c r="U296" i="6"/>
  <c r="U215" i="6"/>
  <c r="U119" i="6"/>
  <c r="U39" i="6"/>
  <c r="AR272" i="4"/>
  <c r="X34" i="4"/>
  <c r="Y178" i="4"/>
  <c r="G307" i="4"/>
  <c r="W282" i="4"/>
  <c r="W10" i="4"/>
  <c r="AR304" i="4"/>
  <c r="Y41" i="4"/>
  <c r="X230" i="4"/>
  <c r="D27" i="4"/>
  <c r="U333" i="6"/>
  <c r="U237" i="6"/>
  <c r="U156" i="6"/>
  <c r="U76" i="6"/>
  <c r="D210" i="4"/>
  <c r="W51" i="4"/>
  <c r="V84" i="4"/>
  <c r="AR344" i="4"/>
  <c r="U283" i="6"/>
  <c r="U154" i="6"/>
  <c r="AC334" i="2"/>
  <c r="AC240" i="2"/>
  <c r="AC88" i="2"/>
  <c r="AC60" i="2"/>
  <c r="X187" i="2"/>
  <c r="R314" i="2"/>
  <c r="AA126" i="2"/>
  <c r="AD177" i="2"/>
  <c r="Y140" i="2"/>
  <c r="AB53" i="2"/>
  <c r="AB98" i="2"/>
  <c r="W85" i="2"/>
  <c r="Z113" i="2"/>
  <c r="T185" i="2"/>
  <c r="AC380" i="2"/>
  <c r="X13" i="2"/>
  <c r="R154" i="2"/>
  <c r="R264" i="2"/>
  <c r="AA204" i="2"/>
  <c r="AD218" i="2"/>
  <c r="Y356" i="2"/>
  <c r="AB381" i="2"/>
  <c r="W125" i="2"/>
  <c r="Z351" i="2"/>
  <c r="Z39" i="2"/>
  <c r="T75" i="2"/>
  <c r="AC146" i="2"/>
  <c r="X278" i="2"/>
  <c r="R320" i="2"/>
  <c r="AA251" i="2"/>
  <c r="AD199" i="2"/>
  <c r="AD367" i="2"/>
  <c r="Y56" i="2"/>
  <c r="AB345" i="2"/>
  <c r="Z213" i="2"/>
  <c r="AC66" i="2"/>
  <c r="R163" i="2"/>
  <c r="AD92" i="2"/>
  <c r="AB315" i="2"/>
  <c r="Z197" i="2"/>
  <c r="AC119" i="2"/>
  <c r="R102" i="2"/>
  <c r="AD353" i="2"/>
  <c r="AB27" i="2"/>
  <c r="Z134" i="2"/>
  <c r="AC32" i="2"/>
  <c r="R96" i="2"/>
  <c r="AD117" i="2"/>
  <c r="AB336" i="2"/>
  <c r="Z352" i="2"/>
  <c r="AC7" i="2"/>
  <c r="R37" i="2"/>
  <c r="AD81" i="2"/>
  <c r="AB281" i="2"/>
  <c r="G288" i="4"/>
  <c r="Z381" i="4"/>
  <c r="V96" i="4"/>
  <c r="F77" i="4"/>
  <c r="H116" i="4"/>
  <c r="AR305" i="4"/>
  <c r="N319" i="4"/>
  <c r="U346" i="6"/>
  <c r="U243" i="6"/>
  <c r="U139" i="6"/>
  <c r="U37" i="6"/>
  <c r="E256" i="4"/>
  <c r="AR145" i="4"/>
  <c r="I215" i="4"/>
  <c r="AR289" i="4"/>
  <c r="AT183" i="4"/>
  <c r="H216" i="4"/>
  <c r="M262" i="4"/>
  <c r="V195" i="4"/>
  <c r="G246" i="4"/>
  <c r="Y148" i="4"/>
  <c r="X19" i="4"/>
  <c r="E91" i="4"/>
  <c r="Y249" i="4"/>
  <c r="V162" i="4"/>
  <c r="V91" i="4"/>
  <c r="X164" i="4"/>
  <c r="D182" i="4"/>
  <c r="E90" i="4"/>
  <c r="D57" i="4"/>
  <c r="D38" i="4"/>
  <c r="E238" i="4"/>
  <c r="AR164" i="4"/>
  <c r="AQ145" i="4"/>
  <c r="Z197" i="4"/>
  <c r="AT333" i="4"/>
  <c r="AQ143" i="4"/>
  <c r="Z288" i="4"/>
  <c r="N244" i="4"/>
  <c r="M163" i="4"/>
  <c r="E347" i="4"/>
  <c r="N347" i="4" s="1"/>
  <c r="AR377" i="4"/>
  <c r="F116" i="4"/>
  <c r="N165" i="4"/>
  <c r="D366" i="4"/>
  <c r="F15" i="4"/>
  <c r="V178" i="4"/>
  <c r="D152" i="4"/>
  <c r="AR39" i="4"/>
  <c r="E379" i="4"/>
  <c r="AR191" i="4"/>
  <c r="G12" i="4"/>
  <c r="AR324" i="4"/>
  <c r="F233" i="4"/>
  <c r="AQ379" i="4"/>
  <c r="H191" i="4"/>
  <c r="D282" i="4"/>
  <c r="F236" i="4"/>
  <c r="AR308" i="4"/>
  <c r="E303" i="4"/>
  <c r="G194" i="4"/>
  <c r="X35" i="4"/>
  <c r="F12" i="4"/>
  <c r="V271" i="4"/>
  <c r="F141" i="4"/>
  <c r="X149" i="4"/>
  <c r="U345" i="6"/>
  <c r="U265" i="6"/>
  <c r="U176" i="6"/>
  <c r="U88" i="6"/>
  <c r="U7" i="6"/>
  <c r="W365" i="4"/>
  <c r="E378" i="4"/>
  <c r="W378" i="4" s="1"/>
  <c r="D47" i="4"/>
  <c r="AT7" i="4"/>
  <c r="H43" i="4"/>
  <c r="D139" i="4"/>
  <c r="U368" i="6"/>
  <c r="U288" i="6"/>
  <c r="U199" i="6"/>
  <c r="U111" i="6"/>
  <c r="U30" i="6"/>
  <c r="G96" i="4"/>
  <c r="AR77" i="4"/>
  <c r="Z309" i="4"/>
  <c r="AR14" i="4"/>
  <c r="M279" i="4"/>
  <c r="X304" i="4"/>
  <c r="F40" i="4"/>
  <c r="AR149" i="4"/>
  <c r="U317" i="6"/>
  <c r="U229" i="6"/>
  <c r="U148" i="6"/>
  <c r="U60" i="6"/>
  <c r="AR179" i="4"/>
  <c r="D308" i="4"/>
  <c r="U270" i="6"/>
  <c r="U129" i="6"/>
  <c r="T334" i="2"/>
  <c r="T240" i="2"/>
  <c r="Z330" i="2"/>
  <c r="T60" i="2"/>
  <c r="AC115" i="2"/>
  <c r="X239" i="2"/>
  <c r="R126" i="2"/>
  <c r="AA107" i="2"/>
  <c r="AD108" i="2"/>
  <c r="AD165" i="2"/>
  <c r="Y151" i="2"/>
  <c r="AB198" i="2"/>
  <c r="W227" i="2"/>
  <c r="Z297" i="2"/>
  <c r="T380" i="2"/>
  <c r="AC302" i="2"/>
  <c r="AC376" i="2"/>
  <c r="X340" i="2"/>
  <c r="R204" i="2"/>
  <c r="AA76" i="2"/>
  <c r="AD231" i="2"/>
  <c r="Y263" i="2"/>
  <c r="AB349" i="2"/>
  <c r="AB371" i="2"/>
  <c r="W99" i="2"/>
  <c r="Z61" i="2"/>
  <c r="T146" i="2"/>
  <c r="AC289" i="2"/>
  <c r="X348" i="2"/>
  <c r="R251" i="2"/>
  <c r="R364" i="2"/>
  <c r="AA23" i="2"/>
  <c r="AD262" i="2"/>
  <c r="Y379" i="2"/>
  <c r="W301" i="2"/>
  <c r="T66" i="2"/>
  <c r="X202" i="2"/>
  <c r="AA275" i="2"/>
  <c r="Y132" i="2"/>
  <c r="W235" i="2"/>
  <c r="T119" i="2"/>
  <c r="X123" i="2"/>
  <c r="AA321" i="2"/>
  <c r="Y359" i="2"/>
  <c r="W292" i="2"/>
  <c r="T32" i="2"/>
  <c r="X11" i="2"/>
  <c r="AA370" i="2"/>
  <c r="E81" i="4"/>
  <c r="E351" i="4"/>
  <c r="Y131" i="4"/>
  <c r="F289" i="4"/>
  <c r="E80" i="4"/>
  <c r="I313" i="4"/>
  <c r="H337" i="4"/>
  <c r="F180" i="4"/>
  <c r="F153" i="4"/>
  <c r="I104" i="4"/>
  <c r="F182" i="4"/>
  <c r="D381" i="4"/>
  <c r="F165" i="4"/>
  <c r="AR38" i="4"/>
  <c r="AR90" i="4"/>
  <c r="I288" i="4"/>
  <c r="F53" i="4"/>
  <c r="F208" i="4"/>
  <c r="N247" i="4"/>
  <c r="I307" i="4"/>
  <c r="D90" i="4"/>
  <c r="AR57" i="4"/>
  <c r="E73" i="4"/>
  <c r="AR160" i="4"/>
  <c r="H123" i="4"/>
  <c r="I348" i="4"/>
  <c r="Z307" i="4"/>
  <c r="AT310" i="4"/>
  <c r="Y307" i="4"/>
  <c r="Z272" i="4"/>
  <c r="F52" i="4"/>
  <c r="E50" i="4"/>
  <c r="E152" i="4"/>
  <c r="G349" i="4"/>
  <c r="D346" i="4"/>
  <c r="D178" i="4"/>
  <c r="AR156" i="4"/>
  <c r="F39" i="4"/>
  <c r="AR37" i="4"/>
  <c r="AS347" i="4"/>
  <c r="E364" i="4"/>
  <c r="AQ364" i="4" s="1"/>
  <c r="F324" i="4"/>
  <c r="E322" i="4"/>
  <c r="V322" i="4" s="1"/>
  <c r="V53" i="4"/>
  <c r="AQ347" i="4"/>
  <c r="I96" i="4"/>
  <c r="D324" i="4"/>
  <c r="F308" i="4"/>
  <c r="I277" i="4"/>
  <c r="G247" i="4"/>
  <c r="E118" i="4"/>
  <c r="D271" i="4"/>
  <c r="D303" i="4"/>
  <c r="E302" i="4"/>
  <c r="V302" i="4" s="1"/>
  <c r="U337" i="6"/>
  <c r="U257" i="6"/>
  <c r="U160" i="6"/>
  <c r="U80" i="6"/>
  <c r="Z351" i="4"/>
  <c r="G191" i="4"/>
  <c r="AS364" i="4"/>
  <c r="I280" i="4"/>
  <c r="H7" i="4"/>
  <c r="AR298" i="4"/>
  <c r="D302" i="4"/>
  <c r="U360" i="6"/>
  <c r="U280" i="6"/>
  <c r="U183" i="6"/>
  <c r="U103" i="6"/>
  <c r="U22" i="6"/>
  <c r="E377" i="4"/>
  <c r="D369" i="4"/>
  <c r="AR278" i="4"/>
  <c r="F304" i="4"/>
  <c r="D232" i="4"/>
  <c r="F149" i="4"/>
  <c r="AR375" i="4"/>
  <c r="U301" i="6"/>
  <c r="U220" i="6"/>
  <c r="U140" i="6"/>
  <c r="U44" i="6"/>
  <c r="N365" i="4"/>
  <c r="AS377" i="4"/>
  <c r="E45" i="4"/>
  <c r="U258" i="6"/>
  <c r="U102" i="6"/>
  <c r="Z87" i="2"/>
  <c r="Z160" i="2"/>
  <c r="W252" i="2"/>
  <c r="Z168" i="2"/>
  <c r="T115" i="2"/>
  <c r="AC203" i="2"/>
  <c r="X373" i="2"/>
  <c r="R107" i="2"/>
  <c r="R29" i="2"/>
  <c r="AA150" i="2"/>
  <c r="AD50" i="2"/>
  <c r="Y246" i="2"/>
  <c r="AB95" i="2"/>
  <c r="W176" i="2"/>
  <c r="Z335" i="2"/>
  <c r="Z182" i="2"/>
  <c r="T376" i="2"/>
  <c r="AC339" i="2"/>
  <c r="X338" i="2"/>
  <c r="R76" i="2"/>
  <c r="AA324" i="2"/>
  <c r="AD106" i="2"/>
  <c r="AD114" i="2"/>
  <c r="Y267" i="2"/>
  <c r="AB362" i="2"/>
  <c r="W147" i="2"/>
  <c r="Z211" i="2"/>
  <c r="T289" i="2"/>
  <c r="E65" i="4"/>
  <c r="D371" i="4"/>
  <c r="D252" i="4"/>
  <c r="AT175" i="4"/>
  <c r="D336" i="4"/>
  <c r="F314" i="4"/>
  <c r="F193" i="4"/>
  <c r="E160" i="4"/>
  <c r="D352" i="4"/>
  <c r="E54" i="4"/>
  <c r="E190" i="4"/>
  <c r="AS58" i="4"/>
  <c r="F38" i="4"/>
  <c r="V62" i="4"/>
  <c r="AR247" i="4"/>
  <c r="E87" i="4"/>
  <c r="Z21" i="4"/>
  <c r="G286" i="4"/>
  <c r="AR159" i="4"/>
  <c r="D34" i="4"/>
  <c r="D193" i="4"/>
  <c r="E212" i="4"/>
  <c r="Z18" i="4"/>
  <c r="V196" i="4"/>
  <c r="F241" i="4"/>
  <c r="AT286" i="4"/>
  <c r="AQ159" i="4"/>
  <c r="AS381" i="4"/>
  <c r="D48" i="4"/>
  <c r="D45" i="4"/>
  <c r="Z211" i="4"/>
  <c r="AS13" i="4"/>
  <c r="AR158" i="4"/>
  <c r="F156" i="4"/>
  <c r="E140" i="4"/>
  <c r="W143" i="4"/>
  <c r="W347" i="4"/>
  <c r="D51" i="4"/>
  <c r="E306" i="4"/>
  <c r="AT307" i="4"/>
  <c r="Z91" i="4"/>
  <c r="X13" i="4"/>
  <c r="F10" i="4"/>
  <c r="AR89" i="4"/>
  <c r="E187" i="4"/>
  <c r="F232" i="4"/>
  <c r="E245" i="4"/>
  <c r="AR347" i="4"/>
  <c r="N278" i="4"/>
  <c r="AR277" i="4"/>
  <c r="D28" i="4"/>
  <c r="U329" i="6"/>
  <c r="U241" i="6"/>
  <c r="U152" i="6"/>
  <c r="U72" i="6"/>
  <c r="E193" i="4"/>
  <c r="AT239" i="4"/>
  <c r="M364" i="4"/>
  <c r="Z178" i="4"/>
  <c r="AR76" i="4"/>
  <c r="F114" i="4"/>
  <c r="AR320" i="4"/>
  <c r="U352" i="6"/>
  <c r="U264" i="6"/>
  <c r="U175" i="6"/>
  <c r="U95" i="6"/>
  <c r="W183" i="4"/>
  <c r="Z142" i="4"/>
  <c r="D49" i="4"/>
  <c r="Z286" i="4"/>
  <c r="Y179" i="4"/>
  <c r="I190" i="4"/>
  <c r="X278" i="4"/>
  <c r="E297" i="4"/>
  <c r="W297" i="4" s="1"/>
  <c r="D39" i="4"/>
  <c r="W139" i="4"/>
  <c r="B2" i="4"/>
  <c r="V342" i="4"/>
  <c r="D145" i="4"/>
  <c r="AR373" i="4"/>
  <c r="F60" i="4"/>
  <c r="X79" i="4"/>
  <c r="F250" i="4"/>
  <c r="AT59" i="4"/>
  <c r="Z199" i="4"/>
  <c r="D368" i="4"/>
  <c r="AR309" i="4"/>
  <c r="D290" i="4"/>
  <c r="E242" i="4"/>
  <c r="D12" i="4"/>
  <c r="H310" i="4"/>
  <c r="V242" i="4"/>
  <c r="H103" i="4"/>
  <c r="E192" i="4"/>
  <c r="M192" i="4" s="1"/>
  <c r="D18" i="4"/>
  <c r="V200" i="4"/>
  <c r="G19" i="4"/>
  <c r="D17" i="4"/>
  <c r="I15" i="4"/>
  <c r="F163" i="4"/>
  <c r="W196" i="4"/>
  <c r="AR367" i="4"/>
  <c r="AQ332" i="4"/>
  <c r="AT153" i="4"/>
  <c r="V330" i="4"/>
  <c r="W99" i="4"/>
  <c r="V210" i="4"/>
  <c r="X307" i="4"/>
  <c r="I328" i="4"/>
  <c r="F280" i="4"/>
  <c r="F75" i="4"/>
  <c r="E368" i="4"/>
  <c r="AQ368" i="4" s="1"/>
  <c r="AR365" i="4"/>
  <c r="AS190" i="4"/>
  <c r="E189" i="4"/>
  <c r="V43" i="4"/>
  <c r="AR94" i="4"/>
  <c r="D159" i="4"/>
  <c r="X52" i="4"/>
  <c r="D376" i="4"/>
  <c r="N61" i="4"/>
  <c r="Y309" i="4"/>
  <c r="AR52" i="4"/>
  <c r="H190" i="4"/>
  <c r="D326" i="4"/>
  <c r="E83" i="4"/>
  <c r="I43" i="4"/>
  <c r="E345" i="4"/>
  <c r="H160" i="4"/>
  <c r="W52" i="4"/>
  <c r="E117" i="4"/>
  <c r="M117" i="4" s="1"/>
  <c r="X187" i="4"/>
  <c r="D231" i="4"/>
  <c r="AR8" i="4"/>
  <c r="U321" i="6"/>
  <c r="U224" i="6"/>
  <c r="U144" i="6"/>
  <c r="U64" i="6"/>
  <c r="V121" i="4"/>
  <c r="Y91" i="4"/>
  <c r="AR235" i="4"/>
  <c r="F76" i="4"/>
  <c r="F276" i="4"/>
  <c r="F320" i="4"/>
  <c r="U344" i="6"/>
  <c r="U248" i="6"/>
  <c r="U167" i="6"/>
  <c r="U87" i="6"/>
  <c r="F19" i="4"/>
  <c r="Y132" i="4"/>
  <c r="D340" i="4"/>
  <c r="Y154" i="4"/>
  <c r="AQ257" i="4"/>
  <c r="D79" i="4"/>
  <c r="AR195" i="4"/>
  <c r="E370" i="4"/>
  <c r="V370" i="4" s="1"/>
  <c r="D60" i="4"/>
  <c r="Y199" i="4"/>
  <c r="E36" i="4"/>
  <c r="F249" i="4"/>
  <c r="AR331" i="4"/>
  <c r="V361" i="4"/>
  <c r="X349" i="4"/>
  <c r="AR17" i="4"/>
  <c r="N254" i="4"/>
  <c r="D301" i="4"/>
  <c r="F330" i="4"/>
  <c r="E213" i="4"/>
  <c r="X153" i="4"/>
  <c r="D120" i="4"/>
  <c r="F282" i="4"/>
  <c r="V56" i="4"/>
  <c r="N19" i="4"/>
  <c r="H36" i="4"/>
  <c r="AS253" i="4"/>
  <c r="D245" i="4"/>
  <c r="X179" i="4"/>
  <c r="E285" i="4"/>
  <c r="Z285" i="4" s="1"/>
  <c r="E241" i="4"/>
  <c r="I18" i="4"/>
  <c r="E346" i="4"/>
  <c r="F189" i="4"/>
  <c r="F299" i="4"/>
  <c r="Y272" i="4"/>
  <c r="H239" i="4"/>
  <c r="E281" i="4"/>
  <c r="F306" i="4"/>
  <c r="E299" i="4"/>
  <c r="M370" i="4"/>
  <c r="E209" i="4"/>
  <c r="Z16" i="4"/>
  <c r="E325" i="4"/>
  <c r="V116" i="4"/>
  <c r="AS354" i="4"/>
  <c r="E201" i="4"/>
  <c r="E251" i="4"/>
  <c r="AR215" i="4"/>
  <c r="Y122" i="4"/>
  <c r="F287" i="4"/>
  <c r="AR248" i="4"/>
  <c r="AQ79" i="4"/>
  <c r="H197" i="4"/>
  <c r="D347" i="4"/>
  <c r="Y194" i="4"/>
  <c r="F331" i="4"/>
  <c r="I167" i="4"/>
  <c r="E301" i="4"/>
  <c r="F17" i="4"/>
  <c r="Y250" i="4"/>
  <c r="V153" i="4"/>
  <c r="E14" i="4"/>
  <c r="AR249" i="4"/>
  <c r="H181" i="4"/>
  <c r="I7" i="4"/>
  <c r="X327" i="4"/>
  <c r="E275" i="4"/>
  <c r="U31" i="6"/>
  <c r="E89" i="4"/>
  <c r="V275" i="4"/>
  <c r="U55" i="6"/>
  <c r="Z51" i="4"/>
  <c r="Z239" i="4"/>
  <c r="F278" i="4"/>
  <c r="H140" i="4"/>
  <c r="U285" i="6"/>
  <c r="U108" i="6"/>
  <c r="AQ118" i="4"/>
  <c r="F188" i="4"/>
  <c r="AR231" i="4"/>
  <c r="U359" i="6"/>
  <c r="U77" i="6"/>
  <c r="AD350" i="2"/>
  <c r="AB290" i="2"/>
  <c r="Z21" i="2"/>
  <c r="T207" i="2"/>
  <c r="X342" i="2"/>
  <c r="AA148" i="2"/>
  <c r="AD242" i="2"/>
  <c r="AB142" i="2"/>
  <c r="Z226" i="2"/>
  <c r="AC257" i="2"/>
  <c r="X236" i="2"/>
  <c r="AA260" i="2"/>
  <c r="Y276" i="2"/>
  <c r="AB363" i="2"/>
  <c r="AC232" i="2"/>
  <c r="Z130" i="2"/>
  <c r="R228" i="2"/>
  <c r="AC129" i="2"/>
  <c r="AB223" i="2"/>
  <c r="R275" i="2"/>
  <c r="X18" i="2"/>
  <c r="W22" i="2"/>
  <c r="AB299" i="2"/>
  <c r="R271" i="2"/>
  <c r="Z282" i="2"/>
  <c r="W179" i="2"/>
  <c r="AD25" i="2"/>
  <c r="AD303" i="2"/>
  <c r="AD181" i="2"/>
  <c r="R284" i="2"/>
  <c r="R91" i="2"/>
  <c r="M347" i="4"/>
  <c r="AT50" i="4"/>
  <c r="I306" i="4"/>
  <c r="F44" i="4"/>
  <c r="D94" i="4"/>
  <c r="U307" i="6"/>
  <c r="U190" i="6"/>
  <c r="U75" i="6"/>
  <c r="AA43" i="2"/>
  <c r="Y160" i="2"/>
  <c r="W124" i="2"/>
  <c r="T317" i="2"/>
  <c r="X250" i="2"/>
  <c r="AA261" i="2"/>
  <c r="Y21" i="2"/>
  <c r="W373" i="2"/>
  <c r="T177" i="2"/>
  <c r="X140" i="2"/>
  <c r="AA53" i="2"/>
  <c r="Y298" i="2"/>
  <c r="W77" i="2"/>
  <c r="T170" i="2"/>
  <c r="X157" i="2"/>
  <c r="AA36" i="2"/>
  <c r="Y335" i="2"/>
  <c r="W13" i="2"/>
  <c r="T191" i="2"/>
  <c r="X94" i="2"/>
  <c r="AA59" i="2"/>
  <c r="Y90" i="2"/>
  <c r="W144" i="2"/>
  <c r="T231" i="2"/>
  <c r="X263" i="2"/>
  <c r="AA349" i="2"/>
  <c r="Y351" i="2"/>
  <c r="W137" i="2"/>
  <c r="T237" i="2"/>
  <c r="X276" i="2"/>
  <c r="AA270" i="2"/>
  <c r="Y272" i="2"/>
  <c r="W348" i="2"/>
  <c r="T57" i="2"/>
  <c r="X69" i="2"/>
  <c r="AA171" i="2"/>
  <c r="Y318" i="2"/>
  <c r="W244" i="2"/>
  <c r="T46" i="2"/>
  <c r="X40" i="2"/>
  <c r="AA223" i="2"/>
  <c r="Y116" i="2"/>
  <c r="W311" i="2"/>
  <c r="T333" i="2"/>
  <c r="X104" i="2"/>
  <c r="AA369" i="2"/>
  <c r="Y215" i="2"/>
  <c r="W280" i="2"/>
  <c r="T323" i="2"/>
  <c r="X10" i="2"/>
  <c r="W283" i="4"/>
  <c r="Y381" i="4"/>
  <c r="Z364" i="4"/>
  <c r="E77" i="4"/>
  <c r="Y7" i="4"/>
  <c r="J187" i="4"/>
  <c r="F140" i="4"/>
  <c r="F302" i="4"/>
  <c r="G275" i="4"/>
  <c r="U306" i="6"/>
  <c r="U202" i="6"/>
  <c r="U99" i="6"/>
  <c r="AA334" i="2"/>
  <c r="Y103" i="2"/>
  <c r="W268" i="2"/>
  <c r="T252" i="2"/>
  <c r="X168" i="2"/>
  <c r="AA115" i="2"/>
  <c r="Y314" i="2"/>
  <c r="W196" i="2"/>
  <c r="T109" i="2"/>
  <c r="X133" i="2"/>
  <c r="AA167" i="2"/>
  <c r="Y150" i="2"/>
  <c r="W151" i="2"/>
  <c r="T85" i="2"/>
  <c r="X113" i="2"/>
  <c r="AA185" i="2"/>
  <c r="Y159" i="2"/>
  <c r="W245" i="2"/>
  <c r="T316" i="2"/>
  <c r="X41" i="2"/>
  <c r="AA339" i="2"/>
  <c r="Y204" i="2"/>
  <c r="W44" i="2"/>
  <c r="T200" i="2"/>
  <c r="X128" i="2"/>
  <c r="AA73" i="2"/>
  <c r="Y234" i="2"/>
  <c r="W267" i="2"/>
  <c r="W159" i="4"/>
  <c r="H15" i="4"/>
  <c r="AR50" i="4"/>
  <c r="Z189" i="4"/>
  <c r="AR152" i="4"/>
  <c r="Y43" i="4"/>
  <c r="V140" i="4"/>
  <c r="H149" i="4"/>
  <c r="M28" i="4"/>
  <c r="U381" i="6"/>
  <c r="U278" i="6"/>
  <c r="U174" i="6"/>
  <c r="U73" i="6"/>
  <c r="D19" i="4"/>
  <c r="V238" i="4"/>
  <c r="AT325" i="4"/>
  <c r="E235" i="4"/>
  <c r="K278" i="4"/>
  <c r="X43" i="4"/>
  <c r="W151" i="4"/>
  <c r="G149" i="4"/>
  <c r="AQ28" i="4"/>
  <c r="E27" i="4"/>
  <c r="U327" i="6"/>
  <c r="U225" i="6"/>
  <c r="U122" i="6"/>
  <c r="U18" i="6"/>
  <c r="Z346" i="2"/>
  <c r="AC268" i="2"/>
  <c r="R252" i="2"/>
  <c r="AD168" i="2"/>
  <c r="AB187" i="2"/>
  <c r="Z138" i="2"/>
  <c r="H19" i="4"/>
  <c r="D300" i="4"/>
  <c r="E234" i="4"/>
  <c r="H331" i="4"/>
  <c r="V52" i="4"/>
  <c r="F42" i="4"/>
  <c r="V158" i="4"/>
  <c r="U305" i="6"/>
  <c r="Y37" i="4"/>
  <c r="E308" i="4"/>
  <c r="U328" i="6"/>
  <c r="G99" i="4"/>
  <c r="AT280" i="4"/>
  <c r="AR327" i="4"/>
  <c r="V156" i="4"/>
  <c r="E30" i="4"/>
  <c r="U277" i="6"/>
  <c r="U100" i="6"/>
  <c r="N327" i="4"/>
  <c r="F7" i="4"/>
  <c r="E231" i="4"/>
  <c r="U334" i="6"/>
  <c r="U65" i="6"/>
  <c r="AA158" i="2"/>
  <c r="Y250" i="2"/>
  <c r="AB111" i="2"/>
  <c r="Z133" i="2"/>
  <c r="AC28" i="2"/>
  <c r="R148" i="2"/>
  <c r="AA159" i="2"/>
  <c r="Y174" i="2"/>
  <c r="W296" i="2"/>
  <c r="Z208" i="2"/>
  <c r="AC73" i="2"/>
  <c r="R260" i="2"/>
  <c r="AD221" i="2"/>
  <c r="Y209" i="2"/>
  <c r="T232" i="2"/>
  <c r="W286" i="2"/>
  <c r="X244" i="2"/>
  <c r="AB190" i="2"/>
  <c r="Y216" i="2"/>
  <c r="X311" i="2"/>
  <c r="AC230" i="2"/>
  <c r="AB369" i="2"/>
  <c r="R321" i="2"/>
  <c r="X293" i="2"/>
  <c r="W31" i="2"/>
  <c r="AB34" i="2"/>
  <c r="AA285" i="2"/>
  <c r="AA219" i="2"/>
  <c r="X80" i="2"/>
  <c r="X101" i="2"/>
  <c r="E334" i="2"/>
  <c r="AT328" i="4"/>
  <c r="H50" i="4"/>
  <c r="J83" i="4"/>
  <c r="F43" i="4"/>
  <c r="V303" i="4"/>
  <c r="J230" i="4"/>
  <c r="X275" i="4"/>
  <c r="U294" i="6"/>
  <c r="U178" i="6"/>
  <c r="U62" i="6"/>
  <c r="R43" i="2"/>
  <c r="AD173" i="2"/>
  <c r="AB88" i="2"/>
  <c r="Z15" i="2"/>
  <c r="AC326" i="2"/>
  <c r="R261" i="2"/>
  <c r="AD16" i="2"/>
  <c r="AB105" i="2"/>
  <c r="Z107" i="2"/>
  <c r="AC108" i="2"/>
  <c r="R53" i="2"/>
  <c r="AD143" i="2"/>
  <c r="AB256" i="2"/>
  <c r="Z148" i="2"/>
  <c r="AC341" i="2"/>
  <c r="R36" i="2"/>
  <c r="AD183" i="2"/>
  <c r="AB302" i="2"/>
  <c r="Z154" i="2"/>
  <c r="AC265" i="2"/>
  <c r="R59" i="2"/>
  <c r="AD225" i="2"/>
  <c r="AB257" i="2"/>
  <c r="Z324" i="2"/>
  <c r="AC106" i="2"/>
  <c r="R349" i="2"/>
  <c r="AD180" i="2"/>
  <c r="AB347" i="2"/>
  <c r="Z327" i="2"/>
  <c r="AC221" i="2"/>
  <c r="R270" i="2"/>
  <c r="AD139" i="2"/>
  <c r="AB329" i="2"/>
  <c r="Z251" i="2"/>
  <c r="AC199" i="2"/>
  <c r="R171" i="2"/>
  <c r="AD135" i="2"/>
  <c r="AB149" i="2"/>
  <c r="Z241" i="2"/>
  <c r="AC201" i="2"/>
  <c r="R223" i="2"/>
  <c r="AD319" i="2"/>
  <c r="AB52" i="2"/>
  <c r="Z84" i="2"/>
  <c r="AC145" i="2"/>
  <c r="R369" i="2"/>
  <c r="AD17" i="2"/>
  <c r="AB322" i="2"/>
  <c r="Z271" i="2"/>
  <c r="AC332" i="2"/>
  <c r="K53" i="4"/>
  <c r="J16" i="4"/>
  <c r="J51" i="4"/>
  <c r="AR234" i="4"/>
  <c r="Z271" i="4"/>
  <c r="E44" i="4"/>
  <c r="AR303" i="4"/>
  <c r="D29" i="4"/>
  <c r="E375" i="4"/>
  <c r="U292" i="6"/>
  <c r="U189" i="6"/>
  <c r="U86" i="6"/>
  <c r="R334" i="2"/>
  <c r="AD38" i="2"/>
  <c r="AB350" i="2"/>
  <c r="Z304" i="2"/>
  <c r="AC89" i="2"/>
  <c r="R115" i="2"/>
  <c r="AD239" i="2"/>
  <c r="AB229" i="2"/>
  <c r="Z222" i="2"/>
  <c r="AC68" i="2"/>
  <c r="R167" i="2"/>
  <c r="AD342" i="2"/>
  <c r="AB50" i="2"/>
  <c r="Z198" i="2"/>
  <c r="AC227" i="2"/>
  <c r="R185" i="2"/>
  <c r="AD54" i="2"/>
  <c r="AB83" i="2"/>
  <c r="Z142" i="2"/>
  <c r="AC309" i="2"/>
  <c r="R339" i="2"/>
  <c r="AD338" i="2"/>
  <c r="AB218" i="2"/>
  <c r="Z249" i="2"/>
  <c r="AC195" i="2"/>
  <c r="R73" i="2"/>
  <c r="AD194" i="2"/>
  <c r="AB205" i="2"/>
  <c r="H309" i="4"/>
  <c r="V346" i="4"/>
  <c r="F50" i="4"/>
  <c r="G234" i="4"/>
  <c r="H152" i="4"/>
  <c r="Z322" i="4"/>
  <c r="E120" i="4"/>
  <c r="AT199" i="4"/>
  <c r="E95" i="4"/>
  <c r="AR85" i="4"/>
  <c r="W98" i="4"/>
  <c r="D297" i="4"/>
  <c r="D158" i="4"/>
  <c r="U289" i="6"/>
  <c r="AS307" i="4"/>
  <c r="V187" i="4"/>
  <c r="U312" i="6"/>
  <c r="X163" i="4"/>
  <c r="Z280" i="4"/>
  <c r="F237" i="4"/>
  <c r="N187" i="4"/>
  <c r="I302" i="4"/>
  <c r="U269" i="6"/>
  <c r="U92" i="6"/>
  <c r="D13" i="4"/>
  <c r="AR46" i="4"/>
  <c r="Y345" i="4"/>
  <c r="U308" i="6"/>
  <c r="U51" i="6"/>
  <c r="R158" i="2"/>
  <c r="AD326" i="2"/>
  <c r="Y196" i="2"/>
  <c r="W68" i="2"/>
  <c r="T28" i="2"/>
  <c r="AC266" i="2"/>
  <c r="R159" i="2"/>
  <c r="AD191" i="2"/>
  <c r="AB59" i="2"/>
  <c r="W200" i="2"/>
  <c r="T73" i="2"/>
  <c r="X137" i="2"/>
  <c r="R206" i="2"/>
  <c r="AD214" i="2"/>
  <c r="Z233" i="2"/>
  <c r="R23" i="2"/>
  <c r="AC149" i="2"/>
  <c r="Y40" i="2"/>
  <c r="AD162" i="2"/>
  <c r="AC52" i="2"/>
  <c r="AB220" i="2"/>
  <c r="Y378" i="2"/>
  <c r="X280" i="2"/>
  <c r="AC35" i="2"/>
  <c r="AB161" i="2"/>
  <c r="R370" i="2"/>
  <c r="R285" i="2"/>
  <c r="R219" i="2"/>
  <c r="AC42" i="2"/>
  <c r="AC313" i="2"/>
  <c r="M253" i="4"/>
  <c r="D327" i="4"/>
  <c r="M49" i="4"/>
  <c r="E188" i="4"/>
  <c r="AS299" i="4"/>
  <c r="AQ231" i="4"/>
  <c r="N149" i="4"/>
  <c r="H275" i="4"/>
  <c r="U282" i="6"/>
  <c r="U165" i="6"/>
  <c r="U50" i="6"/>
  <c r="X169" i="2"/>
  <c r="AA45" i="2"/>
  <c r="Y330" i="2"/>
  <c r="W12" i="2"/>
  <c r="T326" i="2"/>
  <c r="X70" i="2"/>
  <c r="AA111" i="2"/>
  <c r="Y19" i="2"/>
  <c r="W47" i="2"/>
  <c r="T108" i="2"/>
  <c r="X259" i="2"/>
  <c r="AA98" i="2"/>
  <c r="Y360" i="2"/>
  <c r="W186" i="2"/>
  <c r="T341" i="2"/>
  <c r="X258" i="2"/>
  <c r="AA288" i="2"/>
  <c r="Y182" i="2"/>
  <c r="W121" i="2"/>
  <c r="T265" i="2"/>
  <c r="X295" i="2"/>
  <c r="AA310" i="2"/>
  <c r="Y208" i="2"/>
  <c r="W71" i="2"/>
  <c r="T106" i="2"/>
  <c r="X274" i="2"/>
  <c r="AA371" i="2"/>
  <c r="Y39" i="2"/>
  <c r="W212" i="2"/>
  <c r="T221" i="2"/>
  <c r="X210" i="2"/>
  <c r="AA363" i="2"/>
  <c r="Y361" i="2"/>
  <c r="W253" i="2"/>
  <c r="T199" i="2"/>
  <c r="X294" i="2"/>
  <c r="AA112" i="2"/>
  <c r="Y325" i="2"/>
  <c r="W67" i="2"/>
  <c r="T201" i="2"/>
  <c r="X216" i="2"/>
  <c r="AA48" i="2"/>
  <c r="Y166" i="2"/>
  <c r="W18" i="2"/>
  <c r="T145" i="2"/>
  <c r="X378" i="2"/>
  <c r="AA299" i="2"/>
  <c r="Y193" i="2"/>
  <c r="W293" i="2"/>
  <c r="T332" i="2"/>
  <c r="I309" i="4"/>
  <c r="AS328" i="4"/>
  <c r="E11" i="4"/>
  <c r="H234" i="4"/>
  <c r="F46" i="4"/>
  <c r="V304" i="4"/>
  <c r="L41" i="4"/>
  <c r="E31" i="4"/>
  <c r="AS28" i="4"/>
  <c r="D374" i="4"/>
  <c r="U279" i="6"/>
  <c r="U177" i="6"/>
  <c r="U74" i="6"/>
  <c r="X87" i="2"/>
  <c r="AA240" i="2"/>
  <c r="Y158" i="2"/>
  <c r="W141" i="2"/>
  <c r="T89" i="2"/>
  <c r="X243" i="2"/>
  <c r="AA203" i="2"/>
  <c r="Y126" i="2"/>
  <c r="W51" i="2"/>
  <c r="AS249" i="4"/>
  <c r="AQ283" i="4"/>
  <c r="F283" i="4"/>
  <c r="V280" i="4"/>
  <c r="E237" i="4"/>
  <c r="M237" i="4" s="1"/>
  <c r="D32" i="4"/>
  <c r="E233" i="4"/>
  <c r="M233" i="4" s="1"/>
  <c r="U216" i="6"/>
  <c r="N52" i="4"/>
  <c r="E141" i="4"/>
  <c r="U240" i="6"/>
  <c r="N35" i="4"/>
  <c r="H280" i="4"/>
  <c r="D364" i="4"/>
  <c r="M151" i="4"/>
  <c r="F29" i="4"/>
  <c r="U212" i="6"/>
  <c r="U36" i="6"/>
  <c r="I326" i="4"/>
  <c r="L187" i="4"/>
  <c r="AR30" i="4"/>
  <c r="U231" i="6"/>
  <c r="W164" i="2"/>
  <c r="AB304" i="2"/>
  <c r="Z243" i="2"/>
  <c r="AC105" i="2"/>
  <c r="X238" i="2"/>
  <c r="AA127" i="2"/>
  <c r="Y157" i="2"/>
  <c r="AB288" i="2"/>
  <c r="Z41" i="2"/>
  <c r="AC277" i="2"/>
  <c r="R324" i="2"/>
  <c r="AA234" i="2"/>
  <c r="Y354" i="2"/>
  <c r="W372" i="2"/>
  <c r="AC329" i="2"/>
  <c r="W291" i="2"/>
  <c r="X8" i="2"/>
  <c r="Z325" i="2"/>
  <c r="AD201" i="2"/>
  <c r="AC217" i="2"/>
  <c r="T52" i="2"/>
  <c r="Y104" i="2"/>
  <c r="AD110" i="2"/>
  <c r="AC322" i="2"/>
  <c r="AB184" i="2"/>
  <c r="Y247" i="2"/>
  <c r="X308" i="2"/>
  <c r="X49" i="2"/>
  <c r="T7" i="2"/>
  <c r="T42" i="2"/>
  <c r="T313" i="2"/>
  <c r="J301" i="4"/>
  <c r="N15" i="4"/>
  <c r="AR207" i="4"/>
  <c r="AT152" i="4"/>
  <c r="I299" i="4"/>
  <c r="AR345" i="4"/>
  <c r="G302" i="4"/>
  <c r="E374" i="4"/>
  <c r="U268" i="6"/>
  <c r="U153" i="6"/>
  <c r="U24" i="6"/>
  <c r="AC346" i="2"/>
  <c r="R45" i="2"/>
  <c r="AD252" i="2"/>
  <c r="AB60" i="2"/>
  <c r="Z312" i="2"/>
  <c r="AC138" i="2"/>
  <c r="R111" i="2"/>
  <c r="AD109" i="2"/>
  <c r="AB207" i="2"/>
  <c r="Z29" i="2"/>
  <c r="AC165" i="2"/>
  <c r="R98" i="2"/>
  <c r="AD85" i="2"/>
  <c r="AB266" i="2"/>
  <c r="Z136" i="2"/>
  <c r="AC242" i="2"/>
  <c r="R288" i="2"/>
  <c r="AD316" i="2"/>
  <c r="AB376" i="2"/>
  <c r="Z264" i="2"/>
  <c r="AC58" i="2"/>
  <c r="R310" i="2"/>
  <c r="AD200" i="2"/>
  <c r="F368" i="4"/>
  <c r="N253" i="4"/>
  <c r="X347" i="4"/>
  <c r="D116" i="4"/>
  <c r="AT364" i="4"/>
  <c r="F150" i="4"/>
  <c r="D322" i="4"/>
  <c r="U208" i="6"/>
  <c r="F381" i="4"/>
  <c r="AR115" i="4"/>
  <c r="U232" i="6"/>
  <c r="F191" i="4"/>
  <c r="Y301" i="4"/>
  <c r="AR97" i="4"/>
  <c r="AR141" i="4"/>
  <c r="U365" i="6"/>
  <c r="U204" i="6"/>
  <c r="U27" i="6"/>
  <c r="Z325" i="4"/>
  <c r="Z75" i="4"/>
  <c r="X30" i="4"/>
  <c r="U205" i="6"/>
  <c r="AB43" i="2"/>
  <c r="Y141" i="2"/>
  <c r="W189" i="2"/>
  <c r="Z19" i="2"/>
  <c r="AC167" i="2"/>
  <c r="R127" i="2"/>
  <c r="AD341" i="2"/>
  <c r="Y245" i="2"/>
  <c r="W309" i="2"/>
  <c r="T277" i="2"/>
  <c r="AC74" i="2"/>
  <c r="R234" i="2"/>
  <c r="AD237" i="2"/>
  <c r="AB270" i="2"/>
  <c r="Z361" i="2"/>
  <c r="AB344" i="2"/>
  <c r="AC337" i="2"/>
  <c r="AD46" i="2"/>
  <c r="AA355" i="2"/>
  <c r="T217" i="2"/>
  <c r="Z166" i="2"/>
  <c r="AD145" i="2"/>
  <c r="AC188" i="2"/>
  <c r="T322" i="2"/>
  <c r="Y10" i="2"/>
  <c r="AD93" i="2"/>
  <c r="AC26" i="2"/>
  <c r="AC153" i="2"/>
  <c r="Z172" i="2"/>
  <c r="Z78" i="2"/>
  <c r="Z374" i="2"/>
  <c r="AT160" i="4"/>
  <c r="Z346" i="4"/>
  <c r="F207" i="4"/>
  <c r="AT156" i="4"/>
  <c r="X345" i="4"/>
  <c r="E29" i="4"/>
  <c r="U371" i="6"/>
  <c r="U255" i="6"/>
  <c r="U126" i="6"/>
  <c r="U10" i="6"/>
  <c r="T346" i="2"/>
  <c r="X268" i="2"/>
  <c r="AA304" i="2"/>
  <c r="Y168" i="2"/>
  <c r="W187" i="2"/>
  <c r="T138" i="2"/>
  <c r="X196" i="2"/>
  <c r="AA222" i="2"/>
  <c r="Y133" i="2"/>
  <c r="W238" i="2"/>
  <c r="T165" i="2"/>
  <c r="X151" i="2"/>
  <c r="AA198" i="2"/>
  <c r="Y113" i="2"/>
  <c r="W192" i="2"/>
  <c r="T242" i="2"/>
  <c r="X245" i="2"/>
  <c r="AA142" i="2"/>
  <c r="Y41" i="2"/>
  <c r="W340" i="2"/>
  <c r="T58" i="2"/>
  <c r="X44" i="2"/>
  <c r="AA249" i="2"/>
  <c r="Y128" i="2"/>
  <c r="W236" i="2"/>
  <c r="T114" i="2"/>
  <c r="X267" i="2"/>
  <c r="AA362" i="2"/>
  <c r="Y61" i="2"/>
  <c r="W254" i="2"/>
  <c r="T328" i="2"/>
  <c r="X209" i="2"/>
  <c r="AA269" i="2"/>
  <c r="Y233" i="2"/>
  <c r="W255" i="2"/>
  <c r="T367" i="2"/>
  <c r="X56" i="2"/>
  <c r="AA345" i="2"/>
  <c r="Y213" i="2"/>
  <c r="W331" i="2"/>
  <c r="T162" i="2"/>
  <c r="X65" i="2"/>
  <c r="AA315" i="2"/>
  <c r="Y197" i="2"/>
  <c r="W131" i="2"/>
  <c r="T110" i="2"/>
  <c r="X178" i="2"/>
  <c r="AA27" i="2"/>
  <c r="Y134" i="2"/>
  <c r="W307" i="2"/>
  <c r="H179" i="4"/>
  <c r="K15" i="4"/>
  <c r="G50" i="4"/>
  <c r="H306" i="4"/>
  <c r="AS152" i="4"/>
  <c r="X277" i="4"/>
  <c r="L149" i="4"/>
  <c r="AR319" i="4"/>
  <c r="U356" i="6"/>
  <c r="U254" i="6"/>
  <c r="U150" i="6"/>
  <c r="U49" i="6"/>
  <c r="I179" i="4"/>
  <c r="N163" i="4"/>
  <c r="AT96" i="4"/>
  <c r="Y286" i="4"/>
  <c r="AR49" i="4"/>
  <c r="Z242" i="4"/>
  <c r="I345" i="4"/>
  <c r="U136" i="6"/>
  <c r="H96" i="4"/>
  <c r="E94" i="4"/>
  <c r="U159" i="6"/>
  <c r="M52" i="4"/>
  <c r="M285" i="4"/>
  <c r="AR84" i="4"/>
  <c r="M141" i="4"/>
  <c r="U357" i="6"/>
  <c r="U188" i="6"/>
  <c r="U19" i="6"/>
  <c r="AS280" i="4"/>
  <c r="H322" i="4"/>
  <c r="X302" i="4"/>
  <c r="U193" i="6"/>
  <c r="AD346" i="2"/>
  <c r="AD317" i="2"/>
  <c r="AB261" i="2"/>
  <c r="W109" i="2"/>
  <c r="T167" i="2"/>
  <c r="X77" i="2"/>
  <c r="R136" i="2"/>
  <c r="AD83" i="2"/>
  <c r="AB122" i="2"/>
  <c r="Z90" i="2"/>
  <c r="T74" i="2"/>
  <c r="X194" i="2"/>
  <c r="AA327" i="2"/>
  <c r="AD328" i="2"/>
  <c r="W24" i="2"/>
  <c r="X255" i="2"/>
  <c r="T337" i="2"/>
  <c r="AA241" i="2"/>
  <c r="R355" i="2"/>
  <c r="Z116" i="2"/>
  <c r="AD333" i="2"/>
  <c r="AA63" i="2"/>
  <c r="T188" i="2"/>
  <c r="Z193" i="2"/>
  <c r="AD332" i="2"/>
  <c r="AC300" i="2"/>
  <c r="T26" i="2"/>
  <c r="W305" i="2"/>
  <c r="W100" i="2"/>
  <c r="W86" i="2"/>
  <c r="Y62" i="2"/>
  <c r="AT181" i="4"/>
  <c r="I14" i="4"/>
  <c r="G189" i="4"/>
  <c r="Y45" i="4"/>
  <c r="D298" i="4"/>
  <c r="D345" i="4"/>
  <c r="D320" i="4"/>
  <c r="U358" i="6"/>
  <c r="U230" i="6"/>
  <c r="U114" i="6"/>
  <c r="AB334" i="2"/>
  <c r="Z103" i="2"/>
  <c r="AC350" i="2"/>
  <c r="E97" i="4"/>
  <c r="F86" i="4"/>
  <c r="E376" i="4"/>
  <c r="Z19" i="4"/>
  <c r="E47" i="4"/>
  <c r="AT18" i="4"/>
  <c r="Z140" i="4"/>
  <c r="U128" i="6"/>
  <c r="F377" i="4"/>
  <c r="D230" i="4"/>
  <c r="U151" i="6"/>
  <c r="F13" i="4"/>
  <c r="N272" i="4"/>
  <c r="X84" i="4"/>
  <c r="N345" i="4"/>
  <c r="U349" i="6"/>
  <c r="U172" i="6"/>
  <c r="U11" i="6"/>
  <c r="G280" i="4"/>
  <c r="E298" i="4"/>
  <c r="H302" i="4"/>
  <c r="U179" i="6"/>
  <c r="R103" i="2"/>
  <c r="AA15" i="2"/>
  <c r="AD138" i="2"/>
  <c r="AB222" i="2"/>
  <c r="Z365" i="2"/>
  <c r="AC256" i="2"/>
  <c r="X192" i="2"/>
  <c r="AA14" i="2"/>
  <c r="Y94" i="2"/>
  <c r="AB310" i="2"/>
  <c r="Z128" i="2"/>
  <c r="AC64" i="2"/>
  <c r="R327" i="2"/>
  <c r="AA287" i="2"/>
  <c r="AB269" i="2"/>
  <c r="AC97" i="2"/>
  <c r="Z318" i="2"/>
  <c r="X272" i="4"/>
  <c r="W241" i="4"/>
  <c r="E8" i="4"/>
  <c r="M35" i="4"/>
  <c r="AC207" i="2"/>
  <c r="AD205" i="2"/>
  <c r="Z20" i="2"/>
  <c r="Z215" i="2"/>
  <c r="Z118" i="2"/>
  <c r="AD72" i="2"/>
  <c r="K187" i="4"/>
  <c r="U332" i="6"/>
  <c r="W38" i="2"/>
  <c r="AA290" i="2"/>
  <c r="AC229" i="2"/>
  <c r="R273" i="2"/>
  <c r="T50" i="2"/>
  <c r="AB185" i="2"/>
  <c r="Z14" i="2"/>
  <c r="Y226" i="2"/>
  <c r="R249" i="2"/>
  <c r="AB73" i="2"/>
  <c r="AC205" i="2"/>
  <c r="AD147" i="2"/>
  <c r="Z287" i="2"/>
  <c r="R269" i="2"/>
  <c r="AB97" i="2"/>
  <c r="AC262" i="2"/>
  <c r="AD301" i="2"/>
  <c r="Z163" i="2"/>
  <c r="R315" i="2"/>
  <c r="AB119" i="2"/>
  <c r="AC353" i="2"/>
  <c r="AD292" i="2"/>
  <c r="V300" i="4"/>
  <c r="L49" i="4"/>
  <c r="N152" i="4"/>
  <c r="V345" i="4"/>
  <c r="L319" i="4"/>
  <c r="U242" i="6"/>
  <c r="U34" i="6"/>
  <c r="R240" i="2"/>
  <c r="X330" i="2"/>
  <c r="W250" i="2"/>
  <c r="AB138" i="2"/>
  <c r="R105" i="2"/>
  <c r="T68" i="2"/>
  <c r="T79" i="2"/>
  <c r="T143" i="2"/>
  <c r="W246" i="2"/>
  <c r="W157" i="2"/>
  <c r="W258" i="2"/>
  <c r="Y14" i="2"/>
  <c r="Y154" i="2"/>
  <c r="Y264" i="2"/>
  <c r="AA277" i="2"/>
  <c r="AA257" i="2"/>
  <c r="AA74" i="2"/>
  <c r="X357" i="2"/>
  <c r="X351" i="2"/>
  <c r="D55" i="4"/>
  <c r="F14" i="4"/>
  <c r="I117" i="4"/>
  <c r="E157" i="4"/>
  <c r="F305" i="4"/>
  <c r="K41" i="4"/>
  <c r="V31" i="4"/>
  <c r="AT320" i="4"/>
  <c r="F275" i="4"/>
  <c r="U291" i="6"/>
  <c r="U162" i="6"/>
  <c r="U46" i="6"/>
  <c r="AR143" i="4"/>
  <c r="Z12" i="4"/>
  <c r="X77" i="4"/>
  <c r="I279" i="4"/>
  <c r="J233" i="4"/>
  <c r="AQ141" i="4"/>
  <c r="D114" i="4"/>
  <c r="AT302" i="4"/>
  <c r="J319" i="4"/>
  <c r="U366" i="6"/>
  <c r="U251" i="6"/>
  <c r="U134" i="6"/>
  <c r="Y334" i="2"/>
  <c r="AB38" i="2"/>
  <c r="W158" i="2"/>
  <c r="Z317" i="2"/>
  <c r="T250" i="2"/>
  <c r="AC70" i="2"/>
  <c r="E86" i="4"/>
  <c r="Y281" i="4"/>
  <c r="W77" i="4"/>
  <c r="AS7" i="4"/>
  <c r="M308" i="4"/>
  <c r="Z299" i="4"/>
  <c r="D86" i="4"/>
  <c r="G54" i="4"/>
  <c r="M98" i="4"/>
  <c r="AT322" i="4"/>
  <c r="X139" i="4"/>
  <c r="AR275" i="4"/>
  <c r="U210" i="6"/>
  <c r="Z169" i="2"/>
  <c r="R330" i="2"/>
  <c r="AB312" i="2"/>
  <c r="T111" i="2"/>
  <c r="X68" i="2"/>
  <c r="X53" i="2"/>
  <c r="Y98" i="2"/>
  <c r="AC198" i="2"/>
  <c r="AD95" i="2"/>
  <c r="R54" i="2"/>
  <c r="T121" i="2"/>
  <c r="W226" i="2"/>
  <c r="AA90" i="2"/>
  <c r="AB208" i="2"/>
  <c r="AC128" i="2"/>
  <c r="AD274" i="2"/>
  <c r="X347" i="2"/>
  <c r="W61" i="2"/>
  <c r="T211" i="2"/>
  <c r="R272" i="2"/>
  <c r="AB24" i="2"/>
  <c r="AC344" i="2"/>
  <c r="Y171" i="2"/>
  <c r="Z56" i="2"/>
  <c r="Y46" i="2"/>
  <c r="W201" i="2"/>
  <c r="R162" i="2"/>
  <c r="AD275" i="2"/>
  <c r="AC18" i="2"/>
  <c r="AA131" i="2"/>
  <c r="Z188" i="2"/>
  <c r="X322" i="2"/>
  <c r="L188" i="4"/>
  <c r="X231" i="4"/>
  <c r="K29" i="4"/>
  <c r="U171" i="6"/>
  <c r="AC38" i="2"/>
  <c r="Y304" i="2"/>
  <c r="T187" i="2"/>
  <c r="R196" i="2"/>
  <c r="W108" i="2"/>
  <c r="X28" i="2"/>
  <c r="Y256" i="2"/>
  <c r="Z266" i="2"/>
  <c r="AD185" i="2"/>
  <c r="R335" i="2"/>
  <c r="T41" i="2"/>
  <c r="W204" i="2"/>
  <c r="X76" i="2"/>
  <c r="AB324" i="2"/>
  <c r="AC279" i="2"/>
  <c r="AC194" i="2"/>
  <c r="AD362" i="2"/>
  <c r="AC276" i="2"/>
  <c r="AA210" i="2"/>
  <c r="Z214" i="2"/>
  <c r="X57" i="2"/>
  <c r="W364" i="2"/>
  <c r="T23" i="2"/>
  <c r="AD244" i="2"/>
  <c r="AB67" i="2"/>
  <c r="AA66" i="2"/>
  <c r="AB116" i="2"/>
  <c r="X166" i="2"/>
  <c r="Y235" i="2"/>
  <c r="T22" i="2"/>
  <c r="R17" i="2"/>
  <c r="AD27" i="2"/>
  <c r="AS43" i="4"/>
  <c r="H139" i="4"/>
  <c r="U339" i="6"/>
  <c r="U67" i="6"/>
  <c r="T160" i="2"/>
  <c r="AA12" i="2"/>
  <c r="W261" i="2"/>
  <c r="AD126" i="2"/>
  <c r="T273" i="2"/>
  <c r="X143" i="2"/>
  <c r="X198" i="2"/>
  <c r="Y95" i="2"/>
  <c r="AC36" i="2"/>
  <c r="AD288" i="2"/>
  <c r="R121" i="2"/>
  <c r="T338" i="2"/>
  <c r="W208" i="2"/>
  <c r="AA128" i="2"/>
  <c r="AB357" i="2"/>
  <c r="AC351" i="2"/>
  <c r="Z99" i="2"/>
  <c r="X147" i="2"/>
  <c r="W270" i="2"/>
  <c r="T363" i="2"/>
  <c r="AD368" i="2"/>
  <c r="AB69" i="2"/>
  <c r="AA367" i="2"/>
  <c r="AB228" i="2"/>
  <c r="X241" i="2"/>
  <c r="Y331" i="2"/>
  <c r="T202" i="2"/>
  <c r="R311" i="2"/>
  <c r="AD230" i="2"/>
  <c r="AC358" i="2"/>
  <c r="AA215" i="2"/>
  <c r="Z155" i="2"/>
  <c r="AT116" i="4"/>
  <c r="E150" i="4"/>
  <c r="U338" i="6"/>
  <c r="U66" i="6"/>
  <c r="AD45" i="2"/>
  <c r="Z12" i="2"/>
  <c r="R70" i="2"/>
  <c r="AA229" i="2"/>
  <c r="AD107" i="2"/>
  <c r="T53" i="2"/>
  <c r="X85" i="2"/>
  <c r="X95" i="2"/>
  <c r="Y36" i="2"/>
  <c r="AC288" i="2"/>
  <c r="AR7" i="4"/>
  <c r="G303" i="4"/>
  <c r="F28" i="4"/>
  <c r="U299" i="6"/>
  <c r="U26" i="6"/>
  <c r="AC45" i="2"/>
  <c r="Y12" i="2"/>
  <c r="T261" i="2"/>
  <c r="Z229" i="2"/>
  <c r="AA177" i="2"/>
  <c r="AD29" i="2"/>
  <c r="T98" i="2"/>
  <c r="X227" i="2"/>
  <c r="X36" i="2"/>
  <c r="Y288" i="2"/>
  <c r="AC142" i="2"/>
  <c r="AD122" i="2"/>
  <c r="R338" i="2"/>
  <c r="T71" i="2"/>
  <c r="W357" i="2"/>
  <c r="AA351" i="2"/>
  <c r="T39" i="2"/>
  <c r="R61" i="2"/>
  <c r="AB372" i="2"/>
  <c r="AC363" i="2"/>
  <c r="Y269" i="2"/>
  <c r="Z69" i="2"/>
  <c r="Y367" i="2"/>
  <c r="W262" i="2"/>
  <c r="R46" i="2"/>
  <c r="AD355" i="2"/>
  <c r="AC202" i="2"/>
  <c r="AA311" i="2"/>
  <c r="Z230" i="2"/>
  <c r="X119" i="2"/>
  <c r="V95" i="4"/>
  <c r="U71" i="6"/>
  <c r="Y376" i="4"/>
  <c r="R150" i="2"/>
  <c r="AB224" i="2"/>
  <c r="W156" i="2"/>
  <c r="W17" i="2"/>
  <c r="Y175" i="2"/>
  <c r="AA91" i="2"/>
  <c r="Y75" i="4"/>
  <c r="U319" i="6"/>
  <c r="AB240" i="2"/>
  <c r="R290" i="2"/>
  <c r="T229" i="2"/>
  <c r="AB167" i="2"/>
  <c r="Z127" i="2"/>
  <c r="Y297" i="2"/>
  <c r="R142" i="2"/>
  <c r="AD296" i="2"/>
  <c r="X356" i="2"/>
  <c r="Y357" i="2"/>
  <c r="T205" i="2"/>
  <c r="AA224" i="2"/>
  <c r="W278" i="2"/>
  <c r="X368" i="2"/>
  <c r="Y130" i="2"/>
  <c r="T262" i="2"/>
  <c r="AA190" i="2"/>
  <c r="W202" i="2"/>
  <c r="X132" i="2"/>
  <c r="Y358" i="2"/>
  <c r="T353" i="2"/>
  <c r="AA184" i="2"/>
  <c r="V118" i="4"/>
  <c r="E207" i="4"/>
  <c r="I156" i="4"/>
  <c r="AS140" i="4"/>
  <c r="Z8" i="4"/>
  <c r="U228" i="6"/>
  <c r="U21" i="6"/>
  <c r="X160" i="2"/>
  <c r="AC252" i="2"/>
  <c r="AB326" i="2"/>
  <c r="R203" i="2"/>
  <c r="X19" i="2"/>
  <c r="Z273" i="2"/>
  <c r="Z53" i="2"/>
  <c r="Z98" i="2"/>
  <c r="AB170" i="2"/>
  <c r="AB341" i="2"/>
  <c r="AB242" i="2"/>
  <c r="AD13" i="2"/>
  <c r="AD121" i="2"/>
  <c r="AD340" i="2"/>
  <c r="R277" i="2"/>
  <c r="R257" i="2"/>
  <c r="R74" i="2"/>
  <c r="AC125" i="2"/>
  <c r="AC180" i="2"/>
  <c r="J53" i="4"/>
  <c r="N378" i="4"/>
  <c r="N178" i="4"/>
  <c r="E46" i="4"/>
  <c r="G299" i="4"/>
  <c r="F115" i="4"/>
  <c r="D31" i="4"/>
  <c r="M320" i="4"/>
  <c r="D375" i="4"/>
  <c r="U266" i="6"/>
  <c r="U149" i="6"/>
  <c r="U33" i="6"/>
  <c r="F366" i="4"/>
  <c r="K364" i="4"/>
  <c r="J84" i="4"/>
  <c r="D157" i="4"/>
  <c r="E42" i="4"/>
  <c r="L303" i="4"/>
  <c r="F32" i="4"/>
  <c r="AS29" i="4"/>
  <c r="V8" i="4"/>
  <c r="U354" i="6"/>
  <c r="U238" i="6"/>
  <c r="U109" i="6"/>
  <c r="AD87" i="2"/>
  <c r="Y240" i="2"/>
  <c r="AB124" i="2"/>
  <c r="W15" i="2"/>
  <c r="Z326" i="2"/>
  <c r="T70" i="2"/>
  <c r="AR35" i="4"/>
  <c r="J97" i="4"/>
  <c r="D84" i="4"/>
  <c r="AT271" i="4"/>
  <c r="AR45" i="4"/>
  <c r="N298" i="4"/>
  <c r="AQ35" i="4"/>
  <c r="M367" i="4"/>
  <c r="E85" i="4"/>
  <c r="J304" i="4"/>
  <c r="K30" i="4"/>
  <c r="AQ375" i="4"/>
  <c r="U181" i="6"/>
  <c r="W346" i="2"/>
  <c r="AC304" i="2"/>
  <c r="Y187" i="2"/>
  <c r="R229" i="2"/>
  <c r="W273" i="2"/>
  <c r="Z259" i="2"/>
  <c r="AA151" i="2"/>
  <c r="AB246" i="2"/>
  <c r="AC157" i="2"/>
  <c r="R183" i="2"/>
  <c r="W376" i="2"/>
  <c r="Y296" i="2"/>
  <c r="Z225" i="2"/>
  <c r="AA200" i="2"/>
  <c r="AB195" i="2"/>
  <c r="R274" i="2"/>
  <c r="AA39" i="2"/>
  <c r="Z147" i="2"/>
  <c r="X372" i="2"/>
  <c r="W363" i="2"/>
  <c r="T269" i="2"/>
  <c r="AD69" i="2"/>
  <c r="AB294" i="2"/>
  <c r="AA262" i="2"/>
  <c r="AB241" i="2"/>
  <c r="X355" i="2"/>
  <c r="Y202" i="2"/>
  <c r="T311" i="2"/>
  <c r="R18" i="2"/>
  <c r="AD119" i="2"/>
  <c r="AC215" i="2"/>
  <c r="AA193" i="2"/>
  <c r="V157" i="4"/>
  <c r="K345" i="4"/>
  <c r="J320" i="4"/>
  <c r="U142" i="6"/>
  <c r="Z240" i="2"/>
  <c r="R317" i="2"/>
  <c r="AB189" i="2"/>
  <c r="R373" i="2"/>
  <c r="T238" i="2"/>
  <c r="W298" i="2"/>
  <c r="AA360" i="2"/>
  <c r="AB113" i="2"/>
  <c r="AC297" i="2"/>
  <c r="AD245" i="2"/>
  <c r="T94" i="2"/>
  <c r="Y338" i="2"/>
  <c r="Z144" i="2"/>
  <c r="AA71" i="2"/>
  <c r="AB236" i="2"/>
  <c r="AD351" i="2"/>
  <c r="T354" i="2"/>
  <c r="R276" i="2"/>
  <c r="AB328" i="2"/>
  <c r="AC320" i="2"/>
  <c r="Y251" i="2"/>
  <c r="Z255" i="2"/>
  <c r="Y337" i="2"/>
  <c r="W149" i="2"/>
  <c r="R129" i="2"/>
  <c r="AD20" i="2"/>
  <c r="AC319" i="2"/>
  <c r="AA343" i="2"/>
  <c r="Z220" i="2"/>
  <c r="X369" i="2"/>
  <c r="W178" i="2"/>
  <c r="F34" i="4"/>
  <c r="J322" i="4"/>
  <c r="F30" i="4"/>
  <c r="U310" i="6"/>
  <c r="U29" i="6"/>
  <c r="AB268" i="2"/>
  <c r="X60" i="2"/>
  <c r="AD314" i="2"/>
  <c r="AC373" i="2"/>
  <c r="R108" i="2"/>
  <c r="W98" i="2"/>
  <c r="Z246" i="2"/>
  <c r="AA157" i="2"/>
  <c r="AB258" i="2"/>
  <c r="AC245" i="2"/>
  <c r="R309" i="2"/>
  <c r="W277" i="2"/>
  <c r="Y200" i="2"/>
  <c r="Z195" i="2"/>
  <c r="AA125" i="2"/>
  <c r="AB180" i="2"/>
  <c r="AC362" i="2"/>
  <c r="Y224" i="2"/>
  <c r="Z210" i="2"/>
  <c r="Y214" i="2"/>
  <c r="W57" i="2"/>
  <c r="R199" i="2"/>
  <c r="AD23" i="2"/>
  <c r="AC244" i="2"/>
  <c r="AA67" i="2"/>
  <c r="Z66" i="2"/>
  <c r="X217" i="2"/>
  <c r="W166" i="2"/>
  <c r="T197" i="2"/>
  <c r="R358" i="2"/>
  <c r="AB17" i="2"/>
  <c r="AC27" i="2"/>
  <c r="J323" i="4"/>
  <c r="F139" i="4"/>
  <c r="U300" i="6"/>
  <c r="U28" i="6"/>
  <c r="AA268" i="2"/>
  <c r="W60" i="2"/>
  <c r="AC314" i="2"/>
  <c r="AC126" i="2"/>
  <c r="AC47" i="2"/>
  <c r="R165" i="2"/>
  <c r="W198" i="2"/>
  <c r="Z157" i="2"/>
  <c r="AA258" i="2"/>
  <c r="AB245" i="2"/>
  <c r="I271" i="4"/>
  <c r="F319" i="4"/>
  <c r="U262" i="6"/>
  <c r="AD334" i="2"/>
  <c r="Z268" i="2"/>
  <c r="R168" i="2"/>
  <c r="AB314" i="2"/>
  <c r="AB126" i="2"/>
  <c r="AC107" i="2"/>
  <c r="AC238" i="2"/>
  <c r="R50" i="2"/>
  <c r="W95" i="2"/>
  <c r="Z258" i="2"/>
  <c r="AA245" i="2"/>
  <c r="AB174" i="2"/>
  <c r="AC94" i="2"/>
  <c r="R225" i="2"/>
  <c r="W74" i="2"/>
  <c r="Y125" i="2"/>
  <c r="Z180" i="2"/>
  <c r="X99" i="2"/>
  <c r="W224" i="2"/>
  <c r="T270" i="2"/>
  <c r="AD209" i="2"/>
  <c r="AB368" i="2"/>
  <c r="AA199" i="2"/>
  <c r="AB23" i="2"/>
  <c r="X228" i="2"/>
  <c r="Y67" i="2"/>
  <c r="T331" i="2"/>
  <c r="R202" i="2"/>
  <c r="AD52" i="2"/>
  <c r="AC197" i="2"/>
  <c r="AA358" i="2"/>
  <c r="AR241" i="4"/>
  <c r="N237" i="4"/>
  <c r="AS41" i="4"/>
  <c r="AD170" i="2"/>
  <c r="Z272" i="2"/>
  <c r="W319" i="2"/>
  <c r="AD323" i="2"/>
  <c r="AB120" i="2"/>
  <c r="N179" i="4"/>
  <c r="AR95" i="4"/>
  <c r="U217" i="6"/>
  <c r="T350" i="2"/>
  <c r="AB115" i="2"/>
  <c r="Z126" i="2"/>
  <c r="Y365" i="2"/>
  <c r="R198" i="2"/>
  <c r="AD176" i="2"/>
  <c r="X174" i="2"/>
  <c r="Z204" i="2"/>
  <c r="AC231" i="2"/>
  <c r="AD125" i="2"/>
  <c r="Z260" i="2"/>
  <c r="R224" i="2"/>
  <c r="AB289" i="2"/>
  <c r="AC57" i="2"/>
  <c r="AD286" i="2"/>
  <c r="Z228" i="2"/>
  <c r="R190" i="2"/>
  <c r="AB217" i="2"/>
  <c r="AC333" i="2"/>
  <c r="AD22" i="2"/>
  <c r="Z321" i="2"/>
  <c r="R184" i="2"/>
  <c r="G347" i="4"/>
  <c r="J117" i="4"/>
  <c r="X45" i="4"/>
  <c r="X140" i="4"/>
  <c r="K8" i="4"/>
  <c r="U214" i="6"/>
  <c r="U9" i="6"/>
  <c r="AC173" i="2"/>
  <c r="AB317" i="2"/>
  <c r="Y312" i="2"/>
  <c r="X21" i="2"/>
  <c r="AC109" i="2"/>
  <c r="W140" i="2"/>
  <c r="W259" i="2"/>
  <c r="Y127" i="2"/>
  <c r="Y148" i="2"/>
  <c r="Y136" i="2"/>
  <c r="AA380" i="2"/>
  <c r="AA302" i="2"/>
  <c r="AA376" i="2"/>
  <c r="X226" i="2"/>
  <c r="X90" i="2"/>
  <c r="X208" i="2"/>
  <c r="T195" i="2"/>
  <c r="T125" i="2"/>
  <c r="T180" i="2"/>
  <c r="V209" i="4"/>
  <c r="AR12" i="4"/>
  <c r="Z158" i="4"/>
  <c r="V308" i="4"/>
  <c r="N297" i="4"/>
  <c r="Y230" i="4"/>
  <c r="AR28" i="4"/>
  <c r="U367" i="6"/>
  <c r="U252" i="6"/>
  <c r="U137" i="6"/>
  <c r="U20" i="6"/>
  <c r="Z331" i="4"/>
  <c r="D96" i="4"/>
  <c r="Y189" i="4"/>
  <c r="Z116" i="4"/>
  <c r="E305" i="4"/>
  <c r="H41" i="4"/>
  <c r="AS230" i="4"/>
  <c r="M29" i="4"/>
  <c r="H8" i="4"/>
  <c r="U340" i="6"/>
  <c r="U211" i="6"/>
  <c r="U97" i="6"/>
  <c r="AA164" i="2"/>
  <c r="AD160" i="2"/>
  <c r="Y88" i="2"/>
  <c r="AB12" i="2"/>
  <c r="W312" i="2"/>
  <c r="W314" i="2"/>
  <c r="D238" i="4"/>
  <c r="N377" i="4"/>
  <c r="D235" i="4"/>
  <c r="J271" i="4"/>
  <c r="M45" i="4"/>
  <c r="I297" i="4"/>
  <c r="Z191" i="4"/>
  <c r="K17" i="4"/>
  <c r="K47" i="4"/>
  <c r="AQ374" i="4"/>
  <c r="U145" i="6"/>
  <c r="AD240" i="2"/>
  <c r="Z141" i="2"/>
  <c r="R243" i="2"/>
  <c r="T126" i="2"/>
  <c r="X108" i="2"/>
  <c r="Y165" i="2"/>
  <c r="Z50" i="2"/>
  <c r="AA170" i="2"/>
  <c r="AD136" i="2"/>
  <c r="T288" i="2"/>
  <c r="X309" i="2"/>
  <c r="X59" i="2"/>
  <c r="Y310" i="2"/>
  <c r="AC249" i="2"/>
  <c r="AD381" i="2"/>
  <c r="R194" i="2"/>
  <c r="AB99" i="2"/>
  <c r="AC224" i="2"/>
  <c r="Y270" i="2"/>
  <c r="Z209" i="2"/>
  <c r="Y57" i="2"/>
  <c r="W199" i="2"/>
  <c r="R367" i="2"/>
  <c r="AD228" i="2"/>
  <c r="AC67" i="2"/>
  <c r="AA331" i="2"/>
  <c r="Z217" i="2"/>
  <c r="X52" i="2"/>
  <c r="W197" i="2"/>
  <c r="T358" i="2"/>
  <c r="R215" i="2"/>
  <c r="AB155" i="2"/>
  <c r="K308" i="4"/>
  <c r="I94" i="4"/>
  <c r="U379" i="6"/>
  <c r="U106" i="6"/>
  <c r="W160" i="2"/>
  <c r="AC12" i="2"/>
  <c r="Y261" i="2"/>
  <c r="R109" i="2"/>
  <c r="W167" i="2"/>
  <c r="Y143" i="2"/>
  <c r="Z85" i="2"/>
  <c r="AA227" i="2"/>
  <c r="AB176" i="2"/>
  <c r="R245" i="2"/>
  <c r="W265" i="2"/>
  <c r="X277" i="2"/>
  <c r="Y257" i="2"/>
  <c r="Z74" i="2"/>
  <c r="AD73" i="2"/>
  <c r="R351" i="2"/>
  <c r="X237" i="2"/>
  <c r="W206" i="2"/>
  <c r="T287" i="2"/>
  <c r="AD348" i="2"/>
  <c r="AB253" i="2"/>
  <c r="AA97" i="2"/>
  <c r="AB318" i="2"/>
  <c r="X325" i="2"/>
  <c r="Y301" i="2"/>
  <c r="T156" i="2"/>
  <c r="R319" i="2"/>
  <c r="AD315" i="2"/>
  <c r="AC104" i="2"/>
  <c r="AA378" i="2"/>
  <c r="Z353" i="2"/>
  <c r="D190" i="4"/>
  <c r="Y299" i="4"/>
  <c r="AR302" i="4"/>
  <c r="U274" i="6"/>
  <c r="AC87" i="2"/>
  <c r="Y350" i="2"/>
  <c r="T168" i="2"/>
  <c r="AB239" i="2"/>
  <c r="AD19" i="2"/>
  <c r="T29" i="2"/>
  <c r="X50" i="2"/>
  <c r="Y170" i="2"/>
  <c r="Z341" i="2"/>
  <c r="AA242" i="2"/>
  <c r="AD14" i="2"/>
  <c r="T122" i="2"/>
  <c r="X225" i="2"/>
  <c r="X249" i="2"/>
  <c r="Y381" i="2"/>
  <c r="AC349" i="2"/>
  <c r="AD371" i="2"/>
  <c r="AD354" i="2"/>
  <c r="AB276" i="2"/>
  <c r="AA328" i="2"/>
  <c r="AB320" i="2"/>
  <c r="X251" i="2"/>
  <c r="Y255" i="2"/>
  <c r="T8" i="2"/>
  <c r="R244" i="2"/>
  <c r="AD129" i="2"/>
  <c r="AC20" i="2"/>
  <c r="AA116" i="2"/>
  <c r="Z343" i="2"/>
  <c r="X235" i="2"/>
  <c r="W369" i="2"/>
  <c r="T299" i="2"/>
  <c r="AT15" i="4"/>
  <c r="AR43" i="4"/>
  <c r="H320" i="4"/>
  <c r="D279" i="4"/>
  <c r="H142" i="4"/>
  <c r="U372" i="6"/>
  <c r="AB36" i="2"/>
  <c r="Y368" i="2"/>
  <c r="AB48" i="2"/>
  <c r="AA271" i="2"/>
  <c r="Y248" i="2"/>
  <c r="W118" i="4"/>
  <c r="I151" i="4"/>
  <c r="U203" i="6"/>
  <c r="Z158" i="2"/>
  <c r="Y243" i="2"/>
  <c r="R222" i="2"/>
  <c r="AD79" i="2"/>
  <c r="X246" i="2"/>
  <c r="Z159" i="2"/>
  <c r="AC191" i="2"/>
  <c r="W338" i="2"/>
  <c r="AB74" i="2"/>
  <c r="AC114" i="2"/>
  <c r="AD99" i="2"/>
  <c r="Z206" i="2"/>
  <c r="R363" i="2"/>
  <c r="AB232" i="2"/>
  <c r="AC367" i="2"/>
  <c r="AD55" i="2"/>
  <c r="Z355" i="2"/>
  <c r="R48" i="2"/>
  <c r="AB230" i="2"/>
  <c r="AC110" i="2"/>
  <c r="AD155" i="2"/>
  <c r="Z152" i="2"/>
  <c r="AR34" i="4"/>
  <c r="V89" i="4"/>
  <c r="H299" i="4"/>
  <c r="I230" i="4"/>
  <c r="U370" i="6"/>
  <c r="U163" i="6"/>
  <c r="AC164" i="2"/>
  <c r="T173" i="2"/>
  <c r="Y15" i="2"/>
  <c r="AD187" i="2"/>
  <c r="AC16" i="2"/>
  <c r="AB177" i="2"/>
  <c r="AB108" i="2"/>
  <c r="AB165" i="2"/>
  <c r="AD77" i="2"/>
  <c r="AD186" i="2"/>
  <c r="AD192" i="2"/>
  <c r="R380" i="2"/>
  <c r="R302" i="2"/>
  <c r="R376" i="2"/>
  <c r="AC296" i="2"/>
  <c r="AC225" i="2"/>
  <c r="AC200" i="2"/>
  <c r="Z381" i="2"/>
  <c r="Z349" i="2"/>
  <c r="Z371" i="2"/>
  <c r="F179" i="4"/>
  <c r="Y364" i="4"/>
  <c r="K84" i="4"/>
  <c r="H156" i="4"/>
  <c r="K95" i="4"/>
  <c r="AT277" i="4"/>
  <c r="G230" i="4"/>
  <c r="Y319" i="4"/>
  <c r="U355" i="6"/>
  <c r="U239" i="6"/>
  <c r="U123" i="6"/>
  <c r="U8" i="6"/>
  <c r="E240" i="4"/>
  <c r="V377" i="4"/>
  <c r="F234" i="4"/>
  <c r="G152" i="4"/>
  <c r="AQ298" i="4"/>
  <c r="E115" i="4"/>
  <c r="X115" i="4" s="1"/>
  <c r="V230" i="4"/>
  <c r="AQ320" i="4"/>
  <c r="F344" i="4"/>
  <c r="U315" i="6"/>
  <c r="U198" i="6"/>
  <c r="U83" i="6"/>
  <c r="R164" i="2"/>
  <c r="AA173" i="2"/>
  <c r="AD330" i="2"/>
  <c r="Y60" i="2"/>
  <c r="Y115" i="2"/>
  <c r="I59" i="4"/>
  <c r="V98" i="4"/>
  <c r="Z50" i="4"/>
  <c r="Z234" i="4"/>
  <c r="X46" i="4"/>
  <c r="H75" i="4"/>
  <c r="AR196" i="4"/>
  <c r="AT91" i="4"/>
  <c r="X241" i="4"/>
  <c r="F33" i="4"/>
  <c r="V41" i="4"/>
  <c r="K302" i="4"/>
  <c r="I374" i="4"/>
  <c r="U107" i="6"/>
  <c r="AA160" i="2"/>
  <c r="W317" i="2"/>
  <c r="AC261" i="2"/>
  <c r="T19" i="2"/>
  <c r="W29" i="2"/>
  <c r="X150" i="2"/>
  <c r="AB127" i="2"/>
  <c r="AC148" i="2"/>
  <c r="AC192" i="2"/>
  <c r="R83" i="2"/>
  <c r="W122" i="2"/>
  <c r="Z295" i="2"/>
  <c r="AA44" i="2"/>
  <c r="AB356" i="2"/>
  <c r="AC263" i="2"/>
  <c r="R180" i="2"/>
  <c r="T362" i="2"/>
  <c r="AD276" i="2"/>
  <c r="AB210" i="2"/>
  <c r="AA214" i="2"/>
  <c r="AB251" i="2"/>
  <c r="X364" i="2"/>
  <c r="Y8" i="2"/>
  <c r="T244" i="2"/>
  <c r="R67" i="2"/>
  <c r="AD66" i="2"/>
  <c r="AC116" i="2"/>
  <c r="AA166" i="2"/>
  <c r="Z235" i="2"/>
  <c r="X22" i="2"/>
  <c r="W299" i="2"/>
  <c r="N10" i="4"/>
  <c r="D304" i="4"/>
  <c r="Y149" i="4"/>
  <c r="U348" i="6"/>
  <c r="U69" i="6"/>
  <c r="AD268" i="2"/>
  <c r="Z60" i="2"/>
  <c r="R138" i="2"/>
  <c r="T222" i="2"/>
  <c r="X79" i="2"/>
  <c r="X98" i="2"/>
  <c r="Y198" i="2"/>
  <c r="AC95" i="2"/>
  <c r="AD36" i="2"/>
  <c r="R13" i="2"/>
  <c r="T340" i="2"/>
  <c r="W90" i="2"/>
  <c r="AA208" i="2"/>
  <c r="AB128" i="2"/>
  <c r="AC357" i="2"/>
  <c r="AD267" i="2"/>
  <c r="Y327" i="2"/>
  <c r="Z254" i="2"/>
  <c r="Y289" i="2"/>
  <c r="W329" i="2"/>
  <c r="R232" i="2"/>
  <c r="AD130" i="2"/>
  <c r="AC135" i="2"/>
  <c r="AA55" i="2"/>
  <c r="Z190" i="2"/>
  <c r="X223" i="2"/>
  <c r="W65" i="2"/>
  <c r="T132" i="2"/>
  <c r="R104" i="2"/>
  <c r="AB110" i="2"/>
  <c r="AC321" i="2"/>
  <c r="X281" i="4"/>
  <c r="F297" i="4"/>
  <c r="AQ29" i="4"/>
  <c r="U236" i="6"/>
  <c r="Z164" i="2"/>
  <c r="R124" i="2"/>
  <c r="AB250" i="2"/>
  <c r="AD203" i="2"/>
  <c r="R19" i="2"/>
  <c r="T365" i="2"/>
  <c r="W127" i="2"/>
  <c r="X148" i="2"/>
  <c r="AB136" i="2"/>
  <c r="AC159" i="2"/>
  <c r="AC13" i="2"/>
  <c r="R265" i="2"/>
  <c r="D98" i="4"/>
  <c r="F84" i="4"/>
  <c r="U90" i="6"/>
  <c r="W316" i="2"/>
  <c r="T97" i="2"/>
  <c r="AA84" i="2"/>
  <c r="AA152" i="2"/>
  <c r="AB82" i="2"/>
  <c r="AT12" i="4"/>
  <c r="G140" i="4"/>
  <c r="U101" i="6"/>
  <c r="R304" i="2"/>
  <c r="AD189" i="2"/>
  <c r="X51" i="2"/>
  <c r="Z150" i="2"/>
  <c r="AC170" i="2"/>
  <c r="W54" i="2"/>
  <c r="AD309" i="2"/>
  <c r="AB277" i="2"/>
  <c r="AD195" i="2"/>
  <c r="Z234" i="2"/>
  <c r="R362" i="2"/>
  <c r="AB146" i="2"/>
  <c r="AC214" i="2"/>
  <c r="AD291" i="2"/>
  <c r="Z23" i="2"/>
  <c r="R345" i="2"/>
  <c r="AB66" i="2"/>
  <c r="AC92" i="2"/>
  <c r="AD235" i="2"/>
  <c r="Z102" i="2"/>
  <c r="R27" i="2"/>
  <c r="AB32" i="2"/>
  <c r="W346" i="4"/>
  <c r="AT376" i="4"/>
  <c r="AR297" i="4"/>
  <c r="M139" i="4"/>
  <c r="U343" i="6"/>
  <c r="U138" i="6"/>
  <c r="T164" i="2"/>
  <c r="Z45" i="2"/>
  <c r="AD12" i="2"/>
  <c r="AC189" i="2"/>
  <c r="T16" i="2"/>
  <c r="Y107" i="2"/>
  <c r="Y29" i="2"/>
  <c r="AA28" i="2"/>
  <c r="AA256" i="2"/>
  <c r="AA266" i="2"/>
  <c r="X297" i="2"/>
  <c r="X335" i="2"/>
  <c r="X182" i="2"/>
  <c r="T309" i="2"/>
  <c r="T296" i="2"/>
  <c r="T225" i="2"/>
  <c r="W356" i="2"/>
  <c r="W263" i="2"/>
  <c r="W274" i="2"/>
  <c r="Y260" i="2"/>
  <c r="L300" i="4"/>
  <c r="I51" i="4"/>
  <c r="AS376" i="4"/>
  <c r="W45" i="4"/>
  <c r="E321" i="4"/>
  <c r="AQ321" i="4" s="1"/>
  <c r="AR140" i="4"/>
  <c r="L139" i="4"/>
  <c r="K319" i="4"/>
  <c r="U342" i="6"/>
  <c r="U226" i="6"/>
  <c r="U110" i="6"/>
  <c r="I252" i="4"/>
  <c r="I119" i="4"/>
  <c r="H325" i="4"/>
  <c r="M89" i="4"/>
  <c r="AS45" i="4"/>
  <c r="M297" i="4"/>
  <c r="AT149" i="4"/>
  <c r="L320" i="4"/>
  <c r="AT375" i="4"/>
  <c r="U302" i="6"/>
  <c r="U186" i="6"/>
  <c r="U70" i="6"/>
  <c r="X43" i="2"/>
  <c r="R173" i="2"/>
  <c r="AA252" i="2"/>
  <c r="AA89" i="2"/>
  <c r="AD243" i="2"/>
  <c r="G58" i="4"/>
  <c r="I34" i="4"/>
  <c r="L47" i="4"/>
  <c r="L89" i="4"/>
  <c r="J278" i="4"/>
  <c r="W44" i="4"/>
  <c r="M332" i="4"/>
  <c r="F85" i="4"/>
  <c r="J329" i="4"/>
  <c r="M188" i="4"/>
  <c r="E232" i="4"/>
  <c r="L29" i="4"/>
  <c r="U350" i="6"/>
  <c r="U78" i="6"/>
  <c r="X173" i="2"/>
  <c r="AD60" i="2"/>
  <c r="Z70" i="2"/>
  <c r="T51" i="2"/>
  <c r="Y238" i="2"/>
  <c r="Z342" i="2"/>
  <c r="AA77" i="2"/>
  <c r="AB186" i="2"/>
  <c r="AD297" i="2"/>
  <c r="T14" i="2"/>
  <c r="X265" i="2"/>
  <c r="Y58" i="2"/>
  <c r="Z218" i="2"/>
  <c r="AA231" i="2"/>
  <c r="AD279" i="2"/>
  <c r="T371" i="2"/>
  <c r="Y237" i="2"/>
  <c r="W221" i="2"/>
  <c r="R328" i="2"/>
  <c r="AD320" i="2"/>
  <c r="AC253" i="2"/>
  <c r="AA255" i="2"/>
  <c r="Z337" i="2"/>
  <c r="X149" i="2"/>
  <c r="W213" i="2"/>
  <c r="T20" i="2"/>
  <c r="R116" i="2"/>
  <c r="AB343" i="2"/>
  <c r="AC220" i="2"/>
  <c r="Y369" i="2"/>
  <c r="Z178" i="2"/>
  <c r="J47" i="4"/>
  <c r="Y321" i="4"/>
  <c r="V139" i="4"/>
  <c r="U311" i="6"/>
  <c r="U41" i="6"/>
  <c r="AA350" i="2"/>
  <c r="W168" i="2"/>
  <c r="AC239" i="2"/>
  <c r="R177" i="2"/>
  <c r="W53" i="2"/>
  <c r="Z151" i="2"/>
  <c r="AA246" i="2"/>
  <c r="AB157" i="2"/>
  <c r="AC258" i="2"/>
  <c r="R316" i="2"/>
  <c r="W339" i="2"/>
  <c r="Y225" i="2"/>
  <c r="Z200" i="2"/>
  <c r="AA195" i="2"/>
  <c r="AB125" i="2"/>
  <c r="R267" i="2"/>
  <c r="AB212" i="2"/>
  <c r="AA146" i="2"/>
  <c r="AB272" i="2"/>
  <c r="X361" i="2"/>
  <c r="Y291" i="2"/>
  <c r="T286" i="2"/>
  <c r="R135" i="2"/>
  <c r="AD345" i="2"/>
  <c r="AC40" i="2"/>
  <c r="AA216" i="2"/>
  <c r="Z92" i="2"/>
  <c r="X333" i="2"/>
  <c r="W63" i="2"/>
  <c r="T102" i="2"/>
  <c r="AD280" i="2"/>
  <c r="M377" i="4"/>
  <c r="F8" i="4"/>
  <c r="AT140" i="4"/>
  <c r="AB45" i="2"/>
  <c r="T339" i="2"/>
  <c r="AA228" i="2"/>
  <c r="R84" i="2"/>
  <c r="R152" i="2"/>
  <c r="Y283" i="2"/>
  <c r="F11" i="4"/>
  <c r="AT94" i="4"/>
  <c r="U89" i="6"/>
  <c r="X141" i="2"/>
  <c r="Z314" i="2"/>
  <c r="AC177" i="2"/>
  <c r="W342" i="2"/>
  <c r="AD227" i="2"/>
  <c r="AB380" i="2"/>
  <c r="AA122" i="2"/>
  <c r="AC218" i="2"/>
  <c r="AA381" i="2"/>
  <c r="W194" i="2"/>
  <c r="X354" i="2"/>
  <c r="Y211" i="2"/>
  <c r="T214" i="2"/>
  <c r="AA344" i="2"/>
  <c r="W8" i="2"/>
  <c r="X379" i="2"/>
  <c r="Y20" i="2"/>
  <c r="T92" i="2"/>
  <c r="AA220" i="2"/>
  <c r="W123" i="2"/>
  <c r="X359" i="2"/>
  <c r="V57" i="4"/>
  <c r="G14" i="4"/>
  <c r="D188" i="4"/>
  <c r="N95" i="4"/>
  <c r="AR9" i="4"/>
  <c r="U331" i="6"/>
  <c r="U125" i="6"/>
  <c r="Z43" i="2"/>
  <c r="AD124" i="2"/>
  <c r="AA60" i="2"/>
  <c r="T189" i="2"/>
  <c r="Z111" i="2"/>
  <c r="AD47" i="2"/>
  <c r="AD238" i="2"/>
  <c r="R28" i="2"/>
  <c r="R256" i="2"/>
  <c r="R266" i="2"/>
  <c r="AC176" i="2"/>
  <c r="AC183" i="2"/>
  <c r="AC316" i="2"/>
  <c r="Z122" i="2"/>
  <c r="Z59" i="2"/>
  <c r="Z310" i="2"/>
  <c r="AB231" i="2"/>
  <c r="AB106" i="2"/>
  <c r="AB114" i="2"/>
  <c r="AD137" i="2"/>
  <c r="F347" i="4"/>
  <c r="D11" i="4"/>
  <c r="X188" i="4"/>
  <c r="AT75" i="4"/>
  <c r="Z151" i="4"/>
  <c r="D140" i="4"/>
  <c r="N30" i="4"/>
  <c r="Y8" i="4"/>
  <c r="U330" i="6"/>
  <c r="U213" i="6"/>
  <c r="U98" i="6"/>
  <c r="AS165" i="4"/>
  <c r="L52" i="4"/>
  <c r="Y280" i="4"/>
  <c r="AR33" i="4"/>
  <c r="N45" i="4"/>
  <c r="G95" i="4"/>
  <c r="AS277" i="4"/>
  <c r="Z149" i="4"/>
  <c r="Y28" i="4"/>
  <c r="AT374" i="4"/>
  <c r="U290" i="6"/>
  <c r="U173" i="6"/>
  <c r="U58" i="6"/>
  <c r="AC169" i="2"/>
  <c r="X45" i="2"/>
  <c r="X304" i="2"/>
  <c r="R89" i="2"/>
  <c r="AA189" i="2"/>
  <c r="AQ245" i="4"/>
  <c r="V13" i="4"/>
  <c r="X207" i="4"/>
  <c r="Z306" i="4"/>
  <c r="Y116" i="4"/>
  <c r="I233" i="4"/>
  <c r="H54" i="4"/>
  <c r="D196" i="4"/>
  <c r="Y191" i="4"/>
  <c r="W157" i="4"/>
  <c r="L345" i="4"/>
  <c r="V320" i="4"/>
  <c r="U314" i="6"/>
  <c r="U42" i="6"/>
  <c r="T45" i="2"/>
  <c r="AA168" i="2"/>
  <c r="W138" i="2"/>
  <c r="W177" i="2"/>
  <c r="X167" i="2"/>
  <c r="Y28" i="2"/>
  <c r="Z256" i="2"/>
  <c r="AD266" i="2"/>
  <c r="R297" i="2"/>
  <c r="T182" i="2"/>
  <c r="W264" i="2"/>
  <c r="X204" i="2"/>
  <c r="AB76" i="2"/>
  <c r="AC324" i="2"/>
  <c r="AC236" i="2"/>
  <c r="R205" i="2"/>
  <c r="AB327" i="2"/>
  <c r="X206" i="2"/>
  <c r="Y278" i="2"/>
  <c r="T348" i="2"/>
  <c r="R253" i="2"/>
  <c r="AD97" i="2"/>
  <c r="AC318" i="2"/>
  <c r="AA325" i="2"/>
  <c r="Z301" i="2"/>
  <c r="X156" i="2"/>
  <c r="W48" i="2"/>
  <c r="T315" i="2"/>
  <c r="AD104" i="2"/>
  <c r="AB378" i="2"/>
  <c r="AA353" i="2"/>
  <c r="N77" i="4"/>
  <c r="L151" i="4"/>
  <c r="H30" i="4"/>
  <c r="U275" i="6"/>
  <c r="AB164" i="2"/>
  <c r="X158" i="2"/>
  <c r="AD250" i="2"/>
  <c r="AD21" i="2"/>
  <c r="T107" i="2"/>
  <c r="X165" i="2"/>
  <c r="Y50" i="2"/>
  <c r="Z170" i="2"/>
  <c r="AA341" i="2"/>
  <c r="AD159" i="2"/>
  <c r="T142" i="2"/>
  <c r="X296" i="2"/>
  <c r="X310" i="2"/>
  <c r="Y249" i="2"/>
  <c r="AC381" i="2"/>
  <c r="AD349" i="2"/>
  <c r="W347" i="2"/>
  <c r="R75" i="2"/>
  <c r="AD211" i="2"/>
  <c r="AC139" i="2"/>
  <c r="AA24" i="2"/>
  <c r="Z344" i="2"/>
  <c r="X171" i="2"/>
  <c r="W56" i="2"/>
  <c r="T379" i="2"/>
  <c r="R40" i="2"/>
  <c r="AB162" i="2"/>
  <c r="AC275" i="2"/>
  <c r="Y84" i="2"/>
  <c r="Z131" i="2"/>
  <c r="Y188" i="2"/>
  <c r="W322" i="2"/>
  <c r="K89" i="4"/>
  <c r="U48" i="6"/>
  <c r="U293" i="6"/>
  <c r="W89" i="2"/>
  <c r="X144" i="2"/>
  <c r="R241" i="2"/>
  <c r="R63" i="2"/>
  <c r="T300" i="2"/>
  <c r="AB33" i="2"/>
  <c r="AS234" i="4"/>
  <c r="AS319" i="4"/>
  <c r="Y87" i="2"/>
  <c r="AC317" i="2"/>
  <c r="W239" i="2"/>
  <c r="AD68" i="2"/>
  <c r="AB28" i="2"/>
  <c r="AA95" i="2"/>
  <c r="AC83" i="2"/>
  <c r="R122" i="2"/>
  <c r="T218" i="2"/>
  <c r="R381" i="2"/>
  <c r="AB64" i="2"/>
  <c r="AC237" i="2"/>
  <c r="AD372" i="2"/>
  <c r="Z320" i="2"/>
  <c r="R344" i="2"/>
  <c r="AB337" i="2"/>
  <c r="AC46" i="2"/>
  <c r="AD156" i="2"/>
  <c r="Z275" i="2"/>
  <c r="R220" i="2"/>
  <c r="AB188" i="2"/>
  <c r="AC323" i="2"/>
  <c r="E55" i="4"/>
  <c r="AS12" i="4"/>
  <c r="K279" i="4"/>
  <c r="D151" i="4"/>
  <c r="F9" i="4"/>
  <c r="U318" i="6"/>
  <c r="U113" i="6"/>
  <c r="W169" i="2"/>
  <c r="AA88" i="2"/>
  <c r="R60" i="2"/>
  <c r="Z261" i="2"/>
  <c r="AD373" i="2"/>
  <c r="AA207" i="2"/>
  <c r="X365" i="2"/>
  <c r="X298" i="2"/>
  <c r="X360" i="2"/>
  <c r="T227" i="2"/>
  <c r="T176" i="2"/>
  <c r="T183" i="2"/>
  <c r="W174" i="2"/>
  <c r="W94" i="2"/>
  <c r="W295" i="2"/>
  <c r="Y76" i="2"/>
  <c r="Y324" i="2"/>
  <c r="Y279" i="2"/>
  <c r="AA64" i="2"/>
  <c r="D215" i="4"/>
  <c r="X381" i="4"/>
  <c r="K49" i="4"/>
  <c r="J279" i="4"/>
  <c r="D44" i="4"/>
  <c r="W141" i="4"/>
  <c r="E114" i="4"/>
  <c r="AQ114" i="4" s="1"/>
  <c r="E9" i="4"/>
  <c r="K9" i="4" s="1"/>
  <c r="I8" i="4"/>
  <c r="U316" i="6"/>
  <c r="U201" i="6"/>
  <c r="U85" i="6"/>
  <c r="W163" i="4"/>
  <c r="H346" i="4"/>
  <c r="AR178" i="4"/>
  <c r="H376" i="4"/>
  <c r="AS75" i="4"/>
  <c r="Z321" i="4"/>
  <c r="L231" i="4"/>
  <c r="I139" i="4"/>
  <c r="J28" i="4"/>
  <c r="M374" i="4"/>
  <c r="U276" i="6"/>
  <c r="U161" i="6"/>
  <c r="U45" i="6"/>
  <c r="T169" i="2"/>
  <c r="T268" i="2"/>
  <c r="AC141" i="2"/>
  <c r="X290" i="2"/>
  <c r="R189" i="2"/>
  <c r="F143" i="4"/>
  <c r="G190" i="4"/>
  <c r="E236" i="4"/>
  <c r="G376" i="4"/>
  <c r="E76" i="4"/>
  <c r="D42" i="4"/>
  <c r="Z243" i="4"/>
  <c r="Z368" i="4"/>
  <c r="J239" i="4"/>
  <c r="D76" i="4"/>
  <c r="K140" i="4"/>
  <c r="W28" i="4"/>
  <c r="U284" i="6"/>
  <c r="R87" i="2"/>
  <c r="AB158" i="2"/>
  <c r="X89" i="2"/>
  <c r="R239" i="2"/>
  <c r="T47" i="2"/>
  <c r="W365" i="2"/>
  <c r="AA298" i="2"/>
  <c r="AB360" i="2"/>
  <c r="AC113" i="2"/>
  <c r="AD258" i="2"/>
  <c r="T174" i="2"/>
  <c r="Y340" i="2"/>
  <c r="Z338" i="2"/>
  <c r="AA144" i="2"/>
  <c r="AB71" i="2"/>
  <c r="AD357" i="2"/>
  <c r="T260" i="2"/>
  <c r="AC212" i="2"/>
  <c r="AA254" i="2"/>
  <c r="Z289" i="2"/>
  <c r="X329" i="2"/>
  <c r="W233" i="2"/>
  <c r="T130" i="2"/>
  <c r="R318" i="2"/>
  <c r="AB55" i="2"/>
  <c r="AC190" i="2"/>
  <c r="Y223" i="2"/>
  <c r="Z65" i="2"/>
  <c r="Y333" i="2"/>
  <c r="W145" i="2"/>
  <c r="R110" i="2"/>
  <c r="AD321" i="2"/>
  <c r="W235" i="4"/>
  <c r="G41" i="4"/>
  <c r="AS302" i="4"/>
  <c r="U246" i="6"/>
  <c r="Y43" i="2"/>
  <c r="T124" i="2"/>
  <c r="AA326" i="2"/>
  <c r="R21" i="2"/>
  <c r="T133" i="2"/>
  <c r="W150" i="2"/>
  <c r="X127" i="2"/>
  <c r="AB148" i="2"/>
  <c r="AC136" i="2"/>
  <c r="AC54" i="2"/>
  <c r="F235" i="4"/>
  <c r="U124" i="6"/>
  <c r="T203" i="2"/>
  <c r="R279" i="2"/>
  <c r="X67" i="2"/>
  <c r="Z358" i="2"/>
  <c r="Z9" i="2"/>
  <c r="AA284" i="2"/>
  <c r="N234" i="4"/>
  <c r="AS8" i="4"/>
  <c r="AD164" i="2"/>
  <c r="AD89" i="2"/>
  <c r="AB203" i="2"/>
  <c r="AA273" i="2"/>
  <c r="AC50" i="2"/>
  <c r="R95" i="2"/>
  <c r="T83" i="2"/>
  <c r="AB339" i="2"/>
  <c r="Z76" i="2"/>
  <c r="Z279" i="2"/>
  <c r="R371" i="2"/>
  <c r="AB75" i="2"/>
  <c r="AC328" i="2"/>
  <c r="AD24" i="2"/>
  <c r="Z364" i="2"/>
  <c r="R112" i="2"/>
  <c r="AB129" i="2"/>
  <c r="AC162" i="2"/>
  <c r="AD343" i="2"/>
  <c r="Z63" i="2"/>
  <c r="R299" i="2"/>
  <c r="AB35" i="2"/>
  <c r="W209" i="4"/>
  <c r="AS50" i="4"/>
  <c r="G116" i="4"/>
  <c r="E40" i="4"/>
  <c r="N28" i="4"/>
  <c r="U267" i="6"/>
  <c r="U61" i="6"/>
  <c r="AB346" i="2"/>
  <c r="R88" i="2"/>
  <c r="Z290" i="2"/>
  <c r="W70" i="2"/>
  <c r="AA105" i="2"/>
  <c r="R207" i="2"/>
  <c r="AC79" i="2"/>
  <c r="AC143" i="2"/>
  <c r="AC85" i="2"/>
  <c r="Z95" i="2"/>
  <c r="Z36" i="2"/>
  <c r="Z288" i="2"/>
  <c r="AB191" i="2"/>
  <c r="AB265" i="2"/>
  <c r="AB58" i="2"/>
  <c r="AD144" i="2"/>
  <c r="AD71" i="2"/>
  <c r="AD236" i="2"/>
  <c r="R64" i="2"/>
  <c r="X73" i="4"/>
  <c r="I16" i="4"/>
  <c r="D207" i="4"/>
  <c r="X7" i="4"/>
  <c r="K233" i="4"/>
  <c r="N303" i="4"/>
  <c r="AQ31" i="4"/>
  <c r="AT29" i="4"/>
  <c r="F27" i="4"/>
  <c r="U303" i="6"/>
  <c r="U187" i="6"/>
  <c r="U59" i="6"/>
  <c r="K121" i="4"/>
  <c r="AR237" i="4"/>
  <c r="F178" i="4"/>
  <c r="W188" i="4"/>
  <c r="X44" i="4"/>
  <c r="D321" i="4"/>
  <c r="W114" i="4"/>
  <c r="M30" i="4"/>
  <c r="X319" i="4"/>
  <c r="U380" i="6"/>
  <c r="U263" i="6"/>
  <c r="U147" i="6"/>
  <c r="U32" i="6"/>
  <c r="W103" i="2"/>
  <c r="Z350" i="2"/>
  <c r="T141" i="2"/>
  <c r="AC250" i="2"/>
  <c r="X261" i="2"/>
  <c r="X367" i="4"/>
  <c r="AQ51" i="4"/>
  <c r="J158" i="4"/>
  <c r="V188" i="4"/>
  <c r="F152" i="4"/>
  <c r="K304" i="4"/>
  <c r="N367" i="4"/>
  <c r="L56" i="4"/>
  <c r="AS91" i="4"/>
  <c r="L308" i="4"/>
  <c r="J94" i="4"/>
  <c r="V319" i="4"/>
  <c r="U247" i="6"/>
  <c r="AC43" i="2"/>
  <c r="Y124" i="2"/>
  <c r="T290" i="2"/>
  <c r="R16" i="2"/>
  <c r="W207" i="2"/>
  <c r="Y79" i="2"/>
  <c r="Z143" i="2"/>
  <c r="AA85" i="2"/>
  <c r="AB227" i="2"/>
  <c r="R258" i="2"/>
  <c r="W191" i="2"/>
  <c r="X339" i="2"/>
  <c r="Y277" i="2"/>
  <c r="AA361" i="2"/>
  <c r="AB84" i="2"/>
  <c r="R346" i="2"/>
  <c r="AB192" i="2"/>
  <c r="AA356" i="2"/>
  <c r="Y147" i="2"/>
  <c r="AC69" i="2"/>
  <c r="W355" i="2"/>
  <c r="AA119" i="2"/>
  <c r="D41" i="4"/>
  <c r="U206" i="6"/>
  <c r="AC330" i="2"/>
  <c r="AC21" i="2"/>
  <c r="T259" i="2"/>
  <c r="Z186" i="2"/>
  <c r="AB54" i="2"/>
  <c r="T264" i="2"/>
  <c r="X257" i="2"/>
  <c r="AB279" i="2"/>
  <c r="AC267" i="2"/>
  <c r="AD75" i="2"/>
  <c r="T278" i="2"/>
  <c r="AC269" i="2"/>
  <c r="R130" i="2"/>
  <c r="W325" i="2"/>
  <c r="AB40" i="2"/>
  <c r="T48" i="2"/>
  <c r="AA18" i="2"/>
  <c r="AD102" i="2"/>
  <c r="AT378" i="4"/>
  <c r="AQ115" i="4"/>
  <c r="U235" i="6"/>
  <c r="AC103" i="2"/>
  <c r="AC15" i="2"/>
  <c r="Z203" i="2"/>
  <c r="AB109" i="2"/>
  <c r="R79" i="2"/>
  <c r="W148" i="2"/>
  <c r="Y185" i="2"/>
  <c r="AA183" i="2"/>
  <c r="AQ45" i="4"/>
  <c r="E276" i="4"/>
  <c r="U335" i="6"/>
  <c r="X164" i="2"/>
  <c r="X252" i="2"/>
  <c r="X189" i="2"/>
  <c r="Z105" i="2"/>
  <c r="AB68" i="2"/>
  <c r="R143" i="2"/>
  <c r="W136" i="2"/>
  <c r="Y380" i="2"/>
  <c r="AA316" i="2"/>
  <c r="AC340" i="2"/>
  <c r="T208" i="2"/>
  <c r="X73" i="2"/>
  <c r="AA267" i="2"/>
  <c r="Y212" i="2"/>
  <c r="AA211" i="2"/>
  <c r="X320" i="2"/>
  <c r="AC233" i="2"/>
  <c r="T171" i="2"/>
  <c r="AD149" i="2"/>
  <c r="W190" i="2"/>
  <c r="AB163" i="2"/>
  <c r="X343" i="2"/>
  <c r="AA145" i="2"/>
  <c r="R123" i="2"/>
  <c r="AD322" i="2"/>
  <c r="AS189" i="4"/>
  <c r="N141" i="4"/>
  <c r="Z302" i="4"/>
  <c r="W374" i="4"/>
  <c r="U121" i="6"/>
  <c r="X103" i="2"/>
  <c r="AD141" i="2"/>
  <c r="Z115" i="2"/>
  <c r="Y16" i="2"/>
  <c r="N7" i="4"/>
  <c r="AS231" i="4"/>
  <c r="Y29" i="4"/>
  <c r="U362" i="6"/>
  <c r="U82" i="6"/>
  <c r="AC160" i="2"/>
  <c r="Y317" i="2"/>
  <c r="T243" i="2"/>
  <c r="W126" i="2"/>
  <c r="X107" i="2"/>
  <c r="AB29" i="2"/>
  <c r="AC150" i="2"/>
  <c r="G7" i="4"/>
  <c r="D115" i="4"/>
  <c r="M9" i="4"/>
  <c r="K375" i="4"/>
  <c r="U146" i="6"/>
  <c r="AC312" i="2"/>
  <c r="AD98" i="2"/>
  <c r="AA83" i="2"/>
  <c r="T204" i="2"/>
  <c r="X279" i="2"/>
  <c r="AC260" i="2"/>
  <c r="Y146" i="2"/>
  <c r="R329" i="2"/>
  <c r="R286" i="2"/>
  <c r="R379" i="2"/>
  <c r="Z162" i="2"/>
  <c r="AC132" i="2"/>
  <c r="AC102" i="2"/>
  <c r="Y293" i="2"/>
  <c r="T307" i="2"/>
  <c r="AB96" i="2"/>
  <c r="AA117" i="2"/>
  <c r="T25" i="2"/>
  <c r="T248" i="2"/>
  <c r="X283" i="2"/>
  <c r="X317" i="2"/>
  <c r="AD150" i="2"/>
  <c r="W242" i="2"/>
  <c r="AB41" i="2"/>
  <c r="R44" i="2"/>
  <c r="Y180" i="2"/>
  <c r="AC147" i="2"/>
  <c r="Y139" i="2"/>
  <c r="W69" i="2"/>
  <c r="W228" i="2"/>
  <c r="AD331" i="2"/>
  <c r="Z311" i="2"/>
  <c r="X358" i="2"/>
  <c r="X27" i="2"/>
  <c r="W10" i="2"/>
  <c r="AB247" i="2"/>
  <c r="X179" i="2"/>
  <c r="W118" i="2"/>
  <c r="AA352" i="2"/>
  <c r="AD172" i="2"/>
  <c r="AD42" i="2"/>
  <c r="AC101" i="2"/>
  <c r="AD43" i="2"/>
  <c r="X29" i="2"/>
  <c r="AD148" i="2"/>
  <c r="X142" i="2"/>
  <c r="AC59" i="2"/>
  <c r="R195" i="2"/>
  <c r="W362" i="2"/>
  <c r="AD210" i="2"/>
  <c r="Z368" i="2"/>
  <c r="X23" i="2"/>
  <c r="X129" i="2"/>
  <c r="AA202" i="2"/>
  <c r="T18" i="2"/>
  <c r="T215" i="2"/>
  <c r="T293" i="2"/>
  <c r="R307" i="2"/>
  <c r="Z373" i="2"/>
  <c r="AC151" i="2"/>
  <c r="W83" i="2"/>
  <c r="Z340" i="2"/>
  <c r="AB144" i="2"/>
  <c r="T267" i="2"/>
  <c r="AB254" i="2"/>
  <c r="AB361" i="2"/>
  <c r="Z171" i="2"/>
  <c r="AC55" i="2"/>
  <c r="Y156" i="2"/>
  <c r="W132" i="2"/>
  <c r="W102" i="2"/>
  <c r="Z323" i="2"/>
  <c r="X332" i="2"/>
  <c r="X96" i="2"/>
  <c r="AC377" i="2"/>
  <c r="R336" i="2"/>
  <c r="W120" i="2"/>
  <c r="Z82" i="2"/>
  <c r="AD33" i="2"/>
  <c r="AC30" i="2"/>
  <c r="AB168" i="2"/>
  <c r="AB342" i="2"/>
  <c r="T36" i="2"/>
  <c r="AD94" i="2"/>
  <c r="X231" i="2"/>
  <c r="Z114" i="2"/>
  <c r="AC354" i="2"/>
  <c r="AC287" i="2"/>
  <c r="AA232" i="2"/>
  <c r="W337" i="2"/>
  <c r="AD213" i="2"/>
  <c r="AD48" i="2"/>
  <c r="AB145" i="2"/>
  <c r="Z196" i="2"/>
  <c r="AB143" i="2"/>
  <c r="Z245" i="2"/>
  <c r="AB94" i="2"/>
  <c r="R144" i="2"/>
  <c r="Y194" i="2"/>
  <c r="AB61" i="2"/>
  <c r="Z363" i="2"/>
  <c r="AC291" i="2"/>
  <c r="Y135" i="2"/>
  <c r="W40" i="2"/>
  <c r="W275" i="2"/>
  <c r="AD131" i="2"/>
  <c r="Z280" i="2"/>
  <c r="Y292" i="2"/>
  <c r="T282" i="2"/>
  <c r="X9" i="2"/>
  <c r="X26" i="2"/>
  <c r="W49" i="2"/>
  <c r="Z140" i="2"/>
  <c r="T192" i="2"/>
  <c r="X154" i="2"/>
  <c r="AC204" i="2"/>
  <c r="T381" i="2"/>
  <c r="AC39" i="2"/>
  <c r="AC270" i="2"/>
  <c r="AA57" i="2"/>
  <c r="W367" i="2"/>
  <c r="AD241" i="2"/>
  <c r="AD217" i="2"/>
  <c r="AB235" i="2"/>
  <c r="X17" i="2"/>
  <c r="AA293" i="2"/>
  <c r="Z32" i="2"/>
  <c r="AB300" i="2"/>
  <c r="R308" i="2"/>
  <c r="AB285" i="2"/>
  <c r="AA303" i="2"/>
  <c r="T181" i="2"/>
  <c r="T375" i="2"/>
  <c r="X62" i="2"/>
  <c r="Z277" i="2"/>
  <c r="AB131" i="2"/>
  <c r="AA300" i="2"/>
  <c r="AC352" i="2"/>
  <c r="T80" i="2"/>
  <c r="T30" i="2"/>
  <c r="E15" i="2"/>
  <c r="E107" i="2"/>
  <c r="E148" i="2"/>
  <c r="E154" i="2"/>
  <c r="E324" i="2"/>
  <c r="E327" i="2"/>
  <c r="E251" i="2"/>
  <c r="E241" i="2"/>
  <c r="E84" i="2"/>
  <c r="E271" i="2"/>
  <c r="E285" i="2"/>
  <c r="E91" i="2"/>
  <c r="R210" i="2"/>
  <c r="R359" i="2"/>
  <c r="Z179" i="2"/>
  <c r="AD219" i="2"/>
  <c r="T86" i="2"/>
  <c r="AC72" i="2"/>
  <c r="D89" i="2"/>
  <c r="D68" i="2"/>
  <c r="D227" i="2"/>
  <c r="D309" i="2"/>
  <c r="D195" i="2"/>
  <c r="D147" i="2"/>
  <c r="D291" i="2"/>
  <c r="D301" i="2"/>
  <c r="D235" i="2"/>
  <c r="D292" i="2"/>
  <c r="D305" i="2"/>
  <c r="AD304" i="2"/>
  <c r="W287" i="2"/>
  <c r="Y323" i="2"/>
  <c r="R25" i="2"/>
  <c r="X100" i="2"/>
  <c r="AC62" i="2"/>
  <c r="E12" i="2"/>
  <c r="E47" i="2"/>
  <c r="E186" i="2"/>
  <c r="E121" i="2"/>
  <c r="E71" i="2"/>
  <c r="E212" i="2"/>
  <c r="E253" i="2"/>
  <c r="E67" i="2"/>
  <c r="E18" i="2"/>
  <c r="E293" i="2"/>
  <c r="E49" i="2"/>
  <c r="B2" i="2"/>
  <c r="C2" i="2" s="1"/>
  <c r="W205" i="2"/>
  <c r="AD18" i="2"/>
  <c r="V31" i="2"/>
  <c r="Z257" i="2"/>
  <c r="Z291" i="2"/>
  <c r="X63" i="2"/>
  <c r="AB252" i="2"/>
  <c r="AD335" i="2"/>
  <c r="Z231" i="2"/>
  <c r="Z224" i="2"/>
  <c r="R69" i="2"/>
  <c r="Z331" i="2"/>
  <c r="AD358" i="2"/>
  <c r="H277" i="4"/>
  <c r="U170" i="6"/>
  <c r="Z252" i="2"/>
  <c r="AB16" i="2"/>
  <c r="W165" i="2"/>
  <c r="Y266" i="2"/>
  <c r="AD380" i="2"/>
  <c r="T226" i="2"/>
  <c r="Z356" i="2"/>
  <c r="AA236" i="2"/>
  <c r="AD260" i="2"/>
  <c r="T61" i="2"/>
  <c r="X289" i="2"/>
  <c r="AA253" i="2"/>
  <c r="W171" i="2"/>
  <c r="Z55" i="2"/>
  <c r="R201" i="2"/>
  <c r="Y92" i="2"/>
  <c r="Y220" i="2"/>
  <c r="T123" i="2"/>
  <c r="W281" i="4"/>
  <c r="G231" i="4"/>
  <c r="U197" i="6"/>
  <c r="Z38" i="2"/>
  <c r="AD290" i="2"/>
  <c r="AB21" i="2"/>
  <c r="AD222" i="2"/>
  <c r="T150" i="2"/>
  <c r="Y186" i="2"/>
  <c r="AA297" i="2"/>
  <c r="G97" i="4"/>
  <c r="G75" i="4"/>
  <c r="D149" i="4"/>
  <c r="U234" i="6"/>
  <c r="T43" i="2"/>
  <c r="T304" i="2"/>
  <c r="Z239" i="2"/>
  <c r="AB19" i="2"/>
  <c r="AD273" i="2"/>
  <c r="T127" i="2"/>
  <c r="Y192" i="2"/>
  <c r="AA335" i="2"/>
  <c r="AA191" i="2"/>
  <c r="AD226" i="2"/>
  <c r="T356" i="2"/>
  <c r="X349" i="2"/>
  <c r="Z205" i="2"/>
  <c r="Z75" i="2"/>
  <c r="Y328" i="2"/>
  <c r="AA348" i="2"/>
  <c r="R233" i="2"/>
  <c r="AC8" i="2"/>
  <c r="T325" i="2"/>
  <c r="Z40" i="2"/>
  <c r="W116" i="2"/>
  <c r="Y315" i="2"/>
  <c r="AD63" i="2"/>
  <c r="W215" i="2"/>
  <c r="T193" i="2"/>
  <c r="I324" i="4"/>
  <c r="F303" i="4"/>
  <c r="Z29" i="4"/>
  <c r="U363" i="6"/>
  <c r="U91" i="6"/>
  <c r="T38" i="2"/>
  <c r="AA317" i="2"/>
  <c r="W243" i="2"/>
  <c r="X111" i="2"/>
  <c r="W46" i="4"/>
  <c r="N114" i="4"/>
  <c r="Z320" i="4"/>
  <c r="U324" i="6"/>
  <c r="U53" i="6"/>
  <c r="Z173" i="2"/>
  <c r="R12" i="2"/>
  <c r="AB70" i="2"/>
  <c r="Y373" i="2"/>
  <c r="Z47" i="2"/>
  <c r="AA238" i="2"/>
  <c r="K12" i="4"/>
  <c r="F45" i="4"/>
  <c r="G232" i="4"/>
  <c r="N302" i="4"/>
  <c r="J374" i="4"/>
  <c r="U117" i="6"/>
  <c r="W229" i="2"/>
  <c r="AD256" i="2"/>
  <c r="AB13" i="2"/>
  <c r="T44" i="2"/>
  <c r="Y73" i="2"/>
  <c r="Z362" i="2"/>
  <c r="AC372" i="2"/>
  <c r="Y24" i="2"/>
  <c r="W294" i="2"/>
  <c r="W241" i="2"/>
  <c r="AD202" i="2"/>
  <c r="Z18" i="2"/>
  <c r="X215" i="2"/>
  <c r="Z35" i="2"/>
  <c r="X32" i="2"/>
  <c r="Z300" i="2"/>
  <c r="Z308" i="2"/>
  <c r="Y285" i="2"/>
  <c r="Y303" i="2"/>
  <c r="AB181" i="2"/>
  <c r="Z187" i="2"/>
  <c r="AD298" i="2"/>
  <c r="X380" i="2"/>
  <c r="AC122" i="2"/>
  <c r="R200" i="2"/>
  <c r="Z267" i="2"/>
  <c r="Z221" i="2"/>
  <c r="AC209" i="2"/>
  <c r="AC364" i="2"/>
  <c r="AA149" i="2"/>
  <c r="W66" i="2"/>
  <c r="AD166" i="2"/>
  <c r="AD369" i="2"/>
  <c r="AA359" i="2"/>
  <c r="Z332" i="2"/>
  <c r="R247" i="2"/>
  <c r="AA34" i="2"/>
  <c r="AA366" i="2"/>
  <c r="AD305" i="2"/>
  <c r="T172" i="2"/>
  <c r="X78" i="2"/>
  <c r="X313" i="2"/>
  <c r="R268" i="2"/>
  <c r="Z79" i="2"/>
  <c r="W36" i="2"/>
  <c r="Y191" i="2"/>
  <c r="AA58" i="2"/>
  <c r="T279" i="2"/>
  <c r="AA237" i="2"/>
  <c r="W328" i="2"/>
  <c r="AD251" i="2"/>
  <c r="AD337" i="2"/>
  <c r="AB301" i="2"/>
  <c r="X319" i="2"/>
  <c r="AA197" i="2"/>
  <c r="Y299" i="2"/>
  <c r="X35" i="2"/>
  <c r="X282" i="2"/>
  <c r="Y222" i="2"/>
  <c r="AC360" i="2"/>
  <c r="T13" i="2"/>
  <c r="AA226" i="2"/>
  <c r="AC208" i="2"/>
  <c r="Y347" i="2"/>
  <c r="R146" i="2"/>
  <c r="R24" i="2"/>
  <c r="R294" i="2"/>
  <c r="Z46" i="2"/>
  <c r="AC216" i="2"/>
  <c r="AC84" i="2"/>
  <c r="AA188" i="2"/>
  <c r="AC271" i="2"/>
  <c r="Y152" i="2"/>
  <c r="AB11" i="2"/>
  <c r="X117" i="2"/>
  <c r="W175" i="2"/>
  <c r="AA248" i="2"/>
  <c r="AD283" i="2"/>
  <c r="T33" i="2"/>
  <c r="X281" i="2"/>
  <c r="AD261" i="2"/>
  <c r="R298" i="2"/>
  <c r="W335" i="2"/>
  <c r="R340" i="2"/>
  <c r="Y71" i="2"/>
  <c r="AA194" i="2"/>
  <c r="Z212" i="2"/>
  <c r="X272" i="2"/>
  <c r="X344" i="2"/>
  <c r="AA135" i="2"/>
  <c r="T301" i="2"/>
  <c r="T65" i="2"/>
  <c r="T63" i="2"/>
  <c r="Y105" i="2"/>
  <c r="R151" i="2"/>
  <c r="X14" i="2"/>
  <c r="AC264" i="2"/>
  <c r="T249" i="2"/>
  <c r="W351" i="2"/>
  <c r="R147" i="2"/>
  <c r="R209" i="2"/>
  <c r="Z199" i="2"/>
  <c r="AC56" i="2"/>
  <c r="AC355" i="2"/>
  <c r="AA52" i="2"/>
  <c r="W119" i="2"/>
  <c r="AD193" i="2"/>
  <c r="Z184" i="2"/>
  <c r="Y31" i="2"/>
  <c r="AB179" i="2"/>
  <c r="AB118" i="2"/>
  <c r="AA153" i="2"/>
  <c r="Y167" i="2"/>
  <c r="T258" i="2"/>
  <c r="Y376" i="2"/>
  <c r="AD277" i="2"/>
  <c r="R106" i="2"/>
  <c r="Z354" i="2"/>
  <c r="X287" i="2"/>
  <c r="X232" i="2"/>
  <c r="AA8" i="2"/>
  <c r="T67" i="2"/>
  <c r="T116" i="2"/>
  <c r="T220" i="2"/>
  <c r="AB178" i="2"/>
  <c r="AD35" i="2"/>
  <c r="AC282" i="2"/>
  <c r="R300" i="2"/>
  <c r="W26" i="2"/>
  <c r="Z153" i="2"/>
  <c r="Z306" i="2"/>
  <c r="Y37" i="2"/>
  <c r="Y81" i="2"/>
  <c r="AB72" i="2"/>
  <c r="AC327" i="2"/>
  <c r="W188" i="2"/>
  <c r="AC179" i="2"/>
  <c r="X248" i="2"/>
  <c r="AC78" i="2"/>
  <c r="R281" i="2"/>
  <c r="E89" i="2"/>
  <c r="E68" i="2"/>
  <c r="E227" i="2"/>
  <c r="E309" i="2"/>
  <c r="E195" i="2"/>
  <c r="E147" i="2"/>
  <c r="E291" i="2"/>
  <c r="E301" i="2"/>
  <c r="E235" i="2"/>
  <c r="E292" i="2"/>
  <c r="E305" i="2"/>
  <c r="AB160" i="2"/>
  <c r="AC24" i="2"/>
  <c r="AA35" i="2"/>
  <c r="AB377" i="2"/>
  <c r="Y306" i="2"/>
  <c r="AC375" i="2"/>
  <c r="AC91" i="2"/>
  <c r="D312" i="2"/>
  <c r="AD74" i="2"/>
  <c r="X286" i="2"/>
  <c r="Y123" i="2"/>
  <c r="X312" i="2"/>
  <c r="R191" i="2"/>
  <c r="AB263" i="2"/>
  <c r="T372" i="2"/>
  <c r="AA294" i="2"/>
  <c r="T163" i="2"/>
  <c r="AB215" i="2"/>
  <c r="J231" i="4"/>
  <c r="U133" i="6"/>
  <c r="W304" i="2"/>
  <c r="AD111" i="2"/>
  <c r="T342" i="2"/>
  <c r="AA113" i="2"/>
  <c r="AC335" i="2"/>
  <c r="T295" i="2"/>
  <c r="Y231" i="2"/>
  <c r="Z73" i="2"/>
  <c r="AC137" i="2"/>
  <c r="R221" i="2"/>
  <c r="AA272" i="2"/>
  <c r="AD232" i="2"/>
  <c r="Z294" i="2"/>
  <c r="AC345" i="2"/>
  <c r="R20" i="2"/>
  <c r="AB275" i="2"/>
  <c r="AB104" i="2"/>
  <c r="X188" i="2"/>
  <c r="L377" i="4"/>
  <c r="G28" i="4"/>
  <c r="U169" i="6"/>
  <c r="W240" i="2"/>
  <c r="AA250" i="2"/>
  <c r="AA16" i="2"/>
  <c r="AC51" i="2"/>
  <c r="T298" i="2"/>
  <c r="X266" i="2"/>
  <c r="Z176" i="2"/>
  <c r="AR48" i="4"/>
  <c r="X305" i="4"/>
  <c r="AT30" i="4"/>
  <c r="U195" i="6"/>
  <c r="AB103" i="2"/>
  <c r="AB15" i="2"/>
  <c r="Y203" i="2"/>
  <c r="AA109" i="2"/>
  <c r="AC140" i="2"/>
  <c r="T360" i="2"/>
  <c r="X185" i="2"/>
  <c r="Z183" i="2"/>
  <c r="AC154" i="2"/>
  <c r="R226" i="2"/>
  <c r="W231" i="2"/>
  <c r="Z274" i="2"/>
  <c r="AB260" i="2"/>
  <c r="AC61" i="2"/>
  <c r="AB287" i="2"/>
  <c r="AD329" i="2"/>
  <c r="W344" i="2"/>
  <c r="R8" i="2"/>
  <c r="X55" i="2"/>
  <c r="AA201" i="2"/>
  <c r="Z319" i="2"/>
  <c r="AB132" i="2"/>
  <c r="T131" i="2"/>
  <c r="Z17" i="2"/>
  <c r="X155" i="2"/>
  <c r="Z376" i="4"/>
  <c r="V115" i="4"/>
  <c r="D319" i="4"/>
  <c r="U326" i="6"/>
  <c r="U54" i="6"/>
  <c r="AB173" i="2"/>
  <c r="X15" i="2"/>
  <c r="AD70" i="2"/>
  <c r="N12" i="4"/>
  <c r="G45" i="4"/>
  <c r="AT276" i="4"/>
  <c r="U287" i="6"/>
  <c r="U16" i="6"/>
  <c r="W45" i="2"/>
  <c r="AC168" i="2"/>
  <c r="Y138" i="2"/>
  <c r="X105" i="2"/>
  <c r="Y207" i="2"/>
  <c r="Z167" i="2"/>
  <c r="X50" i="4"/>
  <c r="M44" i="4"/>
  <c r="AR32" i="4"/>
  <c r="W29" i="4"/>
  <c r="U351" i="6"/>
  <c r="U81" i="6"/>
  <c r="X177" i="2"/>
  <c r="R170" i="2"/>
  <c r="AC182" i="2"/>
  <c r="W257" i="2"/>
  <c r="Z125" i="2"/>
  <c r="R354" i="2"/>
  <c r="Z328" i="2"/>
  <c r="AC368" i="2"/>
  <c r="AC23" i="2"/>
  <c r="AA129" i="2"/>
  <c r="W217" i="2"/>
  <c r="AD197" i="2"/>
  <c r="AD299" i="2"/>
  <c r="AC134" i="2"/>
  <c r="AA282" i="2"/>
  <c r="AD9" i="2"/>
  <c r="AD26" i="2"/>
  <c r="AC49" i="2"/>
  <c r="AC219" i="2"/>
  <c r="R181" i="2"/>
  <c r="X126" i="2"/>
  <c r="AC98" i="2"/>
  <c r="Y83" i="2"/>
  <c r="AA265" i="2"/>
  <c r="T324" i="2"/>
  <c r="X260" i="2"/>
  <c r="AD254" i="2"/>
  <c r="Z348" i="2"/>
  <c r="X130" i="2"/>
  <c r="X345" i="2"/>
  <c r="AA156" i="2"/>
  <c r="T343" i="2"/>
  <c r="T378" i="2"/>
  <c r="AB323" i="2"/>
  <c r="AC152" i="2"/>
  <c r="W93" i="2"/>
  <c r="Z117" i="2"/>
  <c r="Z175" i="2"/>
  <c r="T305" i="2"/>
  <c r="Y100" i="2"/>
  <c r="AB86" i="2"/>
  <c r="AB374" i="2"/>
  <c r="T15" i="2"/>
  <c r="AB150" i="2"/>
  <c r="R242" i="2"/>
  <c r="Z121" i="2"/>
  <c r="AB338" i="2"/>
  <c r="T274" i="2"/>
  <c r="X75" i="2"/>
  <c r="AA278" i="2"/>
  <c r="T253" i="2"/>
  <c r="T318" i="2"/>
  <c r="T190" i="2"/>
  <c r="AB65" i="2"/>
  <c r="AB63" i="2"/>
  <c r="Z322" i="2"/>
  <c r="AA134" i="2"/>
  <c r="AB31" i="2"/>
  <c r="AA47" i="2"/>
  <c r="AD246" i="2"/>
  <c r="W142" i="2"/>
  <c r="Y59" i="2"/>
  <c r="AD249" i="2"/>
  <c r="AC99" i="2"/>
  <c r="Y372" i="2"/>
  <c r="W368" i="2"/>
  <c r="W23" i="2"/>
  <c r="AD67" i="2"/>
  <c r="Z202" i="2"/>
  <c r="X197" i="2"/>
  <c r="X299" i="2"/>
  <c r="AD293" i="2"/>
  <c r="AB307" i="2"/>
  <c r="R11" i="2"/>
  <c r="AB370" i="2"/>
  <c r="AA25" i="2"/>
  <c r="T303" i="2"/>
  <c r="T283" i="2"/>
  <c r="X375" i="2"/>
  <c r="AB62" i="2"/>
  <c r="T373" i="2"/>
  <c r="AB151" i="2"/>
  <c r="AC14" i="2"/>
  <c r="T59" i="2"/>
  <c r="W128" i="2"/>
  <c r="AB351" i="2"/>
  <c r="AD61" i="2"/>
  <c r="AD363" i="2"/>
  <c r="AB199" i="2"/>
  <c r="X262" i="2"/>
  <c r="AA40" i="2"/>
  <c r="Y275" i="2"/>
  <c r="Y119" i="2"/>
  <c r="AA51" i="2"/>
  <c r="AB77" i="2"/>
  <c r="Y302" i="2"/>
  <c r="AD339" i="2"/>
  <c r="R231" i="2"/>
  <c r="X371" i="2"/>
  <c r="W276" i="2"/>
  <c r="W320" i="2"/>
  <c r="AD255" i="2"/>
  <c r="Z244" i="2"/>
  <c r="X20" i="2"/>
  <c r="X315" i="2"/>
  <c r="AA22" i="2"/>
  <c r="T155" i="2"/>
  <c r="AC10" i="2"/>
  <c r="AC161" i="2"/>
  <c r="R179" i="2"/>
  <c r="R118" i="2"/>
  <c r="Z305" i="2"/>
  <c r="AA259" i="2"/>
  <c r="Y54" i="2"/>
  <c r="Z309" i="2"/>
  <c r="AB225" i="2"/>
  <c r="T357" i="2"/>
  <c r="AD327" i="2"/>
  <c r="AD289" i="2"/>
  <c r="AB291" i="2"/>
  <c r="X135" i="2"/>
  <c r="AA213" i="2"/>
  <c r="Y48" i="2"/>
  <c r="Y145" i="2"/>
  <c r="R353" i="2"/>
  <c r="T134" i="2"/>
  <c r="X31" i="2"/>
  <c r="W9" i="2"/>
  <c r="AA118" i="2"/>
  <c r="AD352" i="2"/>
  <c r="AD7" i="2"/>
  <c r="AC80" i="2"/>
  <c r="AC284" i="2"/>
  <c r="R72" i="2"/>
  <c r="Z270" i="2"/>
  <c r="AB280" i="2"/>
  <c r="AD377" i="2"/>
  <c r="R303" i="2"/>
  <c r="X86" i="2"/>
  <c r="AD91" i="2"/>
  <c r="E312" i="2"/>
  <c r="E29" i="2"/>
  <c r="E136" i="2"/>
  <c r="E264" i="2"/>
  <c r="E279" i="2"/>
  <c r="E206" i="2"/>
  <c r="E364" i="2"/>
  <c r="E355" i="2"/>
  <c r="E63" i="2"/>
  <c r="E152" i="2"/>
  <c r="E219" i="2"/>
  <c r="AA108" i="2"/>
  <c r="AB255" i="2"/>
  <c r="X184" i="2"/>
  <c r="AC370" i="2"/>
  <c r="R7" i="2"/>
  <c r="AA81" i="2"/>
  <c r="D164" i="2"/>
  <c r="D189" i="2"/>
  <c r="D79" i="2"/>
  <c r="R357" i="2"/>
  <c r="W112" i="2"/>
  <c r="T280" i="2"/>
  <c r="AD196" i="2"/>
  <c r="T154" i="2"/>
  <c r="AA106" i="2"/>
  <c r="X270" i="2"/>
  <c r="AB367" i="2"/>
  <c r="Y217" i="2"/>
  <c r="AC17" i="2"/>
  <c r="J345" i="4"/>
  <c r="U105" i="6"/>
  <c r="AD15" i="2"/>
  <c r="AC196" i="2"/>
  <c r="W28" i="2"/>
  <c r="Z227" i="2"/>
  <c r="AB183" i="2"/>
  <c r="W58" i="2"/>
  <c r="X324" i="2"/>
  <c r="AB274" i="2"/>
  <c r="R137" i="2"/>
  <c r="Y254" i="2"/>
  <c r="AB139" i="2"/>
  <c r="T233" i="2"/>
  <c r="X337" i="2"/>
  <c r="AD379" i="2"/>
  <c r="W223" i="2"/>
  <c r="AC311" i="2"/>
  <c r="R145" i="2"/>
  <c r="Y353" i="2"/>
  <c r="D89" i="4"/>
  <c r="G319" i="4"/>
  <c r="U131" i="6"/>
  <c r="X350" i="2"/>
  <c r="X326" i="2"/>
  <c r="AC111" i="2"/>
  <c r="AD133" i="2"/>
  <c r="T151" i="2"/>
  <c r="W113" i="2"/>
  <c r="Z242" i="2"/>
  <c r="W207" i="4"/>
  <c r="Z95" i="4"/>
  <c r="G8" i="4"/>
  <c r="U158" i="6"/>
  <c r="Y38" i="2"/>
  <c r="AC290" i="2"/>
  <c r="AA21" i="2"/>
  <c r="AC222" i="2"/>
  <c r="AD365" i="2"/>
  <c r="T246" i="2"/>
  <c r="W297" i="2"/>
  <c r="Z83" i="2"/>
  <c r="AB121" i="2"/>
  <c r="AD295" i="2"/>
  <c r="X195" i="2"/>
  <c r="Y114" i="2"/>
  <c r="AA137" i="2"/>
  <c r="Z276" i="2"/>
  <c r="AC278" i="2"/>
  <c r="T361" i="2"/>
  <c r="AD364" i="2"/>
  <c r="W318" i="2"/>
  <c r="Y345" i="2"/>
  <c r="X66" i="2"/>
  <c r="AC48" i="2"/>
  <c r="R333" i="2"/>
  <c r="AB22" i="2"/>
  <c r="AC299" i="2"/>
  <c r="Y27" i="2"/>
  <c r="H271" i="4"/>
  <c r="E39" i="4"/>
  <c r="D8" i="4"/>
  <c r="U298" i="6"/>
  <c r="U17" i="6"/>
  <c r="Y45" i="2"/>
  <c r="T12" i="2"/>
  <c r="AA138" i="2"/>
  <c r="Y50" i="4"/>
  <c r="V44" i="4"/>
  <c r="N31" i="4"/>
  <c r="D344" i="4"/>
  <c r="U259" i="6"/>
  <c r="X334" i="2"/>
  <c r="AD158" i="2"/>
  <c r="Z89" i="2"/>
  <c r="T239" i="2"/>
  <c r="W19" i="2"/>
  <c r="AA133" i="2"/>
  <c r="AB365" i="2"/>
  <c r="E48" i="4"/>
  <c r="W42" i="4"/>
  <c r="AQ276" i="4"/>
  <c r="W320" i="4"/>
  <c r="U323" i="6"/>
  <c r="U43" i="6"/>
  <c r="W133" i="2"/>
  <c r="R227" i="2"/>
  <c r="AD142" i="2"/>
  <c r="X200" i="2"/>
  <c r="AA274" i="2"/>
  <c r="W327" i="2"/>
  <c r="AD278" i="2"/>
  <c r="Z253" i="2"/>
  <c r="X318" i="2"/>
  <c r="X190" i="2"/>
  <c r="AA319" i="2"/>
  <c r="T235" i="2"/>
  <c r="T178" i="2"/>
  <c r="R134" i="2"/>
  <c r="AD31" i="2"/>
  <c r="T9" i="2"/>
  <c r="X118" i="2"/>
  <c r="X153" i="2"/>
  <c r="W306" i="2"/>
  <c r="W37" i="2"/>
  <c r="Z109" i="2"/>
  <c r="AD127" i="2"/>
  <c r="Z13" i="2"/>
  <c r="AB340" i="2"/>
  <c r="T263" i="2"/>
  <c r="AA347" i="2"/>
  <c r="W146" i="2"/>
  <c r="AD361" i="2"/>
  <c r="AD171" i="2"/>
  <c r="AB46" i="2"/>
  <c r="X162" i="2"/>
  <c r="AA132" i="2"/>
  <c r="Y102" i="2"/>
  <c r="T271" i="2"/>
  <c r="AD307" i="2"/>
  <c r="Z96" i="2"/>
  <c r="AD370" i="2"/>
  <c r="AC25" i="2"/>
  <c r="Y120" i="2"/>
  <c r="AC82" i="2"/>
  <c r="R86" i="2"/>
  <c r="R374" i="2"/>
  <c r="W115" i="2"/>
  <c r="AC298" i="2"/>
  <c r="W380" i="2"/>
  <c r="AA41" i="2"/>
  <c r="AC90" i="2"/>
  <c r="W64" i="2"/>
  <c r="AB147" i="2"/>
  <c r="X139" i="2"/>
  <c r="AA233" i="2"/>
  <c r="Y112" i="2"/>
  <c r="Y201" i="2"/>
  <c r="R92" i="2"/>
  <c r="R131" i="2"/>
  <c r="R193" i="2"/>
  <c r="AB292" i="2"/>
  <c r="R31" i="2"/>
  <c r="AC273" i="2"/>
  <c r="T148" i="2"/>
  <c r="X191" i="2"/>
  <c r="Z58" i="2"/>
  <c r="AC71" i="2"/>
  <c r="Z237" i="2"/>
  <c r="AC210" i="2"/>
  <c r="AC251" i="2"/>
  <c r="AA337" i="2"/>
  <c r="W129" i="2"/>
  <c r="AD116" i="2"/>
  <c r="AD220" i="2"/>
  <c r="AB353" i="2"/>
  <c r="W35" i="2"/>
  <c r="R32" i="2"/>
  <c r="W300" i="2"/>
  <c r="Z26" i="2"/>
  <c r="Z49" i="2"/>
  <c r="Y219" i="2"/>
  <c r="Y181" i="2"/>
  <c r="AB81" i="2"/>
  <c r="R62" i="2"/>
  <c r="W222" i="2"/>
  <c r="AC77" i="2"/>
  <c r="AD302" i="2"/>
  <c r="R58" i="2"/>
  <c r="X381" i="2"/>
  <c r="AC371" i="2"/>
  <c r="T147" i="2"/>
  <c r="T209" i="2"/>
  <c r="T364" i="2"/>
  <c r="AB244" i="2"/>
  <c r="AB20" i="2"/>
  <c r="Z315" i="2"/>
  <c r="AC22" i="2"/>
  <c r="Z207" i="2"/>
  <c r="R360" i="2"/>
  <c r="Z316" i="2"/>
  <c r="AB296" i="2"/>
  <c r="T128" i="2"/>
  <c r="Y205" i="2"/>
  <c r="AC206" i="2"/>
  <c r="AA329" i="2"/>
  <c r="W97" i="2"/>
  <c r="AD325" i="2"/>
  <c r="AD223" i="2"/>
  <c r="AB333" i="2"/>
  <c r="X110" i="2"/>
  <c r="T359" i="2"/>
  <c r="R10" i="2"/>
  <c r="R161" i="2"/>
  <c r="W34" i="2"/>
  <c r="Z336" i="2"/>
  <c r="AD120" i="2"/>
  <c r="AA143" i="2"/>
  <c r="T335" i="2"/>
  <c r="AA94" i="2"/>
  <c r="AC44" i="2"/>
  <c r="W114" i="2"/>
  <c r="T212" i="2"/>
  <c r="T272" i="2"/>
  <c r="T344" i="2"/>
  <c r="AB56" i="2"/>
  <c r="AB355" i="2"/>
  <c r="Z52" i="2"/>
  <c r="AC131" i="2"/>
  <c r="Y280" i="2"/>
  <c r="X292" i="2"/>
  <c r="AA161" i="2"/>
  <c r="AA179" i="2"/>
  <c r="AD366" i="2"/>
  <c r="T352" i="2"/>
  <c r="X172" i="2"/>
  <c r="X42" i="2"/>
  <c r="W101" i="2"/>
  <c r="W91" i="2"/>
  <c r="Y329" i="2"/>
  <c r="R293" i="2"/>
  <c r="R117" i="2"/>
  <c r="AA306" i="2"/>
  <c r="AC81" i="2"/>
  <c r="E164" i="2"/>
  <c r="E189" i="2"/>
  <c r="E79" i="2"/>
  <c r="E176" i="2"/>
  <c r="E296" i="2"/>
  <c r="E125" i="2"/>
  <c r="E372" i="2"/>
  <c r="E286" i="2"/>
  <c r="E156" i="2"/>
  <c r="E22" i="2"/>
  <c r="E31" i="2"/>
  <c r="E100" i="2"/>
  <c r="Y183" i="2"/>
  <c r="AA56" i="2"/>
  <c r="T152" i="2"/>
  <c r="T336" i="2"/>
  <c r="AA100" i="2"/>
  <c r="Z284" i="2"/>
  <c r="D103" i="2"/>
  <c r="D314" i="2"/>
  <c r="D150" i="2"/>
  <c r="T137" i="2"/>
  <c r="T345" i="2"/>
  <c r="E33" i="4"/>
  <c r="T140" i="2"/>
  <c r="W59" i="2"/>
  <c r="AC274" i="2"/>
  <c r="R139" i="2"/>
  <c r="Z262" i="2"/>
  <c r="AD311" i="2"/>
  <c r="X193" i="2"/>
  <c r="H29" i="4"/>
  <c r="W43" i="2"/>
  <c r="Y326" i="2"/>
  <c r="AD51" i="2"/>
  <c r="Y77" i="2"/>
  <c r="AA192" i="2"/>
  <c r="AD182" i="2"/>
  <c r="W310" i="2"/>
  <c r="Z71" i="2"/>
  <c r="AA114" i="2"/>
  <c r="W39" i="2"/>
  <c r="Z146" i="2"/>
  <c r="AC348" i="2"/>
  <c r="X291" i="2"/>
  <c r="AA318" i="2"/>
  <c r="W46" i="2"/>
  <c r="Z216" i="2"/>
  <c r="AC315" i="2"/>
  <c r="Y131" i="2"/>
  <c r="AB321" i="2"/>
  <c r="L83" i="4"/>
  <c r="Z275" i="4"/>
  <c r="U94" i="6"/>
  <c r="T158" i="2"/>
  <c r="T312" i="2"/>
  <c r="AB196" i="2"/>
  <c r="R133" i="2"/>
  <c r="W50" i="2"/>
  <c r="Y227" i="2"/>
  <c r="AB159" i="2"/>
  <c r="D236" i="4"/>
  <c r="AQ151" i="4"/>
  <c r="N27" i="4"/>
  <c r="U130" i="6"/>
  <c r="R160" i="2"/>
  <c r="Z250" i="2"/>
  <c r="Z16" i="2"/>
  <c r="AB51" i="2"/>
  <c r="R365" i="2"/>
  <c r="W170" i="2"/>
  <c r="Y176" i="2"/>
  <c r="AB14" i="2"/>
  <c r="AD376" i="2"/>
  <c r="R295" i="2"/>
  <c r="W381" i="2"/>
  <c r="X234" i="2"/>
  <c r="AD347" i="2"/>
  <c r="AA221" i="2"/>
  <c r="R278" i="2"/>
  <c r="X24" i="2"/>
  <c r="T255" i="2"/>
  <c r="Z135" i="2"/>
  <c r="AB379" i="2"/>
  <c r="AA20" i="2"/>
  <c r="AD65" i="2"/>
  <c r="Y18" i="2"/>
  <c r="T369" i="2"/>
  <c r="AD178" i="2"/>
  <c r="M282" i="4"/>
  <c r="Y152" i="4"/>
  <c r="E32" i="4"/>
  <c r="E344" i="4"/>
  <c r="AT344" i="4" s="1"/>
  <c r="U260" i="6"/>
  <c r="Z334" i="2"/>
  <c r="R350" i="2"/>
  <c r="AB89" i="2"/>
  <c r="X314" i="2"/>
  <c r="F48" i="4"/>
  <c r="I298" i="4"/>
  <c r="AS149" i="4"/>
  <c r="AT275" i="4"/>
  <c r="U221" i="6"/>
  <c r="T87" i="2"/>
  <c r="AA124" i="2"/>
  <c r="W290" i="2"/>
  <c r="W203" i="2"/>
  <c r="Y109" i="2"/>
  <c r="Z68" i="2"/>
  <c r="AA79" i="2"/>
  <c r="H158" i="4"/>
  <c r="H298" i="4"/>
  <c r="M94" i="4"/>
  <c r="X28" i="4"/>
  <c r="U286" i="6"/>
  <c r="U13" i="6"/>
  <c r="Y108" i="2"/>
  <c r="W341" i="2"/>
  <c r="AC121" i="2"/>
  <c r="W324" i="2"/>
  <c r="AB234" i="2"/>
  <c r="AA75" i="2"/>
  <c r="W289" i="2"/>
  <c r="AD233" i="2"/>
  <c r="AD112" i="2"/>
  <c r="AB201" i="2"/>
  <c r="X92" i="2"/>
  <c r="AA104" i="2"/>
  <c r="Y321" i="2"/>
  <c r="W184" i="2"/>
  <c r="T31" i="2"/>
  <c r="Y179" i="2"/>
  <c r="AB366" i="2"/>
  <c r="AB352" i="2"/>
  <c r="AA7" i="2"/>
  <c r="AA80" i="2"/>
  <c r="AB107" i="2"/>
  <c r="AD198" i="2"/>
  <c r="AA182" i="2"/>
  <c r="AC226" i="2"/>
  <c r="W73" i="2"/>
  <c r="X362" i="2"/>
  <c r="AA372" i="2"/>
  <c r="T24" i="2"/>
  <c r="T294" i="2"/>
  <c r="T241" i="2"/>
  <c r="AB202" i="2"/>
  <c r="AB197" i="2"/>
  <c r="Z299" i="2"/>
  <c r="Y35" i="2"/>
  <c r="W32" i="2"/>
  <c r="AD11" i="2"/>
  <c r="T370" i="2"/>
  <c r="X285" i="2"/>
  <c r="AC248" i="2"/>
  <c r="R82" i="2"/>
  <c r="W33" i="2"/>
  <c r="Z281" i="2"/>
  <c r="T21" i="2"/>
  <c r="AD151" i="2"/>
  <c r="X288" i="2"/>
  <c r="Y122" i="2"/>
  <c r="AD310" i="2"/>
  <c r="X180" i="2"/>
  <c r="T224" i="2"/>
  <c r="AB209" i="2"/>
  <c r="AB364" i="2"/>
  <c r="Z149" i="2"/>
  <c r="AC331" i="2"/>
  <c r="Y311" i="2"/>
  <c r="W358" i="2"/>
  <c r="W27" i="2"/>
  <c r="T184" i="2"/>
  <c r="W161" i="2"/>
  <c r="AB238" i="2"/>
  <c r="AD113" i="2"/>
  <c r="Y121" i="2"/>
  <c r="AA338" i="2"/>
  <c r="AD128" i="2"/>
  <c r="AD212" i="2"/>
  <c r="Z278" i="2"/>
  <c r="X233" i="2"/>
  <c r="X112" i="2"/>
  <c r="AA301" i="2"/>
  <c r="T319" i="2"/>
  <c r="T104" i="2"/>
  <c r="T321" i="2"/>
  <c r="X134" i="2"/>
  <c r="W282" i="2"/>
  <c r="AA9" i="2"/>
  <c r="AD118" i="2"/>
  <c r="AD153" i="2"/>
  <c r="AC306" i="2"/>
  <c r="AC37" i="2"/>
  <c r="R81" i="2"/>
  <c r="W72" i="2"/>
  <c r="Y47" i="2"/>
  <c r="AC246" i="2"/>
  <c r="AB316" i="2"/>
  <c r="T90" i="2"/>
  <c r="Y106" i="2"/>
  <c r="AA205" i="2"/>
  <c r="AA276" i="2"/>
  <c r="Y320" i="2"/>
  <c r="Y97" i="2"/>
  <c r="R149" i="2"/>
  <c r="R156" i="2"/>
  <c r="R132" i="2"/>
  <c r="T103" i="2"/>
  <c r="AB140" i="2"/>
  <c r="AC186" i="2"/>
  <c r="AA174" i="2"/>
  <c r="AC295" i="2"/>
  <c r="W106" i="2"/>
  <c r="Z137" i="2"/>
  <c r="X211" i="2"/>
  <c r="X269" i="2"/>
  <c r="AA286" i="2"/>
  <c r="T55" i="2"/>
  <c r="T216" i="2"/>
  <c r="T84" i="2"/>
  <c r="AB123" i="2"/>
  <c r="X323" i="2"/>
  <c r="W152" i="2"/>
  <c r="W247" i="2"/>
  <c r="AA377" i="2"/>
  <c r="AD175" i="2"/>
  <c r="X138" i="2"/>
  <c r="R77" i="2"/>
  <c r="AD146" i="2"/>
  <c r="AB216" i="2"/>
  <c r="J302" i="4"/>
  <c r="Z77" i="2"/>
  <c r="Z44" i="2"/>
  <c r="X39" i="2"/>
  <c r="AD269" i="2"/>
  <c r="X46" i="2"/>
  <c r="AB18" i="2"/>
  <c r="D278" i="4"/>
  <c r="I28" i="4"/>
  <c r="AA38" i="2"/>
  <c r="AC243" i="2"/>
  <c r="R47" i="2"/>
  <c r="W360" i="2"/>
  <c r="AB297" i="2"/>
  <c r="AD174" i="2"/>
  <c r="W76" i="2"/>
  <c r="AA263" i="2"/>
  <c r="AB194" i="2"/>
  <c r="X327" i="2"/>
  <c r="R211" i="2"/>
  <c r="W361" i="2"/>
  <c r="Z97" i="2"/>
  <c r="T112" i="2"/>
  <c r="X301" i="2"/>
  <c r="AD163" i="2"/>
  <c r="W333" i="2"/>
  <c r="Z378" i="2"/>
  <c r="R280" i="2"/>
  <c r="AT95" i="4"/>
  <c r="U375" i="6"/>
  <c r="Y164" i="2"/>
  <c r="Y252" i="2"/>
  <c r="Y189" i="2"/>
  <c r="AD105" i="2"/>
  <c r="R140" i="2"/>
  <c r="W256" i="2"/>
  <c r="X136" i="2"/>
  <c r="Z380" i="2"/>
  <c r="J324" i="4"/>
  <c r="F231" i="4"/>
  <c r="Z374" i="4"/>
  <c r="U57" i="6"/>
  <c r="AD88" i="2"/>
  <c r="AD115" i="2"/>
  <c r="AA196" i="2"/>
  <c r="AD207" i="2"/>
  <c r="R259" i="2"/>
  <c r="W266" i="2"/>
  <c r="X159" i="2"/>
  <c r="Z302" i="2"/>
  <c r="AB309" i="2"/>
  <c r="R218" i="2"/>
  <c r="W279" i="2"/>
  <c r="Y64" i="2"/>
  <c r="AB354" i="2"/>
  <c r="T254" i="2"/>
  <c r="Z139" i="2"/>
  <c r="Y253" i="2"/>
  <c r="AA130" i="2"/>
  <c r="AD56" i="2"/>
  <c r="AC213" i="2"/>
  <c r="T223" i="2"/>
  <c r="X275" i="2"/>
  <c r="W220" i="2"/>
  <c r="AB102" i="2"/>
  <c r="X321" i="2"/>
  <c r="V207" i="4"/>
  <c r="N43" i="4"/>
  <c r="N230" i="4"/>
  <c r="N275" i="4"/>
  <c r="U194" i="6"/>
  <c r="AD169" i="2"/>
  <c r="Z88" i="2"/>
  <c r="R326" i="2"/>
  <c r="X203" i="2"/>
  <c r="Y234" i="4"/>
  <c r="J141" i="4"/>
  <c r="N9" i="4"/>
  <c r="L375" i="4"/>
  <c r="U155" i="6"/>
  <c r="Y346" i="2"/>
  <c r="T330" i="2"/>
  <c r="AA187" i="2"/>
  <c r="W111" i="2"/>
  <c r="Z51" i="2"/>
  <c r="AA140" i="2"/>
  <c r="AB259" i="2"/>
  <c r="X234" i="4"/>
  <c r="I141" i="4"/>
  <c r="Z139" i="4"/>
  <c r="AS275" i="4"/>
  <c r="U219" i="6"/>
  <c r="Y173" i="2"/>
  <c r="Z165" i="2"/>
  <c r="X242" i="2"/>
  <c r="R94" i="2"/>
  <c r="Y195" i="2"/>
  <c r="AA180" i="2"/>
  <c r="AB221" i="2"/>
  <c r="X214" i="2"/>
  <c r="AA69" i="2"/>
  <c r="Y228" i="2"/>
  <c r="Y66" i="2"/>
  <c r="R52" i="2"/>
  <c r="R22" i="2"/>
  <c r="AB359" i="2"/>
  <c r="AA332" i="2"/>
  <c r="AC247" i="2"/>
  <c r="R34" i="2"/>
  <c r="W336" i="2"/>
  <c r="Z120" i="2"/>
  <c r="AD82" i="2"/>
  <c r="AC86" i="2"/>
  <c r="AC29" i="2"/>
  <c r="W185" i="2"/>
  <c r="Z191" i="2"/>
  <c r="AC338" i="2"/>
  <c r="W234" i="2"/>
  <c r="AC272" i="2"/>
  <c r="AA92" i="2"/>
  <c r="U209" i="6"/>
  <c r="AA186" i="2"/>
  <c r="Y218" i="2"/>
  <c r="AA99" i="2"/>
  <c r="T368" i="2"/>
  <c r="Y241" i="2"/>
  <c r="R230" i="2"/>
  <c r="Z156" i="4"/>
  <c r="U376" i="6"/>
  <c r="X240" i="2"/>
  <c r="Z189" i="2"/>
  <c r="R68" i="2"/>
  <c r="Y85" i="2"/>
  <c r="AA176" i="2"/>
  <c r="R174" i="2"/>
  <c r="Y144" i="2"/>
  <c r="Z106" i="2"/>
  <c r="AD64" i="2"/>
  <c r="AA212" i="2"/>
  <c r="AD287" i="2"/>
  <c r="Z24" i="2"/>
  <c r="AC130" i="2"/>
  <c r="Y262" i="2"/>
  <c r="Y190" i="2"/>
  <c r="AB319" i="2"/>
  <c r="X84" i="2"/>
  <c r="AA110" i="2"/>
  <c r="W193" i="2"/>
  <c r="J303" i="4"/>
  <c r="U271" i="6"/>
  <c r="R169" i="2"/>
  <c r="R141" i="2"/>
  <c r="AA239" i="2"/>
  <c r="AC19" i="2"/>
  <c r="R238" i="2"/>
  <c r="X170" i="2"/>
  <c r="Z192" i="2"/>
  <c r="AB335" i="2"/>
  <c r="Z152" i="4"/>
  <c r="V114" i="4"/>
  <c r="U364" i="6"/>
  <c r="AA87" i="2"/>
  <c r="AA330" i="2"/>
  <c r="AA243" i="2"/>
  <c r="AA373" i="2"/>
  <c r="AC133" i="2"/>
  <c r="R342" i="2"/>
  <c r="X341" i="2"/>
  <c r="Z54" i="2"/>
  <c r="AB182" i="2"/>
  <c r="AD264" i="2"/>
  <c r="T76" i="2"/>
  <c r="Y236" i="2"/>
  <c r="Y371" i="2"/>
  <c r="R237" i="2"/>
  <c r="X146" i="2"/>
  <c r="W214" i="2"/>
  <c r="Z232" i="2"/>
  <c r="AB286" i="2"/>
  <c r="AA244" i="2"/>
  <c r="R213" i="2"/>
  <c r="Y162" i="2"/>
  <c r="T166" i="2"/>
  <c r="Z104" i="2"/>
  <c r="AC123" i="2"/>
  <c r="AA280" i="2"/>
  <c r="AT158" i="4"/>
  <c r="W305" i="4"/>
  <c r="AT139" i="4"/>
  <c r="M375" i="4"/>
  <c r="U157" i="6"/>
  <c r="AA346" i="2"/>
  <c r="W330" i="2"/>
  <c r="AC187" i="2"/>
  <c r="W21" i="2"/>
  <c r="AR188" i="4"/>
  <c r="L232" i="4"/>
  <c r="Y302" i="4"/>
  <c r="R212" i="2"/>
  <c r="W52" i="2"/>
  <c r="R182" i="2"/>
  <c r="AB135" i="2"/>
  <c r="AB87" i="2"/>
  <c r="AT189" i="4"/>
  <c r="AD259" i="2"/>
  <c r="Y362" i="2"/>
  <c r="W92" i="2"/>
  <c r="U222" i="6"/>
  <c r="K275" i="4"/>
  <c r="AD312" i="2"/>
  <c r="AC53" i="2"/>
  <c r="AR27" i="4"/>
  <c r="R192" i="2"/>
  <c r="X224" i="2"/>
  <c r="T355" i="2"/>
  <c r="Z10" i="2"/>
  <c r="R352" i="2"/>
  <c r="R341" i="2"/>
  <c r="AB237" i="2"/>
  <c r="R291" i="2"/>
  <c r="Y319" i="2"/>
  <c r="AB134" i="2"/>
  <c r="AC9" i="2"/>
  <c r="AB219" i="2"/>
  <c r="AD62" i="2"/>
  <c r="T198" i="2"/>
  <c r="AD208" i="2"/>
  <c r="R214" i="2"/>
  <c r="AA46" i="2"/>
  <c r="X102" i="2"/>
  <c r="AA247" i="2"/>
  <c r="W288" i="2"/>
  <c r="R125" i="2"/>
  <c r="AD344" i="2"/>
  <c r="R66" i="2"/>
  <c r="AC155" i="2"/>
  <c r="AD179" i="2"/>
  <c r="R305" i="2"/>
  <c r="AA101" i="2"/>
  <c r="T113" i="2"/>
  <c r="W249" i="2"/>
  <c r="R372" i="2"/>
  <c r="Y55" i="2"/>
  <c r="X220" i="2"/>
  <c r="T297" i="2"/>
  <c r="T236" i="2"/>
  <c r="Y287" i="2"/>
  <c r="AB213" i="2"/>
  <c r="R188" i="2"/>
  <c r="AD282" i="2"/>
  <c r="Y25" i="2"/>
  <c r="W14" i="2"/>
  <c r="AD76" i="2"/>
  <c r="AA61" i="2"/>
  <c r="Y199" i="2"/>
  <c r="R331" i="2"/>
  <c r="Z22" i="2"/>
  <c r="Y184" i="2"/>
  <c r="Z377" i="2"/>
  <c r="Y305" i="2"/>
  <c r="AB78" i="2"/>
  <c r="AB133" i="2"/>
  <c r="AC184" i="2"/>
  <c r="AC100" i="2"/>
  <c r="E103" i="2"/>
  <c r="E150" i="2"/>
  <c r="E204" i="2"/>
  <c r="E287" i="2"/>
  <c r="E163" i="2"/>
  <c r="E96" i="2"/>
  <c r="Y309" i="2"/>
  <c r="R282" i="2"/>
  <c r="AC181" i="2"/>
  <c r="D173" i="2"/>
  <c r="D29" i="2"/>
  <c r="D183" i="2"/>
  <c r="D76" i="2"/>
  <c r="D99" i="2"/>
  <c r="D251" i="2"/>
  <c r="D355" i="2"/>
  <c r="D22" i="2"/>
  <c r="D96" i="2"/>
  <c r="D86" i="2"/>
  <c r="AB44" i="2"/>
  <c r="AA17" i="2"/>
  <c r="AC366" i="2"/>
  <c r="Z181" i="2"/>
  <c r="AB91" i="2"/>
  <c r="E261" i="2"/>
  <c r="E342" i="2"/>
  <c r="E288" i="2"/>
  <c r="E144" i="2"/>
  <c r="E362" i="2"/>
  <c r="E344" i="2"/>
  <c r="E331" i="2"/>
  <c r="E369" i="2"/>
  <c r="E11" i="2"/>
  <c r="E33" i="2"/>
  <c r="AC76" i="2"/>
  <c r="S116" i="2"/>
  <c r="AB93" i="2"/>
  <c r="AB175" i="2"/>
  <c r="AA172" i="2"/>
  <c r="Z375" i="2"/>
  <c r="Z72" i="2"/>
  <c r="J314" i="2"/>
  <c r="J186" i="2"/>
  <c r="J340" i="2"/>
  <c r="L274" i="2"/>
  <c r="J289" i="2"/>
  <c r="L262" i="2"/>
  <c r="J166" i="2"/>
  <c r="L271" i="2"/>
  <c r="J305" i="2"/>
  <c r="D38" i="2"/>
  <c r="D239" i="2"/>
  <c r="D342" i="2"/>
  <c r="D54" i="2"/>
  <c r="D338" i="2"/>
  <c r="D194" i="2"/>
  <c r="D278" i="2"/>
  <c r="D8" i="2"/>
  <c r="D202" i="2"/>
  <c r="D123" i="2"/>
  <c r="D11" i="2"/>
  <c r="D80" i="2"/>
  <c r="W302" i="2"/>
  <c r="AC294" i="2"/>
  <c r="AB271" i="2"/>
  <c r="AD34" i="2"/>
  <c r="AC305" i="2"/>
  <c r="W181" i="2"/>
  <c r="R101" i="2"/>
  <c r="J240" i="2"/>
  <c r="J133" i="2"/>
  <c r="L335" i="2"/>
  <c r="J218" i="2"/>
  <c r="L99" i="2"/>
  <c r="J251" i="2"/>
  <c r="J190" i="2"/>
  <c r="L119" i="2"/>
  <c r="J247" i="2"/>
  <c r="L78" i="2"/>
  <c r="E141" i="2"/>
  <c r="E51" i="2"/>
  <c r="E246" i="2"/>
  <c r="E174" i="2"/>
  <c r="E356" i="2"/>
  <c r="E354" i="2"/>
  <c r="E368" i="2"/>
  <c r="E379" i="2"/>
  <c r="E132" i="2"/>
  <c r="E359" i="2"/>
  <c r="E175" i="2"/>
  <c r="E62" i="2"/>
  <c r="AB39" i="2"/>
  <c r="AA235" i="2"/>
  <c r="Z161" i="2"/>
  <c r="S366" i="2"/>
  <c r="AB7" i="2"/>
  <c r="Y33" i="2"/>
  <c r="W62" i="2"/>
  <c r="L189" i="2"/>
  <c r="J85" i="2"/>
  <c r="L94" i="2"/>
  <c r="J73" i="2"/>
  <c r="L328" i="2"/>
  <c r="J318" i="2"/>
  <c r="L275" i="2"/>
  <c r="J155" i="2"/>
  <c r="J49" i="2"/>
  <c r="D169" i="2"/>
  <c r="D70" i="2"/>
  <c r="D259" i="2"/>
  <c r="D258" i="2"/>
  <c r="D295" i="2"/>
  <c r="D274" i="2"/>
  <c r="D210" i="2"/>
  <c r="D294" i="2"/>
  <c r="D216" i="2"/>
  <c r="D378" i="2"/>
  <c r="D247" i="2"/>
  <c r="D283" i="2"/>
  <c r="V174" i="2"/>
  <c r="Z8" i="2"/>
  <c r="AC293" i="2"/>
  <c r="X34" i="2"/>
  <c r="X305" i="2"/>
  <c r="AD37" i="2"/>
  <c r="AB313" i="2"/>
  <c r="L173" i="2"/>
  <c r="J68" i="2"/>
  <c r="L183" i="2"/>
  <c r="J76" i="2"/>
  <c r="J362" i="2"/>
  <c r="L232" i="2"/>
  <c r="J40" i="2"/>
  <c r="L358" i="2"/>
  <c r="J93" i="2"/>
  <c r="L86" i="2"/>
  <c r="E317" i="2"/>
  <c r="E177" i="2"/>
  <c r="E170" i="2"/>
  <c r="E191" i="2"/>
  <c r="E231" i="2"/>
  <c r="E237" i="2"/>
  <c r="E57" i="2"/>
  <c r="E46" i="2"/>
  <c r="E333" i="2"/>
  <c r="E323" i="2"/>
  <c r="E25" i="2"/>
  <c r="E72" i="2"/>
  <c r="W354" i="2"/>
  <c r="X145" i="2"/>
  <c r="AD247" i="2"/>
  <c r="AA336" i="2"/>
  <c r="W7" i="2"/>
  <c r="R33" i="2"/>
  <c r="S62" i="2"/>
  <c r="J261" i="2"/>
  <c r="J246" i="2"/>
  <c r="L265" i="2"/>
  <c r="J357" i="2"/>
  <c r="L287" i="2"/>
  <c r="J135" i="2"/>
  <c r="J311" i="2"/>
  <c r="L359" i="2"/>
  <c r="D87" i="2"/>
  <c r="D20" i="2"/>
  <c r="D346" i="2"/>
  <c r="D162" i="2"/>
  <c r="D298" i="2"/>
  <c r="D9" i="2"/>
  <c r="D50" i="2"/>
  <c r="D117" i="2"/>
  <c r="D208" i="2"/>
  <c r="J86" i="2"/>
  <c r="D46" i="2"/>
  <c r="D113" i="2"/>
  <c r="D352" i="2"/>
  <c r="D199" i="2"/>
  <c r="X26" i="4"/>
  <c r="AS229" i="4"/>
  <c r="Y227" i="4"/>
  <c r="V138" i="4"/>
  <c r="W318" i="4"/>
  <c r="AT318" i="4"/>
  <c r="Z296" i="4"/>
  <c r="AQ266" i="4"/>
  <c r="AD40" i="2"/>
  <c r="AA155" i="2"/>
  <c r="X218" i="2"/>
  <c r="T213" i="2"/>
  <c r="AB330" i="2"/>
  <c r="N40" i="4"/>
  <c r="T186" i="2"/>
  <c r="AD206" i="2"/>
  <c r="R197" i="2"/>
  <c r="W87" i="2"/>
  <c r="L374" i="4"/>
  <c r="X115" i="2"/>
  <c r="AA165" i="2"/>
  <c r="AS375" i="4"/>
  <c r="X183" i="2"/>
  <c r="T206" i="2"/>
  <c r="AC156" i="2"/>
  <c r="AD152" i="2"/>
  <c r="AD248" i="2"/>
  <c r="R176" i="2"/>
  <c r="T327" i="2"/>
  <c r="Y23" i="2"/>
  <c r="AC65" i="2"/>
  <c r="AC292" i="2"/>
  <c r="Y308" i="2"/>
  <c r="Z7" i="2"/>
  <c r="T62" i="2"/>
  <c r="X83" i="2"/>
  <c r="R356" i="2"/>
  <c r="Y348" i="2"/>
  <c r="Z156" i="2"/>
  <c r="AD188" i="2"/>
  <c r="AA169" i="2"/>
  <c r="W41" i="2"/>
  <c r="T234" i="2"/>
  <c r="T69" i="2"/>
  <c r="AA65" i="2"/>
  <c r="W359" i="2"/>
  <c r="T179" i="2"/>
  <c r="X7" i="2"/>
  <c r="Y374" i="2"/>
  <c r="AD157" i="2"/>
  <c r="Z236" i="2"/>
  <c r="W210" i="2"/>
  <c r="AC379" i="2"/>
  <c r="W88" i="2"/>
  <c r="T159" i="2"/>
  <c r="W349" i="2"/>
  <c r="AB57" i="2"/>
  <c r="R301" i="2"/>
  <c r="Y17" i="2"/>
  <c r="AA93" i="2"/>
  <c r="AC285" i="2"/>
  <c r="X302" i="2"/>
  <c r="R208" i="2"/>
  <c r="AB206" i="2"/>
  <c r="AC255" i="2"/>
  <c r="W20" i="2"/>
  <c r="AD378" i="2"/>
  <c r="AB10" i="2"/>
  <c r="AC117" i="2"/>
  <c r="AC120" i="2"/>
  <c r="R78" i="2"/>
  <c r="R85" i="2"/>
  <c r="X152" i="2"/>
  <c r="X82" i="2"/>
  <c r="E173" i="2"/>
  <c r="E143" i="2"/>
  <c r="E225" i="2"/>
  <c r="E139" i="2"/>
  <c r="E319" i="2"/>
  <c r="E179" i="2"/>
  <c r="AA225" i="2"/>
  <c r="T247" i="2"/>
  <c r="X37" i="2"/>
  <c r="D158" i="2"/>
  <c r="D143" i="2"/>
  <c r="D14" i="2"/>
  <c r="D200" i="2"/>
  <c r="D327" i="2"/>
  <c r="D364" i="2"/>
  <c r="D156" i="2"/>
  <c r="D102" i="2"/>
  <c r="D179" i="2"/>
  <c r="D284" i="2"/>
  <c r="AD263" i="2"/>
  <c r="R322" i="2"/>
  <c r="T49" i="2"/>
  <c r="T37" i="2"/>
  <c r="E43" i="2"/>
  <c r="E239" i="2"/>
  <c r="E98" i="2"/>
  <c r="E13" i="2"/>
  <c r="E249" i="2"/>
  <c r="E224" i="2"/>
  <c r="E255" i="2"/>
  <c r="E223" i="2"/>
  <c r="E123" i="2"/>
  <c r="E34" i="2"/>
  <c r="E101" i="2"/>
  <c r="P106" i="2"/>
  <c r="AC378" i="2"/>
  <c r="AC11" i="2"/>
  <c r="AD285" i="2"/>
  <c r="T100" i="2"/>
  <c r="X81" i="2"/>
  <c r="Y91" i="2"/>
  <c r="J196" i="2"/>
  <c r="J341" i="2"/>
  <c r="L295" i="2"/>
  <c r="J64" i="2"/>
  <c r="L214" i="2"/>
  <c r="J325" i="2"/>
  <c r="L84" i="2"/>
  <c r="J292" i="2"/>
  <c r="J306" i="2"/>
  <c r="D45" i="2"/>
  <c r="D111" i="2"/>
  <c r="D98" i="2"/>
  <c r="D288" i="2"/>
  <c r="D310" i="2"/>
  <c r="D371" i="2"/>
  <c r="D363" i="2"/>
  <c r="D112" i="2"/>
  <c r="D48" i="2"/>
  <c r="D299" i="2"/>
  <c r="D34" i="2"/>
  <c r="D33" i="2"/>
  <c r="Y339" i="2"/>
  <c r="AB325" i="2"/>
  <c r="W134" i="2"/>
  <c r="R377" i="2"/>
  <c r="T120" i="2"/>
  <c r="AD80" i="2"/>
  <c r="AD374" i="2"/>
  <c r="J158" i="2"/>
  <c r="J238" i="2"/>
  <c r="J83" i="2"/>
  <c r="L200" i="2"/>
  <c r="J327" i="2"/>
  <c r="J344" i="2"/>
  <c r="L66" i="2"/>
  <c r="J378" i="2"/>
  <c r="L9" i="2"/>
  <c r="J81" i="2"/>
  <c r="E60" i="2"/>
  <c r="E207" i="2"/>
  <c r="E266" i="2"/>
  <c r="E376" i="2"/>
  <c r="E74" i="2"/>
  <c r="E75" i="2"/>
  <c r="E232" i="2"/>
  <c r="E129" i="2"/>
  <c r="E230" i="2"/>
  <c r="E35" i="2"/>
  <c r="E153" i="2"/>
  <c r="Y229" i="2"/>
  <c r="Y206" i="2"/>
  <c r="S110" i="2"/>
  <c r="T93" i="2"/>
  <c r="V175" i="2"/>
  <c r="W172" i="2"/>
  <c r="V375" i="2"/>
  <c r="T72" i="2"/>
  <c r="L203" i="2"/>
  <c r="L113" i="2"/>
  <c r="J339" i="2"/>
  <c r="L114" i="2"/>
  <c r="J272" i="2"/>
  <c r="L228" i="2"/>
  <c r="J343" i="2"/>
  <c r="J293" i="2"/>
  <c r="L248" i="2"/>
  <c r="D240" i="2"/>
  <c r="D203" i="2"/>
  <c r="D28" i="2"/>
  <c r="D380" i="2"/>
  <c r="D277" i="2"/>
  <c r="D64" i="2"/>
  <c r="D289" i="2"/>
  <c r="D337" i="2"/>
  <c r="D217" i="2"/>
  <c r="D188" i="2"/>
  <c r="D300" i="2"/>
  <c r="D42" i="2"/>
  <c r="AA295" i="2"/>
  <c r="W379" i="2"/>
  <c r="Z292" i="2"/>
  <c r="Y117" i="2"/>
  <c r="AB248" i="2"/>
  <c r="Y80" i="2"/>
  <c r="AA374" i="2"/>
  <c r="J88" i="2"/>
  <c r="L365" i="2"/>
  <c r="J14" i="2"/>
  <c r="J249" i="2"/>
  <c r="L75" i="2"/>
  <c r="J69" i="2"/>
  <c r="L20" i="2"/>
  <c r="J110" i="2"/>
  <c r="L179" i="2"/>
  <c r="J284" i="2"/>
  <c r="E168" i="2"/>
  <c r="E133" i="2"/>
  <c r="E113" i="2"/>
  <c r="E41" i="2"/>
  <c r="E128" i="2"/>
  <c r="E61" i="2"/>
  <c r="E233" i="2"/>
  <c r="E213" i="2"/>
  <c r="E197" i="2"/>
  <c r="E134" i="2"/>
  <c r="E352" i="2"/>
  <c r="Z177" i="2"/>
  <c r="V211" i="2"/>
  <c r="Z123" i="2"/>
  <c r="AC96" i="2"/>
  <c r="AB25" i="2"/>
  <c r="AD100" i="2"/>
  <c r="R375" i="2"/>
  <c r="P72" i="2"/>
  <c r="J21" i="2"/>
  <c r="L227" i="2"/>
  <c r="J226" i="2"/>
  <c r="L234" i="2"/>
  <c r="J139" i="2"/>
  <c r="J244" i="2"/>
  <c r="L132" i="2"/>
  <c r="J35" i="2"/>
  <c r="D243" i="2"/>
  <c r="D358" i="2"/>
  <c r="D138" i="2"/>
  <c r="D110" i="2"/>
  <c r="D335" i="2"/>
  <c r="D78" i="2"/>
  <c r="D83" i="2"/>
  <c r="D81" i="2"/>
  <c r="D39" i="2"/>
  <c r="D317" i="2"/>
  <c r="D333" i="2"/>
  <c r="D41" i="2"/>
  <c r="L62" i="2"/>
  <c r="D201" i="2"/>
  <c r="M363" i="4"/>
  <c r="M229" i="4"/>
  <c r="H229" i="4"/>
  <c r="AS227" i="4"/>
  <c r="N225" i="4"/>
  <c r="AQ318" i="4"/>
  <c r="N277" i="4"/>
  <c r="I320" i="4"/>
  <c r="Y74" i="2"/>
  <c r="AA162" i="2"/>
  <c r="AB243" i="2"/>
  <c r="Y375" i="4"/>
  <c r="Y242" i="2"/>
  <c r="W272" i="2"/>
  <c r="Y110" i="2"/>
  <c r="AC124" i="2"/>
  <c r="U185" i="6"/>
  <c r="X16" i="2"/>
  <c r="I189" i="4"/>
  <c r="U250" i="6"/>
  <c r="AD41" i="2"/>
  <c r="AA139" i="2"/>
  <c r="AB311" i="2"/>
  <c r="Y161" i="2"/>
  <c r="Z100" i="2"/>
  <c r="Y142" i="2"/>
  <c r="Y75" i="2"/>
  <c r="Z112" i="2"/>
  <c r="R235" i="2"/>
  <c r="R292" i="2"/>
  <c r="AB26" i="2"/>
  <c r="W283" i="2"/>
  <c r="Y72" i="2"/>
  <c r="Y13" i="2"/>
  <c r="W260" i="2"/>
  <c r="AC361" i="2"/>
  <c r="AD216" i="2"/>
  <c r="Z359" i="2"/>
  <c r="AC158" i="2"/>
  <c r="X122" i="2"/>
  <c r="W75" i="2"/>
  <c r="Y364" i="2"/>
  <c r="AB166" i="2"/>
  <c r="AA292" i="2"/>
  <c r="Y34" i="2"/>
  <c r="AB172" i="2"/>
  <c r="Z91" i="2"/>
  <c r="T136" i="2"/>
  <c r="AA357" i="2"/>
  <c r="Z269" i="2"/>
  <c r="Z67" i="2"/>
  <c r="Y89" i="2"/>
  <c r="AB154" i="2"/>
  <c r="X114" i="2"/>
  <c r="T251" i="2"/>
  <c r="Y163" i="2"/>
  <c r="AC178" i="2"/>
  <c r="Z11" i="2"/>
  <c r="T196" i="2"/>
  <c r="Y316" i="2"/>
  <c r="AD356" i="2"/>
  <c r="R254" i="2"/>
  <c r="Z286" i="2"/>
  <c r="AC223" i="2"/>
  <c r="W110" i="2"/>
  <c r="R332" i="2"/>
  <c r="X370" i="2"/>
  <c r="R120" i="2"/>
  <c r="Z33" i="2"/>
  <c r="T54" i="2"/>
  <c r="X247" i="2"/>
  <c r="R283" i="2"/>
  <c r="E158" i="2"/>
  <c r="E127" i="2"/>
  <c r="E76" i="2"/>
  <c r="E320" i="2"/>
  <c r="E275" i="2"/>
  <c r="E370" i="2"/>
  <c r="R128" i="2"/>
  <c r="W96" i="2"/>
  <c r="R80" i="2"/>
  <c r="D252" i="2"/>
  <c r="D127" i="2"/>
  <c r="D316" i="2"/>
  <c r="D324" i="2"/>
  <c r="D206" i="2"/>
  <c r="D286" i="2"/>
  <c r="D163" i="2"/>
  <c r="D17" i="2"/>
  <c r="D370" i="2"/>
  <c r="D30" i="2"/>
  <c r="X61" i="2"/>
  <c r="AD10" i="2"/>
  <c r="W352" i="2"/>
  <c r="AB42" i="2"/>
  <c r="E38" i="2"/>
  <c r="E111" i="2"/>
  <c r="E77" i="2"/>
  <c r="E142" i="2"/>
  <c r="E381" i="2"/>
  <c r="E254" i="2"/>
  <c r="E171" i="2"/>
  <c r="E202" i="2"/>
  <c r="E299" i="2"/>
  <c r="E308" i="2"/>
  <c r="E281" i="2"/>
  <c r="AD224" i="2"/>
  <c r="T17" i="2"/>
  <c r="P300" i="2"/>
  <c r="P49" i="2"/>
  <c r="AC283" i="2"/>
  <c r="V284" i="2"/>
  <c r="L164" i="2"/>
  <c r="J109" i="2"/>
  <c r="J36" i="2"/>
  <c r="J277" i="2"/>
  <c r="L205" i="2"/>
  <c r="J361" i="2"/>
  <c r="L241" i="2"/>
  <c r="J235" i="2"/>
  <c r="J307" i="2"/>
  <c r="L283" i="2"/>
  <c r="D124" i="2"/>
  <c r="D373" i="2"/>
  <c r="D77" i="2"/>
  <c r="D13" i="2"/>
  <c r="D144" i="2"/>
  <c r="D137" i="2"/>
  <c r="D348" i="2"/>
  <c r="D244" i="2"/>
  <c r="D311" i="2"/>
  <c r="D280" i="2"/>
  <c r="D308" i="2"/>
  <c r="D101" i="2"/>
  <c r="AD257" i="2"/>
  <c r="Y355" i="2"/>
  <c r="S10" i="2"/>
  <c r="S370" i="2"/>
  <c r="AB303" i="2"/>
  <c r="Y42" i="2"/>
  <c r="AB30" i="2"/>
  <c r="L317" i="2"/>
  <c r="J165" i="2"/>
  <c r="L316" i="2"/>
  <c r="J324" i="2"/>
  <c r="J224" i="2"/>
  <c r="L97" i="2"/>
  <c r="J216" i="2"/>
  <c r="L215" i="2"/>
  <c r="J117" i="2"/>
  <c r="L30" i="2"/>
  <c r="E250" i="2"/>
  <c r="E140" i="2"/>
  <c r="E157" i="2"/>
  <c r="E94" i="2"/>
  <c r="E263" i="2"/>
  <c r="E276" i="2"/>
  <c r="E69" i="2"/>
  <c r="E40" i="2"/>
  <c r="E104" i="2"/>
  <c r="E10" i="2"/>
  <c r="E248" i="2"/>
  <c r="P143" i="2"/>
  <c r="X363" i="2"/>
  <c r="AA178" i="2"/>
  <c r="W11" i="2"/>
  <c r="W285" i="2"/>
  <c r="P100" i="2"/>
  <c r="S81" i="2"/>
  <c r="V91" i="2"/>
  <c r="L126" i="2"/>
  <c r="J136" i="2"/>
  <c r="L58" i="2"/>
  <c r="J351" i="2"/>
  <c r="L320" i="2"/>
  <c r="J55" i="2"/>
  <c r="J18" i="2"/>
  <c r="L10" i="2"/>
  <c r="J7" i="2"/>
  <c r="D268" i="2"/>
  <c r="D196" i="2"/>
  <c r="D151" i="2"/>
  <c r="D245" i="2"/>
  <c r="D44" i="2"/>
  <c r="D267" i="2"/>
  <c r="D209" i="2"/>
  <c r="D56" i="2"/>
  <c r="D65" i="2"/>
  <c r="D178" i="2"/>
  <c r="D377" i="2"/>
  <c r="D375" i="2"/>
  <c r="AC356" i="2"/>
  <c r="V20" i="2"/>
  <c r="W332" i="2"/>
  <c r="AA308" i="2"/>
  <c r="W303" i="2"/>
  <c r="R42" i="2"/>
  <c r="Y30" i="2"/>
  <c r="L15" i="2"/>
  <c r="J342" i="2"/>
  <c r="J142" i="2"/>
  <c r="L74" i="2"/>
  <c r="J276" i="2"/>
  <c r="L130" i="2"/>
  <c r="J162" i="2"/>
  <c r="L17" i="2"/>
  <c r="J370" i="2"/>
  <c r="J281" i="2"/>
  <c r="E326" i="2"/>
  <c r="E108" i="2"/>
  <c r="E341" i="2"/>
  <c r="E265" i="2"/>
  <c r="E106" i="2"/>
  <c r="E221" i="2"/>
  <c r="E199" i="2"/>
  <c r="E201" i="2"/>
  <c r="E145" i="2"/>
  <c r="E332" i="2"/>
  <c r="E303" i="2"/>
  <c r="P77" i="2"/>
  <c r="T320" i="2"/>
  <c r="P353" i="2"/>
  <c r="P11" i="2"/>
  <c r="AD49" i="2"/>
  <c r="Y82" i="2"/>
  <c r="AD284" i="2"/>
  <c r="S91" i="2"/>
  <c r="L105" i="2"/>
  <c r="J185" i="2"/>
  <c r="L204" i="2"/>
  <c r="J180" i="2"/>
  <c r="J348" i="2"/>
  <c r="L379" i="2"/>
  <c r="J230" i="2"/>
  <c r="L332" i="2"/>
  <c r="D365" i="2"/>
  <c r="D282" i="2"/>
  <c r="D165" i="2"/>
  <c r="D93" i="2"/>
  <c r="D90" i="2"/>
  <c r="B2" i="6"/>
  <c r="D218" i="2"/>
  <c r="D361" i="2"/>
  <c r="D177" i="2"/>
  <c r="D323" i="2"/>
  <c r="Y342" i="2"/>
  <c r="AD103" i="2"/>
  <c r="AC234" i="2"/>
  <c r="AD132" i="2"/>
  <c r="AB373" i="2"/>
  <c r="U93" i="6"/>
  <c r="AA13" i="2"/>
  <c r="R57" i="2"/>
  <c r="W353" i="2"/>
  <c r="Y290" i="2"/>
  <c r="U118" i="6"/>
  <c r="X229" i="2"/>
  <c r="AQ188" i="4"/>
  <c r="U182" i="6"/>
  <c r="R296" i="2"/>
  <c r="AB348" i="2"/>
  <c r="Y343" i="2"/>
  <c r="X93" i="2"/>
  <c r="T82" i="2"/>
  <c r="AA121" i="2"/>
  <c r="X328" i="2"/>
  <c r="R56" i="2"/>
  <c r="W104" i="2"/>
  <c r="Y282" i="2"/>
  <c r="R26" i="2"/>
  <c r="AA181" i="2"/>
  <c r="X109" i="2"/>
  <c r="W182" i="2"/>
  <c r="Z347" i="2"/>
  <c r="R255" i="2"/>
  <c r="W162" i="2"/>
  <c r="AA323" i="2"/>
  <c r="AD53" i="2"/>
  <c r="Y265" i="2"/>
  <c r="AA147" i="2"/>
  <c r="AB262" i="2"/>
  <c r="R343" i="2"/>
  <c r="AD184" i="2"/>
  <c r="T118" i="2"/>
  <c r="R172" i="2"/>
  <c r="X346" i="2"/>
  <c r="AC174" i="2"/>
  <c r="Y349" i="2"/>
  <c r="R368" i="2"/>
  <c r="W216" i="2"/>
  <c r="AA70" i="2"/>
  <c r="Z376" i="2"/>
  <c r="AD39" i="2"/>
  <c r="Y232" i="2"/>
  <c r="Z48" i="2"/>
  <c r="Y271" i="2"/>
  <c r="AD300" i="2"/>
  <c r="W105" i="2"/>
  <c r="Z174" i="2"/>
  <c r="R71" i="2"/>
  <c r="W211" i="2"/>
  <c r="AD294" i="2"/>
  <c r="X163" i="2"/>
  <c r="AA123" i="2"/>
  <c r="Y307" i="2"/>
  <c r="AB308" i="2"/>
  <c r="W248" i="2"/>
  <c r="AD375" i="2"/>
  <c r="X376" i="2"/>
  <c r="Y96" i="2"/>
  <c r="Z37" i="2"/>
  <c r="E252" i="2"/>
  <c r="E85" i="2"/>
  <c r="E200" i="2"/>
  <c r="E24" i="2"/>
  <c r="E343" i="2"/>
  <c r="E366" i="2"/>
  <c r="T351" i="2"/>
  <c r="X300" i="2"/>
  <c r="AA78" i="2"/>
  <c r="D15" i="2"/>
  <c r="D85" i="2"/>
  <c r="D154" i="2"/>
  <c r="D279" i="2"/>
  <c r="D372" i="2"/>
  <c r="D23" i="2"/>
  <c r="D319" i="2"/>
  <c r="D321" i="2"/>
  <c r="D366" i="2"/>
  <c r="D91" i="2"/>
  <c r="R97" i="2"/>
  <c r="AA307" i="2"/>
  <c r="X120" i="2"/>
  <c r="W78" i="2"/>
  <c r="E45" i="2"/>
  <c r="E373" i="2"/>
  <c r="E198" i="2"/>
  <c r="E122" i="2"/>
  <c r="E236" i="2"/>
  <c r="E270" i="2"/>
  <c r="E8" i="2"/>
  <c r="E48" i="2"/>
  <c r="E280" i="2"/>
  <c r="E336" i="2"/>
  <c r="R250" i="2"/>
  <c r="AA289" i="2"/>
  <c r="AB193" i="2"/>
  <c r="S179" i="2"/>
  <c r="S352" i="2"/>
  <c r="X181" i="2"/>
  <c r="T101" i="2"/>
  <c r="L240" i="2"/>
  <c r="L133" i="2"/>
  <c r="J380" i="2"/>
  <c r="L218" i="2"/>
  <c r="J39" i="2"/>
  <c r="L251" i="2"/>
  <c r="J301" i="2"/>
  <c r="J131" i="2"/>
  <c r="L247" i="2"/>
  <c r="J42" i="2"/>
  <c r="D304" i="2"/>
  <c r="D222" i="2"/>
  <c r="D198" i="2"/>
  <c r="D142" i="2"/>
  <c r="D249" i="2"/>
  <c r="D362" i="2"/>
  <c r="D269" i="2"/>
  <c r="D345" i="2"/>
  <c r="D315" i="2"/>
  <c r="D27" i="2"/>
  <c r="D336" i="2"/>
  <c r="D281" i="2"/>
  <c r="R236" i="2"/>
  <c r="X48" i="2"/>
  <c r="AD32" i="2"/>
  <c r="V26" i="2"/>
  <c r="W219" i="2"/>
  <c r="S78" i="2"/>
  <c r="AA281" i="2"/>
  <c r="J89" i="2"/>
  <c r="L151" i="2"/>
  <c r="J154" i="2"/>
  <c r="J381" i="2"/>
  <c r="L146" i="2"/>
  <c r="J294" i="2"/>
  <c r="L116" i="2"/>
  <c r="J353" i="2"/>
  <c r="L366" i="2"/>
  <c r="J91" i="2"/>
  <c r="E115" i="2"/>
  <c r="E167" i="2"/>
  <c r="E185" i="2"/>
  <c r="E339" i="2"/>
  <c r="E73" i="2"/>
  <c r="E146" i="2"/>
  <c r="E97" i="2"/>
  <c r="E66" i="2"/>
  <c r="E119" i="2"/>
  <c r="E32" i="2"/>
  <c r="E7" i="2"/>
  <c r="S192" i="2"/>
  <c r="W232" i="2"/>
  <c r="R155" i="2"/>
  <c r="Y9" i="2"/>
  <c r="Y153" i="2"/>
  <c r="Z283" i="2"/>
  <c r="P284" i="2"/>
  <c r="J43" i="2"/>
  <c r="J51" i="2"/>
  <c r="L242" i="2"/>
  <c r="J90" i="2"/>
  <c r="L260" i="2"/>
  <c r="J24" i="2"/>
  <c r="J67" i="2"/>
  <c r="L104" i="2"/>
  <c r="J32" i="2"/>
  <c r="L181" i="2"/>
  <c r="D88" i="2"/>
  <c r="D105" i="2"/>
  <c r="D256" i="2"/>
  <c r="D302" i="2"/>
  <c r="D257" i="2"/>
  <c r="D347" i="2"/>
  <c r="D329" i="2"/>
  <c r="D149" i="2"/>
  <c r="D52" i="2"/>
  <c r="D322" i="2"/>
  <c r="D26" i="2"/>
  <c r="D313" i="2"/>
  <c r="T349" i="2"/>
  <c r="T275" i="2"/>
  <c r="P32" i="2"/>
  <c r="AC118" i="2"/>
  <c r="AD306" i="2"/>
  <c r="AA86" i="2"/>
  <c r="W281" i="2"/>
  <c r="J250" i="2"/>
  <c r="L50" i="2"/>
  <c r="L376" i="2"/>
  <c r="J263" i="2"/>
  <c r="L211" i="2"/>
  <c r="J367" i="2"/>
  <c r="L319" i="2"/>
  <c r="J321" i="2"/>
  <c r="J336" i="2"/>
  <c r="X58" i="2"/>
  <c r="R187" i="2"/>
  <c r="W237" i="2"/>
  <c r="Z119" i="2"/>
  <c r="AD140" i="2"/>
  <c r="W350" i="2"/>
  <c r="AC41" i="2"/>
  <c r="X97" i="2"/>
  <c r="F97" i="4"/>
  <c r="Y239" i="2"/>
  <c r="AB169" i="2"/>
  <c r="X222" i="2"/>
  <c r="AS321" i="4"/>
  <c r="W334" i="2"/>
  <c r="X74" i="2"/>
  <c r="T291" i="2"/>
  <c r="AB358" i="2"/>
  <c r="AC34" i="2"/>
  <c r="Y78" i="2"/>
  <c r="AD59" i="2"/>
  <c r="AB278" i="2"/>
  <c r="Y129" i="2"/>
  <c r="AC63" i="2"/>
  <c r="AC31" i="2"/>
  <c r="AB49" i="2"/>
  <c r="Z80" i="2"/>
  <c r="W107" i="2"/>
  <c r="Z265" i="2"/>
  <c r="R39" i="2"/>
  <c r="W130" i="2"/>
  <c r="AC166" i="2"/>
  <c r="AD271" i="2"/>
  <c r="AC342" i="2"/>
  <c r="AB90" i="2"/>
  <c r="X221" i="2"/>
  <c r="T228" i="2"/>
  <c r="Y63" i="2"/>
  <c r="T10" i="2"/>
  <c r="Y366" i="2"/>
  <c r="W80" i="2"/>
  <c r="Z124" i="2"/>
  <c r="AD154" i="2"/>
  <c r="AB137" i="2"/>
  <c r="W251" i="2"/>
  <c r="AC163" i="2"/>
  <c r="AD167" i="2"/>
  <c r="AA309" i="2"/>
  <c r="T99" i="2"/>
  <c r="X367" i="2"/>
  <c r="R65" i="2"/>
  <c r="AB293" i="2"/>
  <c r="T117" i="2"/>
  <c r="X207" i="2"/>
  <c r="AB264" i="2"/>
  <c r="T194" i="2"/>
  <c r="Y363" i="2"/>
  <c r="R262" i="2"/>
  <c r="R166" i="2"/>
  <c r="AC193" i="2"/>
  <c r="Z93" i="2"/>
  <c r="T366" i="2"/>
  <c r="AB100" i="2"/>
  <c r="AA313" i="2"/>
  <c r="X199" i="2"/>
  <c r="T308" i="2"/>
  <c r="AB284" i="2"/>
  <c r="E314" i="2"/>
  <c r="E159" i="2"/>
  <c r="E234" i="2"/>
  <c r="E23" i="2"/>
  <c r="E102" i="2"/>
  <c r="E37" i="2"/>
  <c r="X213" i="2"/>
  <c r="W25" i="2"/>
  <c r="Y101" i="2"/>
  <c r="D16" i="2"/>
  <c r="D148" i="2"/>
  <c r="D264" i="2"/>
  <c r="D125" i="2"/>
  <c r="D287" i="2"/>
  <c r="D135" i="2"/>
  <c r="D275" i="2"/>
  <c r="D155" i="2"/>
  <c r="D285" i="2"/>
  <c r="AC365" i="2"/>
  <c r="AD190" i="2"/>
  <c r="Z31" i="2"/>
  <c r="R248" i="2"/>
  <c r="AB375" i="2"/>
  <c r="E124" i="2"/>
  <c r="E222" i="2"/>
  <c r="E95" i="2"/>
  <c r="E340" i="2"/>
  <c r="E349" i="2"/>
  <c r="E278" i="2"/>
  <c r="E112" i="2"/>
  <c r="E311" i="2"/>
  <c r="E27" i="2"/>
  <c r="E120" i="2"/>
  <c r="P259" i="2"/>
  <c r="Z57" i="2"/>
  <c r="S323" i="2"/>
  <c r="T377" i="2"/>
  <c r="V120" i="2"/>
  <c r="P37" i="2"/>
  <c r="R313" i="2"/>
  <c r="L158" i="2"/>
  <c r="J29" i="2"/>
  <c r="L83" i="2"/>
  <c r="J208" i="2"/>
  <c r="L327" i="2"/>
  <c r="J291" i="2"/>
  <c r="J331" i="2"/>
  <c r="L378" i="2"/>
  <c r="J300" i="2"/>
  <c r="L81" i="2"/>
  <c r="D12" i="2"/>
  <c r="D47" i="2"/>
  <c r="D186" i="2"/>
  <c r="D121" i="2"/>
  <c r="D71" i="2"/>
  <c r="D212" i="2"/>
  <c r="D253" i="2"/>
  <c r="D67" i="2"/>
  <c r="D18" i="2"/>
  <c r="D293" i="2"/>
  <c r="D49" i="2"/>
  <c r="V137" i="2"/>
  <c r="W230" i="2"/>
  <c r="AD161" i="2"/>
  <c r="X366" i="2"/>
  <c r="P306" i="2"/>
  <c r="AA33" i="2"/>
  <c r="Z62" i="2"/>
  <c r="L243" i="2"/>
  <c r="J360" i="2"/>
  <c r="J122" i="2"/>
  <c r="L73" i="2"/>
  <c r="J210" i="2"/>
  <c r="L318" i="2"/>
  <c r="J92" i="2"/>
  <c r="L155" i="2"/>
  <c r="J285" i="2"/>
  <c r="E169" i="2"/>
  <c r="E70" i="2"/>
  <c r="E259" i="2"/>
  <c r="E258" i="2"/>
  <c r="E295" i="2"/>
  <c r="E274" i="2"/>
  <c r="E210" i="2"/>
  <c r="E294" i="2"/>
  <c r="E216" i="2"/>
  <c r="E378" i="2"/>
  <c r="E247" i="2"/>
  <c r="E283" i="2"/>
  <c r="X316" i="2"/>
  <c r="S367" i="2"/>
  <c r="W271" i="2"/>
  <c r="Z34" i="2"/>
  <c r="AA305" i="2"/>
  <c r="S181" i="2"/>
  <c r="AD313" i="2"/>
  <c r="J160" i="2"/>
  <c r="L68" i="2"/>
  <c r="J335" i="2"/>
  <c r="L76" i="2"/>
  <c r="J99" i="2"/>
  <c r="J253" i="2"/>
  <c r="L40" i="2"/>
  <c r="J119" i="2"/>
  <c r="L93" i="2"/>
  <c r="J78" i="2"/>
  <c r="D141" i="2"/>
  <c r="D51" i="2"/>
  <c r="D246" i="2"/>
  <c r="D174" i="2"/>
  <c r="D356" i="2"/>
  <c r="D354" i="2"/>
  <c r="D368" i="2"/>
  <c r="D379" i="2"/>
  <c r="D132" i="2"/>
  <c r="D359" i="2"/>
  <c r="D175" i="2"/>
  <c r="D62" i="2"/>
  <c r="R99" i="2"/>
  <c r="P220" i="2"/>
  <c r="T161" i="2"/>
  <c r="AD336" i="2"/>
  <c r="Y7" i="2"/>
  <c r="V33" i="2"/>
  <c r="V62" i="2"/>
  <c r="J189" i="2"/>
  <c r="J198" i="2"/>
  <c r="J94" i="2"/>
  <c r="L357" i="2"/>
  <c r="J328" i="2"/>
  <c r="L135" i="2"/>
  <c r="J275" i="2"/>
  <c r="J27" i="2"/>
  <c r="L153" i="2"/>
  <c r="E346" i="2"/>
  <c r="E138" i="2"/>
  <c r="E165" i="2"/>
  <c r="E242" i="2"/>
  <c r="E58" i="2"/>
  <c r="E114" i="2"/>
  <c r="E328" i="2"/>
  <c r="E367" i="2"/>
  <c r="E162" i="2"/>
  <c r="E110" i="2"/>
  <c r="E93" i="2"/>
  <c r="E181" i="2"/>
  <c r="W154" i="2"/>
  <c r="AD318" i="2"/>
  <c r="Z293" i="2"/>
  <c r="T34" i="2"/>
  <c r="S305" i="2"/>
  <c r="AB37" i="2"/>
  <c r="Z313" i="2"/>
  <c r="J45" i="2"/>
  <c r="L140" i="2"/>
  <c r="J183" i="2"/>
  <c r="J144" i="2"/>
  <c r="L354" i="2"/>
  <c r="J232" i="2"/>
  <c r="L201" i="2"/>
  <c r="J358" i="2"/>
  <c r="L96" i="2"/>
  <c r="D226" i="2"/>
  <c r="D58" i="2"/>
  <c r="D272" i="2"/>
  <c r="D214" i="2"/>
  <c r="D330" i="2"/>
  <c r="D166" i="2"/>
  <c r="D191" i="2"/>
  <c r="D72" i="2"/>
  <c r="D233" i="2"/>
  <c r="D341" i="2"/>
  <c r="D303" i="2"/>
  <c r="M26" i="4"/>
  <c r="N229" i="4"/>
  <c r="M227" i="4"/>
  <c r="M136" i="4"/>
  <c r="AD234" i="2"/>
  <c r="R51" i="2"/>
  <c r="AC211" i="2"/>
  <c r="AC280" i="2"/>
  <c r="T77" i="2"/>
  <c r="W326" i="2"/>
  <c r="T310" i="2"/>
  <c r="AC112" i="2"/>
  <c r="AR44" i="4"/>
  <c r="I158" i="4"/>
  <c r="R38" i="2"/>
  <c r="Y177" i="2"/>
  <c r="Z41" i="4"/>
  <c r="AA141" i="2"/>
  <c r="Z263" i="2"/>
  <c r="AB130" i="2"/>
  <c r="W378" i="2"/>
  <c r="W377" i="2"/>
  <c r="X33" i="2"/>
  <c r="AD90" i="2"/>
  <c r="R289" i="2"/>
  <c r="AC301" i="2"/>
  <c r="R178" i="2"/>
  <c r="X161" i="2"/>
  <c r="R49" i="2"/>
  <c r="AA375" i="2"/>
  <c r="Y68" i="2"/>
  <c r="AA340" i="2"/>
  <c r="Y221" i="2"/>
  <c r="AC171" i="2"/>
  <c r="Z132" i="2"/>
  <c r="Y332" i="2"/>
  <c r="AB298" i="2"/>
  <c r="AC310" i="2"/>
  <c r="AD272" i="2"/>
  <c r="Y149" i="2"/>
  <c r="Z369" i="2"/>
  <c r="AA31" i="2"/>
  <c r="AC336" i="2"/>
  <c r="AA42" i="2"/>
  <c r="X273" i="2"/>
  <c r="R41" i="2"/>
  <c r="R347" i="2"/>
  <c r="AC286" i="2"/>
  <c r="X116" i="2"/>
  <c r="AC259" i="2"/>
  <c r="AD204" i="2"/>
  <c r="AA354" i="2"/>
  <c r="AB8" i="2"/>
  <c r="Y230" i="2"/>
  <c r="R35" i="2"/>
  <c r="Y370" i="2"/>
  <c r="AB85" i="2"/>
  <c r="Z339" i="2"/>
  <c r="W371" i="2"/>
  <c r="Z329" i="2"/>
  <c r="Y244" i="2"/>
  <c r="W315" i="2"/>
  <c r="AD359" i="2"/>
  <c r="AD96" i="2"/>
  <c r="Y336" i="2"/>
  <c r="R100" i="2"/>
  <c r="Z30" i="2"/>
  <c r="T135" i="2"/>
  <c r="X336" i="2"/>
  <c r="Z101" i="2"/>
  <c r="E16" i="2"/>
  <c r="E183" i="2"/>
  <c r="E180" i="2"/>
  <c r="E135" i="2"/>
  <c r="E17" i="2"/>
  <c r="E86" i="2"/>
  <c r="W163" i="2"/>
  <c r="Y49" i="2"/>
  <c r="W313" i="2"/>
  <c r="D126" i="2"/>
  <c r="D136" i="2"/>
  <c r="D296" i="2"/>
  <c r="D234" i="2"/>
  <c r="D139" i="2"/>
  <c r="D228" i="2"/>
  <c r="D343" i="2"/>
  <c r="D271" i="2"/>
  <c r="D219" i="2"/>
  <c r="R186" i="2"/>
  <c r="AA217" i="2"/>
  <c r="X377" i="2"/>
  <c r="Z219" i="2"/>
  <c r="Z81" i="2"/>
  <c r="E304" i="2"/>
  <c r="E273" i="2"/>
  <c r="E192" i="2"/>
  <c r="E59" i="2"/>
  <c r="E194" i="2"/>
  <c r="E363" i="2"/>
  <c r="E244" i="2"/>
  <c r="E315" i="2"/>
  <c r="E184" i="2"/>
  <c r="E306" i="2"/>
  <c r="S227" i="2"/>
  <c r="Y286" i="2"/>
  <c r="AD134" i="2"/>
  <c r="W370" i="2"/>
  <c r="AC303" i="2"/>
  <c r="Z42" i="2"/>
  <c r="AD30" i="2"/>
  <c r="J141" i="2"/>
  <c r="L165" i="2"/>
  <c r="J182" i="2"/>
  <c r="L324" i="2"/>
  <c r="J147" i="2"/>
  <c r="J255" i="2"/>
  <c r="L216" i="2"/>
  <c r="J188" i="2"/>
  <c r="L117" i="2"/>
  <c r="J374" i="2"/>
  <c r="D290" i="2"/>
  <c r="D273" i="2"/>
  <c r="D95" i="2"/>
  <c r="D122" i="2"/>
  <c r="D381" i="2"/>
  <c r="D224" i="2"/>
  <c r="D344" i="2"/>
  <c r="D190" i="2"/>
  <c r="D220" i="2"/>
  <c r="D184" i="2"/>
  <c r="D120" i="2"/>
  <c r="T314" i="2"/>
  <c r="T276" i="2"/>
  <c r="Z110" i="2"/>
  <c r="Y93" i="2"/>
  <c r="X175" i="2"/>
  <c r="Y172" i="2"/>
  <c r="W375" i="2"/>
  <c r="X72" i="2"/>
  <c r="J239" i="2"/>
  <c r="L266" i="2"/>
  <c r="L339" i="2"/>
  <c r="J274" i="2"/>
  <c r="L272" i="2"/>
  <c r="J262" i="2"/>
  <c r="L343" i="2"/>
  <c r="J271" i="2"/>
  <c r="J120" i="2"/>
  <c r="E240" i="2"/>
  <c r="E203" i="2"/>
  <c r="E28" i="2"/>
  <c r="E380" i="2"/>
  <c r="E277" i="2"/>
  <c r="E64" i="2"/>
  <c r="E289" i="2"/>
  <c r="E337" i="2"/>
  <c r="E217" i="2"/>
  <c r="E188" i="2"/>
  <c r="E300" i="2"/>
  <c r="E42" i="2"/>
  <c r="Z296" i="2"/>
  <c r="R55" i="2"/>
  <c r="S134" i="2"/>
  <c r="AB117" i="2"/>
  <c r="P120" i="2"/>
  <c r="AB80" i="2"/>
  <c r="AC374" i="2"/>
  <c r="L88" i="2"/>
  <c r="J167" i="2"/>
  <c r="L14" i="2"/>
  <c r="J200" i="2"/>
  <c r="J212" i="2"/>
  <c r="L69" i="2"/>
  <c r="J66" i="2"/>
  <c r="L110" i="2"/>
  <c r="J9" i="2"/>
  <c r="L284" i="2"/>
  <c r="W209" i="2"/>
  <c r="X256" i="2"/>
  <c r="R348" i="2"/>
  <c r="I322" i="4"/>
  <c r="Y341" i="2"/>
  <c r="Y111" i="2"/>
  <c r="X106" i="2"/>
  <c r="Z129" i="2"/>
  <c r="AT150" i="4"/>
  <c r="F95" i="4"/>
  <c r="X88" i="2"/>
  <c r="Y273" i="2"/>
  <c r="M31" i="4"/>
  <c r="AA365" i="2"/>
  <c r="Z64" i="2"/>
  <c r="T56" i="2"/>
  <c r="Z27" i="2"/>
  <c r="R366" i="2"/>
  <c r="AA68" i="2"/>
  <c r="X125" i="2"/>
  <c r="AA368" i="2"/>
  <c r="Z201" i="2"/>
  <c r="W321" i="2"/>
  <c r="T11" i="2"/>
  <c r="W153" i="2"/>
  <c r="T81" i="2"/>
  <c r="AC127" i="2"/>
  <c r="AB226" i="2"/>
  <c r="AC254" i="2"/>
  <c r="R325" i="2"/>
  <c r="AD84" i="2"/>
  <c r="AB152" i="2"/>
  <c r="T95" i="2"/>
  <c r="AA218" i="2"/>
  <c r="T139" i="2"/>
  <c r="X201" i="2"/>
  <c r="R378" i="2"/>
  <c r="Z247" i="2"/>
  <c r="X352" i="2"/>
  <c r="Z86" i="2"/>
  <c r="Z238" i="2"/>
  <c r="W218" i="2"/>
  <c r="Y99" i="2"/>
  <c r="Z367" i="2"/>
  <c r="W84" i="2"/>
  <c r="AA342" i="2"/>
  <c r="R90" i="2"/>
  <c r="AD270" i="2"/>
  <c r="R337" i="2"/>
  <c r="AC235" i="2"/>
  <c r="Z307" i="2"/>
  <c r="AC308" i="2"/>
  <c r="R246" i="2"/>
  <c r="AA296" i="2"/>
  <c r="X205" i="2"/>
  <c r="R361" i="2"/>
  <c r="AC325" i="2"/>
  <c r="AA333" i="2"/>
  <c r="W323" i="2"/>
  <c r="T96" i="2"/>
  <c r="AC175" i="2"/>
  <c r="W82" i="2"/>
  <c r="AD281" i="2"/>
  <c r="R216" i="2"/>
  <c r="Z25" i="2"/>
  <c r="Y313" i="2"/>
  <c r="E126" i="2"/>
  <c r="E14" i="2"/>
  <c r="E260" i="2"/>
  <c r="E228" i="2"/>
  <c r="E321" i="2"/>
  <c r="E284" i="2"/>
  <c r="R119" i="2"/>
  <c r="Y352" i="2"/>
  <c r="T374" i="2"/>
  <c r="D109" i="2"/>
  <c r="D176" i="2"/>
  <c r="D204" i="2"/>
  <c r="D180" i="2"/>
  <c r="D320" i="2"/>
  <c r="D55" i="2"/>
  <c r="D84" i="2"/>
  <c r="D152" i="2"/>
  <c r="AC228" i="2"/>
  <c r="Z185" i="2"/>
  <c r="Y344" i="2"/>
  <c r="Z375" i="4"/>
  <c r="AA54" i="2"/>
  <c r="AB47" i="2"/>
  <c r="Z194" i="2"/>
  <c r="AB156" i="2"/>
  <c r="M27" i="4"/>
  <c r="AR139" i="4"/>
  <c r="AB141" i="2"/>
  <c r="Z108" i="2"/>
  <c r="Z30" i="4"/>
  <c r="Z28" i="2"/>
  <c r="AB267" i="2"/>
  <c r="Z345" i="2"/>
  <c r="R323" i="2"/>
  <c r="AA175" i="2"/>
  <c r="AB79" i="2"/>
  <c r="X64" i="2"/>
  <c r="AB233" i="2"/>
  <c r="R217" i="2"/>
  <c r="AA322" i="2"/>
  <c r="Y300" i="2"/>
  <c r="X303" i="2"/>
  <c r="Y284" i="2"/>
  <c r="AD360" i="2"/>
  <c r="AC144" i="2"/>
  <c r="Z372" i="2"/>
  <c r="W345" i="2"/>
  <c r="AC369" i="2"/>
  <c r="AC307" i="2"/>
  <c r="W159" i="2"/>
  <c r="R263" i="2"/>
  <c r="AA209" i="2"/>
  <c r="AB331" i="2"/>
  <c r="Y322" i="2"/>
  <c r="AC93" i="2"/>
  <c r="AB305" i="2"/>
  <c r="W284" i="2"/>
  <c r="Y53" i="2"/>
  <c r="T144" i="2"/>
  <c r="AB211" i="2"/>
  <c r="AD8" i="2"/>
  <c r="AA230" i="2"/>
  <c r="T157" i="2"/>
  <c r="AD44" i="2"/>
  <c r="T210" i="2"/>
  <c r="AA379" i="2"/>
  <c r="Z145" i="2"/>
  <c r="AA32" i="2"/>
  <c r="T175" i="2"/>
  <c r="R113" i="2"/>
  <c r="AB295" i="2"/>
  <c r="Y137" i="2"/>
  <c r="W269" i="2"/>
  <c r="Z379" i="2"/>
  <c r="X230" i="2"/>
  <c r="X271" i="2"/>
  <c r="Y11" i="2"/>
  <c r="X25" i="2"/>
  <c r="AA283" i="2"/>
  <c r="T281" i="2"/>
  <c r="AC343" i="2"/>
  <c r="AA49" i="2"/>
  <c r="W374" i="2"/>
  <c r="E109" i="2"/>
  <c r="E316" i="2"/>
  <c r="E99" i="2"/>
  <c r="E55" i="2"/>
  <c r="E155" i="2"/>
  <c r="E30" i="2"/>
  <c r="AD215" i="2"/>
  <c r="AA120" i="2"/>
  <c r="R30" i="2"/>
  <c r="D107" i="2"/>
  <c r="D159" i="2"/>
  <c r="D225" i="2"/>
  <c r="D260" i="2"/>
  <c r="D24" i="2"/>
  <c r="D241" i="2"/>
  <c r="D63" i="2"/>
  <c r="D31" i="2"/>
  <c r="D37" i="2"/>
  <c r="Z94" i="2"/>
  <c r="Y22" i="2"/>
  <c r="AA26" i="2"/>
  <c r="AC172" i="2"/>
  <c r="AA72" i="2"/>
  <c r="E187" i="2"/>
  <c r="E53" i="2"/>
  <c r="E54" i="2"/>
  <c r="E310" i="2"/>
  <c r="E137" i="2"/>
  <c r="E269" i="2"/>
  <c r="E190" i="2"/>
  <c r="E131" i="2"/>
  <c r="E161" i="2"/>
  <c r="E80" i="2"/>
  <c r="X264" i="2"/>
  <c r="T40" i="2"/>
  <c r="V307" i="2"/>
  <c r="Z366" i="2"/>
  <c r="R306" i="2"/>
  <c r="AC33" i="2"/>
  <c r="AA62" i="2"/>
  <c r="J115" i="2"/>
  <c r="L360" i="2"/>
  <c r="J309" i="2"/>
  <c r="J236" i="2"/>
  <c r="L210" i="2"/>
  <c r="J337" i="2"/>
  <c r="L92" i="2"/>
  <c r="J193" i="2"/>
  <c r="L285" i="2"/>
  <c r="D43" i="2"/>
  <c r="D261" i="2"/>
  <c r="D53" i="2"/>
  <c r="D36" i="2"/>
  <c r="D59" i="2"/>
  <c r="D349" i="2"/>
  <c r="D270" i="2"/>
  <c r="D171" i="2"/>
  <c r="D223" i="2"/>
  <c r="D369" i="2"/>
  <c r="D161" i="2"/>
  <c r="D82" i="2"/>
  <c r="D100" i="2"/>
  <c r="E36" i="2"/>
  <c r="V14" i="2"/>
  <c r="J98" i="2"/>
  <c r="L91" i="2"/>
  <c r="D331" i="2"/>
  <c r="P299" i="2"/>
  <c r="W81" i="2"/>
  <c r="J295" i="2"/>
  <c r="J84" i="2"/>
  <c r="E196" i="2"/>
  <c r="E267" i="2"/>
  <c r="E178" i="2"/>
  <c r="P331" i="2"/>
  <c r="W42" i="2"/>
  <c r="J316" i="2"/>
  <c r="L162" i="2"/>
  <c r="D60" i="2"/>
  <c r="D185" i="2"/>
  <c r="D276" i="2"/>
  <c r="D230" i="2"/>
  <c r="D7" i="2"/>
  <c r="X353" i="2"/>
  <c r="S172" i="2"/>
  <c r="L169" i="2"/>
  <c r="J58" i="2"/>
  <c r="J228" i="2"/>
  <c r="L282" i="2"/>
  <c r="E243" i="2"/>
  <c r="E297" i="2"/>
  <c r="E357" i="2"/>
  <c r="E130" i="2"/>
  <c r="E358" i="2"/>
  <c r="E172" i="2"/>
  <c r="P344" i="2"/>
  <c r="R9" i="2"/>
  <c r="S283" i="2"/>
  <c r="L346" i="2"/>
  <c r="L159" i="2"/>
  <c r="J137" i="2"/>
  <c r="J129" i="2"/>
  <c r="J282" i="2"/>
  <c r="D172" i="2"/>
  <c r="D181" i="2"/>
  <c r="L37" i="2"/>
  <c r="D170" i="2"/>
  <c r="D128" i="2"/>
  <c r="D106" i="2"/>
  <c r="AQ363" i="4"/>
  <c r="Y229" i="4"/>
  <c r="W136" i="4"/>
  <c r="AS186" i="4"/>
  <c r="N72" i="4"/>
  <c r="G111" i="4"/>
  <c r="H113" i="4"/>
  <c r="G137" i="4"/>
  <c r="X268" i="4"/>
  <c r="Y226" i="4"/>
  <c r="Z270" i="4"/>
  <c r="AS270" i="4"/>
  <c r="I228" i="4"/>
  <c r="Z112" i="4"/>
  <c r="V267" i="4"/>
  <c r="X267" i="4"/>
  <c r="M342" i="4"/>
  <c r="AQ135" i="4"/>
  <c r="G185" i="4"/>
  <c r="AQ223" i="4"/>
  <c r="AQ134" i="4"/>
  <c r="AQ361" i="4"/>
  <c r="W177" i="4"/>
  <c r="G224" i="4"/>
  <c r="Z224" i="4"/>
  <c r="G343" i="4"/>
  <c r="AQ69" i="4"/>
  <c r="H220" i="4"/>
  <c r="G25" i="4"/>
  <c r="AQ205" i="4"/>
  <c r="I205" i="4"/>
  <c r="X70" i="4"/>
  <c r="AS174" i="4"/>
  <c r="V219" i="4"/>
  <c r="Z219" i="4"/>
  <c r="Y264" i="4"/>
  <c r="AS269" i="4"/>
  <c r="AQ265" i="4"/>
  <c r="AT265" i="4"/>
  <c r="AQ274" i="4"/>
  <c r="W260" i="4"/>
  <c r="I295" i="4"/>
  <c r="H204" i="4"/>
  <c r="G173" i="4"/>
  <c r="AQ341" i="4"/>
  <c r="W110" i="4"/>
  <c r="X217" i="4"/>
  <c r="AQ354" i="4"/>
  <c r="I221" i="4"/>
  <c r="W316" i="4"/>
  <c r="X359" i="4"/>
  <c r="X147" i="4"/>
  <c r="X203" i="4"/>
  <c r="X293" i="4"/>
  <c r="I133" i="4"/>
  <c r="N172" i="4"/>
  <c r="M218" i="4"/>
  <c r="H218" i="4"/>
  <c r="G130" i="4"/>
  <c r="AQ66" i="4"/>
  <c r="AT66" i="4"/>
  <c r="AS74" i="4"/>
  <c r="G176" i="4"/>
  <c r="G71" i="4"/>
  <c r="I71" i="4"/>
  <c r="AS68" i="4"/>
  <c r="X171" i="4"/>
  <c r="W273" i="4"/>
  <c r="Z175" i="4"/>
  <c r="H82" i="4"/>
  <c r="AS317" i="4"/>
  <c r="AT317" i="4"/>
  <c r="Z109" i="4"/>
  <c r="H107" i="4"/>
  <c r="Y125" i="4"/>
  <c r="AQ131" i="4"/>
  <c r="AQ358" i="4"/>
  <c r="AQ262" i="4"/>
  <c r="X373" i="4"/>
  <c r="M127" i="4"/>
  <c r="W184" i="4"/>
  <c r="H184" i="4"/>
  <c r="X67" i="4"/>
  <c r="M105" i="4"/>
  <c r="I105" i="4"/>
  <c r="H202" i="4"/>
  <c r="M315" i="4"/>
  <c r="AT256" i="4"/>
  <c r="W154" i="4"/>
  <c r="AQ360" i="4"/>
  <c r="Z360" i="4"/>
  <c r="X155" i="4"/>
  <c r="AS65" i="4"/>
  <c r="I206" i="4"/>
  <c r="H206" i="4"/>
  <c r="M340" i="4"/>
  <c r="V257" i="4"/>
  <c r="AT146" i="4"/>
  <c r="Y64" i="4"/>
  <c r="X183" i="4"/>
  <c r="AS103" i="4"/>
  <c r="W294" i="4"/>
  <c r="N294" i="4"/>
  <c r="Y170" i="4"/>
  <c r="H201" i="4"/>
  <c r="Y104" i="4"/>
  <c r="X62" i="4"/>
  <c r="W313" i="4"/>
  <c r="W215" i="4"/>
  <c r="N357" i="4"/>
  <c r="AT357" i="4"/>
  <c r="AT106" i="4"/>
  <c r="Y258" i="4"/>
  <c r="AQ259" i="4"/>
  <c r="Z259" i="4"/>
  <c r="AQ129" i="4"/>
  <c r="AQ128" i="4"/>
  <c r="X128" i="4"/>
  <c r="M351" i="4"/>
  <c r="AQ197" i="4"/>
  <c r="G372" i="4"/>
  <c r="X216" i="4"/>
  <c r="N199" i="4"/>
  <c r="W100" i="4"/>
  <c r="Y337" i="4"/>
  <c r="X93" i="4"/>
  <c r="N214" i="4"/>
  <c r="N252" i="4"/>
  <c r="N59" i="4"/>
  <c r="G123" i="4"/>
  <c r="Y169" i="4"/>
  <c r="AQ88" i="4"/>
  <c r="AT88" i="4"/>
  <c r="AS101" i="4"/>
  <c r="Y356" i="4"/>
  <c r="V292" i="4"/>
  <c r="AS292" i="4"/>
  <c r="G352" i="4"/>
  <c r="W253" i="4"/>
  <c r="W200" i="4"/>
  <c r="Z200" i="4"/>
  <c r="G60" i="4"/>
  <c r="W335" i="4"/>
  <c r="Z335" i="4"/>
  <c r="H312" i="4"/>
  <c r="H79" i="4"/>
  <c r="W194" i="4"/>
  <c r="AQ108" i="4"/>
  <c r="AS108" i="4"/>
  <c r="AS63" i="4"/>
  <c r="M144" i="4"/>
  <c r="Y144" i="4"/>
  <c r="AT61" i="4"/>
  <c r="Z336" i="4"/>
  <c r="M58" i="4"/>
  <c r="N288" i="4"/>
  <c r="W19" i="4"/>
  <c r="Z80" i="4"/>
  <c r="G311" i="4"/>
  <c r="G333" i="4"/>
  <c r="G310" i="4"/>
  <c r="AT21" i="4"/>
  <c r="G370" i="4"/>
  <c r="I370" i="4"/>
  <c r="M350" i="4"/>
  <c r="H350" i="4"/>
  <c r="G195" i="4"/>
  <c r="AQ287" i="4"/>
  <c r="AT287" i="4"/>
  <c r="AS348" i="4"/>
  <c r="W291" i="4"/>
  <c r="AT291" i="4"/>
  <c r="AS290" i="4"/>
  <c r="N248" i="4"/>
  <c r="I248" i="4"/>
  <c r="AS369" i="4"/>
  <c r="N380" i="4"/>
  <c r="I380" i="4"/>
  <c r="AT246" i="4"/>
  <c r="G102" i="4"/>
  <c r="AQ272" i="4"/>
  <c r="W36" i="4"/>
  <c r="M381" i="4"/>
  <c r="AQ12" i="4"/>
  <c r="G334" i="4"/>
  <c r="Z349" i="4"/>
  <c r="AQ99" i="4"/>
  <c r="M54" i="4"/>
  <c r="N242" i="4"/>
  <c r="W181" i="4"/>
  <c r="X142" i="4"/>
  <c r="AQ328" i="4"/>
  <c r="M96" i="4"/>
  <c r="Z164" i="4"/>
  <c r="Z332" i="4"/>
  <c r="AT301" i="4"/>
  <c r="Y284" i="4"/>
  <c r="Y182" i="4"/>
  <c r="Y243" i="4"/>
  <c r="Y18" i="4"/>
  <c r="Y331" i="4"/>
  <c r="Y329" i="4"/>
  <c r="Y239" i="4"/>
  <c r="Y16" i="4"/>
  <c r="AS353" i="4"/>
  <c r="Y371" i="4"/>
  <c r="Z371" i="4"/>
  <c r="T245" i="2"/>
  <c r="E338" i="2"/>
  <c r="V244" i="2"/>
  <c r="L154" i="2"/>
  <c r="D187" i="2"/>
  <c r="D131" i="2"/>
  <c r="Y155" i="2"/>
  <c r="T284" i="2"/>
  <c r="L90" i="2"/>
  <c r="J220" i="2"/>
  <c r="E105" i="2"/>
  <c r="E347" i="2"/>
  <c r="E322" i="2"/>
  <c r="AB92" i="2"/>
  <c r="AD86" i="2"/>
  <c r="J121" i="2"/>
  <c r="J116" i="2"/>
  <c r="D250" i="2"/>
  <c r="D376" i="2"/>
  <c r="D146" i="2"/>
  <c r="D104" i="2"/>
  <c r="AA19" i="2"/>
  <c r="T27" i="2"/>
  <c r="AA82" i="2"/>
  <c r="J203" i="2"/>
  <c r="L225" i="2"/>
  <c r="J345" i="2"/>
  <c r="J248" i="2"/>
  <c r="E21" i="2"/>
  <c r="E335" i="2"/>
  <c r="E351" i="2"/>
  <c r="E318" i="2"/>
  <c r="E215" i="2"/>
  <c r="E78" i="2"/>
  <c r="AC241" i="2"/>
  <c r="W117" i="2"/>
  <c r="V80" i="2"/>
  <c r="L330" i="2"/>
  <c r="J13" i="2"/>
  <c r="J75" i="2"/>
  <c r="J20" i="2"/>
  <c r="J179" i="2"/>
  <c r="L303" i="2"/>
  <c r="J172" i="2"/>
  <c r="D19" i="2"/>
  <c r="D231" i="2"/>
  <c r="D61" i="2"/>
  <c r="D221" i="2"/>
  <c r="W26" i="4"/>
  <c r="Z229" i="4"/>
  <c r="AQ136" i="4"/>
  <c r="X318" i="4"/>
  <c r="Y72" i="4"/>
  <c r="N111" i="4"/>
  <c r="AT113" i="4"/>
  <c r="AS137" i="4"/>
  <c r="Y268" i="4"/>
  <c r="M226" i="4"/>
  <c r="AT270" i="4"/>
  <c r="H228" i="4"/>
  <c r="V228" i="4"/>
  <c r="V112" i="4"/>
  <c r="H267" i="4"/>
  <c r="AT267" i="4"/>
  <c r="W342" i="4"/>
  <c r="M135" i="4"/>
  <c r="AS185" i="4"/>
  <c r="G223" i="4"/>
  <c r="G134" i="4"/>
  <c r="N361" i="4"/>
  <c r="M177" i="4"/>
  <c r="X224" i="4"/>
  <c r="V224" i="4"/>
  <c r="AS343" i="4"/>
  <c r="N69" i="4"/>
  <c r="AQ220" i="4"/>
  <c r="Y25" i="4"/>
  <c r="M205" i="4"/>
  <c r="Z70" i="4"/>
  <c r="G70" i="4"/>
  <c r="Z174" i="4"/>
  <c r="W219" i="4"/>
  <c r="AT219" i="4"/>
  <c r="AS264" i="4"/>
  <c r="N269" i="4"/>
  <c r="N265" i="4"/>
  <c r="I265" i="4"/>
  <c r="M148" i="4"/>
  <c r="AQ260" i="4"/>
  <c r="N295" i="4"/>
  <c r="X204" i="4"/>
  <c r="I173" i="4"/>
  <c r="AS341" i="4"/>
  <c r="AQ110" i="4"/>
  <c r="M261" i="4"/>
  <c r="AT221" i="4"/>
  <c r="V221" i="4"/>
  <c r="X316" i="4"/>
  <c r="G359" i="4"/>
  <c r="G147" i="4"/>
  <c r="G203" i="4"/>
  <c r="G293" i="4"/>
  <c r="AQ133" i="4"/>
  <c r="X172" i="4"/>
  <c r="W218" i="4"/>
  <c r="Z218" i="4"/>
  <c r="Y130" i="4"/>
  <c r="N66" i="4"/>
  <c r="M74" i="4"/>
  <c r="V176" i="4"/>
  <c r="Y176" i="4"/>
  <c r="AT71" i="4"/>
  <c r="V71" i="4"/>
  <c r="H68" i="4"/>
  <c r="M126" i="4"/>
  <c r="AQ273" i="4"/>
  <c r="N175" i="4"/>
  <c r="I82" i="4"/>
  <c r="V317" i="4"/>
  <c r="I317" i="4"/>
  <c r="AT109" i="4"/>
  <c r="Z107" i="4"/>
  <c r="AS125" i="4"/>
  <c r="H131" i="4"/>
  <c r="X358" i="4"/>
  <c r="X262" i="4"/>
  <c r="G373" i="4"/>
  <c r="W127" i="4"/>
  <c r="AQ184" i="4"/>
  <c r="Z184" i="4"/>
  <c r="G67" i="4"/>
  <c r="W105" i="4"/>
  <c r="AQ202" i="4"/>
  <c r="Z202" i="4"/>
  <c r="X315" i="4"/>
  <c r="AQ81" i="4"/>
  <c r="AQ154" i="4"/>
  <c r="M360" i="4"/>
  <c r="AT360" i="4"/>
  <c r="N145" i="4"/>
  <c r="M22" i="4"/>
  <c r="Y206" i="4"/>
  <c r="Z206" i="4"/>
  <c r="H340" i="4"/>
  <c r="N257" i="4"/>
  <c r="V146" i="4"/>
  <c r="Z64" i="4"/>
  <c r="M103" i="4"/>
  <c r="M254" i="4"/>
  <c r="H294" i="4"/>
  <c r="AS294" i="4"/>
  <c r="AS170" i="4"/>
  <c r="W201" i="4"/>
  <c r="Z104" i="4"/>
  <c r="G62" i="4"/>
  <c r="AQ313" i="4"/>
  <c r="AQ215" i="4"/>
  <c r="V357" i="4"/>
  <c r="I357" i="4"/>
  <c r="N106" i="4"/>
  <c r="Z258" i="4"/>
  <c r="M259" i="4"/>
  <c r="AT259" i="4"/>
  <c r="N129" i="4"/>
  <c r="N128" i="4"/>
  <c r="M128" i="4"/>
  <c r="W351" i="4"/>
  <c r="M372" i="4"/>
  <c r="Y372" i="4"/>
  <c r="AQ168" i="4"/>
  <c r="X199" i="4"/>
  <c r="AQ100" i="4"/>
  <c r="AS337" i="4"/>
  <c r="G93" i="4"/>
  <c r="X214" i="4"/>
  <c r="X252" i="4"/>
  <c r="X59" i="4"/>
  <c r="Y123" i="4"/>
  <c r="AS169" i="4"/>
  <c r="N88" i="4"/>
  <c r="M101" i="4"/>
  <c r="H101" i="4"/>
  <c r="H356" i="4"/>
  <c r="W292" i="4"/>
  <c r="H292" i="4"/>
  <c r="Y352" i="4"/>
  <c r="H253" i="4"/>
  <c r="AQ200" i="4"/>
  <c r="AT200" i="4"/>
  <c r="Y60" i="4"/>
  <c r="AQ335" i="4"/>
  <c r="AT335" i="4"/>
  <c r="Z312" i="4"/>
  <c r="Z79" i="4"/>
  <c r="AQ194" i="4"/>
  <c r="M108" i="4"/>
  <c r="H108" i="4"/>
  <c r="M63" i="4"/>
  <c r="AS144" i="4"/>
  <c r="N144" i="4"/>
  <c r="I61" i="4"/>
  <c r="AT336" i="4"/>
  <c r="W58" i="4"/>
  <c r="X288" i="4"/>
  <c r="AQ19" i="4"/>
  <c r="AT80" i="4"/>
  <c r="Y311" i="4"/>
  <c r="Z333" i="2"/>
  <c r="E371" i="2"/>
  <c r="AA10" i="2"/>
  <c r="J195" i="2"/>
  <c r="D238" i="2"/>
  <c r="D307" i="2"/>
  <c r="AA11" i="2"/>
  <c r="X91" i="2"/>
  <c r="L351" i="2"/>
  <c r="J184" i="2"/>
  <c r="E151" i="2"/>
  <c r="E209" i="2"/>
  <c r="E377" i="2"/>
  <c r="AB332" i="2"/>
  <c r="AA30" i="2"/>
  <c r="J71" i="2"/>
  <c r="J215" i="2"/>
  <c r="D115" i="2"/>
  <c r="D94" i="2"/>
  <c r="D232" i="2"/>
  <c r="D119" i="2"/>
  <c r="AA50" i="2"/>
  <c r="R93" i="2"/>
  <c r="V283" i="2"/>
  <c r="J126" i="2"/>
  <c r="J114" i="2"/>
  <c r="L129" i="2"/>
  <c r="L172" i="2"/>
  <c r="E229" i="2"/>
  <c r="E83" i="2"/>
  <c r="E205" i="2"/>
  <c r="E262" i="2"/>
  <c r="E353" i="2"/>
  <c r="E81" i="2"/>
  <c r="Z223" i="2"/>
  <c r="W308" i="2"/>
  <c r="AD78" i="2"/>
  <c r="J12" i="2"/>
  <c r="L174" i="2"/>
  <c r="L221" i="2"/>
  <c r="L163" i="2"/>
  <c r="J308" i="2"/>
  <c r="D160" i="2"/>
  <c r="D350" i="2"/>
  <c r="D360" i="2"/>
  <c r="D237" i="2"/>
  <c r="D213" i="2"/>
  <c r="D145" i="2"/>
  <c r="AQ26" i="4"/>
  <c r="AT229" i="4"/>
  <c r="AQ138" i="4"/>
  <c r="G318" i="4"/>
  <c r="Z72" i="4"/>
  <c r="X111" i="4"/>
  <c r="V113" i="4"/>
  <c r="H137" i="4"/>
  <c r="AQ268" i="4"/>
  <c r="N226" i="4"/>
  <c r="V270" i="4"/>
  <c r="X228" i="4"/>
  <c r="AQ112" i="4"/>
  <c r="N112" i="4"/>
  <c r="Y267" i="4"/>
  <c r="M222" i="4"/>
  <c r="AQ342" i="4"/>
  <c r="Z135" i="4"/>
  <c r="M132" i="4"/>
  <c r="AS223" i="4"/>
  <c r="AS134" i="4"/>
  <c r="X361" i="4"/>
  <c r="Y177" i="4"/>
  <c r="AQ224" i="4"/>
  <c r="H343" i="4"/>
  <c r="V343" i="4"/>
  <c r="X69" i="4"/>
  <c r="I220" i="4"/>
  <c r="AS25" i="4"/>
  <c r="N205" i="4"/>
  <c r="AT70" i="4"/>
  <c r="Y70" i="4"/>
  <c r="AT174" i="4"/>
  <c r="N219" i="4"/>
  <c r="M264" i="4"/>
  <c r="Y269" i="4"/>
  <c r="X269" i="4"/>
  <c r="X265" i="4"/>
  <c r="H24" i="4"/>
  <c r="W148" i="4"/>
  <c r="H295" i="4"/>
  <c r="X295" i="4"/>
  <c r="Y204" i="4"/>
  <c r="AQ173" i="4"/>
  <c r="H341" i="4"/>
  <c r="N110" i="4"/>
  <c r="W261" i="4"/>
  <c r="Z221" i="4"/>
  <c r="AS221" i="4"/>
  <c r="M316" i="4"/>
  <c r="Y359" i="4"/>
  <c r="Y147" i="4"/>
  <c r="Y203" i="4"/>
  <c r="Y293" i="4"/>
  <c r="V133" i="4"/>
  <c r="G172" i="4"/>
  <c r="AQ218" i="4"/>
  <c r="AT218" i="4"/>
  <c r="AS130" i="4"/>
  <c r="X66" i="4"/>
  <c r="W74" i="4"/>
  <c r="W176" i="4"/>
  <c r="AS176" i="4"/>
  <c r="H71" i="4"/>
  <c r="W68" i="4"/>
  <c r="Z68" i="4"/>
  <c r="W126" i="4"/>
  <c r="H175" i="4"/>
  <c r="X175" i="4"/>
  <c r="AQ82" i="4"/>
  <c r="W317" i="4"/>
  <c r="W109" i="4"/>
  <c r="I109" i="4"/>
  <c r="AT107" i="4"/>
  <c r="M338" i="4"/>
  <c r="AT131" i="4"/>
  <c r="H358" i="4"/>
  <c r="H262" i="4"/>
  <c r="Y373" i="4"/>
  <c r="AS127" i="4"/>
  <c r="M184" i="4"/>
  <c r="AT184" i="4"/>
  <c r="Y67" i="4"/>
  <c r="AQ105" i="4"/>
  <c r="N202" i="4"/>
  <c r="AT202" i="4"/>
  <c r="AT315" i="4"/>
  <c r="N81" i="4"/>
  <c r="M255" i="4"/>
  <c r="X360" i="4"/>
  <c r="I360" i="4"/>
  <c r="Y145" i="4"/>
  <c r="W22" i="4"/>
  <c r="AQ206" i="4"/>
  <c r="AT206" i="4"/>
  <c r="Z340" i="4"/>
  <c r="X257" i="4"/>
  <c r="N124" i="4"/>
  <c r="G64" i="4"/>
  <c r="W103" i="4"/>
  <c r="W254" i="4"/>
  <c r="X294" i="4"/>
  <c r="AT294" i="4"/>
  <c r="H170" i="4"/>
  <c r="X201" i="4"/>
  <c r="G104" i="4"/>
  <c r="Y62" i="4"/>
  <c r="N313" i="4"/>
  <c r="H215" i="4"/>
  <c r="X357" i="4"/>
  <c r="G106" i="4"/>
  <c r="V106" i="4"/>
  <c r="AQ258" i="4"/>
  <c r="N259" i="4"/>
  <c r="M129" i="4"/>
  <c r="AS129" i="4"/>
  <c r="AS128" i="4"/>
  <c r="Z128" i="4"/>
  <c r="AQ351" i="4"/>
  <c r="AQ372" i="4"/>
  <c r="AS372" i="4"/>
  <c r="H168" i="4"/>
  <c r="M251" i="4"/>
  <c r="N100" i="4"/>
  <c r="I337" i="4"/>
  <c r="Y93" i="4"/>
  <c r="G214" i="4"/>
  <c r="G252" i="4"/>
  <c r="G59" i="4"/>
  <c r="AS123" i="4"/>
  <c r="H169" i="4"/>
  <c r="X88" i="4"/>
  <c r="W101" i="4"/>
  <c r="Z101" i="4"/>
  <c r="Z356" i="4"/>
  <c r="I292" i="4"/>
  <c r="Z292" i="4"/>
  <c r="AS352" i="4"/>
  <c r="X253" i="4"/>
  <c r="N200" i="4"/>
  <c r="I200" i="4"/>
  <c r="AS60" i="4"/>
  <c r="N335" i="4"/>
  <c r="I335" i="4"/>
  <c r="AT312" i="4"/>
  <c r="AT79" i="4"/>
  <c r="Z370" i="2"/>
  <c r="E348" i="2"/>
  <c r="Y26" i="2"/>
  <c r="J254" i="2"/>
  <c r="D192" i="2"/>
  <c r="D306" i="2"/>
  <c r="AB9" i="2"/>
  <c r="J164" i="2"/>
  <c r="J205" i="2"/>
  <c r="L32" i="2"/>
  <c r="E256" i="2"/>
  <c r="E329" i="2"/>
  <c r="E26" i="2"/>
  <c r="Y32" i="2"/>
  <c r="Y281" i="2"/>
  <c r="L263" i="2"/>
  <c r="L321" i="2"/>
  <c r="D207" i="2"/>
  <c r="D339" i="2"/>
  <c r="D69" i="2"/>
  <c r="D35" i="2"/>
  <c r="X176" i="2"/>
  <c r="S11" i="2"/>
  <c r="S375" i="2"/>
  <c r="L177" i="2"/>
  <c r="L180" i="2"/>
  <c r="J315" i="2"/>
  <c r="J181" i="2"/>
  <c r="E19" i="2"/>
  <c r="E182" i="2"/>
  <c r="E39" i="2"/>
  <c r="E325" i="2"/>
  <c r="E193" i="2"/>
  <c r="E374" i="2"/>
  <c r="Y52" i="2"/>
  <c r="Y118" i="2"/>
  <c r="Y86" i="2"/>
  <c r="J326" i="2"/>
  <c r="J376" i="2"/>
  <c r="J211" i="2"/>
  <c r="J319" i="2"/>
  <c r="L175" i="2"/>
  <c r="J153" i="2"/>
  <c r="D21" i="2"/>
  <c r="D229" i="2"/>
  <c r="D182" i="2"/>
  <c r="D57" i="2"/>
  <c r="D197" i="2"/>
  <c r="D332" i="2"/>
  <c r="N26" i="4"/>
  <c r="W227" i="4"/>
  <c r="Y225" i="4"/>
  <c r="Y318" i="4"/>
  <c r="V72" i="4"/>
  <c r="M266" i="4"/>
  <c r="G113" i="4"/>
  <c r="V137" i="4"/>
  <c r="H268" i="4"/>
  <c r="X226" i="4"/>
  <c r="AQ270" i="4"/>
  <c r="Y228" i="4"/>
  <c r="G112" i="4"/>
  <c r="X112" i="4"/>
  <c r="Z267" i="4"/>
  <c r="W222" i="4"/>
  <c r="I135" i="4"/>
  <c r="G135" i="4"/>
  <c r="W132" i="4"/>
  <c r="H223" i="4"/>
  <c r="H134" i="4"/>
  <c r="V177" i="4"/>
  <c r="N177" i="4"/>
  <c r="H224" i="4"/>
  <c r="X343" i="4"/>
  <c r="M343" i="4"/>
  <c r="W220" i="4"/>
  <c r="M25" i="4"/>
  <c r="M263" i="4"/>
  <c r="G205" i="4"/>
  <c r="H70" i="4"/>
  <c r="AS70" i="4"/>
  <c r="H174" i="4"/>
  <c r="X219" i="4"/>
  <c r="W264" i="4"/>
  <c r="G269" i="4"/>
  <c r="H269" i="4"/>
  <c r="G265" i="4"/>
  <c r="Z24" i="4"/>
  <c r="AQ148" i="4"/>
  <c r="V295" i="4"/>
  <c r="G295" i="4"/>
  <c r="AQ204" i="4"/>
  <c r="V173" i="4"/>
  <c r="Z341" i="4"/>
  <c r="X110" i="4"/>
  <c r="AQ261" i="4"/>
  <c r="M221" i="4"/>
  <c r="G316" i="4"/>
  <c r="Y316" i="4"/>
  <c r="AS359" i="4"/>
  <c r="AS147" i="4"/>
  <c r="AS203" i="4"/>
  <c r="AS293" i="4"/>
  <c r="H133" i="4"/>
  <c r="Y172" i="4"/>
  <c r="N218" i="4"/>
  <c r="M130" i="4"/>
  <c r="H130" i="4"/>
  <c r="G66" i="4"/>
  <c r="AQ74" i="4"/>
  <c r="AQ176" i="4"/>
  <c r="H176" i="4"/>
  <c r="X71" i="4"/>
  <c r="AQ68" i="4"/>
  <c r="AT68" i="4"/>
  <c r="AQ126" i="4"/>
  <c r="V175" i="4"/>
  <c r="V82" i="4"/>
  <c r="N82" i="4"/>
  <c r="X317" i="4"/>
  <c r="AQ109" i="4"/>
  <c r="W107" i="4"/>
  <c r="I107" i="4"/>
  <c r="W338" i="4"/>
  <c r="M131" i="4"/>
  <c r="Z358" i="4"/>
  <c r="Z262" i="4"/>
  <c r="AS373" i="4"/>
  <c r="N127" i="4"/>
  <c r="N184" i="4"/>
  <c r="I184" i="4"/>
  <c r="AS67" i="4"/>
  <c r="N105" i="4"/>
  <c r="V202" i="4"/>
  <c r="I202" i="4"/>
  <c r="Z315" i="4"/>
  <c r="X81" i="4"/>
  <c r="W255" i="4"/>
  <c r="N360" i="4"/>
  <c r="AQ155" i="4"/>
  <c r="Z145" i="4"/>
  <c r="AQ22" i="4"/>
  <c r="N206" i="4"/>
  <c r="AQ340" i="4"/>
  <c r="AT340" i="4"/>
  <c r="H257" i="4"/>
  <c r="Y124" i="4"/>
  <c r="I64" i="4"/>
  <c r="AQ103" i="4"/>
  <c r="AQ254" i="4"/>
  <c r="I294" i="4"/>
  <c r="V294" i="4"/>
  <c r="Z170" i="4"/>
  <c r="G201" i="4"/>
  <c r="H104" i="4"/>
  <c r="AS62" i="4"/>
  <c r="X313" i="4"/>
  <c r="Z215" i="4"/>
  <c r="G357" i="4"/>
  <c r="AQ106" i="4"/>
  <c r="I106" i="4"/>
  <c r="V258" i="4"/>
  <c r="X259" i="4"/>
  <c r="V129" i="4"/>
  <c r="H129" i="4"/>
  <c r="AT128" i="4"/>
  <c r="V128" i="4"/>
  <c r="M166" i="4"/>
  <c r="H372" i="4"/>
  <c r="I372" i="4"/>
  <c r="Z168" i="4"/>
  <c r="W251" i="4"/>
  <c r="X100" i="4"/>
  <c r="V337" i="4"/>
  <c r="AS93" i="4"/>
  <c r="Y214" i="4"/>
  <c r="Y252" i="4"/>
  <c r="Y59" i="4"/>
  <c r="W169" i="4"/>
  <c r="Z169" i="4"/>
  <c r="G88" i="4"/>
  <c r="AQ101" i="4"/>
  <c r="AT101" i="4"/>
  <c r="AT356" i="4"/>
  <c r="M292" i="4"/>
  <c r="AT292" i="4"/>
  <c r="H352" i="4"/>
  <c r="Y253" i="4"/>
  <c r="X200" i="4"/>
  <c r="M60" i="4"/>
  <c r="H60" i="4"/>
  <c r="X335" i="4"/>
  <c r="M122" i="4"/>
  <c r="I312" i="4"/>
  <c r="I79" i="4"/>
  <c r="W247" i="4"/>
  <c r="W108" i="4"/>
  <c r="AT108" i="4"/>
  <c r="H63" i="4"/>
  <c r="AT144" i="4"/>
  <c r="G61" i="4"/>
  <c r="X336" i="4"/>
  <c r="M289" i="4"/>
  <c r="N58" i="4"/>
  <c r="W286" i="4"/>
  <c r="X80" i="4"/>
  <c r="M311" i="4"/>
  <c r="M333" i="4"/>
  <c r="M310" i="4"/>
  <c r="M21" i="4"/>
  <c r="W21" i="4"/>
  <c r="N370" i="4"/>
  <c r="I250" i="4"/>
  <c r="N350" i="4"/>
  <c r="M195" i="4"/>
  <c r="H195" i="4"/>
  <c r="G287" i="4"/>
  <c r="AQ348" i="4"/>
  <c r="AT348" i="4"/>
  <c r="Y291" i="4"/>
  <c r="AQ290" i="4"/>
  <c r="AT290" i="4"/>
  <c r="Y248" i="4"/>
  <c r="AQ369" i="4"/>
  <c r="AT369" i="4"/>
  <c r="Y380" i="4"/>
  <c r="AQ246" i="4"/>
  <c r="I102" i="4"/>
  <c r="H102" i="4"/>
  <c r="AQ160" i="4"/>
  <c r="W179" i="4"/>
  <c r="M15" i="4"/>
  <c r="V334" i="4"/>
  <c r="H334" i="4"/>
  <c r="V349" i="4"/>
  <c r="M162" i="4"/>
  <c r="N54" i="4"/>
  <c r="W309" i="4"/>
  <c r="X181" i="4"/>
  <c r="AQ91" i="4"/>
  <c r="M190" i="4"/>
  <c r="N96" i="4"/>
  <c r="V164" i="4"/>
  <c r="V301" i="4"/>
  <c r="W284" i="4"/>
  <c r="W182" i="4"/>
  <c r="W243" i="4"/>
  <c r="W18" i="4"/>
  <c r="W331" i="4"/>
  <c r="W329" i="4"/>
  <c r="W239" i="4"/>
  <c r="W16" i="4"/>
  <c r="AQ353" i="4"/>
  <c r="AT353" i="4"/>
  <c r="AQ371" i="4"/>
  <c r="T306" i="2"/>
  <c r="E345" i="2"/>
  <c r="X219" i="2"/>
  <c r="L294" i="2"/>
  <c r="D340" i="2"/>
  <c r="AD28" i="2"/>
  <c r="Z285" i="2"/>
  <c r="L229" i="2"/>
  <c r="J214" i="2"/>
  <c r="L7" i="2"/>
  <c r="E245" i="2"/>
  <c r="E56" i="2"/>
  <c r="E375" i="2"/>
  <c r="AD308" i="2"/>
  <c r="J317" i="2"/>
  <c r="L276" i="2"/>
  <c r="L370" i="2"/>
  <c r="D140" i="2"/>
  <c r="D74" i="2"/>
  <c r="D97" i="2"/>
  <c r="D10" i="2"/>
  <c r="P254" i="2"/>
  <c r="V9" i="2"/>
  <c r="P81" i="2"/>
  <c r="J113" i="2"/>
  <c r="J260" i="2"/>
  <c r="L230" i="2"/>
  <c r="E87" i="2"/>
  <c r="E365" i="2"/>
  <c r="E226" i="2"/>
  <c r="E211" i="2"/>
  <c r="E20" i="2"/>
  <c r="E282" i="2"/>
  <c r="S258" i="2"/>
  <c r="AC359" i="2"/>
  <c r="R153" i="2"/>
  <c r="AB101" i="2"/>
  <c r="J177" i="2"/>
  <c r="J225" i="2"/>
  <c r="L368" i="2"/>
  <c r="L145" i="2"/>
  <c r="D297" i="2"/>
  <c r="D242" i="2"/>
  <c r="D351" i="2"/>
  <c r="D205" i="2"/>
  <c r="D325" i="2"/>
  <c r="D25" i="2"/>
  <c r="D134" i="2"/>
  <c r="W229" i="4"/>
  <c r="AQ227" i="4"/>
  <c r="N186" i="4"/>
  <c r="AS318" i="4"/>
  <c r="N296" i="4"/>
  <c r="W266" i="4"/>
  <c r="Y113" i="4"/>
  <c r="AT137" i="4"/>
  <c r="Z268" i="4"/>
  <c r="H226" i="4"/>
  <c r="N270" i="4"/>
  <c r="AQ228" i="4"/>
  <c r="AS112" i="4"/>
  <c r="M362" i="4"/>
  <c r="AQ267" i="4"/>
  <c r="AQ222" i="4"/>
  <c r="H135" i="4"/>
  <c r="V185" i="4"/>
  <c r="N132" i="4"/>
  <c r="AT223" i="4"/>
  <c r="Z134" i="4"/>
  <c r="AS177" i="4"/>
  <c r="Z177" i="4"/>
  <c r="Y224" i="4"/>
  <c r="I343" i="4"/>
  <c r="W343" i="4"/>
  <c r="X220" i="4"/>
  <c r="W25" i="4"/>
  <c r="W263" i="4"/>
  <c r="AS205" i="4"/>
  <c r="M70" i="4"/>
  <c r="W174" i="4"/>
  <c r="I174" i="4"/>
  <c r="G219" i="4"/>
  <c r="AQ264" i="4"/>
  <c r="V269" i="4"/>
  <c r="Z269" i="4"/>
  <c r="Y265" i="4"/>
  <c r="AT24" i="4"/>
  <c r="M355" i="4"/>
  <c r="W295" i="4"/>
  <c r="Y295" i="4"/>
  <c r="M204" i="4"/>
  <c r="AS173" i="4"/>
  <c r="AT341" i="4"/>
  <c r="M217" i="4"/>
  <c r="N261" i="4"/>
  <c r="N221" i="4"/>
  <c r="H316" i="4"/>
  <c r="M359" i="4"/>
  <c r="M147" i="4"/>
  <c r="M203" i="4"/>
  <c r="M293" i="4"/>
  <c r="G133" i="4"/>
  <c r="Z133" i="4"/>
  <c r="H172" i="4"/>
  <c r="X218" i="4"/>
  <c r="W130" i="4"/>
  <c r="Z130" i="4"/>
  <c r="Y66" i="4"/>
  <c r="N74" i="4"/>
  <c r="M176" i="4"/>
  <c r="Z176" i="4"/>
  <c r="M71" i="4"/>
  <c r="N68" i="4"/>
  <c r="I68" i="4"/>
  <c r="M339" i="4"/>
  <c r="I175" i="4"/>
  <c r="W82" i="4"/>
  <c r="X82" i="4"/>
  <c r="M317" i="4"/>
  <c r="G109" i="4"/>
  <c r="AQ107" i="4"/>
  <c r="M125" i="4"/>
  <c r="AQ338" i="4"/>
  <c r="N131" i="4"/>
  <c r="AT358" i="4"/>
  <c r="AT262" i="4"/>
  <c r="H373" i="4"/>
  <c r="X127" i="4"/>
  <c r="X184" i="4"/>
  <c r="W67" i="4"/>
  <c r="H67" i="4"/>
  <c r="X105" i="4"/>
  <c r="X202" i="4"/>
  <c r="Y315" i="4"/>
  <c r="N256" i="4"/>
  <c r="H81" i="4"/>
  <c r="AQ255" i="4"/>
  <c r="G360" i="4"/>
  <c r="G155" i="4"/>
  <c r="N65" i="4"/>
  <c r="N22" i="4"/>
  <c r="W206" i="4"/>
  <c r="N340" i="4"/>
  <c r="X284" i="2"/>
  <c r="E220" i="2"/>
  <c r="T78" i="2"/>
  <c r="J217" i="2"/>
  <c r="D236" i="2"/>
  <c r="R157" i="2"/>
  <c r="AB153" i="2"/>
  <c r="J222" i="2"/>
  <c r="L24" i="2"/>
  <c r="J283" i="2"/>
  <c r="E302" i="2"/>
  <c r="E149" i="2"/>
  <c r="E313" i="2"/>
  <c r="P26" i="2"/>
  <c r="L250" i="2"/>
  <c r="J146" i="2"/>
  <c r="J366" i="2"/>
  <c r="D167" i="2"/>
  <c r="D263" i="2"/>
  <c r="D129" i="2"/>
  <c r="D32" i="2"/>
  <c r="AB214" i="2"/>
  <c r="R175" i="2"/>
  <c r="AD101" i="2"/>
  <c r="J192" i="2"/>
  <c r="L139" i="2"/>
  <c r="J104" i="2"/>
  <c r="E160" i="2"/>
  <c r="E298" i="2"/>
  <c r="E90" i="2"/>
  <c r="E272" i="2"/>
  <c r="E116" i="2"/>
  <c r="E9" i="2"/>
  <c r="AB204" i="2"/>
  <c r="T292" i="2"/>
  <c r="Z248" i="2"/>
  <c r="X374" i="2"/>
  <c r="L79" i="2"/>
  <c r="L356" i="2"/>
  <c r="L199" i="2"/>
  <c r="L102" i="2"/>
  <c r="D357" i="2"/>
  <c r="D114" i="2"/>
  <c r="D318" i="2"/>
  <c r="D262" i="2"/>
  <c r="D193" i="2"/>
  <c r="J101" i="2"/>
  <c r="D326" i="2"/>
  <c r="AQ229" i="4"/>
  <c r="G227" i="4"/>
  <c r="Z186" i="4"/>
  <c r="H318" i="4"/>
  <c r="Y296" i="4"/>
  <c r="N266" i="4"/>
  <c r="AS113" i="4"/>
  <c r="I137" i="4"/>
  <c r="AT268" i="4"/>
  <c r="Z226" i="4"/>
  <c r="X270" i="4"/>
  <c r="N228" i="4"/>
  <c r="I112" i="4"/>
  <c r="W362" i="4"/>
  <c r="W267" i="4"/>
  <c r="H222" i="4"/>
  <c r="V135" i="4"/>
  <c r="W185" i="4"/>
  <c r="X132" i="4"/>
  <c r="N223" i="4"/>
  <c r="AT134" i="4"/>
  <c r="X177" i="4"/>
  <c r="AQ177" i="4"/>
  <c r="I224" i="4"/>
  <c r="Y343" i="4"/>
  <c r="AQ343" i="4"/>
  <c r="Y220" i="4"/>
  <c r="AQ25" i="4"/>
  <c r="AQ263" i="4"/>
  <c r="H205" i="4"/>
  <c r="I70" i="4"/>
  <c r="X174" i="4"/>
  <c r="AQ174" i="4"/>
  <c r="Y219" i="4"/>
  <c r="N264" i="4"/>
  <c r="W269" i="4"/>
  <c r="AT269" i="4"/>
  <c r="AS265" i="4"/>
  <c r="I24" i="4"/>
  <c r="W355" i="4"/>
  <c r="Z295" i="4"/>
  <c r="AS295" i="4"/>
  <c r="Z204" i="4"/>
  <c r="H173" i="4"/>
  <c r="I341" i="4"/>
  <c r="W217" i="4"/>
  <c r="X261" i="4"/>
  <c r="G221" i="4"/>
  <c r="V316" i="4"/>
  <c r="W359" i="4"/>
  <c r="W147" i="4"/>
  <c r="W203" i="4"/>
  <c r="W293" i="4"/>
  <c r="AS133" i="4"/>
  <c r="AT133" i="4"/>
  <c r="Z172" i="4"/>
  <c r="G218" i="4"/>
  <c r="AQ130" i="4"/>
  <c r="AT130" i="4"/>
  <c r="AS66" i="4"/>
  <c r="X74" i="4"/>
  <c r="N176" i="4"/>
  <c r="AT176" i="4"/>
  <c r="Y71" i="4"/>
  <c r="X68" i="4"/>
  <c r="W171" i="4"/>
  <c r="W339" i="4"/>
  <c r="W175" i="4"/>
  <c r="Y82" i="4"/>
  <c r="G317" i="4"/>
  <c r="Y317" i="4"/>
  <c r="Y109" i="4"/>
  <c r="G107" i="4"/>
  <c r="W125" i="4"/>
  <c r="G338" i="4"/>
  <c r="I131" i="4"/>
  <c r="I358" i="4"/>
  <c r="I262" i="4"/>
  <c r="Z373" i="4"/>
  <c r="H127" i="4"/>
  <c r="G184" i="4"/>
  <c r="AQ67" i="4"/>
  <c r="Z67" i="4"/>
  <c r="G105" i="4"/>
  <c r="G202" i="4"/>
  <c r="V315" i="4"/>
  <c r="X256" i="4"/>
  <c r="Z81" i="4"/>
  <c r="M167" i="4"/>
  <c r="Y360" i="4"/>
  <c r="AS155" i="4"/>
  <c r="Z65" i="4"/>
  <c r="X22" i="4"/>
  <c r="AS206" i="4"/>
  <c r="G340" i="4"/>
  <c r="G257" i="4"/>
  <c r="AT257" i="4"/>
  <c r="G124" i="4"/>
  <c r="G183" i="4"/>
  <c r="X103" i="4"/>
  <c r="Y254" i="4"/>
  <c r="AQ294" i="4"/>
  <c r="AQ170" i="4"/>
  <c r="I170" i="4"/>
  <c r="AS201" i="4"/>
  <c r="E290" i="2"/>
  <c r="D254" i="2"/>
  <c r="L55" i="2"/>
  <c r="AB200" i="2"/>
  <c r="J30" i="2"/>
  <c r="D153" i="2"/>
  <c r="J242" i="2"/>
  <c r="E50" i="2"/>
  <c r="E117" i="2"/>
  <c r="X30" i="2"/>
  <c r="J17" i="2"/>
  <c r="D92" i="2"/>
  <c r="Z318" i="4"/>
  <c r="V268" i="4"/>
  <c r="AS228" i="4"/>
  <c r="Z222" i="4"/>
  <c r="X223" i="4"/>
  <c r="W224" i="4"/>
  <c r="N25" i="4"/>
  <c r="G174" i="4"/>
  <c r="AQ269" i="4"/>
  <c r="AQ355" i="4"/>
  <c r="Z173" i="4"/>
  <c r="H221" i="4"/>
  <c r="AQ203" i="4"/>
  <c r="AS172" i="4"/>
  <c r="H66" i="4"/>
  <c r="N71" i="4"/>
  <c r="Y175" i="4"/>
  <c r="AS109" i="4"/>
  <c r="V131" i="4"/>
  <c r="Z127" i="4"/>
  <c r="Y105" i="4"/>
  <c r="AT81" i="4"/>
  <c r="G65" i="4"/>
  <c r="I340" i="4"/>
  <c r="N64" i="4"/>
  <c r="AS254" i="4"/>
  <c r="AT170" i="4"/>
  <c r="AQ62" i="4"/>
  <c r="AT313" i="4"/>
  <c r="H357" i="4"/>
  <c r="W258" i="4"/>
  <c r="AS259" i="4"/>
  <c r="I129" i="4"/>
  <c r="AT314" i="4"/>
  <c r="W372" i="4"/>
  <c r="W199" i="4"/>
  <c r="X337" i="4"/>
  <c r="W214" i="4"/>
  <c r="W59" i="4"/>
  <c r="X169" i="4"/>
  <c r="H88" i="4"/>
  <c r="W356" i="4"/>
  <c r="G292" i="4"/>
  <c r="I352" i="4"/>
  <c r="AS200" i="4"/>
  <c r="I60" i="4"/>
  <c r="I122" i="4"/>
  <c r="AQ249" i="4"/>
  <c r="X108" i="4"/>
  <c r="Y63" i="4"/>
  <c r="I144" i="4"/>
  <c r="N336" i="4"/>
  <c r="N289" i="4"/>
  <c r="AQ286" i="4"/>
  <c r="H80" i="4"/>
  <c r="AQ333" i="4"/>
  <c r="X310" i="4"/>
  <c r="V21" i="4"/>
  <c r="H370" i="4"/>
  <c r="V250" i="4"/>
  <c r="AT350" i="4"/>
  <c r="AT195" i="4"/>
  <c r="Z287" i="4"/>
  <c r="Z348" i="4"/>
  <c r="H291" i="4"/>
  <c r="Y290" i="4"/>
  <c r="G248" i="4"/>
  <c r="X369" i="4"/>
  <c r="AQ380" i="4"/>
  <c r="W246" i="4"/>
  <c r="X102" i="4"/>
  <c r="W272" i="4"/>
  <c r="M179" i="4"/>
  <c r="AQ15" i="4"/>
  <c r="X334" i="4"/>
  <c r="I349" i="4"/>
  <c r="AQ162" i="4"/>
  <c r="AQ242" i="4"/>
  <c r="N181" i="4"/>
  <c r="X91" i="4"/>
  <c r="X190" i="4"/>
  <c r="I164" i="4"/>
  <c r="W301" i="4"/>
  <c r="G284" i="4"/>
  <c r="M243" i="4"/>
  <c r="N18" i="4"/>
  <c r="G331" i="4"/>
  <c r="M239" i="4"/>
  <c r="N16" i="4"/>
  <c r="G353" i="4"/>
  <c r="N371" i="4"/>
  <c r="Y165" i="4"/>
  <c r="M57" i="4"/>
  <c r="G192" i="4"/>
  <c r="N192" i="4"/>
  <c r="X161" i="4"/>
  <c r="W38" i="4"/>
  <c r="Z38" i="4"/>
  <c r="Y87" i="4"/>
  <c r="N17" i="4"/>
  <c r="M120" i="4"/>
  <c r="H120" i="4"/>
  <c r="G119" i="4"/>
  <c r="AQ90" i="4"/>
  <c r="AT90" i="4"/>
  <c r="Z34" i="4"/>
  <c r="W213" i="4"/>
  <c r="N198" i="4"/>
  <c r="H198" i="4"/>
  <c r="AQ92" i="4"/>
  <c r="N196" i="4"/>
  <c r="I196" i="4"/>
  <c r="H180" i="4"/>
  <c r="X56" i="4"/>
  <c r="M121" i="4"/>
  <c r="H121" i="4"/>
  <c r="X53" i="4"/>
  <c r="M210" i="4"/>
  <c r="H210" i="4"/>
  <c r="X330" i="4"/>
  <c r="M300" i="4"/>
  <c r="H300" i="4"/>
  <c r="X238" i="4"/>
  <c r="M208" i="4"/>
  <c r="H208" i="4"/>
  <c r="Z13" i="4"/>
  <c r="AT97" i="4"/>
  <c r="G143" i="4"/>
  <c r="M73" i="4"/>
  <c r="Z73" i="4"/>
  <c r="X212" i="4"/>
  <c r="Y163" i="4"/>
  <c r="AS244" i="4"/>
  <c r="Y159" i="4"/>
  <c r="AQ20" i="4"/>
  <c r="Z20" i="4"/>
  <c r="I365" i="4"/>
  <c r="AT285" i="4"/>
  <c r="H241" i="4"/>
  <c r="Z78" i="4"/>
  <c r="N78" i="4"/>
  <c r="I367" i="4"/>
  <c r="Z366" i="4"/>
  <c r="V347" i="4"/>
  <c r="AT14" i="4"/>
  <c r="M234" i="4"/>
  <c r="AQ152" i="4"/>
  <c r="W277" i="4"/>
  <c r="X368" i="4"/>
  <c r="AS37" i="4"/>
  <c r="Y52" i="4"/>
  <c r="N51" i="4"/>
  <c r="V281" i="4"/>
  <c r="AQ189" i="4"/>
  <c r="M116" i="4"/>
  <c r="N75" i="4"/>
  <c r="W41" i="4"/>
  <c r="W149" i="4"/>
  <c r="Y379" i="4"/>
  <c r="N209" i="4"/>
  <c r="I209" i="4"/>
  <c r="N98" i="4"/>
  <c r="I98" i="4"/>
  <c r="M325" i="4"/>
  <c r="M158" i="4"/>
  <c r="M306" i="4"/>
  <c r="M271" i="4"/>
  <c r="M156" i="4"/>
  <c r="M322" i="4"/>
  <c r="W327" i="4"/>
  <c r="Z327" i="4"/>
  <c r="Y237" i="4"/>
  <c r="G47" i="4"/>
  <c r="W84" i="4"/>
  <c r="I84" i="4"/>
  <c r="Z83" i="4"/>
  <c r="AS278" i="4"/>
  <c r="G187" i="4"/>
  <c r="W304" i="4"/>
  <c r="I304" i="4"/>
  <c r="M345" i="4"/>
  <c r="AQ230" i="4"/>
  <c r="X245" i="4"/>
  <c r="M118" i="4"/>
  <c r="AT118" i="4"/>
  <c r="X282" i="4"/>
  <c r="N117" i="4"/>
  <c r="W279" i="4"/>
  <c r="H279" i="4"/>
  <c r="G233" i="4"/>
  <c r="Y139" i="4"/>
  <c r="Z193" i="4"/>
  <c r="G193" i="4"/>
  <c r="X378" i="4"/>
  <c r="X10" i="4"/>
  <c r="Z10" i="4"/>
  <c r="X49" i="4"/>
  <c r="Y89" i="4"/>
  <c r="W308" i="4"/>
  <c r="Z308" i="4"/>
  <c r="Y151" i="4"/>
  <c r="AS94" i="4"/>
  <c r="W377" i="4"/>
  <c r="AQ377" i="4"/>
  <c r="Y326" i="4"/>
  <c r="V324" i="4"/>
  <c r="AT324" i="4"/>
  <c r="Y323" i="4"/>
  <c r="G297" i="4"/>
  <c r="W30" i="4"/>
  <c r="H319" i="4"/>
  <c r="L9" i="4"/>
  <c r="K116" i="4"/>
  <c r="J208" i="4"/>
  <c r="L364" i="4"/>
  <c r="L302" i="4"/>
  <c r="L298" i="4"/>
  <c r="J325" i="4"/>
  <c r="J375" i="4"/>
  <c r="K232" i="4"/>
  <c r="K376" i="4"/>
  <c r="L30" i="4"/>
  <c r="K151" i="4"/>
  <c r="J116" i="4"/>
  <c r="L117" i="4"/>
  <c r="J34" i="4"/>
  <c r="L299" i="4"/>
  <c r="K7" i="4"/>
  <c r="J48" i="4"/>
  <c r="L238" i="4"/>
  <c r="J114" i="4"/>
  <c r="L43" i="4"/>
  <c r="K33" i="4"/>
  <c r="J377" i="4"/>
  <c r="K98" i="4"/>
  <c r="K115" i="4"/>
  <c r="J308" i="4"/>
  <c r="L77" i="4"/>
  <c r="L282" i="4"/>
  <c r="J192" i="4"/>
  <c r="K250" i="4"/>
  <c r="J183" i="4"/>
  <c r="L53" i="4"/>
  <c r="L379" i="4"/>
  <c r="L373" i="4"/>
  <c r="J328" i="4"/>
  <c r="L120" i="4"/>
  <c r="K243" i="4"/>
  <c r="L153" i="4"/>
  <c r="J88" i="4"/>
  <c r="L239" i="4"/>
  <c r="K309" i="4"/>
  <c r="J272" i="4"/>
  <c r="J214" i="4"/>
  <c r="L142" i="4"/>
  <c r="K307" i="4"/>
  <c r="J163" i="4"/>
  <c r="K281" i="4"/>
  <c r="J52" i="4"/>
  <c r="L36" i="4"/>
  <c r="K283" i="4"/>
  <c r="J333" i="4"/>
  <c r="K378" i="4"/>
  <c r="J118" i="4"/>
  <c r="L367" i="4"/>
  <c r="K55" i="4"/>
  <c r="K350" i="4"/>
  <c r="L348" i="4"/>
  <c r="K311" i="4"/>
  <c r="J104" i="4"/>
  <c r="L333" i="4"/>
  <c r="K101" i="4"/>
  <c r="K247" i="4"/>
  <c r="J92" i="4"/>
  <c r="J314" i="4"/>
  <c r="L211" i="4"/>
  <c r="K165" i="4"/>
  <c r="L60" i="4"/>
  <c r="J180" i="4"/>
  <c r="L78" i="4"/>
  <c r="J100" i="4"/>
  <c r="K167" i="4"/>
  <c r="K183" i="4"/>
  <c r="L252" i="4"/>
  <c r="L183" i="4"/>
  <c r="L185" i="4"/>
  <c r="L199" i="4"/>
  <c r="E238" i="2"/>
  <c r="D255" i="2"/>
  <c r="J241" i="2"/>
  <c r="S357" i="2"/>
  <c r="D334" i="2"/>
  <c r="D248" i="2"/>
  <c r="L226" i="2"/>
  <c r="E360" i="2"/>
  <c r="E118" i="2"/>
  <c r="V281" i="2"/>
  <c r="J280" i="2"/>
  <c r="D353" i="2"/>
  <c r="W363" i="4"/>
  <c r="I318" i="4"/>
  <c r="I268" i="4"/>
  <c r="AT228" i="4"/>
  <c r="AT222" i="4"/>
  <c r="I223" i="4"/>
  <c r="N224" i="4"/>
  <c r="X25" i="4"/>
  <c r="Y174" i="4"/>
  <c r="M269" i="4"/>
  <c r="M260" i="4"/>
  <c r="AT173" i="4"/>
  <c r="AQ221" i="4"/>
  <c r="N203" i="4"/>
  <c r="AT172" i="4"/>
  <c r="Z66" i="4"/>
  <c r="Z71" i="4"/>
  <c r="M175" i="4"/>
  <c r="H109" i="4"/>
  <c r="W358" i="4"/>
  <c r="AT127" i="4"/>
  <c r="AS105" i="4"/>
  <c r="M154" i="4"/>
  <c r="Y65" i="4"/>
  <c r="I257" i="4"/>
  <c r="Z183" i="4"/>
  <c r="G294" i="4"/>
  <c r="V170" i="4"/>
  <c r="N62" i="4"/>
  <c r="M215" i="4"/>
  <c r="Z357" i="4"/>
  <c r="I258" i="4"/>
  <c r="H259" i="4"/>
  <c r="I128" i="4"/>
  <c r="I314" i="4"/>
  <c r="X372" i="4"/>
  <c r="AQ199" i="4"/>
  <c r="G337" i="4"/>
  <c r="AQ214" i="4"/>
  <c r="AQ59" i="4"/>
  <c r="G169" i="4"/>
  <c r="Z88" i="4"/>
  <c r="X356" i="4"/>
  <c r="Y292" i="4"/>
  <c r="G253" i="4"/>
  <c r="H200" i="4"/>
  <c r="M335" i="4"/>
  <c r="Y312" i="4"/>
  <c r="M194" i="4"/>
  <c r="N108" i="4"/>
  <c r="N63" i="4"/>
  <c r="V144" i="4"/>
  <c r="G336" i="4"/>
  <c r="X289" i="4"/>
  <c r="N286" i="4"/>
  <c r="I80" i="4"/>
  <c r="N333" i="4"/>
  <c r="Y310" i="4"/>
  <c r="Y21" i="4"/>
  <c r="Z370" i="4"/>
  <c r="W350" i="4"/>
  <c r="W195" i="4"/>
  <c r="M287" i="4"/>
  <c r="M348" i="4"/>
  <c r="X291" i="4"/>
  <c r="I291" i="4"/>
  <c r="H290" i="4"/>
  <c r="AS248" i="4"/>
  <c r="G369" i="4"/>
  <c r="X380" i="4"/>
  <c r="N246" i="4"/>
  <c r="AQ102" i="4"/>
  <c r="M160" i="4"/>
  <c r="AQ179" i="4"/>
  <c r="M12" i="4"/>
  <c r="Y334" i="4"/>
  <c r="AQ153" i="4"/>
  <c r="N162" i="4"/>
  <c r="X242" i="4"/>
  <c r="M142" i="4"/>
  <c r="M328" i="4"/>
  <c r="W96" i="4"/>
  <c r="G332" i="4"/>
  <c r="H301" i="4"/>
  <c r="AT284" i="4"/>
  <c r="AQ243" i="4"/>
  <c r="X18" i="4"/>
  <c r="AS331" i="4"/>
  <c r="AQ239" i="4"/>
  <c r="X16" i="4"/>
  <c r="H353" i="4"/>
  <c r="W371" i="4"/>
  <c r="G165" i="4"/>
  <c r="G57" i="4"/>
  <c r="H192" i="4"/>
  <c r="X192" i="4"/>
  <c r="G161" i="4"/>
  <c r="AQ38" i="4"/>
  <c r="AT38" i="4"/>
  <c r="AS87" i="4"/>
  <c r="X17" i="4"/>
  <c r="W120" i="4"/>
  <c r="Z120" i="4"/>
  <c r="Y119" i="4"/>
  <c r="N90" i="4"/>
  <c r="M34" i="4"/>
  <c r="AT34" i="4"/>
  <c r="AS213" i="4"/>
  <c r="AQ198" i="4"/>
  <c r="Z198" i="4"/>
  <c r="V92" i="4"/>
  <c r="AQ196" i="4"/>
  <c r="M180" i="4"/>
  <c r="Z180" i="4"/>
  <c r="G56" i="4"/>
  <c r="W121" i="4"/>
  <c r="Z121" i="4"/>
  <c r="G53" i="4"/>
  <c r="W210" i="4"/>
  <c r="Z210" i="4"/>
  <c r="G330" i="4"/>
  <c r="W300" i="4"/>
  <c r="Z300" i="4"/>
  <c r="G238" i="4"/>
  <c r="W208" i="4"/>
  <c r="Z208" i="4"/>
  <c r="AT13" i="4"/>
  <c r="I97" i="4"/>
  <c r="Y143" i="4"/>
  <c r="N73" i="4"/>
  <c r="AT73" i="4"/>
  <c r="G212" i="4"/>
  <c r="H163" i="4"/>
  <c r="H244" i="4"/>
  <c r="AS159" i="4"/>
  <c r="V20" i="4"/>
  <c r="AT20" i="4"/>
  <c r="V365" i="4"/>
  <c r="V285" i="4"/>
  <c r="Z241" i="4"/>
  <c r="H78" i="4"/>
  <c r="X78" i="4"/>
  <c r="V367" i="4"/>
  <c r="AT366" i="4"/>
  <c r="N346" i="4"/>
  <c r="V14" i="4"/>
  <c r="W234" i="4"/>
  <c r="M43" i="4"/>
  <c r="AQ277" i="4"/>
  <c r="V368" i="4"/>
  <c r="X37" i="4"/>
  <c r="AS52" i="4"/>
  <c r="X51" i="4"/>
  <c r="M280" i="4"/>
  <c r="N189" i="4"/>
  <c r="W116" i="4"/>
  <c r="X75" i="4"/>
  <c r="AQ41" i="4"/>
  <c r="AQ149" i="4"/>
  <c r="AS379" i="4"/>
  <c r="X209" i="4"/>
  <c r="G35" i="4"/>
  <c r="X98" i="4"/>
  <c r="G364" i="4"/>
  <c r="W325" i="4"/>
  <c r="W158" i="4"/>
  <c r="W306" i="4"/>
  <c r="W271" i="4"/>
  <c r="W156" i="4"/>
  <c r="W322" i="4"/>
  <c r="AQ327" i="4"/>
  <c r="AT327" i="4"/>
  <c r="AS237" i="4"/>
  <c r="Y47" i="4"/>
  <c r="AQ84" i="4"/>
  <c r="M83" i="4"/>
  <c r="AT83" i="4"/>
  <c r="H278" i="4"/>
  <c r="Y187" i="4"/>
  <c r="AQ304" i="4"/>
  <c r="M303" i="4"/>
  <c r="W345" i="4"/>
  <c r="H230" i="4"/>
  <c r="G245" i="4"/>
  <c r="N118" i="4"/>
  <c r="I118" i="4"/>
  <c r="G282" i="4"/>
  <c r="X117" i="4"/>
  <c r="AQ279" i="4"/>
  <c r="Z279" i="4"/>
  <c r="Y233" i="4"/>
  <c r="AS139" i="4"/>
  <c r="H193" i="4"/>
  <c r="Y193" i="4"/>
  <c r="Z378" i="4"/>
  <c r="AQ10" i="4"/>
  <c r="AT10" i="4"/>
  <c r="H49" i="4"/>
  <c r="AS89" i="4"/>
  <c r="AQ308" i="4"/>
  <c r="AT308" i="4"/>
  <c r="AS151" i="4"/>
  <c r="N94" i="4"/>
  <c r="AT377" i="4"/>
  <c r="W326" i="4"/>
  <c r="AS326" i="4"/>
  <c r="N324" i="4"/>
  <c r="W323" i="4"/>
  <c r="AS323" i="4"/>
  <c r="Y297" i="4"/>
  <c r="V30" i="4"/>
  <c r="Z319" i="4"/>
  <c r="K139" i="4"/>
  <c r="L271" i="4"/>
  <c r="K238" i="4"/>
  <c r="J119" i="4"/>
  <c r="J31" i="4"/>
  <c r="L304" i="4"/>
  <c r="K326" i="4"/>
  <c r="K344" i="4"/>
  <c r="K277" i="4"/>
  <c r="L306" i="4"/>
  <c r="J149" i="4"/>
  <c r="L297" i="4"/>
  <c r="K271" i="4"/>
  <c r="J280" i="4"/>
  <c r="K90" i="4"/>
  <c r="J305" i="4"/>
  <c r="L376" i="4"/>
  <c r="K50" i="4"/>
  <c r="K118" i="4"/>
  <c r="K231" i="4"/>
  <c r="J44" i="4"/>
  <c r="L234" i="4"/>
  <c r="K10" i="4"/>
  <c r="L118" i="4"/>
  <c r="L141" i="4"/>
  <c r="K76" i="4"/>
  <c r="J236" i="4"/>
  <c r="L98" i="4"/>
  <c r="J348" i="4"/>
  <c r="L86" i="4"/>
  <c r="K348" i="4"/>
  <c r="E307" i="2"/>
  <c r="S272" i="2"/>
  <c r="E268" i="2"/>
  <c r="Z303" i="2"/>
  <c r="D266" i="2"/>
  <c r="AA291" i="2"/>
  <c r="J320" i="2"/>
  <c r="E218" i="2"/>
  <c r="AD324" i="2"/>
  <c r="L28" i="2"/>
  <c r="D211" i="2"/>
  <c r="D118" i="2"/>
  <c r="X229" i="4"/>
  <c r="I296" i="4"/>
  <c r="AQ226" i="4"/>
  <c r="W112" i="4"/>
  <c r="X135" i="4"/>
  <c r="M361" i="4"/>
  <c r="N343" i="4"/>
  <c r="N263" i="4"/>
  <c r="V174" i="4"/>
  <c r="I269" i="4"/>
  <c r="M295" i="4"/>
  <c r="AQ23" i="4"/>
  <c r="AT316" i="4"/>
  <c r="AQ293" i="4"/>
  <c r="Y218" i="4"/>
  <c r="G74" i="4"/>
  <c r="G68" i="4"/>
  <c r="Z82" i="4"/>
  <c r="Y107" i="4"/>
  <c r="V358" i="4"/>
  <c r="Y184" i="4"/>
  <c r="Y202" i="4"/>
  <c r="W167" i="4"/>
  <c r="G206" i="4"/>
  <c r="W257" i="4"/>
  <c r="H183" i="4"/>
  <c r="Y294" i="4"/>
  <c r="V201" i="4"/>
  <c r="H62" i="4"/>
  <c r="AT215" i="4"/>
  <c r="H106" i="4"/>
  <c r="N258" i="4"/>
  <c r="G129" i="4"/>
  <c r="Y128" i="4"/>
  <c r="W166" i="4"/>
  <c r="G216" i="4"/>
  <c r="AQ251" i="4"/>
  <c r="H93" i="4"/>
  <c r="AS214" i="4"/>
  <c r="AS59" i="4"/>
  <c r="AT169" i="4"/>
  <c r="N101" i="4"/>
  <c r="M356" i="4"/>
  <c r="W352" i="4"/>
  <c r="AQ253" i="4"/>
  <c r="W60" i="4"/>
  <c r="G335" i="4"/>
  <c r="V312" i="4"/>
  <c r="M247" i="4"/>
  <c r="G108" i="4"/>
  <c r="Z63" i="4"/>
  <c r="W144" i="4"/>
  <c r="Y336" i="4"/>
  <c r="AQ58" i="4"/>
  <c r="X286" i="4"/>
  <c r="W311" i="4"/>
  <c r="X333" i="4"/>
  <c r="AS310" i="4"/>
  <c r="AS21" i="4"/>
  <c r="AT370" i="4"/>
  <c r="AQ350" i="4"/>
  <c r="AQ195" i="4"/>
  <c r="W287" i="4"/>
  <c r="W348" i="4"/>
  <c r="M291" i="4"/>
  <c r="Z291" i="4"/>
  <c r="Z290" i="4"/>
  <c r="H248" i="4"/>
  <c r="Y369" i="4"/>
  <c r="G380" i="4"/>
  <c r="X246" i="4"/>
  <c r="M102" i="4"/>
  <c r="W160" i="4"/>
  <c r="M191" i="4"/>
  <c r="W12" i="4"/>
  <c r="AS334" i="4"/>
  <c r="G153" i="4"/>
  <c r="X162" i="4"/>
  <c r="M309" i="4"/>
  <c r="W142" i="4"/>
  <c r="W328" i="4"/>
  <c r="AQ96" i="4"/>
  <c r="Y332" i="4"/>
  <c r="Z301" i="4"/>
  <c r="M182" i="4"/>
  <c r="N243" i="4"/>
  <c r="G18" i="4"/>
  <c r="M329" i="4"/>
  <c r="N239" i="4"/>
  <c r="G16" i="4"/>
  <c r="V353" i="4"/>
  <c r="AS371" i="4"/>
  <c r="M165" i="4"/>
  <c r="Y57" i="4"/>
  <c r="W192" i="4"/>
  <c r="Y192" i="4"/>
  <c r="Y161" i="4"/>
  <c r="N38" i="4"/>
  <c r="M87" i="4"/>
  <c r="H87" i="4"/>
  <c r="G17" i="4"/>
  <c r="AQ120" i="4"/>
  <c r="AT120" i="4"/>
  <c r="AS119" i="4"/>
  <c r="X90" i="4"/>
  <c r="W34" i="4"/>
  <c r="X213" i="4"/>
  <c r="H213" i="4"/>
  <c r="V198" i="4"/>
  <c r="AT198" i="4"/>
  <c r="W92" i="4"/>
  <c r="G196" i="4"/>
  <c r="AQ180" i="4"/>
  <c r="AT180" i="4"/>
  <c r="Y56" i="4"/>
  <c r="AQ121" i="4"/>
  <c r="AT121" i="4"/>
  <c r="Y53" i="4"/>
  <c r="AQ210" i="4"/>
  <c r="AT210" i="4"/>
  <c r="Y330" i="4"/>
  <c r="AQ300" i="4"/>
  <c r="AT300" i="4"/>
  <c r="Y238" i="4"/>
  <c r="AQ208" i="4"/>
  <c r="AT208" i="4"/>
  <c r="I13" i="4"/>
  <c r="Y283" i="4"/>
  <c r="AS143" i="4"/>
  <c r="AQ73" i="4"/>
  <c r="I73" i="4"/>
  <c r="Y212" i="4"/>
  <c r="Z163" i="4"/>
  <c r="Z244" i="4"/>
  <c r="H159" i="4"/>
  <c r="N20" i="4"/>
  <c r="I20" i="4"/>
  <c r="G285" i="4"/>
  <c r="W285" i="4"/>
  <c r="AT241" i="4"/>
  <c r="I78" i="4"/>
  <c r="G367" i="4"/>
  <c r="M366" i="4"/>
  <c r="I366" i="4"/>
  <c r="X346" i="4"/>
  <c r="M50" i="4"/>
  <c r="AQ234" i="4"/>
  <c r="W43" i="4"/>
  <c r="M368" i="4"/>
  <c r="G368" i="4"/>
  <c r="H37" i="4"/>
  <c r="H52" i="4"/>
  <c r="G51" i="4"/>
  <c r="W280" i="4"/>
  <c r="X189" i="4"/>
  <c r="AQ116" i="4"/>
  <c r="M299" i="4"/>
  <c r="N41" i="4"/>
  <c r="M379" i="4"/>
  <c r="H379" i="4"/>
  <c r="G209" i="4"/>
  <c r="Y35" i="4"/>
  <c r="G98" i="4"/>
  <c r="V364" i="4"/>
  <c r="AQ325" i="4"/>
  <c r="AQ158" i="4"/>
  <c r="AQ306" i="4"/>
  <c r="AQ271" i="4"/>
  <c r="AQ156" i="4"/>
  <c r="AQ322" i="4"/>
  <c r="I327" i="4"/>
  <c r="I237" i="4"/>
  <c r="H237" i="4"/>
  <c r="AS47" i="4"/>
  <c r="G84" i="4"/>
  <c r="W83" i="4"/>
  <c r="I83" i="4"/>
  <c r="Z278" i="4"/>
  <c r="AS187" i="4"/>
  <c r="G304" i="4"/>
  <c r="W303" i="4"/>
  <c r="AQ345" i="4"/>
  <c r="Z230" i="4"/>
  <c r="Y245" i="4"/>
  <c r="X118" i="4"/>
  <c r="AQ282" i="4"/>
  <c r="Y282" i="4"/>
  <c r="G117" i="4"/>
  <c r="V279" i="4"/>
  <c r="AT279" i="4"/>
  <c r="AS233" i="4"/>
  <c r="M302" i="4"/>
  <c r="V193" i="4"/>
  <c r="AS193" i="4"/>
  <c r="AQ378" i="4"/>
  <c r="M10" i="4"/>
  <c r="W49" i="4"/>
  <c r="Z49" i="4"/>
  <c r="N89" i="4"/>
  <c r="G308" i="4"/>
  <c r="I308" i="4"/>
  <c r="H141" i="4"/>
  <c r="X94" i="4"/>
  <c r="X377" i="4"/>
  <c r="AQ326" i="4"/>
  <c r="H326" i="4"/>
  <c r="X324" i="4"/>
  <c r="AQ323" i="4"/>
  <c r="H323" i="4"/>
  <c r="AS297" i="4"/>
  <c r="G30" i="4"/>
  <c r="AT319" i="4"/>
  <c r="K230" i="4"/>
  <c r="J234" i="4"/>
  <c r="K330" i="4"/>
  <c r="K240" i="4"/>
  <c r="K150" i="4"/>
  <c r="J156" i="4"/>
  <c r="J281" i="4"/>
  <c r="L28" i="4"/>
  <c r="J95" i="4"/>
  <c r="J178" i="4"/>
  <c r="K94" i="4"/>
  <c r="J299" i="4"/>
  <c r="L279" i="4"/>
  <c r="K325" i="4"/>
  <c r="J238" i="4"/>
  <c r="K43" i="4"/>
  <c r="J33" i="4"/>
  <c r="J10" i="4"/>
  <c r="L330" i="4"/>
  <c r="L277" i="4"/>
  <c r="K45" i="4"/>
  <c r="J235" i="4"/>
  <c r="J237" i="4"/>
  <c r="J300" i="4"/>
  <c r="J321" i="4"/>
  <c r="L46" i="4"/>
  <c r="K207" i="4"/>
  <c r="L35" i="4"/>
  <c r="L240" i="4"/>
  <c r="J331" i="4"/>
  <c r="J287" i="4"/>
  <c r="E82" i="2"/>
  <c r="AD253" i="2"/>
  <c r="E88" i="2"/>
  <c r="T219" i="2"/>
  <c r="D157" i="2"/>
  <c r="AD123" i="2"/>
  <c r="J269" i="2"/>
  <c r="E208" i="2"/>
  <c r="R114" i="2"/>
  <c r="L127" i="2"/>
  <c r="D130" i="2"/>
  <c r="D374" i="2"/>
  <c r="G229" i="4"/>
  <c r="Z111" i="4"/>
  <c r="V226" i="4"/>
  <c r="M112" i="4"/>
  <c r="Y135" i="4"/>
  <c r="W361" i="4"/>
  <c r="Z343" i="4"/>
  <c r="X263" i="4"/>
  <c r="I219" i="4"/>
  <c r="W265" i="4"/>
  <c r="AT295" i="4"/>
  <c r="M110" i="4"/>
  <c r="I316" i="4"/>
  <c r="N293" i="4"/>
  <c r="AS218" i="4"/>
  <c r="Y74" i="4"/>
  <c r="Y68" i="4"/>
  <c r="M82" i="4"/>
  <c r="AS107" i="4"/>
  <c r="W262" i="4"/>
  <c r="AS184" i="4"/>
  <c r="AS202" i="4"/>
  <c r="AQ167" i="4"/>
  <c r="V206" i="4"/>
  <c r="Z257" i="4"/>
  <c r="N183" i="4"/>
  <c r="M294" i="4"/>
  <c r="Y201" i="4"/>
  <c r="Z62" i="4"/>
  <c r="AQ357" i="4"/>
  <c r="AS106" i="4"/>
  <c r="X258" i="4"/>
  <c r="W129" i="4"/>
  <c r="G128" i="4"/>
  <c r="AQ166" i="4"/>
  <c r="V216" i="4"/>
  <c r="N251" i="4"/>
  <c r="V93" i="4"/>
  <c r="M252" i="4"/>
  <c r="M123" i="4"/>
  <c r="I169" i="4"/>
  <c r="X101" i="4"/>
  <c r="N356" i="4"/>
  <c r="AQ352" i="4"/>
  <c r="I253" i="4"/>
  <c r="AQ60" i="4"/>
  <c r="Y335" i="4"/>
  <c r="G79" i="4"/>
  <c r="AQ247" i="4"/>
  <c r="Y108" i="4"/>
  <c r="AT63" i="4"/>
  <c r="X144" i="4"/>
  <c r="AS336" i="4"/>
  <c r="X58" i="4"/>
  <c r="M19" i="4"/>
  <c r="AQ311" i="4"/>
  <c r="Y333" i="4"/>
  <c r="N21" i="4"/>
  <c r="W370" i="4"/>
  <c r="AS250" i="4"/>
  <c r="X350" i="4"/>
  <c r="N195" i="4"/>
  <c r="N287" i="4"/>
  <c r="N348" i="4"/>
  <c r="AQ291" i="4"/>
  <c r="M290" i="4"/>
  <c r="I290" i="4"/>
  <c r="Z248" i="4"/>
  <c r="H369" i="4"/>
  <c r="AS380" i="4"/>
  <c r="H246" i="4"/>
  <c r="Y102" i="4"/>
  <c r="M307" i="4"/>
  <c r="W191" i="4"/>
  <c r="I334" i="4"/>
  <c r="Z334" i="4"/>
  <c r="Y153" i="4"/>
  <c r="W54" i="4"/>
  <c r="AQ309" i="4"/>
  <c r="AQ142" i="4"/>
  <c r="N328" i="4"/>
  <c r="X96" i="4"/>
  <c r="AS332" i="4"/>
  <c r="I301" i="4"/>
  <c r="AQ182" i="4"/>
  <c r="X243" i="4"/>
  <c r="AS18" i="4"/>
  <c r="AQ329" i="4"/>
  <c r="X239" i="4"/>
  <c r="AS16" i="4"/>
  <c r="W353" i="4"/>
  <c r="X371" i="4"/>
  <c r="H165" i="4"/>
  <c r="AS57" i="4"/>
  <c r="AQ192" i="4"/>
  <c r="AS192" i="4"/>
  <c r="AS161" i="4"/>
  <c r="X38" i="4"/>
  <c r="W87" i="4"/>
  <c r="Z87" i="4"/>
  <c r="Y17" i="4"/>
  <c r="N120" i="4"/>
  <c r="M119" i="4"/>
  <c r="H119" i="4"/>
  <c r="G90" i="4"/>
  <c r="AQ34" i="4"/>
  <c r="Y213" i="4"/>
  <c r="Z213" i="4"/>
  <c r="W198" i="4"/>
  <c r="I198" i="4"/>
  <c r="AS92" i="4"/>
  <c r="Y196" i="4"/>
  <c r="N180" i="4"/>
  <c r="I180" i="4"/>
  <c r="AS56" i="4"/>
  <c r="N121" i="4"/>
  <c r="I121" i="4"/>
  <c r="AS53" i="4"/>
  <c r="N210" i="4"/>
  <c r="I210" i="4"/>
  <c r="AS330" i="4"/>
  <c r="N300" i="4"/>
  <c r="I300" i="4"/>
  <c r="AS238" i="4"/>
  <c r="N208" i="4"/>
  <c r="I208" i="4"/>
  <c r="M97" i="4"/>
  <c r="H283" i="4"/>
  <c r="H143" i="4"/>
  <c r="V73" i="4"/>
  <c r="M212" i="4"/>
  <c r="AS212" i="4"/>
  <c r="AT163" i="4"/>
  <c r="AT244" i="4"/>
  <c r="Z159" i="4"/>
  <c r="X20" i="4"/>
  <c r="Y365" i="4"/>
  <c r="Y285" i="4"/>
  <c r="N285" i="4"/>
  <c r="I241" i="4"/>
  <c r="AQ78" i="4"/>
  <c r="W367" i="4"/>
  <c r="W366" i="4"/>
  <c r="Y347" i="4"/>
  <c r="G346" i="4"/>
  <c r="W50" i="4"/>
  <c r="M7" i="4"/>
  <c r="AQ43" i="4"/>
  <c r="N368" i="4"/>
  <c r="Y368" i="4"/>
  <c r="Z37" i="4"/>
  <c r="Z52" i="4"/>
  <c r="Y51" i="4"/>
  <c r="AQ280" i="4"/>
  <c r="M376" i="4"/>
  <c r="N116" i="4"/>
  <c r="W299" i="4"/>
  <c r="X41" i="4"/>
  <c r="V379" i="4"/>
  <c r="Z379" i="4"/>
  <c r="Y209" i="4"/>
  <c r="AS35" i="4"/>
  <c r="Y98" i="4"/>
  <c r="H364" i="4"/>
  <c r="N325" i="4"/>
  <c r="N158" i="4"/>
  <c r="N306" i="4"/>
  <c r="N271" i="4"/>
  <c r="N156" i="4"/>
  <c r="N322" i="4"/>
  <c r="M327" i="4"/>
  <c r="W237" i="4"/>
  <c r="Z237" i="4"/>
  <c r="H47" i="4"/>
  <c r="Y84" i="4"/>
  <c r="AQ83" i="4"/>
  <c r="M278" i="4"/>
  <c r="AT278" i="4"/>
  <c r="H187" i="4"/>
  <c r="Y304" i="4"/>
  <c r="AQ303" i="4"/>
  <c r="H345" i="4"/>
  <c r="AT230" i="4"/>
  <c r="AS245" i="4"/>
  <c r="G118" i="4"/>
  <c r="AC281" i="2"/>
  <c r="S100" i="2"/>
  <c r="E44" i="2"/>
  <c r="J150" i="2"/>
  <c r="D73" i="2"/>
  <c r="T285" i="2"/>
  <c r="L35" i="2"/>
  <c r="E214" i="2"/>
  <c r="P332" i="2"/>
  <c r="J74" i="2"/>
  <c r="D328" i="2"/>
  <c r="D168" i="2"/>
  <c r="Z227" i="4"/>
  <c r="X266" i="4"/>
  <c r="AT226" i="4"/>
  <c r="AQ362" i="4"/>
  <c r="N185" i="4"/>
  <c r="G177" i="4"/>
  <c r="M69" i="4"/>
  <c r="Z205" i="4"/>
  <c r="AS219" i="4"/>
  <c r="H265" i="4"/>
  <c r="G204" i="4"/>
  <c r="AQ217" i="4"/>
  <c r="AQ359" i="4"/>
  <c r="M133" i="4"/>
  <c r="N130" i="4"/>
  <c r="I176" i="4"/>
  <c r="AQ171" i="4"/>
  <c r="N317" i="4"/>
  <c r="AQ125" i="4"/>
  <c r="V262" i="4"/>
  <c r="M67" i="4"/>
  <c r="W315" i="4"/>
  <c r="AS360" i="4"/>
  <c r="M206" i="4"/>
  <c r="AS146" i="4"/>
  <c r="N103" i="4"/>
  <c r="Z294" i="4"/>
  <c r="I201" i="4"/>
  <c r="AT62" i="4"/>
  <c r="M357" i="4"/>
  <c r="M106" i="4"/>
  <c r="V259" i="4"/>
  <c r="X129" i="4"/>
  <c r="W128" i="4"/>
  <c r="M197" i="4"/>
  <c r="AQ216" i="4"/>
  <c r="X251" i="4"/>
  <c r="W93" i="4"/>
  <c r="W252" i="4"/>
  <c r="W123" i="4"/>
  <c r="M88" i="4"/>
  <c r="G101" i="4"/>
  <c r="I356" i="4"/>
  <c r="X352" i="4"/>
  <c r="V253" i="4"/>
  <c r="N60" i="4"/>
  <c r="AS335" i="4"/>
  <c r="Y79" i="4"/>
  <c r="M211" i="4"/>
  <c r="Z108" i="4"/>
  <c r="I63" i="4"/>
  <c r="Y61" i="4"/>
  <c r="H336" i="4"/>
  <c r="M288" i="4"/>
  <c r="N80" i="4"/>
  <c r="N311" i="4"/>
  <c r="AS333" i="4"/>
  <c r="AQ21" i="4"/>
  <c r="AQ370" i="4"/>
  <c r="G250" i="4"/>
  <c r="G350" i="4"/>
  <c r="X195" i="4"/>
  <c r="X287" i="4"/>
  <c r="X348" i="4"/>
  <c r="V291" i="4"/>
  <c r="W290" i="4"/>
  <c r="M248" i="4"/>
  <c r="AT248" i="4"/>
  <c r="Z369" i="4"/>
  <c r="H380" i="4"/>
  <c r="Z246" i="4"/>
  <c r="AS102" i="4"/>
  <c r="W307" i="4"/>
  <c r="AQ191" i="4"/>
  <c r="M334" i="4"/>
  <c r="AT334" i="4"/>
  <c r="AS153" i="4"/>
  <c r="AQ54" i="4"/>
  <c r="N309" i="4"/>
  <c r="N142" i="4"/>
  <c r="X328" i="4"/>
  <c r="Y164" i="4"/>
  <c r="H332" i="4"/>
  <c r="M284" i="4"/>
  <c r="N182" i="4"/>
  <c r="G243" i="4"/>
  <c r="M331" i="4"/>
  <c r="N329" i="4"/>
  <c r="G239" i="4"/>
  <c r="M353" i="4"/>
  <c r="X353" i="4"/>
  <c r="H371" i="4"/>
  <c r="Z165" i="4"/>
  <c r="H57" i="4"/>
  <c r="I192" i="4"/>
  <c r="M161" i="4"/>
  <c r="H161" i="4"/>
  <c r="G38" i="4"/>
  <c r="AQ87" i="4"/>
  <c r="AT87" i="4"/>
  <c r="AS17" i="4"/>
  <c r="X120" i="4"/>
  <c r="W119" i="4"/>
  <c r="Z119" i="4"/>
  <c r="Y90" i="4"/>
  <c r="G34" i="4"/>
  <c r="G213" i="4"/>
  <c r="AT213" i="4"/>
  <c r="X198" i="4"/>
  <c r="G92" i="4"/>
  <c r="M92" i="4"/>
  <c r="AS196" i="4"/>
  <c r="X180" i="4"/>
  <c r="M56" i="4"/>
  <c r="H56" i="4"/>
  <c r="X121" i="4"/>
  <c r="M53" i="4"/>
  <c r="H53" i="4"/>
  <c r="X210" i="4"/>
  <c r="M330" i="4"/>
  <c r="H330" i="4"/>
  <c r="X300" i="4"/>
  <c r="M238" i="4"/>
  <c r="H238" i="4"/>
  <c r="X208" i="4"/>
  <c r="M13" i="4"/>
  <c r="W97" i="4"/>
  <c r="Z283" i="4"/>
  <c r="Z143" i="4"/>
  <c r="G73" i="4"/>
  <c r="AQ212" i="4"/>
  <c r="H212" i="4"/>
  <c r="I163" i="4"/>
  <c r="I244" i="4"/>
  <c r="AT159" i="4"/>
  <c r="G20" i="4"/>
  <c r="M365" i="4"/>
  <c r="H285" i="4"/>
  <c r="X285" i="4"/>
  <c r="V241" i="4"/>
  <c r="V78" i="4"/>
  <c r="AS367" i="4"/>
  <c r="G366" i="4"/>
  <c r="H347" i="4"/>
  <c r="Y346" i="4"/>
  <c r="AQ50" i="4"/>
  <c r="W7" i="4"/>
  <c r="M95" i="4"/>
  <c r="H368" i="4"/>
  <c r="AS368" i="4"/>
  <c r="AT37" i="4"/>
  <c r="AT52" i="4"/>
  <c r="AS51" i="4"/>
  <c r="N280" i="4"/>
  <c r="W376" i="4"/>
  <c r="X116" i="4"/>
  <c r="AQ299" i="4"/>
  <c r="M140" i="4"/>
  <c r="W379" i="4"/>
  <c r="AT379" i="4"/>
  <c r="AS209" i="4"/>
  <c r="H35" i="4"/>
  <c r="AS98" i="4"/>
  <c r="W364" i="4"/>
  <c r="X325" i="4"/>
  <c r="X158" i="4"/>
  <c r="X306" i="4"/>
  <c r="X271" i="4"/>
  <c r="X156" i="4"/>
  <c r="X322" i="4"/>
  <c r="G327" i="4"/>
  <c r="X237" i="4"/>
  <c r="AT237" i="4"/>
  <c r="Z47" i="4"/>
  <c r="AS84" i="4"/>
  <c r="G83" i="4"/>
  <c r="W278" i="4"/>
  <c r="I278" i="4"/>
  <c r="Z187" i="4"/>
  <c r="AS304" i="4"/>
  <c r="H303" i="4"/>
  <c r="Z345" i="4"/>
  <c r="V245" i="4"/>
  <c r="H245" i="4"/>
  <c r="Y118" i="4"/>
  <c r="H282" i="4"/>
  <c r="I282" i="4"/>
  <c r="AS117" i="4"/>
  <c r="X279" i="4"/>
  <c r="AQ233" i="4"/>
  <c r="Z233" i="4"/>
  <c r="AQ302" i="4"/>
  <c r="AQ193" i="4"/>
  <c r="I193" i="4"/>
  <c r="G378" i="4"/>
  <c r="L89" i="2"/>
  <c r="AB283" i="2"/>
  <c r="E257" i="2"/>
  <c r="J151" i="2"/>
  <c r="D75" i="2"/>
  <c r="V153" i="2"/>
  <c r="J10" i="2"/>
  <c r="E361" i="2"/>
  <c r="AB282" i="2"/>
  <c r="L106" i="2"/>
  <c r="D367" i="2"/>
  <c r="D133" i="2"/>
  <c r="AT227" i="4"/>
  <c r="AQ113" i="4"/>
  <c r="H270" i="4"/>
  <c r="G267" i="4"/>
  <c r="Z185" i="4"/>
  <c r="H177" i="4"/>
  <c r="W69" i="4"/>
  <c r="AT205" i="4"/>
  <c r="H219" i="4"/>
  <c r="Z265" i="4"/>
  <c r="W204" i="4"/>
  <c r="N217" i="4"/>
  <c r="N359" i="4"/>
  <c r="N133" i="4"/>
  <c r="X130" i="4"/>
  <c r="X176" i="4"/>
  <c r="N171" i="4"/>
  <c r="AQ317" i="4"/>
  <c r="G125" i="4"/>
  <c r="V373" i="4"/>
  <c r="N67" i="4"/>
  <c r="AS315" i="4"/>
  <c r="H360" i="4"/>
  <c r="X206" i="4"/>
  <c r="G146" i="4"/>
  <c r="G103" i="4"/>
  <c r="W170" i="4"/>
  <c r="N104" i="4"/>
  <c r="M313" i="4"/>
  <c r="W357" i="4"/>
  <c r="Z106" i="4"/>
  <c r="W259" i="4"/>
  <c r="Y129" i="4"/>
  <c r="H128" i="4"/>
  <c r="W197" i="4"/>
  <c r="N216" i="4"/>
  <c r="M100" i="4"/>
  <c r="N93" i="4"/>
  <c r="AQ252" i="4"/>
  <c r="AQ123" i="4"/>
  <c r="W88" i="4"/>
  <c r="Y101" i="4"/>
  <c r="V356" i="4"/>
  <c r="M352" i="4"/>
  <c r="M200" i="4"/>
  <c r="X60" i="4"/>
  <c r="H335" i="4"/>
  <c r="AS79" i="4"/>
  <c r="W211" i="4"/>
  <c r="I108" i="4"/>
  <c r="AQ144" i="4"/>
  <c r="AS61" i="4"/>
  <c r="I336" i="4"/>
  <c r="W288" i="4"/>
  <c r="G80" i="4"/>
  <c r="X311" i="4"/>
  <c r="W310" i="4"/>
  <c r="G21" i="4"/>
  <c r="Y370" i="4"/>
  <c r="H250" i="4"/>
  <c r="Y350" i="4"/>
  <c r="Y195" i="4"/>
  <c r="Y287" i="4"/>
  <c r="G348" i="4"/>
  <c r="AS291" i="4"/>
  <c r="N290" i="4"/>
  <c r="W248" i="4"/>
  <c r="M369" i="4"/>
  <c r="I369" i="4"/>
  <c r="Z380" i="4"/>
  <c r="N102" i="4"/>
  <c r="Z102" i="4"/>
  <c r="AQ307" i="4"/>
  <c r="W381" i="4"/>
  <c r="W334" i="4"/>
  <c r="Y349" i="4"/>
  <c r="I99" i="4"/>
  <c r="X54" i="4"/>
  <c r="X309" i="4"/>
  <c r="M91" i="4"/>
  <c r="W190" i="4"/>
  <c r="G164" i="4"/>
  <c r="AT332" i="4"/>
  <c r="N284" i="4"/>
  <c r="X182" i="4"/>
  <c r="AS243" i="4"/>
  <c r="AQ331" i="4"/>
  <c r="X329" i="4"/>
  <c r="AS239" i="4"/>
  <c r="N353" i="4"/>
  <c r="I353" i="4"/>
  <c r="AT371" i="4"/>
  <c r="AT165" i="4"/>
  <c r="Z57" i="4"/>
  <c r="Z192" i="4"/>
  <c r="W161" i="4"/>
  <c r="Z161" i="4"/>
  <c r="Y38" i="4"/>
  <c r="N87" i="4"/>
  <c r="M17" i="4"/>
  <c r="H17" i="4"/>
  <c r="G120" i="4"/>
  <c r="AQ119" i="4"/>
  <c r="AT119" i="4"/>
  <c r="AS90" i="4"/>
  <c r="Y34" i="4"/>
  <c r="M213" i="4"/>
  <c r="I213" i="4"/>
  <c r="G198" i="4"/>
  <c r="N92" i="4"/>
  <c r="X92" i="4"/>
  <c r="H196" i="4"/>
  <c r="L353" i="2"/>
  <c r="L136" i="2"/>
  <c r="E65" i="2"/>
  <c r="J97" i="2"/>
  <c r="D40" i="2"/>
  <c r="S72" i="2"/>
  <c r="E350" i="2"/>
  <c r="E92" i="2"/>
  <c r="S303" i="2"/>
  <c r="J130" i="2"/>
  <c r="D116" i="2"/>
  <c r="D108" i="2"/>
  <c r="G186" i="4"/>
  <c r="I113" i="4"/>
  <c r="G270" i="4"/>
  <c r="AS267" i="4"/>
  <c r="AS132" i="4"/>
  <c r="I177" i="4"/>
  <c r="AS220" i="4"/>
  <c r="V70" i="4"/>
  <c r="X264" i="4"/>
  <c r="M274" i="4"/>
  <c r="I204" i="4"/>
  <c r="M354" i="4"/>
  <c r="AQ147" i="4"/>
  <c r="M172" i="4"/>
  <c r="M66" i="4"/>
  <c r="W71" i="4"/>
  <c r="AQ339" i="4"/>
  <c r="H317" i="4"/>
  <c r="Y338" i="4"/>
  <c r="AT373" i="4"/>
  <c r="AT67" i="4"/>
  <c r="H256" i="4"/>
  <c r="V155" i="4"/>
  <c r="Y340" i="4"/>
  <c r="Z124" i="4"/>
  <c r="Y103" i="4"/>
  <c r="X170" i="4"/>
  <c r="M62" i="4"/>
  <c r="H313" i="4"/>
  <c r="Y357" i="4"/>
  <c r="G258" i="4"/>
  <c r="G259" i="4"/>
  <c r="Z129" i="4"/>
  <c r="H314" i="4"/>
  <c r="AT372" i="4"/>
  <c r="AT168" i="4"/>
  <c r="W337" i="4"/>
  <c r="I93" i="4"/>
  <c r="AS252" i="4"/>
  <c r="AQ169" i="4"/>
  <c r="Y88" i="4"/>
  <c r="G356" i="4"/>
  <c r="N292" i="4"/>
  <c r="Z352" i="4"/>
  <c r="G200" i="4"/>
  <c r="Z60" i="4"/>
  <c r="W122" i="4"/>
  <c r="M249" i="4"/>
  <c r="AQ211" i="4"/>
  <c r="X63" i="4"/>
  <c r="G144" i="4"/>
  <c r="H61" i="4"/>
  <c r="W289" i="4"/>
  <c r="AQ288" i="4"/>
  <c r="Y80" i="4"/>
  <c r="AS311" i="4"/>
  <c r="AQ310" i="4"/>
  <c r="H21" i="4"/>
  <c r="AS370" i="4"/>
  <c r="Z250" i="4"/>
  <c r="AS350" i="4"/>
  <c r="AS195" i="4"/>
  <c r="AS287" i="4"/>
  <c r="Y348" i="4"/>
  <c r="N291" i="4"/>
  <c r="X290" i="4"/>
  <c r="AQ248" i="4"/>
  <c r="W369" i="4"/>
  <c r="M380" i="4"/>
  <c r="AT380" i="4"/>
  <c r="V102" i="4"/>
  <c r="AT102" i="4"/>
  <c r="M36" i="4"/>
  <c r="AQ381" i="4"/>
  <c r="AQ334" i="4"/>
  <c r="H349" i="4"/>
  <c r="V99" i="4"/>
  <c r="M242" i="4"/>
  <c r="M181" i="4"/>
  <c r="W91" i="4"/>
  <c r="AQ190" i="4"/>
  <c r="H164" i="4"/>
  <c r="I332" i="4"/>
  <c r="X284" i="4"/>
  <c r="G182" i="4"/>
  <c r="M18" i="4"/>
  <c r="N331" i="4"/>
  <c r="G329" i="4"/>
  <c r="M16" i="4"/>
  <c r="Y353" i="4"/>
  <c r="G371" i="4"/>
  <c r="I371" i="4"/>
  <c r="I165" i="4"/>
  <c r="AT57" i="4"/>
  <c r="AT192" i="4"/>
  <c r="AQ161" i="4"/>
  <c r="AT161" i="4"/>
  <c r="AS38" i="4"/>
  <c r="X87" i="4"/>
  <c r="W17" i="4"/>
  <c r="Z17" i="4"/>
  <c r="J118" i="2"/>
  <c r="AB306" i="2"/>
  <c r="AQ132" i="4"/>
  <c r="N147" i="4"/>
  <c r="I67" i="4"/>
  <c r="Z313" i="4"/>
  <c r="AQ337" i="4"/>
  <c r="Y200" i="4"/>
  <c r="AQ289" i="4"/>
  <c r="Z350" i="4"/>
  <c r="W380" i="4"/>
  <c r="W162" i="4"/>
  <c r="AS182" i="4"/>
  <c r="V165" i="4"/>
  <c r="AT17" i="4"/>
  <c r="Z90" i="4"/>
  <c r="AS198" i="4"/>
  <c r="Y180" i="4"/>
  <c r="G121" i="4"/>
  <c r="I53" i="4"/>
  <c r="AT330" i="4"/>
  <c r="Z238" i="4"/>
  <c r="H13" i="4"/>
  <c r="I143" i="4"/>
  <c r="Z212" i="4"/>
  <c r="G159" i="4"/>
  <c r="Z365" i="4"/>
  <c r="G78" i="4"/>
  <c r="AT367" i="4"/>
  <c r="H14" i="4"/>
  <c r="W95" i="4"/>
  <c r="W37" i="4"/>
  <c r="Z281" i="4"/>
  <c r="M75" i="4"/>
  <c r="M149" i="4"/>
  <c r="Z209" i="4"/>
  <c r="N364" i="4"/>
  <c r="AS158" i="4"/>
  <c r="Y156" i="4"/>
  <c r="AQ237" i="4"/>
  <c r="M84" i="4"/>
  <c r="G278" i="4"/>
  <c r="H304" i="4"/>
  <c r="W230" i="4"/>
  <c r="H118" i="4"/>
  <c r="AQ117" i="4"/>
  <c r="Y279" i="4"/>
  <c r="AQ139" i="4"/>
  <c r="N193" i="4"/>
  <c r="AS378" i="4"/>
  <c r="G49" i="4"/>
  <c r="G89" i="4"/>
  <c r="N308" i="4"/>
  <c r="Z141" i="4"/>
  <c r="N8" i="4"/>
  <c r="V326" i="4"/>
  <c r="M324" i="4"/>
  <c r="N323" i="4"/>
  <c r="H297" i="4"/>
  <c r="W319" i="4"/>
  <c r="K303" i="4"/>
  <c r="K34" i="4"/>
  <c r="L275" i="4"/>
  <c r="K323" i="4"/>
  <c r="J120" i="4"/>
  <c r="J43" i="4"/>
  <c r="K87" i="4"/>
  <c r="J75" i="4"/>
  <c r="L326" i="4"/>
  <c r="K290" i="4"/>
  <c r="L189" i="4"/>
  <c r="K208" i="4"/>
  <c r="L95" i="4"/>
  <c r="K77" i="4"/>
  <c r="L327" i="4"/>
  <c r="L305" i="4"/>
  <c r="K235" i="4"/>
  <c r="J17" i="4"/>
  <c r="J87" i="4"/>
  <c r="J330" i="4"/>
  <c r="K159" i="4"/>
  <c r="L10" i="4"/>
  <c r="L90" i="4"/>
  <c r="L17" i="4"/>
  <c r="L161" i="4"/>
  <c r="K20" i="4"/>
  <c r="J381" i="4"/>
  <c r="J36" i="4"/>
  <c r="K162" i="4"/>
  <c r="L328" i="4"/>
  <c r="L181" i="4"/>
  <c r="L54" i="4"/>
  <c r="L198" i="4"/>
  <c r="K85" i="4"/>
  <c r="K241" i="4"/>
  <c r="L272" i="4"/>
  <c r="L336" i="4"/>
  <c r="K327" i="4"/>
  <c r="K86" i="4"/>
  <c r="K244" i="4"/>
  <c r="J310" i="4"/>
  <c r="K192" i="4"/>
  <c r="L350" i="4"/>
  <c r="L192" i="4"/>
  <c r="L311" i="4"/>
  <c r="J68" i="4"/>
  <c r="J165" i="4"/>
  <c r="L21" i="4"/>
  <c r="K301" i="4"/>
  <c r="L249" i="4"/>
  <c r="J216" i="4"/>
  <c r="J20" i="4"/>
  <c r="L80" i="4"/>
  <c r="L88" i="4"/>
  <c r="L291" i="4"/>
  <c r="K251" i="4"/>
  <c r="L64" i="4"/>
  <c r="L100" i="4"/>
  <c r="L255" i="4"/>
  <c r="L201" i="4"/>
  <c r="K213" i="4"/>
  <c r="J144" i="4"/>
  <c r="L250" i="4"/>
  <c r="K61" i="4"/>
  <c r="L169" i="4"/>
  <c r="J338" i="4"/>
  <c r="L254" i="4"/>
  <c r="K273" i="4"/>
  <c r="J253" i="4"/>
  <c r="K105" i="4"/>
  <c r="K372" i="4"/>
  <c r="L253" i="4"/>
  <c r="J201" i="4"/>
  <c r="K218" i="4"/>
  <c r="J171" i="4"/>
  <c r="L23" i="4"/>
  <c r="K129" i="4"/>
  <c r="J265" i="4"/>
  <c r="L171" i="4"/>
  <c r="L360" i="4"/>
  <c r="J256" i="4"/>
  <c r="J217" i="4"/>
  <c r="L293" i="4"/>
  <c r="K110" i="4"/>
  <c r="L354" i="4"/>
  <c r="K148" i="4"/>
  <c r="J129" i="4"/>
  <c r="L148" i="4"/>
  <c r="K107" i="4"/>
  <c r="J360" i="4"/>
  <c r="K69" i="4"/>
  <c r="J23" i="4"/>
  <c r="K136" i="4"/>
  <c r="J219" i="4"/>
  <c r="L174" i="4"/>
  <c r="K186" i="4"/>
  <c r="K295" i="4"/>
  <c r="K222" i="4"/>
  <c r="J220" i="4"/>
  <c r="K175" i="4"/>
  <c r="K206" i="4"/>
  <c r="L135" i="4"/>
  <c r="K227" i="4"/>
  <c r="J112" i="4"/>
  <c r="K224" i="4"/>
  <c r="K185" i="4"/>
  <c r="K135" i="4"/>
  <c r="J363" i="4"/>
  <c r="L228" i="4"/>
  <c r="Z298" i="4"/>
  <c r="V231" i="4"/>
  <c r="X320" i="4"/>
  <c r="H188" i="4"/>
  <c r="G29" i="4"/>
  <c r="X374" i="4"/>
  <c r="V55" i="4"/>
  <c r="I55" i="4"/>
  <c r="M11" i="4"/>
  <c r="H207" i="4"/>
  <c r="I207" i="4"/>
  <c r="Z77" i="4"/>
  <c r="N44" i="4"/>
  <c r="M40" i="4"/>
  <c r="Y31" i="4"/>
  <c r="AT31" i="4"/>
  <c r="K157" i="4"/>
  <c r="X157" i="4"/>
  <c r="G46" i="4"/>
  <c r="K321" i="4"/>
  <c r="N321" i="4"/>
  <c r="Z114" i="4"/>
  <c r="AS9" i="4"/>
  <c r="AQ9" i="4"/>
  <c r="G240" i="4"/>
  <c r="M235" i="4"/>
  <c r="G235" i="4"/>
  <c r="G42" i="4"/>
  <c r="AT42" i="4"/>
  <c r="I305" i="4"/>
  <c r="H115" i="4"/>
  <c r="I27" i="4"/>
  <c r="Y27" i="4"/>
  <c r="W86" i="4"/>
  <c r="AT86" i="4"/>
  <c r="AS236" i="4"/>
  <c r="L76" i="4"/>
  <c r="Z76" i="4"/>
  <c r="N85" i="4"/>
  <c r="AT85" i="4"/>
  <c r="Z232" i="4"/>
  <c r="AQ33" i="4"/>
  <c r="H33" i="4"/>
  <c r="V150" i="4"/>
  <c r="I150" i="4"/>
  <c r="M276" i="4"/>
  <c r="J39" i="4"/>
  <c r="W39" i="4"/>
  <c r="J32" i="4"/>
  <c r="G32" i="4"/>
  <c r="X344" i="4"/>
  <c r="AQ48" i="4"/>
  <c r="N48" i="4"/>
  <c r="L42" i="2"/>
  <c r="J161" i="2"/>
  <c r="J63" i="2"/>
  <c r="L301" i="2"/>
  <c r="J57" i="2"/>
  <c r="L39" i="2"/>
  <c r="J44" i="2"/>
  <c r="L380" i="2"/>
  <c r="L207" i="2"/>
  <c r="J38" i="2"/>
  <c r="P336" i="2"/>
  <c r="V371" i="2"/>
  <c r="L25" i="2"/>
  <c r="J322" i="2"/>
  <c r="L65" i="2"/>
  <c r="J8" i="2"/>
  <c r="J372" i="2"/>
  <c r="L279" i="2"/>
  <c r="J41" i="2"/>
  <c r="L256" i="2"/>
  <c r="J312" i="2"/>
  <c r="V248" i="2"/>
  <c r="L313" i="2"/>
  <c r="J34" i="2"/>
  <c r="J102" i="2"/>
  <c r="L156" i="2"/>
  <c r="J199" i="2"/>
  <c r="L61" i="2"/>
  <c r="J356" i="2"/>
  <c r="L302" i="2"/>
  <c r="J79" i="2"/>
  <c r="J330" i="2"/>
  <c r="V118" i="2"/>
  <c r="J266" i="2"/>
  <c r="L51" i="2"/>
  <c r="J124" i="2"/>
  <c r="S80" i="2"/>
  <c r="S117" i="2"/>
  <c r="P35" i="2"/>
  <c r="S216" i="2"/>
  <c r="P209" i="2"/>
  <c r="S128" i="2"/>
  <c r="P342" i="2"/>
  <c r="V366" i="2"/>
  <c r="P293" i="2"/>
  <c r="S331" i="2"/>
  <c r="P278" i="2"/>
  <c r="P218" i="2"/>
  <c r="S197" i="2"/>
  <c r="V171" i="2"/>
  <c r="V208" i="2"/>
  <c r="V297" i="2"/>
  <c r="L85" i="2"/>
  <c r="J229" i="2"/>
  <c r="L160" i="2"/>
  <c r="S37" i="2"/>
  <c r="P370" i="2"/>
  <c r="V27" i="2"/>
  <c r="P190" i="2"/>
  <c r="S328" i="2"/>
  <c r="S279" i="2"/>
  <c r="S127" i="2"/>
  <c r="V321" i="2"/>
  <c r="S241" i="2"/>
  <c r="V146" i="2"/>
  <c r="S324" i="2"/>
  <c r="V30" i="2"/>
  <c r="S248" i="2"/>
  <c r="S307" i="2"/>
  <c r="V18" i="2"/>
  <c r="L258" i="2"/>
  <c r="L23" i="2"/>
  <c r="AT177" i="4"/>
  <c r="W172" i="4"/>
  <c r="Z256" i="4"/>
  <c r="AS357" i="4"/>
  <c r="M214" i="4"/>
  <c r="AT60" i="4"/>
  <c r="M286" i="4"/>
  <c r="Z195" i="4"/>
  <c r="M246" i="4"/>
  <c r="W242" i="4"/>
  <c r="AQ18" i="4"/>
  <c r="I57" i="4"/>
  <c r="Y120" i="4"/>
  <c r="AS34" i="4"/>
  <c r="H92" i="4"/>
  <c r="AS180" i="4"/>
  <c r="Y121" i="4"/>
  <c r="G210" i="4"/>
  <c r="I330" i="4"/>
  <c r="AT238" i="4"/>
  <c r="AQ97" i="4"/>
  <c r="W73" i="4"/>
  <c r="AT212" i="4"/>
  <c r="I159" i="4"/>
  <c r="AT365" i="4"/>
  <c r="M78" i="4"/>
  <c r="Y366" i="4"/>
  <c r="Z14" i="4"/>
  <c r="AQ95" i="4"/>
  <c r="I37" i="4"/>
  <c r="AT281" i="4"/>
  <c r="W75" i="4"/>
  <c r="N379" i="4"/>
  <c r="AT209" i="4"/>
  <c r="X364" i="4"/>
  <c r="G306" i="4"/>
  <c r="AS156" i="4"/>
  <c r="V237" i="4"/>
  <c r="H84" i="4"/>
  <c r="Y278" i="4"/>
  <c r="Z304" i="4"/>
  <c r="W245" i="4"/>
  <c r="Z118" i="4"/>
  <c r="V117" i="4"/>
  <c r="AS279" i="4"/>
  <c r="G139" i="4"/>
  <c r="X193" i="4"/>
  <c r="I10" i="4"/>
  <c r="Y49" i="4"/>
  <c r="X89" i="4"/>
  <c r="X308" i="4"/>
  <c r="AT141" i="4"/>
  <c r="X8" i="4"/>
  <c r="N326" i="4"/>
  <c r="G324" i="4"/>
  <c r="X323" i="4"/>
  <c r="Z297" i="4"/>
  <c r="AQ319" i="4"/>
  <c r="K299" i="4"/>
  <c r="K153" i="4"/>
  <c r="J344" i="4"/>
  <c r="L278" i="4"/>
  <c r="L244" i="4"/>
  <c r="K75" i="4"/>
  <c r="L32" i="4"/>
  <c r="K156" i="4"/>
  <c r="K97" i="4"/>
  <c r="J59" i="4"/>
  <c r="J77" i="4"/>
  <c r="K245" i="4"/>
  <c r="J298" i="4"/>
  <c r="L178" i="4"/>
  <c r="L208" i="4"/>
  <c r="J42" i="4"/>
  <c r="L48" i="4"/>
  <c r="J243" i="4"/>
  <c r="K38" i="4"/>
  <c r="K210" i="4"/>
  <c r="L55" i="4"/>
  <c r="J96" i="4"/>
  <c r="J91" i="4"/>
  <c r="J309" i="4"/>
  <c r="J162" i="4"/>
  <c r="L212" i="4"/>
  <c r="K91" i="4"/>
  <c r="L18" i="4"/>
  <c r="L284" i="4"/>
  <c r="J85" i="4"/>
  <c r="J241" i="4"/>
  <c r="J283" i="4"/>
  <c r="L93" i="4"/>
  <c r="L381" i="4"/>
  <c r="J366" i="4"/>
  <c r="J55" i="4"/>
  <c r="L79" i="4"/>
  <c r="L85" i="4"/>
  <c r="L241" i="4"/>
  <c r="L283" i="4"/>
  <c r="J195" i="4"/>
  <c r="J286" i="4"/>
  <c r="J289" i="4"/>
  <c r="J211" i="4"/>
  <c r="J249" i="4"/>
  <c r="K211" i="4"/>
  <c r="K249" i="4"/>
  <c r="J168" i="4"/>
  <c r="J332" i="4"/>
  <c r="J73" i="4"/>
  <c r="K146" i="4"/>
  <c r="K196" i="4"/>
  <c r="J64" i="4"/>
  <c r="J199" i="4"/>
  <c r="L104" i="4"/>
  <c r="J351" i="4"/>
  <c r="J65" i="4"/>
  <c r="J213" i="4"/>
  <c r="L313" i="4"/>
  <c r="J125" i="4"/>
  <c r="L166" i="4"/>
  <c r="J254" i="4"/>
  <c r="J370" i="4"/>
  <c r="L312" i="4"/>
  <c r="K172" i="4"/>
  <c r="L256" i="4"/>
  <c r="J255" i="4"/>
  <c r="L81" i="4"/>
  <c r="K255" i="4"/>
  <c r="L292" i="4"/>
  <c r="L105" i="4"/>
  <c r="J102" i="4"/>
  <c r="K258" i="4"/>
  <c r="K341" i="4"/>
  <c r="K259" i="4"/>
  <c r="L24" i="4"/>
  <c r="J354" i="4"/>
  <c r="J342" i="4"/>
  <c r="J74" i="4"/>
  <c r="J341" i="4"/>
  <c r="K201" i="4"/>
  <c r="K147" i="4"/>
  <c r="J260" i="4"/>
  <c r="L359" i="4"/>
  <c r="J106" i="4"/>
  <c r="L110" i="4"/>
  <c r="K106" i="4"/>
  <c r="J109" i="4"/>
  <c r="L262" i="4"/>
  <c r="K263" i="4"/>
  <c r="L25" i="4"/>
  <c r="K294" i="4"/>
  <c r="K23" i="4"/>
  <c r="L204" i="4"/>
  <c r="K220" i="4"/>
  <c r="J316" i="4"/>
  <c r="L186" i="4"/>
  <c r="L175" i="4"/>
  <c r="L70" i="4"/>
  <c r="K177" i="4"/>
  <c r="J137" i="4"/>
  <c r="K111" i="4"/>
  <c r="K318" i="4"/>
  <c r="K138" i="4"/>
  <c r="L136" i="4"/>
  <c r="L224" i="4"/>
  <c r="L72" i="4"/>
  <c r="K363" i="4"/>
  <c r="J318" i="4"/>
  <c r="M298" i="4"/>
  <c r="M231" i="4"/>
  <c r="G320" i="4"/>
  <c r="Z188" i="4"/>
  <c r="V29" i="4"/>
  <c r="G374" i="4"/>
  <c r="W55" i="4"/>
  <c r="I11" i="4"/>
  <c r="N11" i="4"/>
  <c r="Z207" i="4"/>
  <c r="M77" i="4"/>
  <c r="AT77" i="4"/>
  <c r="G44" i="4"/>
  <c r="V40" i="4"/>
  <c r="AS31" i="4"/>
  <c r="G375" i="4"/>
  <c r="L157" i="4"/>
  <c r="H157" i="4"/>
  <c r="Y46" i="4"/>
  <c r="L321" i="4"/>
  <c r="X321" i="4"/>
  <c r="H114" i="4"/>
  <c r="J9" i="4"/>
  <c r="V9" i="4"/>
  <c r="Y240" i="4"/>
  <c r="AQ235" i="4"/>
  <c r="Y235" i="4"/>
  <c r="Y42" i="4"/>
  <c r="I42" i="4"/>
  <c r="H305" i="4"/>
  <c r="W115" i="4"/>
  <c r="W27" i="4"/>
  <c r="AS27" i="4"/>
  <c r="X86" i="4"/>
  <c r="I86" i="4"/>
  <c r="M236" i="4"/>
  <c r="M76" i="4"/>
  <c r="AT76" i="4"/>
  <c r="AQ85" i="4"/>
  <c r="I85" i="4"/>
  <c r="H232" i="4"/>
  <c r="M33" i="4"/>
  <c r="Z33" i="4"/>
  <c r="AQ150" i="4"/>
  <c r="H276" i="4"/>
  <c r="Y276" i="4"/>
  <c r="L39" i="4"/>
  <c r="N39" i="4"/>
  <c r="N32" i="4"/>
  <c r="Y32" i="4"/>
  <c r="L344" i="4"/>
  <c r="G48" i="4"/>
  <c r="H48" i="4"/>
  <c r="J82" i="2"/>
  <c r="J152" i="2"/>
  <c r="L235" i="2"/>
  <c r="J46" i="2"/>
  <c r="L361" i="2"/>
  <c r="J267" i="2"/>
  <c r="L277" i="2"/>
  <c r="J176" i="2"/>
  <c r="J19" i="2"/>
  <c r="L87" i="2"/>
  <c r="V179" i="2"/>
  <c r="L72" i="2"/>
  <c r="J26" i="2"/>
  <c r="L178" i="2"/>
  <c r="J202" i="2"/>
  <c r="J286" i="2"/>
  <c r="L206" i="2"/>
  <c r="J128" i="2"/>
  <c r="L191" i="2"/>
  <c r="J298" i="2"/>
  <c r="L168" i="2"/>
  <c r="S118" i="2"/>
  <c r="J33" i="2"/>
  <c r="J96" i="2"/>
  <c r="L22" i="2"/>
  <c r="J201" i="2"/>
  <c r="L233" i="2"/>
  <c r="J354" i="2"/>
  <c r="L257" i="2"/>
  <c r="J288" i="2"/>
  <c r="J140" i="2"/>
  <c r="L268" i="2"/>
  <c r="V282" i="2"/>
  <c r="L246" i="2"/>
  <c r="J373" i="2"/>
  <c r="J173" i="2"/>
  <c r="P283" i="2"/>
  <c r="V34" i="2"/>
  <c r="S359" i="2"/>
  <c r="V40" i="2"/>
  <c r="S210" i="2"/>
  <c r="P231" i="2"/>
  <c r="V51" i="2"/>
  <c r="S308" i="2"/>
  <c r="P27" i="2"/>
  <c r="V67" i="2"/>
  <c r="S254" i="2"/>
  <c r="P338" i="2"/>
  <c r="V166" i="2"/>
  <c r="S233" i="2"/>
  <c r="V310" i="2"/>
  <c r="S148" i="2"/>
  <c r="J50" i="2"/>
  <c r="L21" i="2"/>
  <c r="J169" i="2"/>
  <c r="V100" i="2"/>
  <c r="S377" i="2"/>
  <c r="S215" i="2"/>
  <c r="V345" i="2"/>
  <c r="P224" i="2"/>
  <c r="P195" i="2"/>
  <c r="S16" i="2"/>
  <c r="P178" i="2"/>
  <c r="V228" i="2"/>
  <c r="S327" i="2"/>
  <c r="P200" i="2"/>
  <c r="S101" i="2"/>
  <c r="S25" i="2"/>
  <c r="V184" i="2"/>
  <c r="P333" i="2"/>
  <c r="E52" i="2"/>
  <c r="D215" i="2"/>
  <c r="G220" i="4"/>
  <c r="W66" i="4"/>
  <c r="N155" i="4"/>
  <c r="H258" i="4"/>
  <c r="M59" i="4"/>
  <c r="AQ122" i="4"/>
  <c r="AS80" i="4"/>
  <c r="H287" i="4"/>
  <c r="W102" i="4"/>
  <c r="AQ181" i="4"/>
  <c r="X331" i="4"/>
  <c r="V192" i="4"/>
  <c r="AS120" i="4"/>
  <c r="H34" i="4"/>
  <c r="I92" i="4"/>
  <c r="W56" i="4"/>
  <c r="AS121" i="4"/>
  <c r="Y210" i="4"/>
  <c r="G300" i="4"/>
  <c r="I238" i="4"/>
  <c r="H97" i="4"/>
  <c r="Y73" i="4"/>
  <c r="I212" i="4"/>
  <c r="W20" i="4"/>
  <c r="AQ285" i="4"/>
  <c r="Y78" i="4"/>
  <c r="AS366" i="4"/>
  <c r="M178" i="4"/>
  <c r="M277" i="4"/>
  <c r="V37" i="4"/>
  <c r="X280" i="4"/>
  <c r="AQ75" i="4"/>
  <c r="X379" i="4"/>
  <c r="Z35" i="4"/>
  <c r="I364" i="4"/>
  <c r="Y306" i="4"/>
  <c r="G322" i="4"/>
  <c r="G237" i="4"/>
  <c r="Z84" i="4"/>
  <c r="M187" i="4"/>
  <c r="AT304" i="4"/>
  <c r="M245" i="4"/>
  <c r="V282" i="4"/>
  <c r="Y117" i="4"/>
  <c r="W233" i="4"/>
  <c r="W302" i="4"/>
  <c r="AT193" i="4"/>
  <c r="V10" i="4"/>
  <c r="AS49" i="4"/>
  <c r="H89" i="4"/>
  <c r="H308" i="4"/>
  <c r="V141" i="4"/>
  <c r="H377" i="4"/>
  <c r="X326" i="4"/>
  <c r="Y324" i="4"/>
  <c r="G323" i="4"/>
  <c r="AT297" i="4"/>
  <c r="I319" i="4"/>
  <c r="L322" i="4"/>
  <c r="L248" i="4"/>
  <c r="K28" i="4"/>
  <c r="J306" i="4"/>
  <c r="J29" i="4"/>
  <c r="L156" i="4"/>
  <c r="J140" i="4"/>
  <c r="L323" i="4"/>
  <c r="J13" i="4"/>
  <c r="L75" i="4"/>
  <c r="K178" i="4"/>
  <c r="J380" i="4"/>
  <c r="K305" i="4"/>
  <c r="J207" i="4"/>
  <c r="K209" i="4"/>
  <c r="K44" i="4"/>
  <c r="J49" i="4"/>
  <c r="K246" i="4"/>
  <c r="J121" i="4"/>
  <c r="K379" i="4"/>
  <c r="J284" i="4"/>
  <c r="K51" i="4"/>
  <c r="K239" i="4"/>
  <c r="K18" i="4"/>
  <c r="K284" i="4"/>
  <c r="J252" i="4"/>
  <c r="J191" i="4"/>
  <c r="J307" i="4"/>
  <c r="L193" i="4"/>
  <c r="K381" i="4"/>
  <c r="K36" i="4"/>
  <c r="K272" i="4"/>
  <c r="J11" i="4"/>
  <c r="K347" i="4"/>
  <c r="K367" i="4"/>
  <c r="K163" i="4"/>
  <c r="J127" i="4"/>
  <c r="J98" i="4"/>
  <c r="J209" i="4"/>
  <c r="J245" i="4"/>
  <c r="J290" i="4"/>
  <c r="K310" i="4"/>
  <c r="L123" i="4"/>
  <c r="K286" i="4"/>
  <c r="K289" i="4"/>
  <c r="L286" i="4"/>
  <c r="L289" i="4"/>
  <c r="J22" i="4"/>
  <c r="K349" i="4"/>
  <c r="L92" i="4"/>
  <c r="L68" i="4"/>
  <c r="L165" i="4"/>
  <c r="K123" i="4"/>
  <c r="K214" i="4"/>
  <c r="L367" i="2"/>
  <c r="D265" i="2"/>
  <c r="W70" i="4"/>
  <c r="AS71" i="4"/>
  <c r="AS340" i="4"/>
  <c r="Y259" i="4"/>
  <c r="N169" i="4"/>
  <c r="W249" i="4"/>
  <c r="W333" i="4"/>
  <c r="H348" i="4"/>
  <c r="M272" i="4"/>
  <c r="N91" i="4"/>
  <c r="AS329" i="4"/>
  <c r="N161" i="4"/>
  <c r="N119" i="4"/>
  <c r="N213" i="4"/>
  <c r="AT92" i="4"/>
  <c r="AQ56" i="4"/>
  <c r="W53" i="4"/>
  <c r="AS210" i="4"/>
  <c r="Y300" i="4"/>
  <c r="G208" i="4"/>
  <c r="Z97" i="4"/>
  <c r="AS73" i="4"/>
  <c r="V163" i="4"/>
  <c r="M20" i="4"/>
  <c r="I285" i="4"/>
  <c r="AS78" i="4"/>
  <c r="H366" i="4"/>
  <c r="W178" i="4"/>
  <c r="AT368" i="4"/>
  <c r="G52" i="4"/>
  <c r="M189" i="4"/>
  <c r="N299" i="4"/>
  <c r="G379" i="4"/>
  <c r="AT35" i="4"/>
  <c r="G325" i="4"/>
  <c r="AS306" i="4"/>
  <c r="Y322" i="4"/>
  <c r="M47" i="4"/>
  <c r="AT84" i="4"/>
  <c r="W187" i="4"/>
  <c r="Z303" i="4"/>
  <c r="N245" i="4"/>
  <c r="Z282" i="4"/>
  <c r="H117" i="4"/>
  <c r="V233" i="4"/>
  <c r="M275" i="4"/>
  <c r="H378" i="4"/>
  <c r="G10" i="4"/>
  <c r="N49" i="4"/>
  <c r="Z89" i="4"/>
  <c r="H151" i="4"/>
  <c r="AQ94" i="4"/>
  <c r="Z377" i="4"/>
  <c r="G326" i="4"/>
  <c r="AS324" i="4"/>
  <c r="Z323" i="4"/>
  <c r="AQ30" i="4"/>
  <c r="K374" i="4"/>
  <c r="J152" i="4"/>
  <c r="L290" i="4"/>
  <c r="K32" i="4"/>
  <c r="K324" i="4"/>
  <c r="J30" i="4"/>
  <c r="J7" i="4"/>
  <c r="K39" i="4"/>
  <c r="J376" i="4"/>
  <c r="J14" i="4"/>
  <c r="J45" i="4"/>
  <c r="L280" i="4"/>
  <c r="J139" i="4"/>
  <c r="L152" i="4"/>
  <c r="K48" i="4"/>
  <c r="L159" i="4"/>
  <c r="L45" i="4"/>
  <c r="K377" i="4"/>
  <c r="L366" i="4"/>
  <c r="K56" i="4"/>
  <c r="L245" i="4"/>
  <c r="J99" i="4"/>
  <c r="L237" i="4"/>
  <c r="L119" i="4"/>
  <c r="L87" i="4"/>
  <c r="K99" i="4"/>
  <c r="J62" i="4"/>
  <c r="K142" i="4"/>
  <c r="K242" i="4"/>
  <c r="L380" i="4"/>
  <c r="L91" i="4"/>
  <c r="L309" i="4"/>
  <c r="L162" i="4"/>
  <c r="L12" i="4"/>
  <c r="L191" i="4"/>
  <c r="L307" i="4"/>
  <c r="K285" i="4"/>
  <c r="K11" i="4"/>
  <c r="K52" i="4"/>
  <c r="K366" i="4"/>
  <c r="L163" i="4"/>
  <c r="J250" i="4"/>
  <c r="L287" i="4"/>
  <c r="J334" i="4"/>
  <c r="L310" i="4"/>
  <c r="J122" i="4"/>
  <c r="J349" i="4"/>
  <c r="J78" i="4"/>
  <c r="K291" i="4"/>
  <c r="L247" i="4"/>
  <c r="K78" i="4"/>
  <c r="J193" i="4"/>
  <c r="J212" i="4"/>
  <c r="L334" i="4"/>
  <c r="L168" i="4"/>
  <c r="K202" i="4"/>
  <c r="L214" i="4"/>
  <c r="J339" i="4"/>
  <c r="L251" i="4"/>
  <c r="K352" i="4"/>
  <c r="L109" i="4"/>
  <c r="K371" i="4"/>
  <c r="K169" i="4"/>
  <c r="L213" i="4"/>
  <c r="K215" i="4"/>
  <c r="K65" i="4"/>
  <c r="J147" i="4"/>
  <c r="L103" i="4"/>
  <c r="J105" i="4"/>
  <c r="J337" i="4"/>
  <c r="L357" i="4"/>
  <c r="K130" i="4"/>
  <c r="L337" i="4"/>
  <c r="L126" i="4"/>
  <c r="L257" i="4"/>
  <c r="K203" i="4"/>
  <c r="J206" i="4"/>
  <c r="J67" i="4"/>
  <c r="J146" i="4"/>
  <c r="J66" i="4"/>
  <c r="K104" i="4"/>
  <c r="J292" i="4"/>
  <c r="L341" i="4"/>
  <c r="L203" i="4"/>
  <c r="K264" i="4"/>
  <c r="L261" i="4"/>
  <c r="K274" i="4"/>
  <c r="J107" i="4"/>
  <c r="L274" i="4"/>
  <c r="K340" i="4"/>
  <c r="K25" i="4"/>
  <c r="L82" i="4"/>
  <c r="J131" i="4"/>
  <c r="J24" i="4"/>
  <c r="L223" i="4"/>
  <c r="J343" i="4"/>
  <c r="L132" i="4"/>
  <c r="K316" i="4"/>
  <c r="L295" i="4"/>
  <c r="K266" i="4"/>
  <c r="K226" i="4"/>
  <c r="J70" i="4"/>
  <c r="L111" i="4"/>
  <c r="L113" i="4"/>
  <c r="J228" i="4"/>
  <c r="L267" i="4"/>
  <c r="J113" i="4"/>
  <c r="K267" i="4"/>
  <c r="L138" i="4"/>
  <c r="H45" i="4"/>
  <c r="G298" i="4"/>
  <c r="N231" i="4"/>
  <c r="AS320" i="4"/>
  <c r="N188" i="4"/>
  <c r="X29" i="4"/>
  <c r="AS374" i="4"/>
  <c r="Y55" i="4"/>
  <c r="X11" i="4"/>
  <c r="G11" i="4"/>
  <c r="M207" i="4"/>
  <c r="G77" i="4"/>
  <c r="L44" i="4"/>
  <c r="AS44" i="4"/>
  <c r="Y40" i="4"/>
  <c r="I31" i="4"/>
  <c r="H375" i="4"/>
  <c r="G157" i="4"/>
  <c r="AT157" i="4"/>
  <c r="I46" i="4"/>
  <c r="AT321" i="4"/>
  <c r="X114" i="4"/>
  <c r="G114" i="4"/>
  <c r="AT9" i="4"/>
  <c r="AQ240" i="4"/>
  <c r="H240" i="4"/>
  <c r="V235" i="4"/>
  <c r="I235" i="4"/>
  <c r="M42" i="4"/>
  <c r="AQ305" i="4"/>
  <c r="AT305" i="4"/>
  <c r="N115" i="4"/>
  <c r="X27" i="4"/>
  <c r="Z27" i="4"/>
  <c r="G86" i="4"/>
  <c r="K236" i="4"/>
  <c r="X236" i="4"/>
  <c r="N76" i="4"/>
  <c r="Y76" i="4"/>
  <c r="W85" i="4"/>
  <c r="M232" i="4"/>
  <c r="Y232" i="4"/>
  <c r="AS33" i="4"/>
  <c r="V33" i="4"/>
  <c r="AS150" i="4"/>
  <c r="X276" i="4"/>
  <c r="AS276" i="4"/>
  <c r="AQ39" i="4"/>
  <c r="Y39" i="4"/>
  <c r="AT32" i="4"/>
  <c r="N344" i="4"/>
  <c r="AQ344" i="4"/>
  <c r="M48" i="4"/>
  <c r="AT48" i="4"/>
  <c r="L305" i="2"/>
  <c r="J323" i="2"/>
  <c r="L166" i="2"/>
  <c r="J56" i="2"/>
  <c r="L289" i="2"/>
  <c r="J349" i="2"/>
  <c r="J264" i="2"/>
  <c r="L148" i="2"/>
  <c r="J138" i="2"/>
  <c r="S374" i="2"/>
  <c r="S96" i="2"/>
  <c r="L375" i="2"/>
  <c r="J11" i="2"/>
  <c r="J22" i="2"/>
  <c r="L355" i="2"/>
  <c r="J233" i="2"/>
  <c r="L237" i="2"/>
  <c r="J257" i="2"/>
  <c r="L245" i="2"/>
  <c r="J108" i="2"/>
  <c r="J268" i="2"/>
  <c r="V280" i="2"/>
  <c r="L100" i="2"/>
  <c r="J332" i="2"/>
  <c r="L197" i="2"/>
  <c r="J379" i="2"/>
  <c r="L329" i="2"/>
  <c r="J371" i="2"/>
  <c r="J204" i="2"/>
  <c r="L297" i="2"/>
  <c r="J105" i="2"/>
  <c r="P91" i="2"/>
  <c r="S67" i="2"/>
  <c r="J143" i="2"/>
  <c r="L314" i="2"/>
  <c r="J87" i="2"/>
  <c r="V219" i="2"/>
  <c r="V247" i="2"/>
  <c r="P188" i="2"/>
  <c r="S55" i="2"/>
  <c r="P147" i="2"/>
  <c r="V245" i="2"/>
  <c r="S330" i="2"/>
  <c r="S300" i="2"/>
  <c r="P369" i="2"/>
  <c r="S262" i="2"/>
  <c r="P237" i="2"/>
  <c r="V258" i="2"/>
  <c r="S202" i="2"/>
  <c r="P348" i="2"/>
  <c r="S226" i="2"/>
  <c r="V111" i="2"/>
  <c r="J259" i="2"/>
  <c r="L115" i="2"/>
  <c r="S30" i="2"/>
  <c r="P248" i="2"/>
  <c r="V161" i="2"/>
  <c r="P131" i="2"/>
  <c r="V130" i="2"/>
  <c r="V260" i="2"/>
  <c r="V182" i="2"/>
  <c r="P12" i="2"/>
  <c r="V104" i="2"/>
  <c r="S294" i="2"/>
  <c r="V234" i="2"/>
  <c r="V185" i="2"/>
  <c r="S42" i="2"/>
  <c r="P366" i="2"/>
  <c r="P323" i="2"/>
  <c r="P223" i="2"/>
  <c r="D66" i="2"/>
  <c r="Y186" i="4"/>
  <c r="G264" i="4"/>
  <c r="M273" i="4"/>
  <c r="V124" i="4"/>
  <c r="AT129" i="4"/>
  <c r="AS88" i="4"/>
  <c r="V108" i="4"/>
  <c r="N310" i="4"/>
  <c r="G291" i="4"/>
  <c r="AQ36" i="4"/>
  <c r="N190" i="4"/>
  <c r="AQ16" i="4"/>
  <c r="M38" i="4"/>
  <c r="X119" i="4"/>
  <c r="AQ213" i="4"/>
  <c r="M196" i="4"/>
  <c r="N56" i="4"/>
  <c r="AQ53" i="4"/>
  <c r="W330" i="4"/>
  <c r="AS300" i="4"/>
  <c r="Y208" i="4"/>
  <c r="AT283" i="4"/>
  <c r="H73" i="4"/>
  <c r="G244" i="4"/>
  <c r="Y20" i="4"/>
  <c r="AS285" i="4"/>
  <c r="W78" i="4"/>
  <c r="Z347" i="4"/>
  <c r="AQ178" i="4"/>
  <c r="I368" i="4"/>
  <c r="I52" i="4"/>
  <c r="W189" i="4"/>
  <c r="X299" i="4"/>
  <c r="I379" i="4"/>
  <c r="I35" i="4"/>
  <c r="Y325" i="4"/>
  <c r="G271" i="4"/>
  <c r="AS322" i="4"/>
  <c r="W47" i="4"/>
  <c r="Y83" i="4"/>
  <c r="AQ187" i="4"/>
  <c r="AT303" i="4"/>
  <c r="Z245" i="4"/>
  <c r="AT282" i="4"/>
  <c r="Z117" i="4"/>
  <c r="N233" i="4"/>
  <c r="W275" i="4"/>
  <c r="V378" i="4"/>
  <c r="Y10" i="4"/>
  <c r="AT49" i="4"/>
  <c r="AT89" i="4"/>
  <c r="V151" i="4"/>
  <c r="G94" i="4"/>
  <c r="G377" i="4"/>
  <c r="Z326" i="4"/>
  <c r="H324" i="4"/>
  <c r="AT323" i="4"/>
  <c r="I30" i="4"/>
  <c r="L27" i="4"/>
  <c r="K189" i="4"/>
  <c r="L236" i="4"/>
  <c r="L140" i="4"/>
  <c r="L84" i="4"/>
  <c r="K149" i="4"/>
  <c r="K280" i="4"/>
  <c r="L40" i="4"/>
  <c r="K306" i="4"/>
  <c r="L346" i="4"/>
  <c r="K152" i="4"/>
  <c r="L11" i="4"/>
  <c r="K31" i="4"/>
  <c r="J76" i="4"/>
  <c r="L50" i="4"/>
  <c r="J182" i="4"/>
  <c r="J157" i="4"/>
  <c r="J12" i="4"/>
  <c r="J18" i="4"/>
  <c r="J197" i="4"/>
  <c r="K287" i="4"/>
  <c r="K195" i="4"/>
  <c r="J190" i="4"/>
  <c r="J142" i="4"/>
  <c r="J242" i="4"/>
  <c r="L246" i="4"/>
  <c r="J259" i="4"/>
  <c r="L329" i="4"/>
  <c r="L243" i="4"/>
  <c r="K180" i="4"/>
  <c r="J347" i="4"/>
  <c r="J367" i="4"/>
  <c r="J285" i="4"/>
  <c r="J378" i="4"/>
  <c r="J35" i="4"/>
  <c r="J143" i="4"/>
  <c r="J368" i="4"/>
  <c r="L281" i="4"/>
  <c r="L347" i="4"/>
  <c r="J159" i="4"/>
  <c r="L285" i="4"/>
  <c r="L61" i="4"/>
  <c r="J288" i="4"/>
  <c r="J101" i="4"/>
  <c r="J247" i="4"/>
  <c r="K334" i="4"/>
  <c r="L288" i="4"/>
  <c r="K122" i="4"/>
  <c r="J81" i="4"/>
  <c r="J57" i="4"/>
  <c r="L122" i="4"/>
  <c r="K332" i="4"/>
  <c r="K73" i="4"/>
  <c r="K59" i="4"/>
  <c r="J313" i="4"/>
  <c r="L263" i="4"/>
  <c r="L167" i="4"/>
  <c r="J257" i="4"/>
  <c r="J371" i="4"/>
  <c r="L63" i="4"/>
  <c r="L173" i="4"/>
  <c r="L351" i="4"/>
  <c r="L352" i="4"/>
  <c r="J336" i="4"/>
  <c r="L144" i="4"/>
  <c r="K145" i="4"/>
  <c r="L184" i="4"/>
  <c r="J154" i="4"/>
  <c r="K292" i="4"/>
  <c r="K154" i="4"/>
  <c r="K337" i="4"/>
  <c r="J359" i="4"/>
  <c r="J352" i="4"/>
  <c r="J373" i="4"/>
  <c r="J258" i="4"/>
  <c r="L130" i="4"/>
  <c r="L125" i="4"/>
  <c r="K108" i="4"/>
  <c r="K339" i="4"/>
  <c r="K67" i="4"/>
  <c r="L124" i="4"/>
  <c r="K373" i="4"/>
  <c r="J264" i="4"/>
  <c r="J355" i="4"/>
  <c r="L219" i="4"/>
  <c r="J262" i="4"/>
  <c r="L264" i="4"/>
  <c r="K262" i="4"/>
  <c r="J263" i="4"/>
  <c r="L356" i="4"/>
  <c r="L361" i="4"/>
  <c r="K221" i="4"/>
  <c r="K317" i="4"/>
  <c r="K131" i="4"/>
  <c r="J205" i="4"/>
  <c r="K205" i="4"/>
  <c r="J222" i="4"/>
  <c r="L342" i="4"/>
  <c r="K204" i="4"/>
  <c r="K225" i="4"/>
  <c r="J135" i="4"/>
  <c r="K134" i="4"/>
  <c r="L296" i="4"/>
  <c r="L227" i="4"/>
  <c r="K270" i="4"/>
  <c r="L226" i="4"/>
  <c r="J227" i="4"/>
  <c r="L112" i="4"/>
  <c r="J268" i="4"/>
  <c r="Z45" i="4"/>
  <c r="Y298" i="4"/>
  <c r="H231" i="4"/>
  <c r="H28" i="4"/>
  <c r="G188" i="4"/>
  <c r="I29" i="4"/>
  <c r="M55" i="4"/>
  <c r="AS55" i="4"/>
  <c r="H11" i="4"/>
  <c r="Y11" i="4"/>
  <c r="N207" i="4"/>
  <c r="Y77" i="4"/>
  <c r="AQ44" i="4"/>
  <c r="I44" i="4"/>
  <c r="AS40" i="4"/>
  <c r="W31" i="4"/>
  <c r="W375" i="4"/>
  <c r="Y157" i="4"/>
  <c r="I157" i="4"/>
  <c r="H46" i="4"/>
  <c r="G321" i="4"/>
  <c r="I114" i="4"/>
  <c r="Y114" i="4"/>
  <c r="W9" i="4"/>
  <c r="M240" i="4"/>
  <c r="Z240" i="4"/>
  <c r="X235" i="4"/>
  <c r="K42" i="4"/>
  <c r="N42" i="4"/>
  <c r="N305" i="4"/>
  <c r="V305" i="4"/>
  <c r="AT115" i="4"/>
  <c r="K27" i="4"/>
  <c r="AT27" i="4"/>
  <c r="Y86" i="4"/>
  <c r="V236" i="4"/>
  <c r="H236" i="4"/>
  <c r="V76" i="4"/>
  <c r="E330" i="2"/>
  <c r="Y270" i="4"/>
  <c r="Y173" i="4"/>
  <c r="AS338" i="4"/>
  <c r="G170" i="4"/>
  <c r="V372" i="4"/>
  <c r="X292" i="4"/>
  <c r="H144" i="4"/>
  <c r="X370" i="4"/>
  <c r="X248" i="4"/>
  <c r="N334" i="4"/>
  <c r="G301" i="4"/>
  <c r="M371" i="4"/>
  <c r="G87" i="4"/>
  <c r="W90" i="4"/>
  <c r="M198" i="4"/>
  <c r="AT196" i="4"/>
  <c r="AT56" i="4"/>
  <c r="Z53" i="4"/>
  <c r="N330" i="4"/>
  <c r="AQ238" i="4"/>
  <c r="W13" i="4"/>
  <c r="V283" i="4"/>
  <c r="W212" i="4"/>
  <c r="N159" i="4"/>
  <c r="H20" i="4"/>
  <c r="N241" i="4"/>
  <c r="H367" i="4"/>
  <c r="I347" i="4"/>
  <c r="M152" i="4"/>
  <c r="G37" i="4"/>
  <c r="V51" i="4"/>
  <c r="N376" i="4"/>
  <c r="W140" i="4"/>
  <c r="AQ209" i="4"/>
  <c r="Z98" i="4"/>
  <c r="G158" i="4"/>
  <c r="AS271" i="4"/>
  <c r="AS327" i="4"/>
  <c r="AT47" i="4"/>
  <c r="H83" i="4"/>
  <c r="I187" i="4"/>
  <c r="AT345" i="4"/>
  <c r="I245" i="4"/>
  <c r="AS282" i="4"/>
  <c r="N279" i="4"/>
  <c r="H233" i="4"/>
  <c r="W193" i="4"/>
  <c r="M378" i="4"/>
  <c r="H10" i="4"/>
  <c r="W89" i="4"/>
  <c r="Y308" i="4"/>
  <c r="X151" i="4"/>
  <c r="W8" i="4"/>
  <c r="I377" i="4"/>
  <c r="W324" i="4"/>
  <c r="M323" i="4"/>
  <c r="AQ297" i="4"/>
  <c r="AS30" i="4"/>
  <c r="K320" i="4"/>
  <c r="J50" i="4"/>
  <c r="J210" i="4"/>
  <c r="K40" i="4"/>
  <c r="J90" i="4"/>
  <c r="L150" i="4"/>
  <c r="K96" i="4"/>
  <c r="K322" i="4"/>
  <c r="J189" i="4"/>
  <c r="J161" i="4"/>
  <c r="J46" i="4"/>
  <c r="K190" i="4"/>
  <c r="J115" i="4"/>
  <c r="L7" i="4"/>
  <c r="L190" i="4"/>
  <c r="J232" i="4"/>
  <c r="L33" i="4"/>
  <c r="K300" i="4"/>
  <c r="K161" i="4"/>
  <c r="L215" i="4"/>
  <c r="J248" i="4"/>
  <c r="K212" i="4"/>
  <c r="L34" i="4"/>
  <c r="J181" i="4"/>
  <c r="J54" i="4"/>
  <c r="K380" i="4"/>
  <c r="K328" i="4"/>
  <c r="K181" i="4"/>
  <c r="K54" i="4"/>
  <c r="L73" i="4"/>
  <c r="J365" i="4"/>
  <c r="J37" i="4"/>
  <c r="L196" i="4"/>
  <c r="L15" i="4"/>
  <c r="L179" i="4"/>
  <c r="L160" i="4"/>
  <c r="L57" i="4"/>
  <c r="L14" i="4"/>
  <c r="L365" i="4"/>
  <c r="L37" i="4"/>
  <c r="L19" i="4"/>
  <c r="L368" i="4"/>
  <c r="L195" i="4"/>
  <c r="J200" i="4"/>
  <c r="J194" i="4"/>
  <c r="K200" i="4"/>
  <c r="K194" i="4"/>
  <c r="K60" i="4"/>
  <c r="L99" i="4"/>
  <c r="L194" i="4"/>
  <c r="K335" i="4"/>
  <c r="K57" i="4"/>
  <c r="L335" i="4"/>
  <c r="J251" i="4"/>
  <c r="J103" i="4"/>
  <c r="L59" i="4"/>
  <c r="K103" i="4"/>
  <c r="K362" i="4"/>
  <c r="J312" i="4"/>
  <c r="L339" i="4"/>
  <c r="L197" i="4"/>
  <c r="K312" i="4"/>
  <c r="K24" i="4"/>
  <c r="L371" i="4"/>
  <c r="K253" i="4"/>
  <c r="K81" i="4"/>
  <c r="J167" i="4"/>
  <c r="L65" i="4"/>
  <c r="K357" i="4"/>
  <c r="L273" i="4"/>
  <c r="J63" i="4"/>
  <c r="J21" i="4"/>
  <c r="L353" i="4"/>
  <c r="J293" i="4"/>
  <c r="L127" i="4"/>
  <c r="K359" i="4"/>
  <c r="L315" i="4"/>
  <c r="J184" i="4"/>
  <c r="J170" i="4"/>
  <c r="J218" i="4"/>
  <c r="K353" i="4"/>
  <c r="K293" i="4"/>
  <c r="J128" i="4"/>
  <c r="L147" i="4"/>
  <c r="K343" i="4"/>
  <c r="L217" i="4"/>
  <c r="K315" i="4"/>
  <c r="J340" i="4"/>
  <c r="K361" i="4"/>
  <c r="K109" i="4"/>
  <c r="J221" i="4"/>
  <c r="L177" i="4"/>
  <c r="K223" i="4"/>
  <c r="L316" i="4"/>
  <c r="K173" i="4"/>
  <c r="L205" i="4"/>
  <c r="K71" i="4"/>
  <c r="J133" i="4"/>
  <c r="J174" i="4"/>
  <c r="L221" i="4"/>
  <c r="J296" i="4"/>
  <c r="L176" i="4"/>
  <c r="K112" i="4"/>
  <c r="J270" i="4"/>
  <c r="L343" i="4"/>
  <c r="L269" i="4"/>
  <c r="L26" i="4"/>
  <c r="K26" i="4"/>
  <c r="L363" i="4"/>
  <c r="V45" i="4"/>
  <c r="W231" i="4"/>
  <c r="AT231" i="4"/>
  <c r="AT28" i="4"/>
  <c r="AS188" i="4"/>
  <c r="V374" i="4"/>
  <c r="N55" i="4"/>
  <c r="Z55" i="4"/>
  <c r="Z11" i="4"/>
  <c r="AQ207" i="4"/>
  <c r="Y207" i="4"/>
  <c r="I77" i="4"/>
  <c r="Z44" i="4"/>
  <c r="J40" i="4"/>
  <c r="Z40" i="4"/>
  <c r="H31" i="4"/>
  <c r="X375" i="4"/>
  <c r="M157" i="4"/>
  <c r="AQ46" i="4"/>
  <c r="AT46" i="4"/>
  <c r="H321" i="4"/>
  <c r="L114" i="4"/>
  <c r="I9" i="4"/>
  <c r="Z9" i="4"/>
  <c r="N240" i="4"/>
  <c r="I240" i="4"/>
  <c r="Z235" i="4"/>
  <c r="AQ42" i="4"/>
  <c r="H42" i="4"/>
  <c r="Y305" i="4"/>
  <c r="I115" i="4"/>
  <c r="Y115" i="4"/>
  <c r="V27" i="4"/>
  <c r="AQ86" i="4"/>
  <c r="H86" i="4"/>
  <c r="G236" i="4"/>
  <c r="AT236" i="4"/>
  <c r="X76" i="4"/>
  <c r="G85" i="4"/>
  <c r="H85" i="4"/>
  <c r="V232" i="4"/>
  <c r="I232" i="4"/>
  <c r="Y33" i="4"/>
  <c r="Z150" i="4"/>
  <c r="N150" i="4"/>
  <c r="K276" i="4"/>
  <c r="G39" i="4"/>
  <c r="V39" i="4"/>
  <c r="AQ32" i="4"/>
  <c r="Z32" i="4"/>
  <c r="W344" i="4"/>
  <c r="Y344" i="4"/>
  <c r="Y48" i="4"/>
  <c r="L374" i="2"/>
  <c r="J377" i="2"/>
  <c r="L188" i="2"/>
  <c r="J223" i="2"/>
  <c r="J364" i="2"/>
  <c r="L147" i="2"/>
  <c r="J231" i="2"/>
  <c r="L182" i="2"/>
  <c r="L259" i="2"/>
  <c r="J304" i="2"/>
  <c r="P86" i="2"/>
  <c r="P262" i="2"/>
  <c r="L219" i="2"/>
  <c r="J134" i="2"/>
  <c r="L333" i="2"/>
  <c r="J149" i="2"/>
  <c r="L209" i="2"/>
  <c r="J194" i="2"/>
  <c r="J296" i="2"/>
  <c r="L157" i="2"/>
  <c r="J111" i="2"/>
  <c r="P281" i="2"/>
  <c r="P246" i="2"/>
  <c r="J175" i="2"/>
  <c r="E166" i="2"/>
  <c r="M267" i="4"/>
  <c r="W354" i="4"/>
  <c r="I373" i="4"/>
  <c r="W62" i="4"/>
  <c r="M199" i="4"/>
  <c r="AT352" i="4"/>
  <c r="Z61" i="4"/>
  <c r="AT250" i="4"/>
  <c r="N369" i="4"/>
  <c r="AT349" i="4"/>
  <c r="AS284" i="4"/>
  <c r="V371" i="4"/>
  <c r="AQ17" i="4"/>
  <c r="H90" i="4"/>
  <c r="Y198" i="4"/>
  <c r="G180" i="4"/>
  <c r="I56" i="4"/>
  <c r="AT53" i="4"/>
  <c r="Z330" i="4"/>
  <c r="N238" i="4"/>
  <c r="AQ13" i="4"/>
  <c r="AT143" i="4"/>
  <c r="N212" i="4"/>
  <c r="X159" i="4"/>
  <c r="H365" i="4"/>
  <c r="AQ241" i="4"/>
  <c r="Z367" i="4"/>
  <c r="AS346" i="4"/>
  <c r="W152" i="4"/>
  <c r="M37" i="4"/>
  <c r="H281" i="4"/>
  <c r="X376" i="4"/>
  <c r="AQ140" i="4"/>
  <c r="H209" i="4"/>
  <c r="AT98" i="4"/>
  <c r="Y158" i="4"/>
  <c r="G156" i="4"/>
  <c r="H327" i="4"/>
  <c r="I47" i="4"/>
  <c r="AQ278" i="4"/>
  <c r="M304" i="4"/>
  <c r="M230" i="4"/>
  <c r="AS118" i="4"/>
  <c r="W117" i="4"/>
  <c r="G279" i="4"/>
  <c r="AT233" i="4"/>
  <c r="M193" i="4"/>
  <c r="Y378" i="4"/>
  <c r="AQ49" i="4"/>
  <c r="AQ89" i="4"/>
  <c r="AS308" i="4"/>
  <c r="G151" i="4"/>
  <c r="AQ8" i="4"/>
  <c r="M326" i="4"/>
  <c r="AQ324" i="4"/>
  <c r="V323" i="4"/>
  <c r="V297" i="4"/>
  <c r="M319" i="4"/>
  <c r="L94" i="4"/>
  <c r="L97" i="4"/>
  <c r="L121" i="4"/>
  <c r="J297" i="4"/>
  <c r="K119" i="4"/>
  <c r="K297" i="4"/>
  <c r="K13" i="4"/>
  <c r="L233" i="4"/>
  <c r="K158" i="4"/>
  <c r="L301" i="4"/>
  <c r="K234" i="4"/>
  <c r="L13" i="4"/>
  <c r="K141" i="4"/>
  <c r="J188" i="4"/>
  <c r="K282" i="4"/>
  <c r="K298" i="4"/>
  <c r="J89" i="4"/>
  <c r="L209" i="4"/>
  <c r="J56" i="4"/>
  <c r="K120" i="4"/>
  <c r="L210" i="4"/>
  <c r="J123" i="4"/>
  <c r="K16" i="4"/>
  <c r="K331" i="4"/>
  <c r="K182" i="4"/>
  <c r="L369" i="4"/>
  <c r="L16" i="4"/>
  <c r="L331" i="4"/>
  <c r="L182" i="4"/>
  <c r="K93" i="4"/>
  <c r="K179" i="4"/>
  <c r="K160" i="4"/>
  <c r="J311" i="4"/>
  <c r="J327" i="4"/>
  <c r="J86" i="4"/>
  <c r="J244" i="4"/>
  <c r="J350" i="4"/>
  <c r="J282" i="4"/>
  <c r="J240" i="4"/>
  <c r="J379" i="4"/>
  <c r="L332" i="4"/>
  <c r="J19" i="4"/>
  <c r="J58" i="4"/>
  <c r="J124" i="4"/>
  <c r="K58" i="4"/>
  <c r="J291" i="4"/>
  <c r="L58" i="4"/>
  <c r="L200" i="4"/>
  <c r="J153" i="4"/>
  <c r="J196" i="4"/>
  <c r="K80" i="4"/>
  <c r="L164" i="4"/>
  <c r="K336" i="4"/>
  <c r="K252" i="4"/>
  <c r="K62" i="4"/>
  <c r="J166" i="4"/>
  <c r="L62" i="4"/>
  <c r="K197" i="4"/>
  <c r="K102" i="4"/>
  <c r="K257" i="4"/>
  <c r="J198" i="4"/>
  <c r="J215" i="4"/>
  <c r="K92" i="4"/>
  <c r="J80" i="4"/>
  <c r="K254" i="4"/>
  <c r="K155" i="4"/>
  <c r="K144" i="4"/>
  <c r="L145" i="4"/>
  <c r="J224" i="4"/>
  <c r="J372" i="4"/>
  <c r="J353" i="4"/>
  <c r="K168" i="4"/>
  <c r="L372" i="4"/>
  <c r="L67" i="4"/>
  <c r="J315" i="4"/>
  <c r="L172" i="4"/>
  <c r="K171" i="4"/>
  <c r="K360" i="4"/>
  <c r="K126" i="4"/>
  <c r="K184" i="4"/>
  <c r="L146" i="4"/>
  <c r="L66" i="4"/>
  <c r="K354" i="4"/>
  <c r="J148" i="4"/>
  <c r="K128" i="4"/>
  <c r="J356" i="4"/>
  <c r="L128" i="4"/>
  <c r="K356" i="4"/>
  <c r="J202" i="4"/>
  <c r="L358" i="4"/>
  <c r="J294" i="4"/>
  <c r="J136" i="4"/>
  <c r="J176" i="4"/>
  <c r="L317" i="4"/>
  <c r="K219" i="4"/>
  <c r="J295" i="4"/>
  <c r="K176" i="4"/>
  <c r="K70" i="4"/>
  <c r="J82" i="4"/>
  <c r="J362" i="4"/>
  <c r="L225" i="4"/>
  <c r="L266" i="4"/>
  <c r="K113" i="4"/>
  <c r="J226" i="4"/>
  <c r="J185" i="4"/>
  <c r="K229" i="4"/>
  <c r="L229" i="4"/>
  <c r="L270" i="4"/>
  <c r="K268" i="4"/>
  <c r="V298" i="4"/>
  <c r="I231" i="4"/>
  <c r="N320" i="4"/>
  <c r="V28" i="4"/>
  <c r="I188" i="4"/>
  <c r="N374" i="4"/>
  <c r="AQ55" i="4"/>
  <c r="AT55" i="4"/>
  <c r="AQ11" i="4"/>
  <c r="L207" i="4"/>
  <c r="AS207" i="4"/>
  <c r="H77" i="4"/>
  <c r="AT44" i="4"/>
  <c r="AQ40" i="4"/>
  <c r="AT40" i="4"/>
  <c r="Z31" i="4"/>
  <c r="I375" i="4"/>
  <c r="N157" i="4"/>
  <c r="N46" i="4"/>
  <c r="V46" i="4"/>
  <c r="W321" i="4"/>
  <c r="M114" i="4"/>
  <c r="X9" i="4"/>
  <c r="H9" i="4"/>
  <c r="X240" i="4"/>
  <c r="L235" i="4"/>
  <c r="AT235" i="4"/>
  <c r="V42" i="4"/>
  <c r="Z42" i="4"/>
  <c r="AS305" i="4"/>
  <c r="L115" i="4"/>
  <c r="AS115" i="4"/>
  <c r="G27" i="4"/>
  <c r="M86" i="4"/>
  <c r="Z86" i="4"/>
  <c r="Y236" i="4"/>
  <c r="I236" i="4"/>
  <c r="H76" i="4"/>
  <c r="Y85" i="4"/>
  <c r="Z85" i="4"/>
  <c r="AT232" i="4"/>
  <c r="G33" i="4"/>
  <c r="I33" i="4"/>
  <c r="M150" i="4"/>
  <c r="X150" i="4"/>
  <c r="N276" i="4"/>
  <c r="Z39" i="4"/>
  <c r="I39" i="4"/>
  <c r="I32" i="4"/>
  <c r="V32" i="4"/>
  <c r="I344" i="4"/>
  <c r="AS344" i="4"/>
  <c r="I48" i="4"/>
  <c r="J375" i="2"/>
  <c r="L300" i="2"/>
  <c r="J369" i="2"/>
  <c r="J355" i="2"/>
  <c r="L291" i="2"/>
  <c r="J237" i="2"/>
  <c r="L208" i="2"/>
  <c r="J245" i="2"/>
  <c r="L29" i="2"/>
  <c r="L350" i="2"/>
  <c r="P82" i="2"/>
  <c r="V269" i="2"/>
  <c r="J352" i="2"/>
  <c r="L323" i="2"/>
  <c r="J52" i="2"/>
  <c r="L56" i="2"/>
  <c r="J278" i="2"/>
  <c r="J125" i="2"/>
  <c r="L264" i="2"/>
  <c r="J170" i="2"/>
  <c r="L138" i="2"/>
  <c r="V82" i="2"/>
  <c r="J62" i="2"/>
  <c r="L26" i="2"/>
  <c r="J299" i="2"/>
  <c r="J163" i="2"/>
  <c r="L286" i="2"/>
  <c r="J221" i="2"/>
  <c r="L128" i="2"/>
  <c r="J174" i="2"/>
  <c r="J28" i="2"/>
  <c r="L60" i="2"/>
  <c r="P305" i="2"/>
  <c r="L341" i="2"/>
  <c r="T91" i="2"/>
  <c r="I21" i="4"/>
  <c r="Z196" i="4"/>
  <c r="Y244" i="4"/>
  <c r="AQ376" i="4"/>
  <c r="AS83" i="4"/>
  <c r="I378" i="4"/>
  <c r="Z324" i="4"/>
  <c r="L31" i="4"/>
  <c r="K46" i="4"/>
  <c r="K248" i="4"/>
  <c r="L20" i="4"/>
  <c r="J364" i="4"/>
  <c r="J60" i="4"/>
  <c r="L101" i="4"/>
  <c r="K166" i="4"/>
  <c r="L102" i="4"/>
  <c r="K66" i="4"/>
  <c r="J130" i="4"/>
  <c r="K338" i="4"/>
  <c r="L155" i="4"/>
  <c r="L218" i="4"/>
  <c r="J358" i="4"/>
  <c r="J69" i="4"/>
  <c r="K132" i="4"/>
  <c r="J266" i="4"/>
  <c r="K296" i="4"/>
  <c r="J177" i="4"/>
  <c r="AT298" i="4"/>
  <c r="N29" i="4"/>
  <c r="AT11" i="4"/>
  <c r="Y44" i="4"/>
  <c r="AQ157" i="4"/>
  <c r="I321" i="4"/>
  <c r="AS240" i="4"/>
  <c r="M305" i="4"/>
  <c r="H27" i="4"/>
  <c r="AQ76" i="4"/>
  <c r="V85" i="4"/>
  <c r="X33" i="4"/>
  <c r="Z276" i="4"/>
  <c r="X39" i="4"/>
  <c r="H344" i="4"/>
  <c r="V48" i="4"/>
  <c r="J333" i="2"/>
  <c r="J206" i="2"/>
  <c r="J256" i="2"/>
  <c r="V300" i="2"/>
  <c r="L152" i="2"/>
  <c r="L57" i="2"/>
  <c r="J302" i="2"/>
  <c r="J334" i="2"/>
  <c r="L134" i="2"/>
  <c r="L149" i="2"/>
  <c r="J234" i="2"/>
  <c r="J227" i="2"/>
  <c r="P62" i="2"/>
  <c r="L150" i="2"/>
  <c r="L141" i="2"/>
  <c r="V49" i="2"/>
  <c r="S155" i="2"/>
  <c r="S251" i="2"/>
  <c r="S297" i="2"/>
  <c r="S285" i="2"/>
  <c r="S166" i="2"/>
  <c r="V212" i="2"/>
  <c r="S246" i="2"/>
  <c r="S278" i="2"/>
  <c r="V159" i="2"/>
  <c r="J273" i="2"/>
  <c r="L334" i="2"/>
  <c r="P25" i="2"/>
  <c r="S18" i="2"/>
  <c r="P214" i="2"/>
  <c r="V36" i="2"/>
  <c r="S378" i="2"/>
  <c r="S24" i="2"/>
  <c r="P341" i="2"/>
  <c r="P219" i="2"/>
  <c r="V215" i="2"/>
  <c r="S255" i="2"/>
  <c r="V279" i="2"/>
  <c r="S183" i="2"/>
  <c r="S86" i="2"/>
  <c r="P175" i="2"/>
  <c r="S292" i="2"/>
  <c r="S333" i="2"/>
  <c r="P199" i="2"/>
  <c r="V76" i="2"/>
  <c r="S54" i="2"/>
  <c r="V21" i="2"/>
  <c r="P164" i="2"/>
  <c r="P322" i="2"/>
  <c r="P132" i="2"/>
  <c r="V241" i="2"/>
  <c r="S291" i="2"/>
  <c r="S206" i="2"/>
  <c r="V249" i="2"/>
  <c r="P58" i="2"/>
  <c r="S85" i="2"/>
  <c r="P79" i="2"/>
  <c r="V240" i="2"/>
  <c r="S342" i="2"/>
  <c r="P51" i="2"/>
  <c r="V322" i="2"/>
  <c r="S132" i="2"/>
  <c r="P129" i="2"/>
  <c r="P69" i="2"/>
  <c r="V206" i="2"/>
  <c r="V204" i="2"/>
  <c r="S154" i="2"/>
  <c r="V53" i="2"/>
  <c r="P177" i="2"/>
  <c r="V158" i="2"/>
  <c r="S145" i="2"/>
  <c r="S20" i="2"/>
  <c r="P367" i="2"/>
  <c r="V278" i="2"/>
  <c r="S260" i="2"/>
  <c r="V122" i="2"/>
  <c r="P83" i="2"/>
  <c r="S68" i="2"/>
  <c r="P16" i="2"/>
  <c r="V169" i="2"/>
  <c r="S104" i="2"/>
  <c r="P66" i="2"/>
  <c r="P294" i="2"/>
  <c r="V287" i="2"/>
  <c r="S351" i="2"/>
  <c r="V41" i="2"/>
  <c r="P380" i="2"/>
  <c r="V107" i="2"/>
  <c r="S314" i="2"/>
  <c r="P138" i="2"/>
  <c r="S124" i="2"/>
  <c r="V194" i="2"/>
  <c r="P249" i="2"/>
  <c r="S265" i="2"/>
  <c r="V54" i="2"/>
  <c r="P198" i="2"/>
  <c r="S108" i="2"/>
  <c r="V239" i="2"/>
  <c r="P304" i="2"/>
  <c r="P152" i="2"/>
  <c r="S188" i="2"/>
  <c r="V343" i="2"/>
  <c r="P355" i="2"/>
  <c r="S337" i="2"/>
  <c r="V24" i="2"/>
  <c r="P206" i="2"/>
  <c r="S64" i="2"/>
  <c r="V200" i="2"/>
  <c r="P264" i="2"/>
  <c r="S380" i="2"/>
  <c r="V85" i="2"/>
  <c r="P29" i="2"/>
  <c r="S203" i="2"/>
  <c r="V252" i="2"/>
  <c r="L281" i="2"/>
  <c r="L336" i="2"/>
  <c r="L27" i="2"/>
  <c r="L315" i="2"/>
  <c r="L345" i="2"/>
  <c r="L269" i="2"/>
  <c r="L362" i="2"/>
  <c r="L249" i="2"/>
  <c r="L142" i="2"/>
  <c r="L198" i="2"/>
  <c r="L222" i="2"/>
  <c r="L304" i="2"/>
  <c r="V81" i="2"/>
  <c r="P352" i="2"/>
  <c r="S161" i="2"/>
  <c r="V353" i="2"/>
  <c r="P197" i="2"/>
  <c r="S223" i="2"/>
  <c r="V262" i="2"/>
  <c r="P233" i="2"/>
  <c r="S270" i="2"/>
  <c r="V205" i="2"/>
  <c r="P128" i="2"/>
  <c r="S59" i="2"/>
  <c r="V83" i="2"/>
  <c r="P113" i="2"/>
  <c r="S53" i="2"/>
  <c r="V229" i="2"/>
  <c r="P168" i="2"/>
  <c r="S43" i="2"/>
  <c r="V317" i="2"/>
  <c r="P114" i="2"/>
  <c r="V319" i="2"/>
  <c r="S185" i="2"/>
  <c r="S115" i="2"/>
  <c r="L123" i="2"/>
  <c r="L194" i="2"/>
  <c r="L342" i="2"/>
  <c r="P118" i="2"/>
  <c r="V110" i="2"/>
  <c r="P361" i="2"/>
  <c r="P208" i="2"/>
  <c r="V138" i="2"/>
  <c r="W238" i="4"/>
  <c r="L69" i="4"/>
  <c r="Y320" i="4"/>
  <c r="Y9" i="4"/>
  <c r="I76" i="4"/>
  <c r="X32" i="4"/>
  <c r="J59" i="2"/>
  <c r="L267" i="2"/>
  <c r="J363" i="2"/>
  <c r="S284" i="2"/>
  <c r="V290" i="2"/>
  <c r="J95" i="2"/>
  <c r="S318" i="2"/>
  <c r="V73" i="2"/>
  <c r="P257" i="2"/>
  <c r="V325" i="2"/>
  <c r="V15" i="2"/>
  <c r="V337" i="2"/>
  <c r="V157" i="2"/>
  <c r="V304" i="2"/>
  <c r="V347" i="2"/>
  <c r="S70" i="2"/>
  <c r="V61" i="2"/>
  <c r="S275" i="2"/>
  <c r="V302" i="2"/>
  <c r="S106" i="2"/>
  <c r="P222" i="2"/>
  <c r="P63" i="2"/>
  <c r="P364" i="2"/>
  <c r="S277" i="2"/>
  <c r="V109" i="2"/>
  <c r="L161" i="2"/>
  <c r="L270" i="2"/>
  <c r="L53" i="2"/>
  <c r="V117" i="2"/>
  <c r="V92" i="2"/>
  <c r="P61" i="2"/>
  <c r="S36" i="2"/>
  <c r="V350" i="2"/>
  <c r="AQ7" i="4"/>
  <c r="Y271" i="4"/>
  <c r="AT117" i="4"/>
  <c r="M8" i="4"/>
  <c r="L116" i="4"/>
  <c r="J38" i="4"/>
  <c r="K365" i="4"/>
  <c r="K370" i="4"/>
  <c r="L362" i="4"/>
  <c r="J93" i="4"/>
  <c r="K63" i="4"/>
  <c r="J145" i="4"/>
  <c r="J25" i="4"/>
  <c r="J175" i="4"/>
  <c r="J229" i="4"/>
  <c r="H55" i="4"/>
  <c r="Z46" i="4"/>
  <c r="G115" i="4"/>
  <c r="AQ137" i="4"/>
  <c r="G290" i="4"/>
  <c r="Z56" i="4"/>
  <c r="AS20" i="4"/>
  <c r="M41" i="4"/>
  <c r="AT187" i="4"/>
  <c r="AS10" i="4"/>
  <c r="X297" i="4"/>
  <c r="L325" i="4"/>
  <c r="L378" i="4"/>
  <c r="K346" i="4"/>
  <c r="K191" i="4"/>
  <c r="K35" i="4"/>
  <c r="J164" i="4"/>
  <c r="L314" i="4"/>
  <c r="K351" i="4"/>
  <c r="J172" i="4"/>
  <c r="L265" i="4"/>
  <c r="L154" i="4"/>
  <c r="K125" i="4"/>
  <c r="L258" i="4"/>
  <c r="K82" i="4"/>
  <c r="J361" i="4"/>
  <c r="L133" i="4"/>
  <c r="L131" i="4"/>
  <c r="K133" i="4"/>
  <c r="J186" i="4"/>
  <c r="L268" i="4"/>
  <c r="AS298" i="4"/>
  <c r="H374" i="4"/>
  <c r="AS11" i="4"/>
  <c r="I40" i="4"/>
  <c r="AS157" i="4"/>
  <c r="K114" i="4"/>
  <c r="AT240" i="4"/>
  <c r="G305" i="4"/>
  <c r="N86" i="4"/>
  <c r="W76" i="4"/>
  <c r="AQ232" i="4"/>
  <c r="AT33" i="4"/>
  <c r="J276" i="4"/>
  <c r="AS39" i="4"/>
  <c r="Z344" i="4"/>
  <c r="J72" i="2"/>
  <c r="J65" i="2"/>
  <c r="L64" i="2"/>
  <c r="L143" i="2"/>
  <c r="P247" i="2"/>
  <c r="J123" i="2"/>
  <c r="J329" i="2"/>
  <c r="J54" i="2"/>
  <c r="P308" i="2"/>
  <c r="J359" i="2"/>
  <c r="J112" i="2"/>
  <c r="L125" i="2"/>
  <c r="L170" i="2"/>
  <c r="P33" i="2"/>
  <c r="J365" i="2"/>
  <c r="L103" i="2"/>
  <c r="P285" i="2"/>
  <c r="V119" i="2"/>
  <c r="V320" i="2"/>
  <c r="S157" i="2"/>
  <c r="P377" i="2"/>
  <c r="V116" i="2"/>
  <c r="V357" i="2"/>
  <c r="V369" i="2"/>
  <c r="V254" i="2"/>
  <c r="S360" i="2"/>
  <c r="J107" i="2"/>
  <c r="V313" i="2"/>
  <c r="V308" i="2"/>
  <c r="V311" i="2"/>
  <c r="V362" i="2"/>
  <c r="P185" i="2"/>
  <c r="P235" i="2"/>
  <c r="P289" i="2"/>
  <c r="V95" i="2"/>
  <c r="V336" i="2"/>
  <c r="P123" i="2"/>
  <c r="V253" i="2"/>
  <c r="S195" i="2"/>
  <c r="P227" i="2"/>
  <c r="V42" i="2"/>
  <c r="S26" i="2"/>
  <c r="V271" i="2"/>
  <c r="P48" i="2"/>
  <c r="S57" i="2"/>
  <c r="S225" i="2"/>
  <c r="S176" i="2"/>
  <c r="V314" i="2"/>
  <c r="S189" i="2"/>
  <c r="S178" i="2"/>
  <c r="P52" i="2"/>
  <c r="P379" i="2"/>
  <c r="V251" i="2"/>
  <c r="S147" i="2"/>
  <c r="S200" i="2"/>
  <c r="P296" i="2"/>
  <c r="V256" i="2"/>
  <c r="P238" i="2"/>
  <c r="P169" i="2"/>
  <c r="S259" i="2"/>
  <c r="V261" i="2"/>
  <c r="V178" i="2"/>
  <c r="V52" i="2"/>
  <c r="S379" i="2"/>
  <c r="P232" i="2"/>
  <c r="P276" i="2"/>
  <c r="V59" i="2"/>
  <c r="P191" i="2"/>
  <c r="S79" i="2"/>
  <c r="P109" i="2"/>
  <c r="P173" i="2"/>
  <c r="V197" i="2"/>
  <c r="S201" i="2"/>
  <c r="S130" i="2"/>
  <c r="P328" i="2"/>
  <c r="P205" i="2"/>
  <c r="S309" i="2"/>
  <c r="P183" i="2"/>
  <c r="V207" i="2"/>
  <c r="P239" i="2"/>
  <c r="P334" i="2"/>
  <c r="V230" i="2"/>
  <c r="S40" i="2"/>
  <c r="P97" i="2"/>
  <c r="P210" i="2"/>
  <c r="P64" i="2"/>
  <c r="V154" i="2"/>
  <c r="S159" i="2"/>
  <c r="V222" i="2"/>
  <c r="V115" i="2"/>
  <c r="V243" i="2"/>
  <c r="P350" i="2"/>
  <c r="S114" i="2"/>
  <c r="V144" i="2"/>
  <c r="P122" i="2"/>
  <c r="S242" i="2"/>
  <c r="V77" i="2"/>
  <c r="P273" i="2"/>
  <c r="S138" i="2"/>
  <c r="V124" i="2"/>
  <c r="V292" i="2"/>
  <c r="P102" i="2"/>
  <c r="S52" i="2"/>
  <c r="V301" i="2"/>
  <c r="P23" i="2"/>
  <c r="S329" i="2"/>
  <c r="V147" i="2"/>
  <c r="P234" i="2"/>
  <c r="S257" i="2"/>
  <c r="V309" i="2"/>
  <c r="P159" i="2"/>
  <c r="S256" i="2"/>
  <c r="V68" i="2"/>
  <c r="P314" i="2"/>
  <c r="S88" i="2"/>
  <c r="L101" i="2"/>
  <c r="L308" i="2"/>
  <c r="L280" i="2"/>
  <c r="L311" i="2"/>
  <c r="L244" i="2"/>
  <c r="L348" i="2"/>
  <c r="L137" i="2"/>
  <c r="L144" i="2"/>
  <c r="L13" i="2"/>
  <c r="L77" i="2"/>
  <c r="L373" i="2"/>
  <c r="L124" i="2"/>
  <c r="S33" i="2"/>
  <c r="V25" i="2"/>
  <c r="P282" i="2"/>
  <c r="S299" i="2"/>
  <c r="V333" i="2"/>
  <c r="P20" i="2"/>
  <c r="S112" i="2"/>
  <c r="V57" i="2"/>
  <c r="P211" i="2"/>
  <c r="S371" i="2"/>
  <c r="V231" i="2"/>
  <c r="P226" i="2"/>
  <c r="S288" i="2"/>
  <c r="V170" i="2"/>
  <c r="P365" i="2"/>
  <c r="S111" i="2"/>
  <c r="P87" i="2"/>
  <c r="P176" i="2"/>
  <c r="V187" i="2"/>
  <c r="S119" i="2"/>
  <c r="V139" i="2"/>
  <c r="S73" i="2"/>
  <c r="P107" i="2"/>
  <c r="L11" i="2"/>
  <c r="L278" i="2"/>
  <c r="L54" i="2"/>
  <c r="V181" i="2"/>
  <c r="P166" i="2"/>
  <c r="S224" i="2"/>
  <c r="V242" i="2"/>
  <c r="P330" i="2"/>
  <c r="Z353" i="4"/>
  <c r="K342" i="4"/>
  <c r="AQ77" i="4"/>
  <c r="AS235" i="4"/>
  <c r="G150" i="4"/>
  <c r="L118" i="2"/>
  <c r="J80" i="2"/>
  <c r="J37" i="2"/>
  <c r="L16" i="2"/>
  <c r="P161" i="2"/>
  <c r="S332" i="2"/>
  <c r="S208" i="2"/>
  <c r="J290" i="2"/>
  <c r="S274" i="2"/>
  <c r="P375" i="2"/>
  <c r="P270" i="2"/>
  <c r="P280" i="2"/>
  <c r="P339" i="2"/>
  <c r="P22" i="2"/>
  <c r="S44" i="2"/>
  <c r="V127" i="2"/>
  <c r="P135" i="2"/>
  <c r="P245" i="2"/>
  <c r="P345" i="2"/>
  <c r="S174" i="2"/>
  <c r="S89" i="2"/>
  <c r="V368" i="2"/>
  <c r="P192" i="2"/>
  <c r="P346" i="2"/>
  <c r="S341" i="2"/>
  <c r="V38" i="2"/>
  <c r="V55" i="2"/>
  <c r="P279" i="2"/>
  <c r="S28" i="2"/>
  <c r="S240" i="2"/>
  <c r="L223" i="2"/>
  <c r="L59" i="2"/>
  <c r="L43" i="2"/>
  <c r="S369" i="2"/>
  <c r="V214" i="2"/>
  <c r="S349" i="2"/>
  <c r="V50" i="2"/>
  <c r="H38" i="4"/>
  <c r="J326" i="4"/>
  <c r="J15" i="4"/>
  <c r="K333" i="4"/>
  <c r="K313" i="4"/>
  <c r="L107" i="4"/>
  <c r="J126" i="4"/>
  <c r="L220" i="4"/>
  <c r="J111" i="4"/>
  <c r="K228" i="4"/>
  <c r="AS77" i="4"/>
  <c r="G9" i="4"/>
  <c r="M85" i="4"/>
  <c r="W274" i="4"/>
  <c r="W15" i="4"/>
  <c r="N53" i="4"/>
  <c r="Y241" i="4"/>
  <c r="M209" i="4"/>
  <c r="I303" i="4"/>
  <c r="I49" i="4"/>
  <c r="Y30" i="4"/>
  <c r="J41" i="4"/>
  <c r="J246" i="4"/>
  <c r="K329" i="4"/>
  <c r="L242" i="4"/>
  <c r="K143" i="4"/>
  <c r="J335" i="4"/>
  <c r="K64" i="4"/>
  <c r="J169" i="4"/>
  <c r="K198" i="4"/>
  <c r="K216" i="4"/>
  <c r="L106" i="4"/>
  <c r="J261" i="4"/>
  <c r="L129" i="4"/>
  <c r="K261" i="4"/>
  <c r="L260" i="4"/>
  <c r="J317" i="4"/>
  <c r="J71" i="4"/>
  <c r="L222" i="4"/>
  <c r="L137" i="4"/>
  <c r="J225" i="4"/>
  <c r="Y231" i="4"/>
  <c r="Y374" i="4"/>
  <c r="AT207" i="4"/>
  <c r="G40" i="4"/>
  <c r="Z157" i="4"/>
  <c r="AT114" i="4"/>
  <c r="N235" i="4"/>
  <c r="Z305" i="4"/>
  <c r="V86" i="4"/>
  <c r="G76" i="4"/>
  <c r="AS232" i="4"/>
  <c r="H150" i="4"/>
  <c r="G276" i="4"/>
  <c r="W32" i="4"/>
  <c r="M344" i="4"/>
  <c r="J219" i="2"/>
  <c r="L217" i="2"/>
  <c r="J279" i="2"/>
  <c r="L196" i="2"/>
  <c r="V35" i="2"/>
  <c r="L63" i="2"/>
  <c r="J61" i="2"/>
  <c r="L176" i="2"/>
  <c r="V315" i="2"/>
  <c r="L322" i="2"/>
  <c r="J23" i="2"/>
  <c r="J106" i="2"/>
  <c r="J127" i="2"/>
  <c r="V7" i="2"/>
  <c r="L108" i="2"/>
  <c r="V374" i="2"/>
  <c r="S175" i="2"/>
  <c r="S84" i="2"/>
  <c r="V276" i="2"/>
  <c r="S186" i="2"/>
  <c r="V96" i="2"/>
  <c r="P202" i="2"/>
  <c r="V381" i="2"/>
  <c r="P311" i="2"/>
  <c r="P221" i="2"/>
  <c r="J258" i="2"/>
  <c r="L109" i="2"/>
  <c r="P101" i="2"/>
  <c r="S93" i="2"/>
  <c r="P92" i="2"/>
  <c r="S180" i="2"/>
  <c r="V136" i="2"/>
  <c r="S343" i="2"/>
  <c r="V267" i="2"/>
  <c r="P266" i="2"/>
  <c r="V377" i="2"/>
  <c r="S131" i="2"/>
  <c r="P57" i="2"/>
  <c r="V74" i="2"/>
  <c r="V266" i="2"/>
  <c r="P80" i="2"/>
  <c r="V370" i="2"/>
  <c r="P359" i="2"/>
  <c r="V223" i="2"/>
  <c r="P363" i="2"/>
  <c r="V277" i="2"/>
  <c r="P186" i="2"/>
  <c r="P189" i="2"/>
  <c r="V250" i="2"/>
  <c r="V188" i="2"/>
  <c r="S65" i="2"/>
  <c r="P149" i="2"/>
  <c r="P368" i="2"/>
  <c r="V327" i="2"/>
  <c r="V257" i="2"/>
  <c r="P340" i="2"/>
  <c r="S77" i="2"/>
  <c r="P140" i="2"/>
  <c r="V246" i="2"/>
  <c r="S365" i="2"/>
  <c r="P187" i="2"/>
  <c r="P17" i="2"/>
  <c r="V65" i="2"/>
  <c r="V149" i="2"/>
  <c r="S368" i="2"/>
  <c r="P75" i="2"/>
  <c r="S296" i="2"/>
  <c r="P316" i="2"/>
  <c r="V167" i="2"/>
  <c r="P373" i="2"/>
  <c r="S169" i="2"/>
  <c r="P18" i="2"/>
  <c r="V213" i="2"/>
  <c r="S199" i="2"/>
  <c r="S211" i="2"/>
  <c r="P180" i="2"/>
  <c r="V376" i="2"/>
  <c r="P54" i="2"/>
  <c r="S47" i="2"/>
  <c r="V70" i="2"/>
  <c r="P155" i="2"/>
  <c r="V132" i="2"/>
  <c r="V129" i="2"/>
  <c r="S69" i="2"/>
  <c r="P146" i="2"/>
  <c r="S234" i="2"/>
  <c r="V142" i="2"/>
  <c r="P242" i="2"/>
  <c r="S109" i="2"/>
  <c r="P250" i="2"/>
  <c r="S187" i="2"/>
  <c r="V160" i="2"/>
  <c r="P349" i="2"/>
  <c r="S218" i="2"/>
  <c r="V121" i="2"/>
  <c r="P36" i="2"/>
  <c r="S50" i="2"/>
  <c r="V47" i="2"/>
  <c r="P261" i="2"/>
  <c r="S350" i="2"/>
  <c r="S35" i="2"/>
  <c r="V22" i="2"/>
  <c r="P275" i="2"/>
  <c r="S129" i="2"/>
  <c r="V286" i="2"/>
  <c r="P320" i="2"/>
  <c r="S75" i="2"/>
  <c r="V125" i="2"/>
  <c r="P76" i="2"/>
  <c r="S376" i="2"/>
  <c r="V176" i="2"/>
  <c r="P127" i="2"/>
  <c r="S207" i="2"/>
  <c r="V189" i="2"/>
  <c r="P158" i="2"/>
  <c r="L33" i="2"/>
  <c r="L34" i="2"/>
  <c r="L299" i="2"/>
  <c r="L48" i="2"/>
  <c r="L112" i="2"/>
  <c r="L363" i="2"/>
  <c r="L371" i="2"/>
  <c r="L310" i="2"/>
  <c r="L288" i="2"/>
  <c r="L98" i="2"/>
  <c r="L111" i="2"/>
  <c r="L45" i="2"/>
  <c r="P78" i="2"/>
  <c r="S336" i="2"/>
  <c r="V332" i="2"/>
  <c r="P215" i="2"/>
  <c r="S315" i="2"/>
  <c r="V201" i="2"/>
  <c r="P318" i="2"/>
  <c r="S269" i="2"/>
  <c r="V221" i="2"/>
  <c r="P351" i="2"/>
  <c r="S249" i="2"/>
  <c r="V265" i="2"/>
  <c r="P335" i="2"/>
  <c r="S198" i="2"/>
  <c r="V108" i="2"/>
  <c r="P21" i="2"/>
  <c r="S304" i="2"/>
  <c r="S316" i="2"/>
  <c r="V192" i="2"/>
  <c r="S177" i="2"/>
  <c r="P271" i="2"/>
  <c r="P241" i="2"/>
  <c r="P327" i="2"/>
  <c r="V225" i="2"/>
  <c r="V143" i="2"/>
  <c r="L80" i="2"/>
  <c r="L202" i="2"/>
  <c r="L338" i="2"/>
  <c r="L38" i="2"/>
  <c r="S184" i="2"/>
  <c r="S190" i="2"/>
  <c r="V114" i="2"/>
  <c r="S122" i="2"/>
  <c r="S273" i="2"/>
  <c r="G254" i="4"/>
  <c r="AS325" i="4"/>
  <c r="N282" i="4"/>
  <c r="N151" i="4"/>
  <c r="L158" i="4"/>
  <c r="L143" i="4"/>
  <c r="K237" i="4"/>
  <c r="K193" i="4"/>
  <c r="K14" i="4"/>
  <c r="K127" i="4"/>
  <c r="K164" i="4"/>
  <c r="K199" i="4"/>
  <c r="J203" i="4"/>
  <c r="K21" i="4"/>
  <c r="L338" i="4"/>
  <c r="K314" i="4"/>
  <c r="L134" i="4"/>
  <c r="K265" i="4"/>
  <c r="K358" i="4"/>
  <c r="J72" i="4"/>
  <c r="J269" i="4"/>
  <c r="G55" i="4"/>
  <c r="AS46" i="4"/>
  <c r="M115" i="4"/>
  <c r="N232" i="4"/>
  <c r="AS48" i="4"/>
  <c r="J168" i="2"/>
  <c r="J47" i="2"/>
  <c r="L296" i="2"/>
  <c r="S194" i="2"/>
  <c r="P65" i="2"/>
  <c r="P171" i="2"/>
  <c r="S338" i="2"/>
  <c r="P42" i="2"/>
  <c r="V32" i="2"/>
  <c r="S9" i="2"/>
  <c r="P256" i="2"/>
  <c r="P7" i="2"/>
  <c r="S61" i="2"/>
  <c r="S252" i="2"/>
  <c r="V216" i="2"/>
  <c r="P347" i="2"/>
  <c r="S298" i="2"/>
  <c r="S29" i="2"/>
  <c r="S163" i="2"/>
  <c r="V209" i="2"/>
  <c r="S140" i="2"/>
  <c r="V299" i="2"/>
  <c r="P253" i="2"/>
  <c r="V259" i="2"/>
  <c r="S19" i="2"/>
  <c r="P55" i="2"/>
  <c r="V75" i="2"/>
  <c r="S373" i="2"/>
  <c r="V168" i="2"/>
  <c r="V338" i="2"/>
  <c r="V342" i="2"/>
  <c r="S326" i="2"/>
  <c r="S217" i="2"/>
  <c r="V99" i="2"/>
  <c r="P136" i="2"/>
  <c r="L82" i="2"/>
  <c r="L171" i="2"/>
  <c r="L36" i="2"/>
  <c r="S82" i="2"/>
  <c r="P213" i="2"/>
  <c r="P41" i="2"/>
  <c r="S261" i="2"/>
  <c r="Z314" i="4"/>
  <c r="J132" i="4"/>
  <c r="Z28" i="4"/>
  <c r="X31" i="4"/>
  <c r="L42" i="4"/>
  <c r="W236" i="4"/>
  <c r="X232" i="4"/>
  <c r="Z317" i="4"/>
  <c r="AT164" i="4"/>
  <c r="AQ330" i="4"/>
  <c r="AT78" i="4"/>
  <c r="H98" i="4"/>
  <c r="AT245" i="4"/>
  <c r="I89" i="4"/>
  <c r="J8" i="4"/>
  <c r="L324" i="4"/>
  <c r="K188" i="4"/>
  <c r="L38" i="4"/>
  <c r="L180" i="4"/>
  <c r="K368" i="4"/>
  <c r="K68" i="4"/>
  <c r="K100" i="4"/>
  <c r="J155" i="4"/>
  <c r="K79" i="4"/>
  <c r="K22" i="4"/>
  <c r="J134" i="4"/>
  <c r="J110" i="4"/>
  <c r="L108" i="4"/>
  <c r="K217" i="4"/>
  <c r="L355" i="4"/>
  <c r="J223" i="4"/>
  <c r="K72" i="4"/>
  <c r="K174" i="4"/>
  <c r="L318" i="4"/>
  <c r="J138" i="4"/>
  <c r="Z231" i="4"/>
  <c r="X55" i="4"/>
  <c r="G207" i="4"/>
  <c r="H40" i="4"/>
  <c r="M46" i="4"/>
  <c r="AS114" i="4"/>
  <c r="H235" i="4"/>
  <c r="Z115" i="4"/>
  <c r="AS86" i="4"/>
  <c r="AS76" i="4"/>
  <c r="W232" i="4"/>
  <c r="J150" i="4"/>
  <c r="I276" i="4"/>
  <c r="H32" i="4"/>
  <c r="G344" i="4"/>
  <c r="J25" i="2"/>
  <c r="L325" i="2"/>
  <c r="L195" i="2"/>
  <c r="J187" i="2"/>
  <c r="J313" i="2"/>
  <c r="J197" i="2"/>
  <c r="J347" i="2"/>
  <c r="J53" i="2"/>
  <c r="S212" i="2"/>
  <c r="J145" i="2"/>
  <c r="J368" i="2"/>
  <c r="J310" i="2"/>
  <c r="L107" i="2"/>
  <c r="V359" i="2"/>
  <c r="J207" i="2"/>
  <c r="P313" i="2"/>
  <c r="P179" i="2"/>
  <c r="V275" i="2"/>
  <c r="S99" i="2"/>
  <c r="P151" i="2"/>
  <c r="P93" i="2"/>
  <c r="P46" i="2"/>
  <c r="S71" i="2"/>
  <c r="V331" i="2"/>
  <c r="S237" i="2"/>
  <c r="L185" i="2"/>
  <c r="J70" i="2"/>
  <c r="V78" i="2"/>
  <c r="P31" i="2"/>
  <c r="S162" i="2"/>
  <c r="V64" i="2"/>
  <c r="S243" i="2"/>
  <c r="P217" i="2"/>
  <c r="S125" i="2"/>
  <c r="V126" i="2"/>
  <c r="P34" i="2"/>
  <c r="S92" i="2"/>
  <c r="S214" i="2"/>
  <c r="S356" i="2"/>
  <c r="P170" i="2"/>
  <c r="V172" i="2"/>
  <c r="P117" i="2"/>
  <c r="V193" i="2"/>
  <c r="S213" i="2"/>
  <c r="V270" i="2"/>
  <c r="S295" i="2"/>
  <c r="P85" i="2"/>
  <c r="S250" i="2"/>
  <c r="P60" i="2"/>
  <c r="V378" i="2"/>
  <c r="V217" i="2"/>
  <c r="S56" i="2"/>
  <c r="P329" i="2"/>
  <c r="P354" i="2"/>
  <c r="S144" i="2"/>
  <c r="P94" i="2"/>
  <c r="S151" i="2"/>
  <c r="P70" i="2"/>
  <c r="V360" i="2"/>
  <c r="P167" i="2"/>
  <c r="S168" i="2"/>
  <c r="S102" i="2"/>
  <c r="P319" i="2"/>
  <c r="V56" i="2"/>
  <c r="V329" i="2"/>
  <c r="S354" i="2"/>
  <c r="V339" i="2"/>
  <c r="P13" i="2"/>
  <c r="S238" i="2"/>
  <c r="P196" i="2"/>
  <c r="S280" i="2"/>
  <c r="P315" i="2"/>
  <c r="P67" i="2"/>
  <c r="V233" i="2"/>
  <c r="S221" i="2"/>
  <c r="P194" i="2"/>
  <c r="S121" i="2"/>
  <c r="P258" i="2"/>
  <c r="S51" i="2"/>
  <c r="P115" i="2"/>
  <c r="S321" i="2"/>
  <c r="P343" i="2"/>
  <c r="V379" i="2"/>
  <c r="V232" i="2"/>
  <c r="S276" i="2"/>
  <c r="V105" i="2"/>
  <c r="S15" i="2"/>
  <c r="P326" i="2"/>
  <c r="S38" i="2"/>
  <c r="V236" i="2"/>
  <c r="P310" i="2"/>
  <c r="S191" i="2"/>
  <c r="P98" i="2"/>
  <c r="P45" i="2"/>
  <c r="S97" i="2"/>
  <c r="P154" i="2"/>
  <c r="V173" i="2"/>
  <c r="L8" i="2"/>
  <c r="L239" i="2"/>
  <c r="V367" i="2"/>
  <c r="P360" i="2"/>
  <c r="AT347" i="4"/>
  <c r="J274" i="4"/>
  <c r="K137" i="4"/>
  <c r="G31" i="4"/>
  <c r="AQ236" i="4"/>
  <c r="V276" i="4"/>
  <c r="L337" i="2"/>
  <c r="J156" i="2"/>
  <c r="J132" i="2"/>
  <c r="J16" i="2"/>
  <c r="V351" i="2"/>
  <c r="P201" i="2"/>
  <c r="P307" i="2"/>
  <c r="V66" i="2"/>
  <c r="V190" i="2"/>
  <c r="V11" i="2"/>
  <c r="P50" i="2"/>
  <c r="S209" i="2"/>
  <c r="S312" i="2"/>
  <c r="S22" i="2"/>
  <c r="S340" i="2"/>
  <c r="S311" i="2"/>
  <c r="P274" i="2"/>
  <c r="S17" i="2"/>
  <c r="P125" i="2"/>
  <c r="V88" i="2"/>
  <c r="P142" i="2"/>
  <c r="V155" i="2"/>
  <c r="S289" i="2"/>
  <c r="V316" i="2"/>
  <c r="P312" i="2"/>
  <c r="L369" i="2"/>
  <c r="L349" i="2"/>
  <c r="L261" i="2"/>
  <c r="P134" i="2"/>
  <c r="S171" i="2"/>
  <c r="V218" i="2"/>
  <c r="P133" i="2"/>
  <c r="AQ356" i="4"/>
  <c r="M90" i="4"/>
  <c r="I283" i="4"/>
  <c r="W368" i="4"/>
  <c r="Y327" i="4"/>
  <c r="X233" i="4"/>
  <c r="Y377" i="4"/>
  <c r="J277" i="4"/>
  <c r="L96" i="4"/>
  <c r="J369" i="4"/>
  <c r="J179" i="4"/>
  <c r="K37" i="4"/>
  <c r="K88" i="4"/>
  <c r="L349" i="4"/>
  <c r="K256" i="4"/>
  <c r="J79" i="4"/>
  <c r="K124" i="4"/>
  <c r="L216" i="4"/>
  <c r="K170" i="4"/>
  <c r="L259" i="4"/>
  <c r="L170" i="4"/>
  <c r="K260" i="4"/>
  <c r="J108" i="4"/>
  <c r="L294" i="4"/>
  <c r="J267" i="4"/>
  <c r="K269" i="4"/>
  <c r="L206" i="4"/>
  <c r="I45" i="4"/>
  <c r="AT188" i="4"/>
  <c r="V11" i="4"/>
  <c r="V77" i="4"/>
  <c r="V375" i="4"/>
  <c r="M321" i="4"/>
  <c r="V240" i="4"/>
  <c r="AS42" i="4"/>
  <c r="J27" i="4"/>
  <c r="N236" i="4"/>
  <c r="AS85" i="4"/>
  <c r="N33" i="4"/>
  <c r="Y150" i="4"/>
  <c r="AT39" i="4"/>
  <c r="AS32" i="4"/>
  <c r="X48" i="4"/>
  <c r="L193" i="2"/>
  <c r="J209" i="2"/>
  <c r="J191" i="2"/>
  <c r="S313" i="2"/>
  <c r="L377" i="2"/>
  <c r="L46" i="2"/>
  <c r="L44" i="2"/>
  <c r="J252" i="2"/>
  <c r="L352" i="2"/>
  <c r="J48" i="2"/>
  <c r="L372" i="2"/>
  <c r="L41" i="2"/>
  <c r="L312" i="2"/>
  <c r="J297" i="2"/>
  <c r="L326" i="2"/>
  <c r="S7" i="2"/>
  <c r="V152" i="2"/>
  <c r="P337" i="2"/>
  <c r="S236" i="2"/>
  <c r="V352" i="2"/>
  <c r="S353" i="2"/>
  <c r="S361" i="2"/>
  <c r="S136" i="2"/>
  <c r="P112" i="2"/>
  <c r="P121" i="2"/>
  <c r="L298" i="2"/>
  <c r="L252" i="2"/>
  <c r="S153" i="2"/>
  <c r="S293" i="2"/>
  <c r="S253" i="2"/>
  <c r="P356" i="2"/>
  <c r="P292" i="2"/>
  <c r="V69" i="2"/>
  <c r="P74" i="2"/>
  <c r="P181" i="2"/>
  <c r="V293" i="2"/>
  <c r="V318" i="2"/>
  <c r="S39" i="2"/>
  <c r="P225" i="2"/>
  <c r="V45" i="2"/>
  <c r="V305" i="2"/>
  <c r="S247" i="2"/>
  <c r="V131" i="2"/>
  <c r="S8" i="2"/>
  <c r="P137" i="2"/>
  <c r="P309" i="2"/>
  <c r="S239" i="2"/>
  <c r="S268" i="2"/>
  <c r="P240" i="2"/>
  <c r="S235" i="2"/>
  <c r="S355" i="2"/>
  <c r="P286" i="2"/>
  <c r="V210" i="2"/>
  <c r="V128" i="2"/>
  <c r="P277" i="2"/>
  <c r="V148" i="2"/>
  <c r="S150" i="2"/>
  <c r="P141" i="2"/>
  <c r="S143" i="2"/>
  <c r="P68" i="2"/>
  <c r="S160" i="2"/>
  <c r="P104" i="2"/>
  <c r="V355" i="2"/>
  <c r="S286" i="2"/>
  <c r="S287" i="2"/>
  <c r="V44" i="2"/>
  <c r="S41" i="2"/>
  <c r="V298" i="2"/>
  <c r="P207" i="2"/>
  <c r="P89" i="2"/>
  <c r="P110" i="2"/>
  <c r="V202" i="2"/>
  <c r="V112" i="2"/>
  <c r="S348" i="2"/>
  <c r="P362" i="2"/>
  <c r="V226" i="2"/>
  <c r="P302" i="2"/>
  <c r="V29" i="2"/>
  <c r="S126" i="2"/>
  <c r="P88" i="2"/>
  <c r="P378" i="2"/>
  <c r="V163" i="2"/>
  <c r="S135" i="2"/>
  <c r="S320" i="2"/>
  <c r="P99" i="2"/>
  <c r="P263" i="2"/>
  <c r="S245" i="2"/>
  <c r="V140" i="2"/>
  <c r="S21" i="2"/>
  <c r="S103" i="2"/>
  <c r="P317" i="2"/>
  <c r="S205" i="2"/>
  <c r="V71" i="2"/>
  <c r="P59" i="2"/>
  <c r="S83" i="2"/>
  <c r="V186" i="2"/>
  <c r="P53" i="2"/>
  <c r="S229" i="2"/>
  <c r="V12" i="2"/>
  <c r="P43" i="2"/>
  <c r="P321" i="2"/>
  <c r="S230" i="2"/>
  <c r="V156" i="2"/>
  <c r="P228" i="2"/>
  <c r="S232" i="2"/>
  <c r="V372" i="2"/>
  <c r="P260" i="2"/>
  <c r="S74" i="2"/>
  <c r="V296" i="2"/>
  <c r="P14" i="2"/>
  <c r="S266" i="2"/>
  <c r="V79" i="2"/>
  <c r="P126" i="2"/>
  <c r="S60" i="2"/>
  <c r="V164" i="2"/>
  <c r="L120" i="2"/>
  <c r="L184" i="2"/>
  <c r="L220" i="2"/>
  <c r="L190" i="2"/>
  <c r="L344" i="2"/>
  <c r="L224" i="2"/>
  <c r="L381" i="2"/>
  <c r="L122" i="2"/>
  <c r="L95" i="2"/>
  <c r="L273" i="2"/>
  <c r="L290" i="2"/>
  <c r="S281" i="2"/>
  <c r="V303" i="2"/>
  <c r="P9" i="2"/>
  <c r="S27" i="2"/>
  <c r="V145" i="2"/>
  <c r="P116" i="2"/>
  <c r="S345" i="2"/>
  <c r="V199" i="2"/>
  <c r="P272" i="2"/>
  <c r="S362" i="2"/>
  <c r="V106" i="2"/>
  <c r="P90" i="2"/>
  <c r="S142" i="2"/>
  <c r="V341" i="2"/>
  <c r="P298" i="2"/>
  <c r="S222" i="2"/>
  <c r="V326" i="2"/>
  <c r="P160" i="2"/>
  <c r="G63" i="4"/>
  <c r="V213" i="4"/>
  <c r="V212" i="4"/>
  <c r="H51" i="4"/>
  <c r="AQ47" i="4"/>
  <c r="AQ275" i="4"/>
  <c r="AT326" i="4"/>
  <c r="J346" i="4"/>
  <c r="L276" i="4"/>
  <c r="K369" i="4"/>
  <c r="J160" i="4"/>
  <c r="K19" i="4"/>
  <c r="K288" i="4"/>
  <c r="L370" i="4"/>
  <c r="L202" i="4"/>
  <c r="J61" i="4"/>
  <c r="J273" i="4"/>
  <c r="L22" i="4"/>
  <c r="K74" i="4"/>
  <c r="L340" i="4"/>
  <c r="L74" i="4"/>
  <c r="K355" i="4"/>
  <c r="J357" i="4"/>
  <c r="J173" i="4"/>
  <c r="J204" i="4"/>
  <c r="L71" i="4"/>
  <c r="J26" i="4"/>
  <c r="AT45" i="4"/>
  <c r="Y188" i="4"/>
  <c r="W11" i="4"/>
  <c r="H44" i="4"/>
  <c r="N375" i="4"/>
  <c r="V321" i="4"/>
  <c r="W240" i="4"/>
  <c r="X42" i="4"/>
  <c r="AQ27" i="4"/>
  <c r="Z236" i="4"/>
  <c r="X85" i="4"/>
  <c r="W33" i="4"/>
  <c r="W276" i="4"/>
  <c r="H39" i="4"/>
  <c r="V344" i="4"/>
  <c r="Z48" i="4"/>
  <c r="J178" i="2"/>
  <c r="J270" i="2"/>
  <c r="J157" i="2"/>
  <c r="V101" i="2"/>
  <c r="J31" i="2"/>
  <c r="L364" i="2"/>
  <c r="J338" i="2"/>
  <c r="J103" i="2"/>
  <c r="L31" i="2"/>
  <c r="L213" i="2"/>
  <c r="L347" i="2"/>
  <c r="J159" i="2"/>
  <c r="J346" i="2"/>
  <c r="J77" i="2"/>
  <c r="J60" i="2"/>
  <c r="P303" i="2"/>
  <c r="P10" i="2"/>
  <c r="V97" i="2"/>
  <c r="P144" i="2"/>
  <c r="P153" i="2"/>
  <c r="V220" i="2"/>
  <c r="V272" i="2"/>
  <c r="S113" i="2"/>
  <c r="V361" i="2"/>
  <c r="V288" i="2"/>
  <c r="AS208" i="4"/>
  <c r="P30" i="2"/>
  <c r="J265" i="2"/>
  <c r="P38" i="2"/>
  <c r="J15" i="2"/>
  <c r="P73" i="2"/>
  <c r="V37" i="2"/>
  <c r="S76" i="2"/>
  <c r="S123" i="2"/>
  <c r="V19" i="2"/>
  <c r="P156" i="2"/>
  <c r="S90" i="2"/>
  <c r="V98" i="2"/>
  <c r="S156" i="2"/>
  <c r="S94" i="2"/>
  <c r="V123" i="2"/>
  <c r="P212" i="2"/>
  <c r="P105" i="2"/>
  <c r="S228" i="2"/>
  <c r="S13" i="2"/>
  <c r="S12" i="2"/>
  <c r="V13" i="2"/>
  <c r="P290" i="2"/>
  <c r="P163" i="2"/>
  <c r="S347" i="2"/>
  <c r="V227" i="2"/>
  <c r="P103" i="2"/>
  <c r="L331" i="2"/>
  <c r="L340" i="2"/>
  <c r="V72" i="2"/>
  <c r="P358" i="2"/>
  <c r="S363" i="2"/>
  <c r="V191" i="2"/>
  <c r="P243" i="2"/>
  <c r="V180" i="2"/>
  <c r="S334" i="2"/>
  <c r="L121" i="2"/>
  <c r="S220" i="2"/>
  <c r="P182" i="2"/>
  <c r="M39" i="4"/>
  <c r="S306" i="2"/>
  <c r="S31" i="2"/>
  <c r="P244" i="2"/>
  <c r="P252" i="2"/>
  <c r="P108" i="2"/>
  <c r="V151" i="2"/>
  <c r="V295" i="2"/>
  <c r="P24" i="2"/>
  <c r="V87" i="2"/>
  <c r="S149" i="2"/>
  <c r="P150" i="2"/>
  <c r="L255" i="2"/>
  <c r="P172" i="2"/>
  <c r="V237" i="2"/>
  <c r="V335" i="2"/>
  <c r="V255" i="2"/>
  <c r="S364" i="2"/>
  <c r="V150" i="2"/>
  <c r="S139" i="2"/>
  <c r="S32" i="2"/>
  <c r="L49" i="2"/>
  <c r="P39" i="2"/>
  <c r="S46" i="2"/>
  <c r="S325" i="2"/>
  <c r="V289" i="2"/>
  <c r="S133" i="2"/>
  <c r="V354" i="2"/>
  <c r="S322" i="2"/>
  <c r="L307" i="2"/>
  <c r="P357" i="2"/>
  <c r="S282" i="2"/>
  <c r="S164" i="2"/>
  <c r="V43" i="2"/>
  <c r="S14" i="2"/>
  <c r="V238" i="2"/>
  <c r="L293" i="2"/>
  <c r="P325" i="2"/>
  <c r="P301" i="2"/>
  <c r="P96" i="2"/>
  <c r="V60" i="2"/>
  <c r="V365" i="2"/>
  <c r="S58" i="2"/>
  <c r="L236" i="2"/>
  <c r="S310" i="2"/>
  <c r="V349" i="2"/>
  <c r="V274" i="2"/>
  <c r="S158" i="2"/>
  <c r="P216" i="2"/>
  <c r="P84" i="2"/>
  <c r="L18" i="2"/>
  <c r="V58" i="2"/>
  <c r="W150" i="4"/>
  <c r="J100" i="2"/>
  <c r="L70" i="2"/>
  <c r="V134" i="2"/>
  <c r="J350" i="2"/>
  <c r="V380" i="2"/>
  <c r="V306" i="2"/>
  <c r="P295" i="2"/>
  <c r="P145" i="2"/>
  <c r="V196" i="2"/>
  <c r="S301" i="2"/>
  <c r="S204" i="2"/>
  <c r="V28" i="2"/>
  <c r="P40" i="2"/>
  <c r="P376" i="2"/>
  <c r="S358" i="2"/>
  <c r="S137" i="2"/>
  <c r="P229" i="2"/>
  <c r="V23" i="2"/>
  <c r="S335" i="2"/>
  <c r="V330" i="2"/>
  <c r="P288" i="2"/>
  <c r="S317" i="2"/>
  <c r="S66" i="2"/>
  <c r="P148" i="2"/>
  <c r="L67" i="2"/>
  <c r="P374" i="2"/>
  <c r="V328" i="2"/>
  <c r="S290" i="2"/>
  <c r="J213" i="2"/>
  <c r="V344" i="2"/>
  <c r="V10" i="2"/>
  <c r="V203" i="2"/>
  <c r="V294" i="2"/>
  <c r="S23" i="2"/>
  <c r="V48" i="2"/>
  <c r="V141" i="2"/>
  <c r="P157" i="2"/>
  <c r="P95" i="2"/>
  <c r="V195" i="2"/>
  <c r="L306" i="2"/>
  <c r="L192" i="2"/>
  <c r="S48" i="2"/>
  <c r="P297" i="2"/>
  <c r="V285" i="2"/>
  <c r="S87" i="2"/>
  <c r="V198" i="2"/>
  <c r="P162" i="2"/>
  <c r="V133" i="2"/>
  <c r="V135" i="2"/>
  <c r="L253" i="2"/>
  <c r="V162" i="2"/>
  <c r="V86" i="2"/>
  <c r="S219" i="2"/>
  <c r="P28" i="2"/>
  <c r="S244" i="2"/>
  <c r="S196" i="2"/>
  <c r="V291" i="2"/>
  <c r="L254" i="2"/>
  <c r="S98" i="2"/>
  <c r="P265" i="2"/>
  <c r="V356" i="2"/>
  <c r="S372" i="2"/>
  <c r="S267" i="2"/>
  <c r="P251" i="2"/>
  <c r="L212" i="2"/>
  <c r="V165" i="2"/>
  <c r="J148" i="2"/>
  <c r="V224" i="2"/>
  <c r="V63" i="2"/>
  <c r="S319" i="2"/>
  <c r="V373" i="2"/>
  <c r="L131" i="2"/>
  <c r="P130" i="2"/>
  <c r="J287" i="2"/>
  <c r="S152" i="2"/>
  <c r="P230" i="2"/>
  <c r="V273" i="2"/>
  <c r="P111" i="2"/>
  <c r="L71" i="2"/>
  <c r="P19" i="2"/>
  <c r="P71" i="2"/>
  <c r="V113" i="2"/>
  <c r="S346" i="2"/>
  <c r="S45" i="2"/>
  <c r="P47" i="2"/>
  <c r="S173" i="2"/>
  <c r="S170" i="2"/>
  <c r="P324" i="2"/>
  <c r="L186" i="2"/>
  <c r="S95" i="2"/>
  <c r="W48" i="4"/>
  <c r="P56" i="2"/>
  <c r="V268" i="2"/>
  <c r="P124" i="2"/>
  <c r="S182" i="2"/>
  <c r="S165" i="2"/>
  <c r="S105" i="2"/>
  <c r="S34" i="2"/>
  <c r="L292" i="2"/>
  <c r="P291" i="2"/>
  <c r="S49" i="2"/>
  <c r="P165" i="2"/>
  <c r="V8" i="2"/>
  <c r="P203" i="2"/>
  <c r="V17" i="2"/>
  <c r="V16" i="2"/>
  <c r="V93" i="2"/>
  <c r="J171" i="2"/>
  <c r="S263" i="2"/>
  <c r="S63" i="2"/>
  <c r="P267" i="2"/>
  <c r="P269" i="2"/>
  <c r="P268" i="2"/>
  <c r="V235" i="2"/>
  <c r="S302" i="2"/>
  <c r="L187" i="2"/>
  <c r="V177" i="2"/>
  <c r="L167" i="2"/>
  <c r="P44" i="2"/>
  <c r="V84" i="2"/>
  <c r="S141" i="2"/>
  <c r="V94" i="2"/>
  <c r="V340" i="2"/>
  <c r="V183" i="2"/>
  <c r="P193" i="2"/>
  <c r="M32" i="4"/>
  <c r="L231" i="2"/>
  <c r="J243" i="2"/>
  <c r="S271" i="2"/>
  <c r="S193" i="2"/>
  <c r="V103" i="2"/>
  <c r="V364" i="2"/>
  <c r="V264" i="2"/>
  <c r="P371" i="2"/>
  <c r="S167" i="2"/>
  <c r="S120" i="2"/>
  <c r="V346" i="2"/>
  <c r="L19" i="2"/>
  <c r="P184" i="2"/>
  <c r="V39" i="2"/>
  <c r="P139" i="2"/>
  <c r="V102" i="2"/>
  <c r="P381" i="2"/>
  <c r="P204" i="2"/>
  <c r="L238" i="2"/>
  <c r="V46" i="2"/>
  <c r="J303" i="2"/>
  <c r="V358" i="2"/>
  <c r="P8" i="2"/>
  <c r="P372" i="2"/>
  <c r="S107" i="2"/>
  <c r="P119" i="2"/>
  <c r="S231" i="2"/>
  <c r="S339" i="2"/>
  <c r="L47" i="2"/>
  <c r="S381" i="2"/>
  <c r="L52" i="2"/>
  <c r="P255" i="2"/>
  <c r="S264" i="2"/>
  <c r="V263" i="2"/>
  <c r="V312" i="2"/>
  <c r="P236" i="2"/>
  <c r="P287" i="2"/>
  <c r="V89" i="2"/>
  <c r="V323" i="2"/>
  <c r="L309" i="2"/>
  <c r="V348" i="2"/>
  <c r="P174" i="2"/>
  <c r="V90" i="2"/>
  <c r="V363" i="2"/>
  <c r="V334" i="2"/>
  <c r="S146" i="2"/>
  <c r="P15" i="2"/>
  <c r="S344" i="2"/>
  <c r="V324" i="2"/>
  <c r="L12" i="2"/>
  <c r="T2" i="2" a="1"/>
  <c r="Z2" i="2" a="1"/>
  <c r="V2" i="2" a="1"/>
  <c r="R2" i="2" a="1"/>
  <c r="U2" i="2" a="1"/>
  <c r="Y2" i="2" a="1"/>
  <c r="Q2" i="2" a="1"/>
  <c r="S2" i="2" a="1"/>
  <c r="W2" i="2" a="1"/>
  <c r="X2" i="2" a="1"/>
  <c r="AT273" i="4"/>
  <c r="Z273" i="4"/>
  <c r="AS124" i="4"/>
  <c r="X124" i="4"/>
  <c r="Y134" i="4"/>
  <c r="I134" i="4"/>
  <c r="X134" i="4"/>
  <c r="H147" i="4"/>
  <c r="Z147" i="4"/>
  <c r="W221" i="4"/>
  <c r="X221" i="4"/>
  <c r="AT361" i="4"/>
  <c r="Z361" i="4"/>
  <c r="G361" i="4"/>
  <c r="AS361" i="4"/>
  <c r="Z69" i="4"/>
  <c r="V69" i="4"/>
  <c r="Y69" i="4"/>
  <c r="AT263" i="4"/>
  <c r="V263" i="4"/>
  <c r="Y263" i="4"/>
  <c r="I263" i="4"/>
  <c r="AS263" i="4"/>
  <c r="V64" i="4"/>
  <c r="X64" i="4"/>
  <c r="I225" i="4"/>
  <c r="M225" i="4"/>
  <c r="AQ225" i="4"/>
  <c r="G225" i="4"/>
  <c r="H225" i="4"/>
  <c r="G222" i="4"/>
  <c r="AS222" i="4"/>
  <c r="N222" i="4"/>
  <c r="I222" i="4"/>
  <c r="V222" i="4"/>
  <c r="X222" i="4"/>
  <c r="Z274" i="4"/>
  <c r="V274" i="4"/>
  <c r="AS274" i="4"/>
  <c r="X274" i="4"/>
  <c r="G274" i="4"/>
  <c r="V74" i="4"/>
  <c r="Z74" i="4"/>
  <c r="H74" i="4"/>
  <c r="X109" i="4"/>
  <c r="N109" i="4"/>
  <c r="AQ186" i="4"/>
  <c r="M186" i="4"/>
  <c r="X186" i="4"/>
  <c r="H186" i="4"/>
  <c r="I186" i="4"/>
  <c r="W296" i="4"/>
  <c r="AQ296" i="4"/>
  <c r="AS296" i="4"/>
  <c r="M296" i="4"/>
  <c r="H296" i="4"/>
  <c r="X296" i="4"/>
  <c r="W223" i="4"/>
  <c r="Z223" i="4"/>
  <c r="M223" i="4"/>
  <c r="V223" i="4"/>
  <c r="Y223" i="4"/>
  <c r="N70" i="4"/>
  <c r="AQ70" i="4"/>
  <c r="AT264" i="4"/>
  <c r="Z264" i="4"/>
  <c r="H264" i="4"/>
  <c r="M173" i="4"/>
  <c r="W173" i="4"/>
  <c r="X173" i="4"/>
  <c r="N107" i="4"/>
  <c r="V107" i="4"/>
  <c r="X107" i="4"/>
  <c r="X23" i="4"/>
  <c r="M23" i="4"/>
  <c r="Y23" i="4"/>
  <c r="X363" i="4"/>
  <c r="Y363" i="4"/>
  <c r="AT363" i="4"/>
  <c r="I363" i="4"/>
  <c r="N363" i="4"/>
  <c r="V363" i="4"/>
  <c r="H363" i="4"/>
  <c r="G363" i="4"/>
  <c r="Z363" i="4"/>
  <c r="AS363" i="4"/>
  <c r="I138" i="4"/>
  <c r="M138" i="4"/>
  <c r="Z138" i="4"/>
  <c r="G138" i="4"/>
  <c r="AT138" i="4"/>
  <c r="N138" i="4"/>
  <c r="AS138" i="4"/>
  <c r="X138" i="4"/>
  <c r="Y127" i="4"/>
  <c r="AQ127" i="4"/>
  <c r="AQ183" i="4"/>
  <c r="V183" i="4"/>
  <c r="N342" i="4"/>
  <c r="G342" i="4"/>
  <c r="H25" i="4"/>
  <c r="Z25" i="4"/>
  <c r="V25" i="4"/>
  <c r="AT25" i="4"/>
  <c r="V355" i="4"/>
  <c r="X355" i="4"/>
  <c r="Y355" i="4"/>
  <c r="AS355" i="4"/>
  <c r="I355" i="4"/>
  <c r="H171" i="4"/>
  <c r="Z171" i="4"/>
  <c r="V171" i="4"/>
  <c r="Y171" i="4"/>
  <c r="I171" i="4"/>
  <c r="M171" i="4"/>
  <c r="H315" i="4"/>
  <c r="N315" i="4"/>
  <c r="AQ315" i="4"/>
  <c r="AT154" i="4"/>
  <c r="G154" i="4"/>
  <c r="G197" i="4"/>
  <c r="V197" i="4"/>
  <c r="AT26" i="4"/>
  <c r="V26" i="4"/>
  <c r="Y26" i="4"/>
  <c r="I26" i="4"/>
  <c r="G26" i="4"/>
  <c r="H26" i="4"/>
  <c r="AS26" i="4"/>
  <c r="I266" i="4"/>
  <c r="G266" i="4"/>
  <c r="V266" i="4"/>
  <c r="Y266" i="4"/>
  <c r="AS266" i="4"/>
  <c r="Z266" i="4"/>
  <c r="AT266" i="4"/>
  <c r="G217" i="4"/>
  <c r="V217" i="4"/>
  <c r="I217" i="4"/>
  <c r="Y217" i="4"/>
  <c r="H217" i="4"/>
  <c r="N338" i="4"/>
  <c r="AT338" i="4"/>
  <c r="V338" i="4"/>
  <c r="AS358" i="4"/>
  <c r="M358" i="4"/>
  <c r="G358" i="4"/>
  <c r="Y358" i="4"/>
  <c r="AS211" i="4"/>
  <c r="I211" i="4"/>
  <c r="V211" i="4"/>
  <c r="AS135" i="4"/>
  <c r="N135" i="4"/>
  <c r="W135" i="4"/>
  <c r="X205" i="4"/>
  <c r="V205" i="4"/>
  <c r="Y205" i="4"/>
  <c r="G145" i="4"/>
  <c r="X145" i="4"/>
  <c r="H145" i="4"/>
  <c r="AT185" i="4"/>
  <c r="I185" i="4"/>
  <c r="AQ185" i="4"/>
  <c r="M185" i="4"/>
  <c r="H185" i="4"/>
  <c r="M265" i="4"/>
  <c r="V265" i="4"/>
  <c r="M24" i="4"/>
  <c r="AS24" i="4"/>
  <c r="W24" i="4"/>
  <c r="G24" i="4"/>
  <c r="Y24" i="4"/>
  <c r="N24" i="4"/>
  <c r="V24" i="4"/>
  <c r="AQ24" i="4"/>
  <c r="H167" i="4"/>
  <c r="X167" i="4"/>
  <c r="AS167" i="4"/>
  <c r="Z167" i="4"/>
  <c r="G249" i="4"/>
  <c r="V249" i="4"/>
  <c r="Z136" i="4"/>
  <c r="AS136" i="4"/>
  <c r="V136" i="4"/>
  <c r="H136" i="4"/>
  <c r="X136" i="4"/>
  <c r="N136" i="4"/>
  <c r="I136" i="4"/>
  <c r="G136" i="4"/>
  <c r="AT136" i="4"/>
  <c r="Y136" i="4"/>
  <c r="Z252" i="4"/>
  <c r="V252" i="4"/>
  <c r="H252" i="4"/>
  <c r="X250" i="4"/>
  <c r="N250" i="4"/>
  <c r="AS82" i="4"/>
  <c r="G82" i="4"/>
  <c r="AT82" i="4"/>
  <c r="AS258" i="4"/>
  <c r="AT258" i="4"/>
  <c r="M258" i="4"/>
  <c r="N372" i="4"/>
  <c r="Z372" i="4"/>
  <c r="AT254" i="4"/>
  <c r="Z254" i="4"/>
  <c r="I254" i="4"/>
  <c r="X254" i="4"/>
  <c r="H254" i="4"/>
  <c r="V254" i="4"/>
  <c r="M337" i="4"/>
  <c r="N337" i="4"/>
  <c r="Z337" i="4"/>
  <c r="H354" i="4"/>
  <c r="AT354" i="4"/>
  <c r="Y354" i="4"/>
  <c r="N354" i="4"/>
  <c r="X354" i="4"/>
  <c r="I354" i="4"/>
  <c r="G354" i="4"/>
  <c r="Z354" i="4"/>
  <c r="V354" i="4"/>
  <c r="X247" i="4"/>
  <c r="Z247" i="4"/>
  <c r="AT247" i="4"/>
  <c r="V247" i="4"/>
  <c r="Y247" i="4"/>
  <c r="AS312" i="4"/>
  <c r="X312" i="4"/>
  <c r="H162" i="4"/>
  <c r="Z162" i="4"/>
  <c r="AS162" i="4"/>
  <c r="N164" i="4"/>
  <c r="AQ164" i="4"/>
  <c r="AS164" i="4"/>
  <c r="AT16" i="4"/>
  <c r="V16" i="4"/>
  <c r="AS283" i="4"/>
  <c r="G283" i="4"/>
  <c r="Z105" i="4"/>
  <c r="AT105" i="4"/>
  <c r="H105" i="4"/>
  <c r="W63" i="4"/>
  <c r="AQ63" i="4"/>
  <c r="AT93" i="4"/>
  <c r="M93" i="4"/>
  <c r="Z93" i="4"/>
  <c r="AQ93" i="4"/>
  <c r="N191" i="4"/>
  <c r="AS191" i="4"/>
  <c r="X191" i="4"/>
  <c r="AT191" i="4"/>
  <c r="V191" i="4"/>
  <c r="I191" i="4"/>
  <c r="W349" i="4"/>
  <c r="AS349" i="4"/>
  <c r="V132" i="4"/>
  <c r="I132" i="4"/>
  <c r="Z132" i="4"/>
  <c r="G132" i="4"/>
  <c r="AT132" i="4"/>
  <c r="H132" i="4"/>
  <c r="I101" i="4"/>
  <c r="V101" i="4"/>
  <c r="I310" i="4"/>
  <c r="Z310" i="4"/>
  <c r="I287" i="4"/>
  <c r="V287" i="4"/>
  <c r="V246" i="4"/>
  <c r="I246" i="4"/>
  <c r="AS246" i="4"/>
  <c r="G181" i="4"/>
  <c r="Z181" i="4"/>
  <c r="V181" i="4"/>
  <c r="Y96" i="4"/>
  <c r="AS96" i="4"/>
  <c r="V284" i="4"/>
  <c r="AQ284" i="4"/>
  <c r="Z284" i="4"/>
  <c r="I284" i="4"/>
  <c r="V243" i="4"/>
  <c r="AT243" i="4"/>
  <c r="X57" i="4"/>
  <c r="N57" i="4"/>
  <c r="W57" i="4"/>
  <c r="AQ57" i="4"/>
  <c r="M244" i="4"/>
  <c r="X244" i="4"/>
  <c r="W244" i="4"/>
  <c r="V244" i="4"/>
  <c r="AS286" i="4"/>
  <c r="H286" i="4"/>
  <c r="I286" i="4"/>
  <c r="H122" i="4"/>
  <c r="AT122" i="4"/>
  <c r="X122" i="4"/>
  <c r="V122" i="4"/>
  <c r="G122" i="4"/>
  <c r="N122" i="4"/>
  <c r="Z122" i="4"/>
  <c r="AS122" i="4"/>
  <c r="Z15" i="4"/>
  <c r="X15" i="4"/>
  <c r="G15" i="4"/>
  <c r="Y15" i="4"/>
  <c r="AS15" i="4"/>
  <c r="V15" i="4"/>
  <c r="I239" i="4"/>
  <c r="V239" i="4"/>
  <c r="N143" i="4"/>
  <c r="V143" i="4"/>
  <c r="M143" i="4"/>
  <c r="X143" i="4"/>
  <c r="G256" i="4"/>
  <c r="V256" i="4"/>
  <c r="W256" i="4"/>
  <c r="I256" i="4"/>
  <c r="Y256" i="4"/>
  <c r="AQ256" i="4"/>
  <c r="M256" i="4"/>
  <c r="AS256" i="4"/>
  <c r="I91" i="4"/>
  <c r="H91" i="4"/>
  <c r="G91" i="4"/>
  <c r="V90" i="4"/>
  <c r="I90" i="4"/>
  <c r="AS303" i="4"/>
  <c r="Y303" i="4"/>
  <c r="X303" i="4"/>
  <c r="W81" i="4"/>
  <c r="AS81" i="4"/>
  <c r="G81" i="4"/>
  <c r="M81" i="4"/>
  <c r="V81" i="4"/>
  <c r="I81" i="4"/>
  <c r="Y81" i="4"/>
  <c r="H351" i="4"/>
  <c r="AT351" i="4"/>
  <c r="X351" i="4"/>
  <c r="G351" i="4"/>
  <c r="Y351" i="4"/>
  <c r="AS351" i="4"/>
  <c r="I351" i="4"/>
  <c r="N351" i="4"/>
  <c r="V351" i="4"/>
  <c r="M80" i="4"/>
  <c r="V80" i="4"/>
  <c r="W80" i="4"/>
  <c r="AQ80" i="4"/>
  <c r="I50" i="4"/>
  <c r="V50" i="4"/>
  <c r="N50" i="4"/>
  <c r="X152" i="4"/>
  <c r="I152" i="4"/>
  <c r="V152" i="4"/>
  <c r="H65" i="4"/>
  <c r="AT65" i="4"/>
  <c r="AQ65" i="4"/>
  <c r="X65" i="4"/>
  <c r="I65" i="4"/>
  <c r="V65" i="4"/>
  <c r="M65" i="4"/>
  <c r="W65" i="4"/>
  <c r="X160" i="4"/>
  <c r="AS160" i="4"/>
  <c r="N160" i="4"/>
  <c r="Y160" i="4"/>
  <c r="G160" i="4"/>
  <c r="Z160" i="4"/>
  <c r="I160" i="4"/>
  <c r="V160" i="4"/>
  <c r="I54" i="4"/>
  <c r="Y54" i="4"/>
  <c r="AS54" i="4"/>
  <c r="Z54" i="4"/>
  <c r="V54" i="4"/>
  <c r="AT54" i="4"/>
  <c r="Y190" i="4"/>
  <c r="AT190" i="4"/>
  <c r="Z190" i="4"/>
  <c r="V190" i="4"/>
  <c r="I87" i="4"/>
  <c r="V87" i="4"/>
  <c r="Y140" i="4"/>
  <c r="I140" i="4"/>
  <c r="N140" i="4"/>
  <c r="V306" i="4"/>
  <c r="AT306" i="4"/>
  <c r="J275" i="4"/>
  <c r="L230" i="4"/>
  <c r="K83" i="4"/>
  <c r="J151" i="4"/>
  <c r="K117" i="4"/>
  <c r="L51" i="4"/>
  <c r="AS242" i="4"/>
  <c r="G242" i="4"/>
  <c r="Y242" i="4"/>
  <c r="H242" i="4"/>
  <c r="AT242" i="4"/>
  <c r="I242" i="4"/>
  <c r="V189" i="4"/>
  <c r="H189" i="4"/>
  <c r="N83" i="4"/>
  <c r="V83" i="4"/>
  <c r="X83" i="4"/>
  <c r="G345" i="4"/>
  <c r="AS345" i="4"/>
  <c r="G36" i="4"/>
  <c r="AS36" i="4"/>
  <c r="Z36" i="4"/>
  <c r="N36" i="4"/>
  <c r="Y36" i="4"/>
  <c r="X36" i="4"/>
  <c r="AT36" i="4"/>
  <c r="I36" i="4"/>
  <c r="V36" i="4"/>
  <c r="AS241" i="4"/>
  <c r="M241" i="4"/>
  <c r="G241" i="4"/>
  <c r="I346" i="4"/>
  <c r="AQ346" i="4"/>
  <c r="AT346" i="4"/>
  <c r="M346" i="4"/>
  <c r="AQ281" i="4"/>
  <c r="N281" i="4"/>
  <c r="G281" i="4"/>
  <c r="I281" i="4"/>
  <c r="AS281" i="4"/>
  <c r="M281" i="4"/>
  <c r="V299" i="4"/>
  <c r="AT299" i="4"/>
  <c r="V325" i="4"/>
  <c r="I325" i="4"/>
  <c r="Z201" i="4"/>
  <c r="AQ201" i="4"/>
  <c r="AT201" i="4"/>
  <c r="N201" i="4"/>
  <c r="M201" i="4"/>
  <c r="Z251" i="4"/>
  <c r="Y251" i="4"/>
  <c r="AT251" i="4"/>
  <c r="G251" i="4"/>
  <c r="H251" i="4"/>
  <c r="AS251" i="4"/>
  <c r="I251" i="4"/>
  <c r="V251" i="4"/>
  <c r="X301" i="4"/>
  <c r="N301" i="4"/>
  <c r="M301" i="4"/>
  <c r="AS301" i="4"/>
  <c r="AQ301" i="4"/>
  <c r="W14" i="4"/>
  <c r="M14" i="4"/>
  <c r="AQ14" i="4"/>
  <c r="AS14" i="4"/>
  <c r="Y14" i="4"/>
  <c r="X14" i="4"/>
  <c r="N14" i="4"/>
  <c r="Y275" i="4"/>
  <c r="I275" i="4"/>
  <c r="AT234" i="4"/>
  <c r="I234" i="4"/>
  <c r="V234" i="4"/>
  <c r="I120" i="4"/>
  <c r="V120" i="4"/>
  <c r="H95" i="4"/>
  <c r="X95" i="4"/>
  <c r="AS95" i="4"/>
  <c r="Y95" i="4"/>
  <c r="I95" i="4"/>
  <c r="AS141" i="4"/>
  <c r="X141" i="4"/>
  <c r="Y141" i="4"/>
  <c r="G141" i="4"/>
  <c r="V94" i="4"/>
  <c r="Z94" i="4"/>
  <c r="W94" i="4"/>
  <c r="H94" i="4"/>
  <c r="Y94" i="4"/>
  <c r="N97" i="4"/>
  <c r="Y97" i="4"/>
  <c r="V97" i="4"/>
  <c r="AS97" i="4"/>
  <c r="X97" i="4"/>
  <c r="V376" i="4"/>
  <c r="I376" i="4"/>
  <c r="X47" i="4"/>
  <c r="N47" i="4"/>
  <c r="V47" i="4"/>
  <c r="W298" i="4"/>
  <c r="X298" i="4"/>
  <c r="L8" i="4"/>
  <c r="AT8" i="4"/>
  <c r="W40" i="4"/>
  <c r="X40" i="4"/>
  <c r="C2" i="4"/>
  <c r="U344" i="2" l="1"/>
  <c r="Q15" i="2"/>
  <c r="U146" i="2"/>
  <c r="Q174" i="2"/>
  <c r="Q287" i="2"/>
  <c r="Q236" i="2"/>
  <c r="U264" i="2"/>
  <c r="Q255" i="2"/>
  <c r="U381" i="2"/>
  <c r="U339" i="2"/>
  <c r="U231" i="2"/>
  <c r="Q119" i="2"/>
  <c r="U107" i="2"/>
  <c r="Q372" i="2"/>
  <c r="Q8" i="2"/>
  <c r="Q204" i="2"/>
  <c r="Q139" i="2"/>
  <c r="Q184" i="2"/>
  <c r="U120" i="2"/>
  <c r="U167" i="2"/>
  <c r="Q371" i="2"/>
  <c r="U193" i="2"/>
  <c r="U271" i="2"/>
  <c r="Q193" i="2"/>
  <c r="U141" i="2"/>
  <c r="Q44" i="2"/>
  <c r="U302" i="2"/>
  <c r="Q268" i="2"/>
  <c r="Q269" i="2"/>
  <c r="Q267" i="2"/>
  <c r="U63" i="2"/>
  <c r="U263" i="2"/>
  <c r="Q203" i="2"/>
  <c r="Q165" i="2"/>
  <c r="U49" i="2"/>
  <c r="Q291" i="2"/>
  <c r="U34" i="2"/>
  <c r="U105" i="2"/>
  <c r="U165" i="2"/>
  <c r="U182" i="2"/>
  <c r="Q124" i="2"/>
  <c r="Q56" i="2"/>
  <c r="U95" i="2"/>
  <c r="Q324" i="2"/>
  <c r="U170" i="2"/>
  <c r="U173" i="2"/>
  <c r="Q47" i="2"/>
  <c r="U45" i="2"/>
  <c r="U346" i="2"/>
  <c r="Q71" i="2"/>
  <c r="Q19" i="2"/>
  <c r="Q111" i="2"/>
  <c r="Q230" i="2"/>
  <c r="U152" i="2"/>
  <c r="Q130" i="2"/>
  <c r="U319" i="2"/>
  <c r="Q251" i="2"/>
  <c r="U267" i="2"/>
  <c r="U372" i="2"/>
  <c r="U98" i="2"/>
  <c r="U196" i="2"/>
  <c r="U244" i="2"/>
  <c r="Q28" i="2"/>
  <c r="U219" i="2"/>
  <c r="Q162" i="2"/>
  <c r="U87" i="2"/>
  <c r="Q297" i="2"/>
  <c r="U48" i="2"/>
  <c r="Q95" i="2"/>
  <c r="Q157" i="2"/>
  <c r="U23" i="2"/>
  <c r="U290" i="2"/>
  <c r="Q374" i="2"/>
  <c r="U66" i="2"/>
  <c r="U317" i="2"/>
  <c r="Q288" i="2"/>
  <c r="U335" i="2"/>
  <c r="Q229" i="2"/>
  <c r="U137" i="2"/>
  <c r="U358" i="2"/>
  <c r="Q376" i="2"/>
  <c r="Q40" i="2"/>
  <c r="U204" i="2"/>
  <c r="U301" i="2"/>
  <c r="Q145" i="2"/>
  <c r="Q295" i="2"/>
  <c r="Q84" i="2"/>
  <c r="Q216" i="2"/>
  <c r="U158" i="2"/>
  <c r="U310" i="2"/>
  <c r="U58" i="2"/>
  <c r="Q96" i="2"/>
  <c r="Q301" i="2"/>
  <c r="Q325" i="2"/>
  <c r="U14" i="2"/>
  <c r="U164" i="2"/>
  <c r="U282" i="2"/>
  <c r="Q357" i="2"/>
  <c r="U322" i="2"/>
  <c r="U133" i="2"/>
  <c r="U325" i="2"/>
  <c r="U46" i="2"/>
  <c r="Q39" i="2"/>
  <c r="U32" i="2"/>
  <c r="U139" i="2"/>
  <c r="U364" i="2"/>
  <c r="Q172" i="2"/>
  <c r="Q150" i="2"/>
  <c r="U149" i="2"/>
  <c r="Q24" i="2"/>
  <c r="Q108" i="2"/>
  <c r="Q252" i="2"/>
  <c r="Q244" i="2"/>
  <c r="U31" i="2"/>
  <c r="U306" i="2"/>
  <c r="Q182" i="2"/>
  <c r="U220" i="2"/>
  <c r="U334" i="2"/>
  <c r="Q243" i="2"/>
  <c r="U363" i="2"/>
  <c r="Q358" i="2"/>
  <c r="Q103" i="2"/>
  <c r="U347" i="2"/>
  <c r="Q163" i="2"/>
  <c r="Q290" i="2"/>
  <c r="U12" i="2"/>
  <c r="U13" i="2"/>
  <c r="U228" i="2"/>
  <c r="Q105" i="2"/>
  <c r="Q212" i="2"/>
  <c r="U94" i="2"/>
  <c r="U156" i="2"/>
  <c r="U90" i="2"/>
  <c r="Q156" i="2"/>
  <c r="U123" i="2"/>
  <c r="U76" i="2"/>
  <c r="Q73" i="2"/>
  <c r="Q38" i="2"/>
  <c r="Q30" i="2"/>
  <c r="U113" i="2"/>
  <c r="Q153" i="2"/>
  <c r="Q144" i="2"/>
  <c r="Q10" i="2"/>
  <c r="Q303" i="2"/>
  <c r="Q160" i="2"/>
  <c r="U222" i="2"/>
  <c r="Q298" i="2"/>
  <c r="U142" i="2"/>
  <c r="Q90" i="2"/>
  <c r="U362" i="2"/>
  <c r="Q272" i="2"/>
  <c r="U345" i="2"/>
  <c r="Q116" i="2"/>
  <c r="U27" i="2"/>
  <c r="Q9" i="2"/>
  <c r="U281" i="2"/>
  <c r="U60" i="2"/>
  <c r="Q126" i="2"/>
  <c r="U266" i="2"/>
  <c r="Q14" i="2"/>
  <c r="U74" i="2"/>
  <c r="Q260" i="2"/>
  <c r="U232" i="2"/>
  <c r="Q228" i="2"/>
  <c r="U230" i="2"/>
  <c r="Q321" i="2"/>
  <c r="Q43" i="2"/>
  <c r="U229" i="2"/>
  <c r="Q53" i="2"/>
  <c r="U83" i="2"/>
  <c r="Q59" i="2"/>
  <c r="U205" i="2"/>
  <c r="Q317" i="2"/>
  <c r="U103" i="2"/>
  <c r="U21" i="2"/>
  <c r="U245" i="2"/>
  <c r="Q263" i="2"/>
  <c r="Q99" i="2"/>
  <c r="U320" i="2"/>
  <c r="U135" i="2"/>
  <c r="Q378" i="2"/>
  <c r="Q88" i="2"/>
  <c r="U126" i="2"/>
  <c r="Q302" i="2"/>
  <c r="Q362" i="2"/>
  <c r="U348" i="2"/>
  <c r="Q110" i="2"/>
  <c r="Q89" i="2"/>
  <c r="Q207" i="2"/>
  <c r="U41" i="2"/>
  <c r="U287" i="2"/>
  <c r="U286" i="2"/>
  <c r="Q104" i="2"/>
  <c r="U160" i="2"/>
  <c r="Q68" i="2"/>
  <c r="U143" i="2"/>
  <c r="Q141" i="2"/>
  <c r="U150" i="2"/>
  <c r="Q277" i="2"/>
  <c r="Q286" i="2"/>
  <c r="U355" i="2"/>
  <c r="U235" i="2"/>
  <c r="Q240" i="2"/>
  <c r="U268" i="2"/>
  <c r="U239" i="2"/>
  <c r="Q309" i="2"/>
  <c r="Q137" i="2"/>
  <c r="U8" i="2"/>
  <c r="U247" i="2"/>
  <c r="Q225" i="2"/>
  <c r="U39" i="2"/>
  <c r="Q181" i="2"/>
  <c r="Q74" i="2"/>
  <c r="Q292" i="2"/>
  <c r="Q356" i="2"/>
  <c r="U253" i="2"/>
  <c r="U293" i="2"/>
  <c r="U153" i="2"/>
  <c r="Q121" i="2"/>
  <c r="Q112" i="2"/>
  <c r="U136" i="2"/>
  <c r="U361" i="2"/>
  <c r="U353" i="2"/>
  <c r="U236" i="2"/>
  <c r="U7" i="2"/>
  <c r="U313" i="2"/>
  <c r="Q133" i="2"/>
  <c r="U171" i="2"/>
  <c r="Q134" i="2"/>
  <c r="Q312" i="2"/>
  <c r="U289" i="2"/>
  <c r="Q142" i="2"/>
  <c r="Q125" i="2"/>
  <c r="U17" i="2"/>
  <c r="Q274" i="2"/>
  <c r="U311" i="2"/>
  <c r="U340" i="2"/>
  <c r="U22" i="2"/>
  <c r="U312" i="2"/>
  <c r="U209" i="2"/>
  <c r="Q50" i="2"/>
  <c r="Q307" i="2"/>
  <c r="Q201" i="2"/>
  <c r="Q360" i="2"/>
  <c r="Q154" i="2"/>
  <c r="U97" i="2"/>
  <c r="Q45" i="2"/>
  <c r="Q98" i="2"/>
  <c r="U191" i="2"/>
  <c r="Q310" i="2"/>
  <c r="U38" i="2"/>
  <c r="Q326" i="2"/>
  <c r="U15" i="2"/>
  <c r="U276" i="2"/>
  <c r="Q343" i="2"/>
  <c r="U321" i="2"/>
  <c r="Q115" i="2"/>
  <c r="U51" i="2"/>
  <c r="Q258" i="2"/>
  <c r="U121" i="2"/>
  <c r="Q194" i="2"/>
  <c r="U221" i="2"/>
  <c r="Q67" i="2"/>
  <c r="Q315" i="2"/>
  <c r="U280" i="2"/>
  <c r="Q196" i="2"/>
  <c r="U238" i="2"/>
  <c r="Q13" i="2"/>
  <c r="U354" i="2"/>
  <c r="Q319" i="2"/>
  <c r="U102" i="2"/>
  <c r="U168" i="2"/>
  <c r="Q167" i="2"/>
  <c r="Q70" i="2"/>
  <c r="U151" i="2"/>
  <c r="Q94" i="2"/>
  <c r="U144" i="2"/>
  <c r="Q354" i="2"/>
  <c r="Q329" i="2"/>
  <c r="U56" i="2"/>
  <c r="Q60" i="2"/>
  <c r="U250" i="2"/>
  <c r="Q85" i="2"/>
  <c r="U295" i="2"/>
  <c r="U213" i="2"/>
  <c r="Q117" i="2"/>
  <c r="Q170" i="2"/>
  <c r="U356" i="2"/>
  <c r="U214" i="2"/>
  <c r="U92" i="2"/>
  <c r="Q34" i="2"/>
  <c r="U125" i="2"/>
  <c r="Q217" i="2"/>
  <c r="U243" i="2"/>
  <c r="U162" i="2"/>
  <c r="Q31" i="2"/>
  <c r="U237" i="2"/>
  <c r="U71" i="2"/>
  <c r="Q46" i="2"/>
  <c r="Q93" i="2"/>
  <c r="Q151" i="2"/>
  <c r="U99" i="2"/>
  <c r="Q179" i="2"/>
  <c r="Q313" i="2"/>
  <c r="U212" i="2"/>
  <c r="U261" i="2"/>
  <c r="Q41" i="2"/>
  <c r="Q213" i="2"/>
  <c r="U82" i="2"/>
  <c r="Q136" i="2"/>
  <c r="U217" i="2"/>
  <c r="U326" i="2"/>
  <c r="U373" i="2"/>
  <c r="Q55" i="2"/>
  <c r="U19" i="2"/>
  <c r="Q253" i="2"/>
  <c r="U140" i="2"/>
  <c r="U163" i="2"/>
  <c r="U29" i="2"/>
  <c r="U298" i="2"/>
  <c r="Q347" i="2"/>
  <c r="U252" i="2"/>
  <c r="U61" i="2"/>
  <c r="Q7" i="2"/>
  <c r="Q256" i="2"/>
  <c r="U9" i="2"/>
  <c r="Q42" i="2"/>
  <c r="U338" i="2"/>
  <c r="Q171" i="2"/>
  <c r="Q65" i="2"/>
  <c r="U194" i="2"/>
  <c r="U273" i="2"/>
  <c r="U122" i="2"/>
  <c r="U190" i="2"/>
  <c r="U184" i="2"/>
  <c r="Q327" i="2"/>
  <c r="Q241" i="2"/>
  <c r="Q271" i="2"/>
  <c r="U177" i="2"/>
  <c r="U316" i="2"/>
  <c r="U304" i="2"/>
  <c r="Q21" i="2"/>
  <c r="U198" i="2"/>
  <c r="Q335" i="2"/>
  <c r="U249" i="2"/>
  <c r="Q351" i="2"/>
  <c r="U269" i="2"/>
  <c r="Q318" i="2"/>
  <c r="U315" i="2"/>
  <c r="Q215" i="2"/>
  <c r="U336" i="2"/>
  <c r="Q78" i="2"/>
  <c r="Q158" i="2"/>
  <c r="U207" i="2"/>
  <c r="Q127" i="2"/>
  <c r="U376" i="2"/>
  <c r="Q76" i="2"/>
  <c r="U75" i="2"/>
  <c r="Q320" i="2"/>
  <c r="U129" i="2"/>
  <c r="Q275" i="2"/>
  <c r="U35" i="2"/>
  <c r="U350" i="2"/>
  <c r="Q261" i="2"/>
  <c r="U50" i="2"/>
  <c r="Q36" i="2"/>
  <c r="U218" i="2"/>
  <c r="Q349" i="2"/>
  <c r="U187" i="2"/>
  <c r="Q250" i="2"/>
  <c r="U109" i="2"/>
  <c r="Q242" i="2"/>
  <c r="U234" i="2"/>
  <c r="Q146" i="2"/>
  <c r="U69" i="2"/>
  <c r="Q155" i="2"/>
  <c r="U47" i="2"/>
  <c r="Q54" i="2"/>
  <c r="Q180" i="2"/>
  <c r="U211" i="2"/>
  <c r="U199" i="2"/>
  <c r="Q18" i="2"/>
  <c r="U169" i="2"/>
  <c r="Q373" i="2"/>
  <c r="Q316" i="2"/>
  <c r="U296" i="2"/>
  <c r="Q75" i="2"/>
  <c r="U368" i="2"/>
  <c r="Q17" i="2"/>
  <c r="Q187" i="2"/>
  <c r="U365" i="2"/>
  <c r="Q140" i="2"/>
  <c r="U77" i="2"/>
  <c r="Q340" i="2"/>
  <c r="Q368" i="2"/>
  <c r="Q149" i="2"/>
  <c r="U65" i="2"/>
  <c r="Q189" i="2"/>
  <c r="Q363" i="2"/>
  <c r="Q359" i="2"/>
  <c r="Q80" i="2"/>
  <c r="Q57" i="2"/>
  <c r="U131" i="2"/>
  <c r="U343" i="2"/>
  <c r="U180" i="2"/>
  <c r="Q92" i="2"/>
  <c r="U93" i="2"/>
  <c r="Q101" i="2"/>
  <c r="Q221" i="2"/>
  <c r="Q311" i="2"/>
  <c r="Q202" i="2"/>
  <c r="U186" i="2"/>
  <c r="U84" i="2"/>
  <c r="U175" i="2"/>
  <c r="U349" i="2"/>
  <c r="U369" i="2"/>
  <c r="U240" i="2"/>
  <c r="U28" i="2"/>
  <c r="Q279" i="2"/>
  <c r="U341" i="2"/>
  <c r="Q346" i="2"/>
  <c r="Q192" i="2"/>
  <c r="U89" i="2"/>
  <c r="U174" i="2"/>
  <c r="Q345" i="2"/>
  <c r="Q245" i="2"/>
  <c r="Q135" i="2"/>
  <c r="U44" i="2"/>
  <c r="Q22" i="2"/>
  <c r="Q339" i="2"/>
  <c r="Q280" i="2"/>
  <c r="Q270" i="2"/>
  <c r="Q375" i="2"/>
  <c r="U274" i="2"/>
  <c r="U208" i="2"/>
  <c r="U332" i="2"/>
  <c r="Q161" i="2"/>
  <c r="Q330" i="2"/>
  <c r="U224" i="2"/>
  <c r="Q166" i="2"/>
  <c r="Q107" i="2"/>
  <c r="U73" i="2"/>
  <c r="U119" i="2"/>
  <c r="Q176" i="2"/>
  <c r="Q87" i="2"/>
  <c r="U111" i="2"/>
  <c r="Q365" i="2"/>
  <c r="U288" i="2"/>
  <c r="Q226" i="2"/>
  <c r="U371" i="2"/>
  <c r="Q211" i="2"/>
  <c r="U112" i="2"/>
  <c r="Q20" i="2"/>
  <c r="U299" i="2"/>
  <c r="Q282" i="2"/>
  <c r="U33" i="2"/>
  <c r="U88" i="2"/>
  <c r="Q314" i="2"/>
  <c r="U256" i="2"/>
  <c r="Q159" i="2"/>
  <c r="U257" i="2"/>
  <c r="Q234" i="2"/>
  <c r="U329" i="2"/>
  <c r="Q23" i="2"/>
  <c r="U52" i="2"/>
  <c r="Q102" i="2"/>
  <c r="U138" i="2"/>
  <c r="Q273" i="2"/>
  <c r="U242" i="2"/>
  <c r="Q122" i="2"/>
  <c r="U114" i="2"/>
  <c r="Q350" i="2"/>
  <c r="U159" i="2"/>
  <c r="Q64" i="2"/>
  <c r="Q210" i="2"/>
  <c r="Q97" i="2"/>
  <c r="U40" i="2"/>
  <c r="Q334" i="2"/>
  <c r="Q239" i="2"/>
  <c r="Q183" i="2"/>
  <c r="U309" i="2"/>
  <c r="Q205" i="2"/>
  <c r="Q328" i="2"/>
  <c r="U130" i="2"/>
  <c r="U201" i="2"/>
  <c r="Q173" i="2"/>
  <c r="Q109" i="2"/>
  <c r="U79" i="2"/>
  <c r="Q191" i="2"/>
  <c r="Q276" i="2"/>
  <c r="Q232" i="2"/>
  <c r="U379" i="2"/>
  <c r="U259" i="2"/>
  <c r="Q169" i="2"/>
  <c r="Q238" i="2"/>
  <c r="Q296" i="2"/>
  <c r="U200" i="2"/>
  <c r="U147" i="2"/>
  <c r="Q379" i="2"/>
  <c r="Q52" i="2"/>
  <c r="U178" i="2"/>
  <c r="U189" i="2"/>
  <c r="U176" i="2"/>
  <c r="U225" i="2"/>
  <c r="U57" i="2"/>
  <c r="Q48" i="2"/>
  <c r="U26" i="2"/>
  <c r="Q227" i="2"/>
  <c r="U195" i="2"/>
  <c r="Q123" i="2"/>
  <c r="Q289" i="2"/>
  <c r="Q235" i="2"/>
  <c r="Q185" i="2"/>
  <c r="U360" i="2"/>
  <c r="Q377" i="2"/>
  <c r="U157" i="2"/>
  <c r="Q285" i="2"/>
  <c r="Q33" i="2"/>
  <c r="Q308" i="2"/>
  <c r="Q247" i="2"/>
  <c r="U36" i="2"/>
  <c r="Q61" i="2"/>
  <c r="U277" i="2"/>
  <c r="Q364" i="2"/>
  <c r="Q63" i="2"/>
  <c r="Q222" i="2"/>
  <c r="U106" i="2"/>
  <c r="U275" i="2"/>
  <c r="U70" i="2"/>
  <c r="Q257" i="2"/>
  <c r="U318" i="2"/>
  <c r="U284" i="2"/>
  <c r="Q208" i="2"/>
  <c r="Q361" i="2"/>
  <c r="Q118" i="2"/>
  <c r="U115" i="2"/>
  <c r="U185" i="2"/>
  <c r="Q114" i="2"/>
  <c r="U43" i="2"/>
  <c r="Q168" i="2"/>
  <c r="U53" i="2"/>
  <c r="Q113" i="2"/>
  <c r="U59" i="2"/>
  <c r="Q128" i="2"/>
  <c r="U270" i="2"/>
  <c r="Q233" i="2"/>
  <c r="U223" i="2"/>
  <c r="Q197" i="2"/>
  <c r="U161" i="2"/>
  <c r="Q352" i="2"/>
  <c r="U203" i="2"/>
  <c r="Q29" i="2"/>
  <c r="U380" i="2"/>
  <c r="Q264" i="2"/>
  <c r="U64" i="2"/>
  <c r="Q206" i="2"/>
  <c r="U337" i="2"/>
  <c r="Q355" i="2"/>
  <c r="U188" i="2"/>
  <c r="Q152" i="2"/>
  <c r="Q304" i="2"/>
  <c r="U108" i="2"/>
  <c r="Q198" i="2"/>
  <c r="U265" i="2"/>
  <c r="Q249" i="2"/>
  <c r="U124" i="2"/>
  <c r="Q138" i="2"/>
  <c r="U314" i="2"/>
  <c r="Q380" i="2"/>
  <c r="U351" i="2"/>
  <c r="Q294" i="2"/>
  <c r="Q66" i="2"/>
  <c r="U104" i="2"/>
  <c r="Q16" i="2"/>
  <c r="U68" i="2"/>
  <c r="Q83" i="2"/>
  <c r="U260" i="2"/>
  <c r="Q367" i="2"/>
  <c r="U20" i="2"/>
  <c r="U145" i="2"/>
  <c r="Q177" i="2"/>
  <c r="U154" i="2"/>
  <c r="Q69" i="2"/>
  <c r="Q129" i="2"/>
  <c r="U132" i="2"/>
  <c r="Q51" i="2"/>
  <c r="U342" i="2"/>
  <c r="Q79" i="2"/>
  <c r="U85" i="2"/>
  <c r="Q58" i="2"/>
  <c r="U206" i="2"/>
  <c r="U291" i="2"/>
  <c r="Q132" i="2"/>
  <c r="Q322" i="2"/>
  <c r="Q164" i="2"/>
  <c r="U54" i="2"/>
  <c r="Q199" i="2"/>
  <c r="U333" i="2"/>
  <c r="U292" i="2"/>
  <c r="Q175" i="2"/>
  <c r="U86" i="2"/>
  <c r="U183" i="2"/>
  <c r="U255" i="2"/>
  <c r="Q219" i="2"/>
  <c r="Q341" i="2"/>
  <c r="U24" i="2"/>
  <c r="U378" i="2"/>
  <c r="Q214" i="2"/>
  <c r="U18" i="2"/>
  <c r="Q25" i="2"/>
  <c r="U278" i="2"/>
  <c r="U246" i="2"/>
  <c r="U166" i="2"/>
  <c r="U285" i="2"/>
  <c r="U297" i="2"/>
  <c r="U251" i="2"/>
  <c r="U155" i="2"/>
  <c r="Q62" i="2"/>
  <c r="Q305" i="2"/>
  <c r="Q82" i="2"/>
  <c r="G166" i="2"/>
  <c r="M166" i="2" s="1"/>
  <c r="N166" i="2" s="1"/>
  <c r="I166" i="2"/>
  <c r="Q246" i="2"/>
  <c r="Q281" i="2"/>
  <c r="Q262" i="2"/>
  <c r="Q86" i="2"/>
  <c r="G330" i="2"/>
  <c r="M330" i="2" s="1"/>
  <c r="N330" i="2" s="1"/>
  <c r="I330" i="2"/>
  <c r="Q223" i="2"/>
  <c r="Q323" i="2"/>
  <c r="Q366" i="2"/>
  <c r="U42" i="2"/>
  <c r="U294" i="2"/>
  <c r="Q12" i="2"/>
  <c r="Q131" i="2"/>
  <c r="Q248" i="2"/>
  <c r="U30" i="2"/>
  <c r="U226" i="2"/>
  <c r="Q348" i="2"/>
  <c r="U202" i="2"/>
  <c r="Q237" i="2"/>
  <c r="U262" i="2"/>
  <c r="Q369" i="2"/>
  <c r="U300" i="2"/>
  <c r="U330" i="2"/>
  <c r="Q147" i="2"/>
  <c r="U55" i="2"/>
  <c r="Q188" i="2"/>
  <c r="U67" i="2"/>
  <c r="Q91" i="2"/>
  <c r="U96" i="2"/>
  <c r="U374" i="2"/>
  <c r="N1" i="4"/>
  <c r="N2" i="4" s="1"/>
  <c r="J1" i="4"/>
  <c r="L1" i="4" s="1"/>
  <c r="L2" i="4" s="1"/>
  <c r="G52" i="2"/>
  <c r="M52" i="2" s="1"/>
  <c r="N52" i="2" s="1"/>
  <c r="I52" i="2"/>
  <c r="Q333" i="2"/>
  <c r="U25" i="2"/>
  <c r="U101" i="2"/>
  <c r="Q200" i="2"/>
  <c r="U327" i="2"/>
  <c r="Q178" i="2"/>
  <c r="U16" i="2"/>
  <c r="Q195" i="2"/>
  <c r="Q224" i="2"/>
  <c r="U215" i="2"/>
  <c r="U377" i="2"/>
  <c r="U148" i="2"/>
  <c r="U233" i="2"/>
  <c r="Q338" i="2"/>
  <c r="U254" i="2"/>
  <c r="Q27" i="2"/>
  <c r="U308" i="2"/>
  <c r="Q231" i="2"/>
  <c r="U210" i="2"/>
  <c r="U359" i="2"/>
  <c r="Q283" i="2"/>
  <c r="U118" i="2"/>
  <c r="U307" i="2"/>
  <c r="U248" i="2"/>
  <c r="U324" i="2"/>
  <c r="U241" i="2"/>
  <c r="U127" i="2"/>
  <c r="U279" i="2"/>
  <c r="U328" i="2"/>
  <c r="Q190" i="2"/>
  <c r="Q370" i="2"/>
  <c r="U37" i="2"/>
  <c r="U197" i="2"/>
  <c r="Q218" i="2"/>
  <c r="Q278" i="2"/>
  <c r="U331" i="2"/>
  <c r="Q293" i="2"/>
  <c r="Q342" i="2"/>
  <c r="U128" i="2"/>
  <c r="Q209" i="2"/>
  <c r="U216" i="2"/>
  <c r="Q35" i="2"/>
  <c r="U117" i="2"/>
  <c r="U80" i="2"/>
  <c r="Q336" i="2"/>
  <c r="U303" i="2"/>
  <c r="G92" i="2"/>
  <c r="M92" i="2" s="1"/>
  <c r="N92" i="2" s="1"/>
  <c r="I92" i="2"/>
  <c r="I350" i="2"/>
  <c r="G350" i="2"/>
  <c r="M350" i="2" s="1"/>
  <c r="N350" i="2" s="1"/>
  <c r="U72" i="2"/>
  <c r="I65" i="2"/>
  <c r="G65" i="2"/>
  <c r="M65" i="2" s="1"/>
  <c r="N65" i="2" s="1"/>
  <c r="G361" i="2"/>
  <c r="M361" i="2" s="1"/>
  <c r="N361" i="2" s="1"/>
  <c r="I361" i="2"/>
  <c r="G257" i="2"/>
  <c r="M257" i="2" s="1"/>
  <c r="N257" i="2" s="1"/>
  <c r="I257" i="2"/>
  <c r="Q332" i="2"/>
  <c r="G214" i="2"/>
  <c r="M214" i="2" s="1"/>
  <c r="N214" i="2" s="1"/>
  <c r="I214" i="2"/>
  <c r="I44" i="2"/>
  <c r="G44" i="2"/>
  <c r="M44" i="2" s="1"/>
  <c r="N44" i="2" s="1"/>
  <c r="U100" i="2"/>
  <c r="G208" i="2"/>
  <c r="M208" i="2" s="1"/>
  <c r="N208" i="2" s="1"/>
  <c r="I208" i="2"/>
  <c r="I88" i="2"/>
  <c r="G88" i="2"/>
  <c r="M88" i="2" s="1"/>
  <c r="N88" i="2" s="1"/>
  <c r="G82" i="2"/>
  <c r="M82" i="2" s="1"/>
  <c r="N82" i="2" s="1"/>
  <c r="I82" i="2"/>
  <c r="I218" i="2"/>
  <c r="G218" i="2"/>
  <c r="M218" i="2" s="1"/>
  <c r="N218" i="2" s="1"/>
  <c r="I268" i="2"/>
  <c r="G268" i="2"/>
  <c r="M268" i="2" s="1"/>
  <c r="N268" i="2" s="1"/>
  <c r="U272" i="2"/>
  <c r="I307" i="2"/>
  <c r="G307" i="2"/>
  <c r="M307" i="2" s="1"/>
  <c r="N307" i="2" s="1"/>
  <c r="I118" i="2"/>
  <c r="G118" i="2"/>
  <c r="M118" i="2" s="1"/>
  <c r="N118" i="2" s="1"/>
  <c r="G360" i="2"/>
  <c r="M360" i="2" s="1"/>
  <c r="N360" i="2" s="1"/>
  <c r="I360" i="2"/>
  <c r="U357" i="2"/>
  <c r="I238" i="2"/>
  <c r="G238" i="2"/>
  <c r="M238" i="2" s="1"/>
  <c r="N238" i="2" s="1"/>
  <c r="G117" i="2"/>
  <c r="M117" i="2" s="1"/>
  <c r="N117" i="2" s="1"/>
  <c r="I117" i="2"/>
  <c r="I50" i="2"/>
  <c r="G50" i="2"/>
  <c r="M50" i="2" s="1"/>
  <c r="N50" i="2" s="1"/>
  <c r="G290" i="2"/>
  <c r="M290" i="2" s="1"/>
  <c r="N290" i="2" s="1"/>
  <c r="I290" i="2"/>
  <c r="I9" i="2"/>
  <c r="G9" i="2"/>
  <c r="M9" i="2" s="1"/>
  <c r="N9" i="2" s="1"/>
  <c r="G116" i="2"/>
  <c r="M116" i="2" s="1"/>
  <c r="N116" i="2" s="1"/>
  <c r="I116" i="2"/>
  <c r="G272" i="2"/>
  <c r="M272" i="2" s="1"/>
  <c r="N272" i="2" s="1"/>
  <c r="I272" i="2"/>
  <c r="G90" i="2"/>
  <c r="M90" i="2" s="1"/>
  <c r="N90" i="2" s="1"/>
  <c r="I90" i="2"/>
  <c r="G298" i="2"/>
  <c r="M298" i="2" s="1"/>
  <c r="N298" i="2" s="1"/>
  <c r="I298" i="2"/>
  <c r="G160" i="2"/>
  <c r="M160" i="2" s="1"/>
  <c r="N160" i="2" s="1"/>
  <c r="I160" i="2"/>
  <c r="Q26" i="2"/>
  <c r="I313" i="2"/>
  <c r="G313" i="2"/>
  <c r="M313" i="2" s="1"/>
  <c r="N313" i="2" s="1"/>
  <c r="G149" i="2"/>
  <c r="M149" i="2" s="1"/>
  <c r="N149" i="2" s="1"/>
  <c r="I149" i="2"/>
  <c r="G302" i="2"/>
  <c r="M302" i="2" s="1"/>
  <c r="N302" i="2" s="1"/>
  <c r="I302" i="2"/>
  <c r="G220" i="2"/>
  <c r="M220" i="2" s="1"/>
  <c r="N220" i="2" s="1"/>
  <c r="I220" i="2"/>
  <c r="U258" i="2"/>
  <c r="I282" i="2"/>
  <c r="G282" i="2"/>
  <c r="M282" i="2" s="1"/>
  <c r="N282" i="2" s="1"/>
  <c r="G20" i="2"/>
  <c r="M20" i="2" s="1"/>
  <c r="N20" i="2" s="1"/>
  <c r="I20" i="2"/>
  <c r="G211" i="2"/>
  <c r="M211" i="2" s="1"/>
  <c r="N211" i="2" s="1"/>
  <c r="I211" i="2"/>
  <c r="G226" i="2"/>
  <c r="M226" i="2" s="1"/>
  <c r="N226" i="2" s="1"/>
  <c r="I226" i="2"/>
  <c r="G365" i="2"/>
  <c r="M365" i="2" s="1"/>
  <c r="N365" i="2" s="1"/>
  <c r="I365" i="2"/>
  <c r="G87" i="2"/>
  <c r="M87" i="2" s="1"/>
  <c r="N87" i="2" s="1"/>
  <c r="I87" i="2"/>
  <c r="Q81" i="2"/>
  <c r="Q254" i="2"/>
  <c r="I375" i="2"/>
  <c r="G375" i="2"/>
  <c r="M375" i="2" s="1"/>
  <c r="N375" i="2" s="1"/>
  <c r="I56" i="2"/>
  <c r="G56" i="2"/>
  <c r="M56" i="2" s="1"/>
  <c r="N56" i="2" s="1"/>
  <c r="I245" i="2"/>
  <c r="G245" i="2"/>
  <c r="M245" i="2" s="1"/>
  <c r="N245" i="2" s="1"/>
  <c r="I345" i="2"/>
  <c r="G345" i="2"/>
  <c r="M345" i="2" s="1"/>
  <c r="N345" i="2" s="1"/>
  <c r="I374" i="2"/>
  <c r="G374" i="2"/>
  <c r="M374" i="2" s="1"/>
  <c r="N374" i="2" s="1"/>
  <c r="I193" i="2"/>
  <c r="G193" i="2"/>
  <c r="M193" i="2" s="1"/>
  <c r="N193" i="2" s="1"/>
  <c r="G325" i="2"/>
  <c r="M325" i="2" s="1"/>
  <c r="N325" i="2" s="1"/>
  <c r="I325" i="2"/>
  <c r="G39" i="2"/>
  <c r="M39" i="2" s="1"/>
  <c r="N39" i="2" s="1"/>
  <c r="I39" i="2"/>
  <c r="G182" i="2"/>
  <c r="M182" i="2" s="1"/>
  <c r="N182" i="2" s="1"/>
  <c r="I182" i="2"/>
  <c r="G19" i="2"/>
  <c r="M19" i="2" s="1"/>
  <c r="N19" i="2" s="1"/>
  <c r="I19" i="2"/>
  <c r="U375" i="2"/>
  <c r="U11" i="2"/>
  <c r="I26" i="2"/>
  <c r="G26" i="2"/>
  <c r="M26" i="2" s="1"/>
  <c r="N26" i="2" s="1"/>
  <c r="G329" i="2"/>
  <c r="M329" i="2" s="1"/>
  <c r="N329" i="2" s="1"/>
  <c r="I329" i="2"/>
  <c r="G256" i="2"/>
  <c r="M256" i="2" s="1"/>
  <c r="N256" i="2" s="1"/>
  <c r="I256" i="2"/>
  <c r="G348" i="2"/>
  <c r="M348" i="2" s="1"/>
  <c r="N348" i="2" s="1"/>
  <c r="I348" i="2"/>
  <c r="G81" i="2"/>
  <c r="M81" i="2" s="1"/>
  <c r="N81" i="2" s="1"/>
  <c r="I81" i="2"/>
  <c r="G353" i="2"/>
  <c r="M353" i="2" s="1"/>
  <c r="N353" i="2" s="1"/>
  <c r="I353" i="2"/>
  <c r="I262" i="2"/>
  <c r="G262" i="2"/>
  <c r="M262" i="2" s="1"/>
  <c r="N262" i="2" s="1"/>
  <c r="G205" i="2"/>
  <c r="M205" i="2" s="1"/>
  <c r="N205" i="2" s="1"/>
  <c r="I205" i="2"/>
  <c r="I83" i="2"/>
  <c r="G83" i="2"/>
  <c r="M83" i="2" s="1"/>
  <c r="N83" i="2" s="1"/>
  <c r="I229" i="2"/>
  <c r="G229" i="2"/>
  <c r="M229" i="2" s="1"/>
  <c r="N229" i="2" s="1"/>
  <c r="I377" i="2"/>
  <c r="G377" i="2"/>
  <c r="M377" i="2" s="1"/>
  <c r="N377" i="2" s="1"/>
  <c r="I209" i="2"/>
  <c r="G209" i="2"/>
  <c r="M209" i="2" s="1"/>
  <c r="N209" i="2" s="1"/>
  <c r="I151" i="2"/>
  <c r="G151" i="2"/>
  <c r="M151" i="2" s="1"/>
  <c r="N151" i="2" s="1"/>
  <c r="G371" i="2"/>
  <c r="M371" i="2" s="1"/>
  <c r="N371" i="2" s="1"/>
  <c r="I371" i="2"/>
  <c r="I78" i="2"/>
  <c r="G78" i="2"/>
  <c r="M78" i="2" s="1"/>
  <c r="N78" i="2" s="1"/>
  <c r="G215" i="2"/>
  <c r="M215" i="2" s="1"/>
  <c r="N215" i="2" s="1"/>
  <c r="I215" i="2"/>
  <c r="G318" i="2"/>
  <c r="M318" i="2" s="1"/>
  <c r="N318" i="2" s="1"/>
  <c r="I318" i="2"/>
  <c r="G351" i="2"/>
  <c r="M351" i="2" s="1"/>
  <c r="N351" i="2" s="1"/>
  <c r="I351" i="2"/>
  <c r="G335" i="2"/>
  <c r="M335" i="2" s="1"/>
  <c r="N335" i="2" s="1"/>
  <c r="I335" i="2"/>
  <c r="G21" i="2"/>
  <c r="M21" i="2" s="1"/>
  <c r="N21" i="2" s="1"/>
  <c r="I21" i="2"/>
  <c r="I322" i="2"/>
  <c r="G322" i="2"/>
  <c r="M322" i="2" s="1"/>
  <c r="N322" i="2" s="1"/>
  <c r="G347" i="2"/>
  <c r="M347" i="2" s="1"/>
  <c r="N347" i="2" s="1"/>
  <c r="I347" i="2"/>
  <c r="G105" i="2"/>
  <c r="M105" i="2" s="1"/>
  <c r="N105" i="2" s="1"/>
  <c r="I105" i="2"/>
  <c r="G338" i="2"/>
  <c r="M338" i="2" s="1"/>
  <c r="N338" i="2" s="1"/>
  <c r="I338" i="2"/>
  <c r="U283" i="2"/>
  <c r="Q344" i="2"/>
  <c r="I172" i="2"/>
  <c r="G172" i="2"/>
  <c r="M172" i="2" s="1"/>
  <c r="N172" i="2" s="1"/>
  <c r="G358" i="2"/>
  <c r="M358" i="2" s="1"/>
  <c r="N358" i="2" s="1"/>
  <c r="I358" i="2"/>
  <c r="G130" i="2"/>
  <c r="M130" i="2" s="1"/>
  <c r="N130" i="2" s="1"/>
  <c r="I130" i="2"/>
  <c r="G357" i="2"/>
  <c r="M357" i="2" s="1"/>
  <c r="N357" i="2" s="1"/>
  <c r="I357" i="2"/>
  <c r="G297" i="2"/>
  <c r="M297" i="2" s="1"/>
  <c r="N297" i="2" s="1"/>
  <c r="I297" i="2"/>
  <c r="G243" i="2"/>
  <c r="M243" i="2" s="1"/>
  <c r="N243" i="2" s="1"/>
  <c r="I243" i="2"/>
  <c r="U172" i="2"/>
  <c r="Q331" i="2"/>
  <c r="I178" i="2"/>
  <c r="G178" i="2"/>
  <c r="M178" i="2" s="1"/>
  <c r="N178" i="2" s="1"/>
  <c r="I267" i="2"/>
  <c r="G267" i="2"/>
  <c r="M267" i="2" s="1"/>
  <c r="N267" i="2" s="1"/>
  <c r="I196" i="2"/>
  <c r="G196" i="2"/>
  <c r="M196" i="2" s="1"/>
  <c r="N196" i="2" s="1"/>
  <c r="Q299" i="2"/>
  <c r="G36" i="2"/>
  <c r="M36" i="2" s="1"/>
  <c r="N36" i="2" s="1"/>
  <c r="I36" i="2"/>
  <c r="G80" i="2"/>
  <c r="M80" i="2" s="1"/>
  <c r="N80" i="2" s="1"/>
  <c r="I80" i="2"/>
  <c r="G161" i="2"/>
  <c r="M161" i="2" s="1"/>
  <c r="N161" i="2" s="1"/>
  <c r="I161" i="2"/>
  <c r="G131" i="2"/>
  <c r="M131" i="2" s="1"/>
  <c r="N131" i="2" s="1"/>
  <c r="I131" i="2"/>
  <c r="G190" i="2"/>
  <c r="M190" i="2" s="1"/>
  <c r="N190" i="2" s="1"/>
  <c r="I190" i="2"/>
  <c r="G269" i="2"/>
  <c r="M269" i="2" s="1"/>
  <c r="N269" i="2" s="1"/>
  <c r="I269" i="2"/>
  <c r="G137" i="2"/>
  <c r="M137" i="2" s="1"/>
  <c r="N137" i="2" s="1"/>
  <c r="I137" i="2"/>
  <c r="G310" i="2"/>
  <c r="M310" i="2" s="1"/>
  <c r="N310" i="2" s="1"/>
  <c r="I310" i="2"/>
  <c r="G54" i="2"/>
  <c r="M54" i="2" s="1"/>
  <c r="N54" i="2" s="1"/>
  <c r="I54" i="2"/>
  <c r="G53" i="2"/>
  <c r="M53" i="2" s="1"/>
  <c r="N53" i="2" s="1"/>
  <c r="I53" i="2"/>
  <c r="I187" i="2"/>
  <c r="G187" i="2"/>
  <c r="M187" i="2" s="1"/>
  <c r="N187" i="2" s="1"/>
  <c r="I30" i="2"/>
  <c r="G30" i="2"/>
  <c r="M30" i="2" s="1"/>
  <c r="N30" i="2" s="1"/>
  <c r="I155" i="2"/>
  <c r="G155" i="2"/>
  <c r="M155" i="2" s="1"/>
  <c r="N155" i="2" s="1"/>
  <c r="I55" i="2"/>
  <c r="G55" i="2"/>
  <c r="M55" i="2" s="1"/>
  <c r="N55" i="2" s="1"/>
  <c r="I99" i="2"/>
  <c r="G99" i="2"/>
  <c r="M99" i="2" s="1"/>
  <c r="N99" i="2" s="1"/>
  <c r="I316" i="2"/>
  <c r="G316" i="2"/>
  <c r="M316" i="2" s="1"/>
  <c r="N316" i="2" s="1"/>
  <c r="I109" i="2"/>
  <c r="G109" i="2"/>
  <c r="M109" i="2" s="1"/>
  <c r="N109" i="2" s="1"/>
  <c r="G284" i="2"/>
  <c r="M284" i="2" s="1"/>
  <c r="N284" i="2" s="1"/>
  <c r="I284" i="2"/>
  <c r="I321" i="2"/>
  <c r="G321" i="2"/>
  <c r="M321" i="2" s="1"/>
  <c r="N321" i="2" s="1"/>
  <c r="I228" i="2"/>
  <c r="G228" i="2"/>
  <c r="M228" i="2" s="1"/>
  <c r="N228" i="2" s="1"/>
  <c r="I260" i="2"/>
  <c r="G260" i="2"/>
  <c r="M260" i="2" s="1"/>
  <c r="N260" i="2" s="1"/>
  <c r="G14" i="2"/>
  <c r="M14" i="2" s="1"/>
  <c r="N14" i="2" s="1"/>
  <c r="I14" i="2"/>
  <c r="G126" i="2"/>
  <c r="M126" i="2" s="1"/>
  <c r="N126" i="2" s="1"/>
  <c r="I126" i="2"/>
  <c r="Q120" i="2"/>
  <c r="U134" i="2"/>
  <c r="I42" i="2"/>
  <c r="G42" i="2"/>
  <c r="M42" i="2" s="1"/>
  <c r="N42" i="2" s="1"/>
  <c r="I300" i="2"/>
  <c r="G300" i="2"/>
  <c r="M300" i="2" s="1"/>
  <c r="N300" i="2" s="1"/>
  <c r="G188" i="2"/>
  <c r="M188" i="2" s="1"/>
  <c r="N188" i="2" s="1"/>
  <c r="I188" i="2"/>
  <c r="G217" i="2"/>
  <c r="M217" i="2" s="1"/>
  <c r="N217" i="2" s="1"/>
  <c r="I217" i="2"/>
  <c r="G337" i="2"/>
  <c r="M337" i="2" s="1"/>
  <c r="I337" i="2"/>
  <c r="G289" i="2"/>
  <c r="M289" i="2" s="1"/>
  <c r="N289" i="2" s="1"/>
  <c r="I289" i="2"/>
  <c r="G64" i="2"/>
  <c r="M64" i="2" s="1"/>
  <c r="N64" i="2" s="1"/>
  <c r="I64" i="2"/>
  <c r="G277" i="2"/>
  <c r="M277" i="2" s="1"/>
  <c r="N277" i="2" s="1"/>
  <c r="I277" i="2"/>
  <c r="G380" i="2"/>
  <c r="M380" i="2" s="1"/>
  <c r="N380" i="2" s="1"/>
  <c r="I380" i="2"/>
  <c r="G28" i="2"/>
  <c r="M28" i="2" s="1"/>
  <c r="N28" i="2" s="1"/>
  <c r="I28" i="2"/>
  <c r="G203" i="2"/>
  <c r="M203" i="2" s="1"/>
  <c r="N203" i="2" s="1"/>
  <c r="I203" i="2"/>
  <c r="I240" i="2"/>
  <c r="G240" i="2"/>
  <c r="M240" i="2" s="1"/>
  <c r="N240" i="2" s="1"/>
  <c r="U227" i="2"/>
  <c r="I306" i="2"/>
  <c r="G306" i="2"/>
  <c r="M306" i="2" s="1"/>
  <c r="N306" i="2" s="1"/>
  <c r="G184" i="2"/>
  <c r="M184" i="2" s="1"/>
  <c r="N184" i="2" s="1"/>
  <c r="I184" i="2"/>
  <c r="I315" i="2"/>
  <c r="G315" i="2"/>
  <c r="M315" i="2" s="1"/>
  <c r="N315" i="2" s="1"/>
  <c r="G244" i="2"/>
  <c r="M244" i="2" s="1"/>
  <c r="N244" i="2" s="1"/>
  <c r="I244" i="2"/>
  <c r="G363" i="2"/>
  <c r="M363" i="2" s="1"/>
  <c r="N363" i="2" s="1"/>
  <c r="I363" i="2"/>
  <c r="G194" i="2"/>
  <c r="M194" i="2" s="1"/>
  <c r="N194" i="2" s="1"/>
  <c r="I194" i="2"/>
  <c r="G59" i="2"/>
  <c r="M59" i="2" s="1"/>
  <c r="N59" i="2" s="1"/>
  <c r="I59" i="2"/>
  <c r="G192" i="2"/>
  <c r="M192" i="2" s="1"/>
  <c r="N192" i="2" s="1"/>
  <c r="I192" i="2"/>
  <c r="G273" i="2"/>
  <c r="M273" i="2" s="1"/>
  <c r="N273" i="2" s="1"/>
  <c r="I273" i="2"/>
  <c r="I304" i="2"/>
  <c r="G304" i="2"/>
  <c r="M304" i="2" s="1"/>
  <c r="N304" i="2" s="1"/>
  <c r="G86" i="2"/>
  <c r="M86" i="2" s="1"/>
  <c r="N86" i="2" s="1"/>
  <c r="I86" i="2"/>
  <c r="G17" i="2"/>
  <c r="M17" i="2" s="1"/>
  <c r="N17" i="2" s="1"/>
  <c r="I17" i="2"/>
  <c r="G135" i="2"/>
  <c r="M135" i="2" s="1"/>
  <c r="N135" i="2" s="1"/>
  <c r="I135" i="2"/>
  <c r="G180" i="2"/>
  <c r="M180" i="2" s="1"/>
  <c r="N180" i="2" s="1"/>
  <c r="I180" i="2"/>
  <c r="G183" i="2"/>
  <c r="M183" i="2" s="1"/>
  <c r="N183" i="2" s="1"/>
  <c r="I183" i="2"/>
  <c r="G16" i="2"/>
  <c r="M16" i="2" s="1"/>
  <c r="N16" i="2" s="1"/>
  <c r="I16" i="2"/>
  <c r="U305" i="2"/>
  <c r="G181" i="2"/>
  <c r="M181" i="2" s="1"/>
  <c r="N181" i="2" s="1"/>
  <c r="I181" i="2"/>
  <c r="G93" i="2"/>
  <c r="M93" i="2" s="1"/>
  <c r="N93" i="2" s="1"/>
  <c r="I93" i="2"/>
  <c r="G110" i="2"/>
  <c r="M110" i="2" s="1"/>
  <c r="N110" i="2" s="1"/>
  <c r="I110" i="2"/>
  <c r="G162" i="2"/>
  <c r="M162" i="2" s="1"/>
  <c r="N162" i="2" s="1"/>
  <c r="I162" i="2"/>
  <c r="I367" i="2"/>
  <c r="G367" i="2"/>
  <c r="M367" i="2" s="1"/>
  <c r="N367" i="2" s="1"/>
  <c r="I328" i="2"/>
  <c r="G328" i="2"/>
  <c r="M328" i="2" s="1"/>
  <c r="N328" i="2" s="1"/>
  <c r="I114" i="2"/>
  <c r="G114" i="2"/>
  <c r="M114" i="2" s="1"/>
  <c r="N114" i="2" s="1"/>
  <c r="I58" i="2"/>
  <c r="G58" i="2"/>
  <c r="M58" i="2" s="1"/>
  <c r="N58" i="2" s="1"/>
  <c r="G242" i="2"/>
  <c r="M242" i="2" s="1"/>
  <c r="N242" i="2" s="1"/>
  <c r="I242" i="2"/>
  <c r="G165" i="2"/>
  <c r="M165" i="2" s="1"/>
  <c r="N165" i="2" s="1"/>
  <c r="I165" i="2"/>
  <c r="G138" i="2"/>
  <c r="M138" i="2" s="1"/>
  <c r="N138" i="2" s="1"/>
  <c r="I138" i="2"/>
  <c r="I346" i="2"/>
  <c r="G346" i="2"/>
  <c r="M346" i="2" s="1"/>
  <c r="N346" i="2" s="1"/>
  <c r="Q220" i="2"/>
  <c r="U181" i="2"/>
  <c r="U367" i="2"/>
  <c r="I283" i="2"/>
  <c r="G283" i="2"/>
  <c r="M283" i="2" s="1"/>
  <c r="N283" i="2" s="1"/>
  <c r="I247" i="2"/>
  <c r="G247" i="2"/>
  <c r="M247" i="2" s="1"/>
  <c r="N247" i="2" s="1"/>
  <c r="I378" i="2"/>
  <c r="G378" i="2"/>
  <c r="M378" i="2" s="1"/>
  <c r="N378" i="2" s="1"/>
  <c r="I216" i="2"/>
  <c r="G216" i="2"/>
  <c r="M216" i="2" s="1"/>
  <c r="N216" i="2" s="1"/>
  <c r="I294" i="2"/>
  <c r="G294" i="2"/>
  <c r="M294" i="2" s="1"/>
  <c r="N294" i="2" s="1"/>
  <c r="I210" i="2"/>
  <c r="G210" i="2"/>
  <c r="M210" i="2" s="1"/>
  <c r="N210" i="2" s="1"/>
  <c r="I274" i="2"/>
  <c r="G274" i="2"/>
  <c r="M274" i="2" s="1"/>
  <c r="N274" i="2" s="1"/>
  <c r="I295" i="2"/>
  <c r="G295" i="2"/>
  <c r="M295" i="2" s="1"/>
  <c r="N295" i="2" s="1"/>
  <c r="I258" i="2"/>
  <c r="G258" i="2"/>
  <c r="M258" i="2" s="1"/>
  <c r="N258" i="2" s="1"/>
  <c r="I259" i="2"/>
  <c r="G259" i="2"/>
  <c r="M259" i="2" s="1"/>
  <c r="N259" i="2" s="1"/>
  <c r="I70" i="2"/>
  <c r="G70" i="2"/>
  <c r="M70" i="2" s="1"/>
  <c r="N70" i="2" s="1"/>
  <c r="I169" i="2"/>
  <c r="G169" i="2"/>
  <c r="M169" i="2" s="1"/>
  <c r="N169" i="2" s="1"/>
  <c r="Q306" i="2"/>
  <c r="Q37" i="2"/>
  <c r="U323" i="2"/>
  <c r="Q259" i="2"/>
  <c r="G120" i="2"/>
  <c r="M120" i="2" s="1"/>
  <c r="N120" i="2" s="1"/>
  <c r="I120" i="2"/>
  <c r="I27" i="2"/>
  <c r="G27" i="2"/>
  <c r="M27" i="2" s="1"/>
  <c r="N27" i="2" s="1"/>
  <c r="G311" i="2"/>
  <c r="M311" i="2" s="1"/>
  <c r="N311" i="2" s="1"/>
  <c r="I311" i="2"/>
  <c r="G112" i="2"/>
  <c r="M112" i="2" s="1"/>
  <c r="N112" i="2" s="1"/>
  <c r="I112" i="2"/>
  <c r="G278" i="2"/>
  <c r="M278" i="2" s="1"/>
  <c r="N278" i="2" s="1"/>
  <c r="I278" i="2"/>
  <c r="G349" i="2"/>
  <c r="M349" i="2" s="1"/>
  <c r="N349" i="2" s="1"/>
  <c r="I349" i="2"/>
  <c r="G340" i="2"/>
  <c r="M340" i="2" s="1"/>
  <c r="N340" i="2" s="1"/>
  <c r="I340" i="2"/>
  <c r="G95" i="2"/>
  <c r="M95" i="2" s="1"/>
  <c r="N95" i="2" s="1"/>
  <c r="I95" i="2"/>
  <c r="I222" i="2"/>
  <c r="G222" i="2"/>
  <c r="M222" i="2" s="1"/>
  <c r="N222" i="2" s="1"/>
  <c r="I124" i="2"/>
  <c r="G124" i="2"/>
  <c r="M124" i="2" s="1"/>
  <c r="N124" i="2" s="1"/>
  <c r="G37" i="2"/>
  <c r="M37" i="2" s="1"/>
  <c r="N37" i="2" s="1"/>
  <c r="I37" i="2"/>
  <c r="G102" i="2"/>
  <c r="M102" i="2" s="1"/>
  <c r="N102" i="2" s="1"/>
  <c r="I102" i="2"/>
  <c r="G23" i="2"/>
  <c r="M23" i="2" s="1"/>
  <c r="N23" i="2" s="1"/>
  <c r="I23" i="2"/>
  <c r="I234" i="2"/>
  <c r="G234" i="2"/>
  <c r="M234" i="2" s="1"/>
  <c r="N234" i="2" s="1"/>
  <c r="G159" i="2"/>
  <c r="M159" i="2" s="1"/>
  <c r="N159" i="2" s="1"/>
  <c r="I159" i="2"/>
  <c r="I314" i="2"/>
  <c r="G314" i="2"/>
  <c r="M314" i="2" s="1"/>
  <c r="N314" i="2" s="1"/>
  <c r="Q32" i="2"/>
  <c r="Q284" i="2"/>
  <c r="U192" i="2"/>
  <c r="I7" i="2"/>
  <c r="G7" i="2"/>
  <c r="M7" i="2" s="1"/>
  <c r="N7" i="2" s="1"/>
  <c r="I32" i="2"/>
  <c r="G32" i="2"/>
  <c r="M32" i="2" s="1"/>
  <c r="N32" i="2" s="1"/>
  <c r="G119" i="2"/>
  <c r="M119" i="2" s="1"/>
  <c r="N119" i="2" s="1"/>
  <c r="I119" i="2"/>
  <c r="G66" i="2"/>
  <c r="M66" i="2" s="1"/>
  <c r="N66" i="2" s="1"/>
  <c r="I66" i="2"/>
  <c r="G97" i="2"/>
  <c r="M97" i="2" s="1"/>
  <c r="N97" i="2" s="1"/>
  <c r="I97" i="2"/>
  <c r="G146" i="2"/>
  <c r="M146" i="2" s="1"/>
  <c r="N146" i="2" s="1"/>
  <c r="I146" i="2"/>
  <c r="G73" i="2"/>
  <c r="M73" i="2" s="1"/>
  <c r="N73" i="2" s="1"/>
  <c r="I73" i="2"/>
  <c r="G339" i="2"/>
  <c r="M339" i="2" s="1"/>
  <c r="N339" i="2" s="1"/>
  <c r="I339" i="2"/>
  <c r="G185" i="2"/>
  <c r="M185" i="2" s="1"/>
  <c r="N185" i="2" s="1"/>
  <c r="I185" i="2"/>
  <c r="G167" i="2"/>
  <c r="M167" i="2" s="1"/>
  <c r="N167" i="2" s="1"/>
  <c r="I167" i="2"/>
  <c r="I115" i="2"/>
  <c r="G115" i="2"/>
  <c r="M115" i="2" s="1"/>
  <c r="N115" i="2" s="1"/>
  <c r="U78" i="2"/>
  <c r="U352" i="2"/>
  <c r="U179" i="2"/>
  <c r="G336" i="2"/>
  <c r="M336" i="2" s="1"/>
  <c r="N336" i="2" s="1"/>
  <c r="I336" i="2"/>
  <c r="I280" i="2"/>
  <c r="G280" i="2"/>
  <c r="M280" i="2" s="1"/>
  <c r="N280" i="2" s="1"/>
  <c r="G48" i="2"/>
  <c r="M48" i="2" s="1"/>
  <c r="N48" i="2" s="1"/>
  <c r="I48" i="2"/>
  <c r="I8" i="2"/>
  <c r="G8" i="2"/>
  <c r="M8" i="2" s="1"/>
  <c r="N8" i="2" s="1"/>
  <c r="G270" i="2"/>
  <c r="M270" i="2" s="1"/>
  <c r="N270" i="2" s="1"/>
  <c r="I270" i="2"/>
  <c r="G236" i="2"/>
  <c r="M236" i="2" s="1"/>
  <c r="N236" i="2" s="1"/>
  <c r="I236" i="2"/>
  <c r="G122" i="2"/>
  <c r="M122" i="2" s="1"/>
  <c r="N122" i="2" s="1"/>
  <c r="I122" i="2"/>
  <c r="G198" i="2"/>
  <c r="M198" i="2" s="1"/>
  <c r="N198" i="2" s="1"/>
  <c r="I198" i="2"/>
  <c r="I373" i="2"/>
  <c r="G373" i="2"/>
  <c r="M373" i="2" s="1"/>
  <c r="N373" i="2" s="1"/>
  <c r="G45" i="2"/>
  <c r="M45" i="2" s="1"/>
  <c r="N45" i="2" s="1"/>
  <c r="I45" i="2"/>
  <c r="I366" i="2"/>
  <c r="G366" i="2"/>
  <c r="M366" i="2" s="1"/>
  <c r="N366" i="2" s="1"/>
  <c r="I343" i="2"/>
  <c r="G343" i="2"/>
  <c r="M343" i="2" s="1"/>
  <c r="N343" i="2" s="1"/>
  <c r="I24" i="2"/>
  <c r="G24" i="2"/>
  <c r="M24" i="2" s="1"/>
  <c r="N24" i="2" s="1"/>
  <c r="I200" i="2"/>
  <c r="G200" i="2"/>
  <c r="M200" i="2" s="1"/>
  <c r="N200" i="2" s="1"/>
  <c r="I85" i="2"/>
  <c r="G85" i="2"/>
  <c r="M85" i="2" s="1"/>
  <c r="N85" i="2" s="1"/>
  <c r="I252" i="2"/>
  <c r="G252" i="2"/>
  <c r="M252" i="2" s="1"/>
  <c r="N252" i="2" s="1"/>
  <c r="U91" i="2"/>
  <c r="Q11" i="2"/>
  <c r="Q353" i="2"/>
  <c r="Q77" i="2"/>
  <c r="G303" i="2"/>
  <c r="M303" i="2" s="1"/>
  <c r="N303" i="2" s="1"/>
  <c r="I303" i="2"/>
  <c r="G332" i="2"/>
  <c r="M332" i="2" s="1"/>
  <c r="N332" i="2" s="1"/>
  <c r="I332" i="2"/>
  <c r="G145" i="2"/>
  <c r="M145" i="2" s="1"/>
  <c r="N145" i="2" s="1"/>
  <c r="I145" i="2"/>
  <c r="G201" i="2"/>
  <c r="M201" i="2" s="1"/>
  <c r="N201" i="2" s="1"/>
  <c r="I201" i="2"/>
  <c r="G199" i="2"/>
  <c r="M199" i="2" s="1"/>
  <c r="N199" i="2" s="1"/>
  <c r="I199" i="2"/>
  <c r="G221" i="2"/>
  <c r="M221" i="2" s="1"/>
  <c r="N221" i="2" s="1"/>
  <c r="I221" i="2"/>
  <c r="G106" i="2"/>
  <c r="M106" i="2" s="1"/>
  <c r="N106" i="2" s="1"/>
  <c r="I106" i="2"/>
  <c r="I265" i="2"/>
  <c r="G265" i="2"/>
  <c r="M265" i="2" s="1"/>
  <c r="I341" i="2"/>
  <c r="G341" i="2"/>
  <c r="M341" i="2" s="1"/>
  <c r="N341" i="2" s="1"/>
  <c r="G108" i="2"/>
  <c r="M108" i="2" s="1"/>
  <c r="N108" i="2" s="1"/>
  <c r="I108" i="2"/>
  <c r="G326" i="2"/>
  <c r="M326" i="2" s="1"/>
  <c r="N326" i="2" s="1"/>
  <c r="I326" i="2"/>
  <c r="U81" i="2"/>
  <c r="Q100" i="2"/>
  <c r="Q143" i="2"/>
  <c r="I248" i="2"/>
  <c r="G248" i="2"/>
  <c r="M248" i="2" s="1"/>
  <c r="N248" i="2" s="1"/>
  <c r="I10" i="2"/>
  <c r="G10" i="2"/>
  <c r="M10" i="2" s="1"/>
  <c r="N10" i="2" s="1"/>
  <c r="I104" i="2"/>
  <c r="G104" i="2"/>
  <c r="M104" i="2" s="1"/>
  <c r="N104" i="2" s="1"/>
  <c r="I40" i="2"/>
  <c r="G40" i="2"/>
  <c r="M40" i="2" s="1"/>
  <c r="N40" i="2" s="1"/>
  <c r="I69" i="2"/>
  <c r="G69" i="2"/>
  <c r="M69" i="2" s="1"/>
  <c r="N69" i="2" s="1"/>
  <c r="I276" i="2"/>
  <c r="G276" i="2"/>
  <c r="M276" i="2" s="1"/>
  <c r="N276" i="2" s="1"/>
  <c r="I263" i="2"/>
  <c r="G263" i="2"/>
  <c r="M263" i="2" s="1"/>
  <c r="N263" i="2" s="1"/>
  <c r="I94" i="2"/>
  <c r="G94" i="2"/>
  <c r="M94" i="2" s="1"/>
  <c r="N94" i="2" s="1"/>
  <c r="I157" i="2"/>
  <c r="G157" i="2"/>
  <c r="M157" i="2" s="1"/>
  <c r="N157" i="2" s="1"/>
  <c r="I140" i="2"/>
  <c r="G140" i="2"/>
  <c r="M140" i="2" s="1"/>
  <c r="N140" i="2" s="1"/>
  <c r="I250" i="2"/>
  <c r="G250" i="2"/>
  <c r="M250" i="2" s="1"/>
  <c r="N250" i="2" s="1"/>
  <c r="U370" i="2"/>
  <c r="U10" i="2"/>
  <c r="Q49" i="2"/>
  <c r="Q300" i="2"/>
  <c r="I281" i="2"/>
  <c r="G281" i="2"/>
  <c r="M281" i="2" s="1"/>
  <c r="N281" i="2" s="1"/>
  <c r="I308" i="2"/>
  <c r="G308" i="2"/>
  <c r="M308" i="2" s="1"/>
  <c r="N308" i="2" s="1"/>
  <c r="G299" i="2"/>
  <c r="M299" i="2" s="1"/>
  <c r="N299" i="2" s="1"/>
  <c r="I299" i="2"/>
  <c r="G202" i="2"/>
  <c r="M202" i="2" s="1"/>
  <c r="N202" i="2" s="1"/>
  <c r="I202" i="2"/>
  <c r="G171" i="2"/>
  <c r="M171" i="2" s="1"/>
  <c r="N171" i="2" s="1"/>
  <c r="I171" i="2"/>
  <c r="G254" i="2"/>
  <c r="M254" i="2" s="1"/>
  <c r="N254" i="2" s="1"/>
  <c r="I254" i="2"/>
  <c r="G381" i="2"/>
  <c r="M381" i="2" s="1"/>
  <c r="I381" i="2"/>
  <c r="I142" i="2"/>
  <c r="G142" i="2"/>
  <c r="M142" i="2" s="1"/>
  <c r="N142" i="2" s="1"/>
  <c r="G77" i="2"/>
  <c r="M77" i="2" s="1"/>
  <c r="N77" i="2" s="1"/>
  <c r="I77" i="2"/>
  <c r="G111" i="2"/>
  <c r="M111" i="2" s="1"/>
  <c r="N111" i="2" s="1"/>
  <c r="I111" i="2"/>
  <c r="G38" i="2"/>
  <c r="M38" i="2" s="1"/>
  <c r="N38" i="2" s="1"/>
  <c r="I38" i="2"/>
  <c r="G370" i="2"/>
  <c r="M370" i="2" s="1"/>
  <c r="N370" i="2" s="1"/>
  <c r="I370" i="2"/>
  <c r="G275" i="2"/>
  <c r="M275" i="2" s="1"/>
  <c r="N275" i="2" s="1"/>
  <c r="I275" i="2"/>
  <c r="I320" i="2"/>
  <c r="G320" i="2"/>
  <c r="M320" i="2" s="1"/>
  <c r="N320" i="2" s="1"/>
  <c r="G76" i="2"/>
  <c r="M76" i="2" s="1"/>
  <c r="N76" i="2" s="1"/>
  <c r="I76" i="2"/>
  <c r="G127" i="2"/>
  <c r="M127" i="2" s="1"/>
  <c r="N127" i="2" s="1"/>
  <c r="I127" i="2"/>
  <c r="G158" i="2"/>
  <c r="M158" i="2" s="1"/>
  <c r="N158" i="2" s="1"/>
  <c r="I158" i="2"/>
  <c r="Q72" i="2"/>
  <c r="I352" i="2"/>
  <c r="G352" i="2"/>
  <c r="M352" i="2" s="1"/>
  <c r="N352" i="2" s="1"/>
  <c r="I134" i="2"/>
  <c r="G134" i="2"/>
  <c r="M134" i="2" s="1"/>
  <c r="N134" i="2" s="1"/>
  <c r="G197" i="2"/>
  <c r="M197" i="2" s="1"/>
  <c r="N197" i="2" s="1"/>
  <c r="I197" i="2"/>
  <c r="G213" i="2"/>
  <c r="M213" i="2" s="1"/>
  <c r="N213" i="2" s="1"/>
  <c r="I213" i="2"/>
  <c r="G233" i="2"/>
  <c r="M233" i="2" s="1"/>
  <c r="N233" i="2" s="1"/>
  <c r="I233" i="2"/>
  <c r="G61" i="2"/>
  <c r="M61" i="2" s="1"/>
  <c r="N61" i="2" s="1"/>
  <c r="I61" i="2"/>
  <c r="G128" i="2"/>
  <c r="M128" i="2" s="1"/>
  <c r="N128" i="2" s="1"/>
  <c r="I128" i="2"/>
  <c r="G41" i="2"/>
  <c r="M41" i="2" s="1"/>
  <c r="N41" i="2" s="1"/>
  <c r="I41" i="2"/>
  <c r="G113" i="2"/>
  <c r="M113" i="2" s="1"/>
  <c r="I113" i="2"/>
  <c r="G133" i="2"/>
  <c r="M133" i="2" s="1"/>
  <c r="N133" i="2" s="1"/>
  <c r="I133" i="2"/>
  <c r="G168" i="2"/>
  <c r="M168" i="2" s="1"/>
  <c r="N168" i="2" s="1"/>
  <c r="I168" i="2"/>
  <c r="U110" i="2"/>
  <c r="I153" i="2"/>
  <c r="G153" i="2"/>
  <c r="M153" i="2" s="1"/>
  <c r="N153" i="2" s="1"/>
  <c r="I35" i="2"/>
  <c r="G35" i="2"/>
  <c r="M35" i="2" s="1"/>
  <c r="N35" i="2" s="1"/>
  <c r="G230" i="2"/>
  <c r="M230" i="2" s="1"/>
  <c r="N230" i="2" s="1"/>
  <c r="I230" i="2"/>
  <c r="G129" i="2"/>
  <c r="M129" i="2" s="1"/>
  <c r="N129" i="2" s="1"/>
  <c r="I129" i="2"/>
  <c r="G232" i="2"/>
  <c r="M232" i="2" s="1"/>
  <c r="N232" i="2" s="1"/>
  <c r="I232" i="2"/>
  <c r="G75" i="2"/>
  <c r="M75" i="2" s="1"/>
  <c r="N75" i="2" s="1"/>
  <c r="I75" i="2"/>
  <c r="G74" i="2"/>
  <c r="M74" i="2" s="1"/>
  <c r="N74" i="2" s="1"/>
  <c r="I74" i="2"/>
  <c r="G376" i="2"/>
  <c r="M376" i="2" s="1"/>
  <c r="N376" i="2" s="1"/>
  <c r="I376" i="2"/>
  <c r="G266" i="2"/>
  <c r="M266" i="2" s="1"/>
  <c r="I266" i="2"/>
  <c r="G207" i="2"/>
  <c r="M207" i="2" s="1"/>
  <c r="N207" i="2" s="1"/>
  <c r="I207" i="2"/>
  <c r="I60" i="2"/>
  <c r="G60" i="2"/>
  <c r="M60" i="2" s="1"/>
  <c r="N60" i="2" s="1"/>
  <c r="Q106" i="2"/>
  <c r="I101" i="2"/>
  <c r="G101" i="2"/>
  <c r="M101" i="2" s="1"/>
  <c r="N101" i="2" s="1"/>
  <c r="G34" i="2"/>
  <c r="M34" i="2" s="1"/>
  <c r="N34" i="2" s="1"/>
  <c r="I34" i="2"/>
  <c r="G123" i="2"/>
  <c r="M123" i="2" s="1"/>
  <c r="N123" i="2" s="1"/>
  <c r="I123" i="2"/>
  <c r="G223" i="2"/>
  <c r="M223" i="2" s="1"/>
  <c r="N223" i="2" s="1"/>
  <c r="I223" i="2"/>
  <c r="G255" i="2"/>
  <c r="M255" i="2" s="1"/>
  <c r="N255" i="2" s="1"/>
  <c r="I255" i="2"/>
  <c r="G224" i="2"/>
  <c r="M224" i="2" s="1"/>
  <c r="N224" i="2" s="1"/>
  <c r="I224" i="2"/>
  <c r="I249" i="2"/>
  <c r="G249" i="2"/>
  <c r="M249" i="2" s="1"/>
  <c r="N249" i="2" s="1"/>
  <c r="G13" i="2"/>
  <c r="M13" i="2" s="1"/>
  <c r="N13" i="2" s="1"/>
  <c r="I13" i="2"/>
  <c r="G98" i="2"/>
  <c r="M98" i="2" s="1"/>
  <c r="N98" i="2" s="1"/>
  <c r="I98" i="2"/>
  <c r="G239" i="2"/>
  <c r="M239" i="2" s="1"/>
  <c r="N239" i="2" s="1"/>
  <c r="I239" i="2"/>
  <c r="G43" i="2"/>
  <c r="M43" i="2" s="1"/>
  <c r="N43" i="2" s="1"/>
  <c r="I43" i="2"/>
  <c r="I179" i="2"/>
  <c r="G179" i="2"/>
  <c r="M179" i="2" s="1"/>
  <c r="N179" i="2" s="1"/>
  <c r="G319" i="2"/>
  <c r="M319" i="2" s="1"/>
  <c r="N319" i="2" s="1"/>
  <c r="I319" i="2"/>
  <c r="I139" i="2"/>
  <c r="G139" i="2"/>
  <c r="M139" i="2" s="1"/>
  <c r="N139" i="2" s="1"/>
  <c r="G225" i="2"/>
  <c r="M225" i="2" s="1"/>
  <c r="N225" i="2" s="1"/>
  <c r="I225" i="2"/>
  <c r="G143" i="2"/>
  <c r="M143" i="2" s="1"/>
  <c r="N143" i="2" s="1"/>
  <c r="I143" i="2"/>
  <c r="G173" i="2"/>
  <c r="M173" i="2" s="1"/>
  <c r="N173" i="2" s="1"/>
  <c r="I173" i="2"/>
  <c r="U62" i="2"/>
  <c r="G72" i="2"/>
  <c r="M72" i="2" s="1"/>
  <c r="N72" i="2" s="1"/>
  <c r="I72" i="2"/>
  <c r="G25" i="2"/>
  <c r="M25" i="2" s="1"/>
  <c r="N25" i="2" s="1"/>
  <c r="I25" i="2"/>
  <c r="G323" i="2"/>
  <c r="M323" i="2" s="1"/>
  <c r="N323" i="2" s="1"/>
  <c r="I323" i="2"/>
  <c r="G333" i="2"/>
  <c r="M333" i="2" s="1"/>
  <c r="N333" i="2" s="1"/>
  <c r="I333" i="2"/>
  <c r="G46" i="2"/>
  <c r="M46" i="2" s="1"/>
  <c r="N46" i="2" s="1"/>
  <c r="I46" i="2"/>
  <c r="I57" i="2"/>
  <c r="G57" i="2"/>
  <c r="M57" i="2" s="1"/>
  <c r="N57" i="2" s="1"/>
  <c r="I237" i="2"/>
  <c r="G237" i="2"/>
  <c r="M237" i="2" s="1"/>
  <c r="N237" i="2" s="1"/>
  <c r="I231" i="2"/>
  <c r="G231" i="2"/>
  <c r="M231" i="2" s="1"/>
  <c r="N231" i="2" s="1"/>
  <c r="G191" i="2"/>
  <c r="M191" i="2" s="1"/>
  <c r="N191" i="2" s="1"/>
  <c r="I191" i="2"/>
  <c r="G170" i="2"/>
  <c r="M170" i="2" s="1"/>
  <c r="N170" i="2" s="1"/>
  <c r="I170" i="2"/>
  <c r="G177" i="2"/>
  <c r="M177" i="2" s="1"/>
  <c r="N177" i="2" s="1"/>
  <c r="I177" i="2"/>
  <c r="I317" i="2"/>
  <c r="G317" i="2"/>
  <c r="M317" i="2" s="1"/>
  <c r="N317" i="2" s="1"/>
  <c r="U366" i="2"/>
  <c r="G62" i="2"/>
  <c r="M62" i="2" s="1"/>
  <c r="N62" i="2" s="1"/>
  <c r="I62" i="2"/>
  <c r="G175" i="2"/>
  <c r="M175" i="2" s="1"/>
  <c r="N175" i="2" s="1"/>
  <c r="I175" i="2"/>
  <c r="G359" i="2"/>
  <c r="M359" i="2" s="1"/>
  <c r="N359" i="2" s="1"/>
  <c r="I359" i="2"/>
  <c r="I132" i="2"/>
  <c r="G132" i="2"/>
  <c r="M132" i="2" s="1"/>
  <c r="N132" i="2" s="1"/>
  <c r="I379" i="2"/>
  <c r="G379" i="2"/>
  <c r="M379" i="2" s="1"/>
  <c r="N379" i="2" s="1"/>
  <c r="I368" i="2"/>
  <c r="G368" i="2"/>
  <c r="M368" i="2" s="1"/>
  <c r="N368" i="2" s="1"/>
  <c r="I354" i="2"/>
  <c r="G354" i="2"/>
  <c r="M354" i="2" s="1"/>
  <c r="N354" i="2" s="1"/>
  <c r="I356" i="2"/>
  <c r="G356" i="2"/>
  <c r="M356" i="2" s="1"/>
  <c r="N356" i="2" s="1"/>
  <c r="I174" i="2"/>
  <c r="G174" i="2"/>
  <c r="M174" i="2" s="1"/>
  <c r="N174" i="2" s="1"/>
  <c r="I246" i="2"/>
  <c r="G246" i="2"/>
  <c r="M246" i="2" s="1"/>
  <c r="N246" i="2" s="1"/>
  <c r="I51" i="2"/>
  <c r="G51" i="2"/>
  <c r="M51" i="2" s="1"/>
  <c r="N51" i="2" s="1"/>
  <c r="I141" i="2"/>
  <c r="G141" i="2"/>
  <c r="M141" i="2" s="1"/>
  <c r="N141" i="2" s="1"/>
  <c r="U116" i="2"/>
  <c r="G33" i="2"/>
  <c r="M33" i="2" s="1"/>
  <c r="N33" i="2" s="1"/>
  <c r="I33" i="2"/>
  <c r="G11" i="2"/>
  <c r="M11" i="2" s="1"/>
  <c r="N11" i="2" s="1"/>
  <c r="I11" i="2"/>
  <c r="G369" i="2"/>
  <c r="M369" i="2" s="1"/>
  <c r="N369" i="2" s="1"/>
  <c r="I369" i="2"/>
  <c r="G331" i="2"/>
  <c r="M331" i="2" s="1"/>
  <c r="N331" i="2" s="1"/>
  <c r="I331" i="2"/>
  <c r="G344" i="2"/>
  <c r="M344" i="2" s="1"/>
  <c r="N344" i="2" s="1"/>
  <c r="I344" i="2"/>
  <c r="I362" i="2"/>
  <c r="G362" i="2"/>
  <c r="M362" i="2" s="1"/>
  <c r="N362" i="2" s="1"/>
  <c r="G144" i="2"/>
  <c r="M144" i="2" s="1"/>
  <c r="N144" i="2" s="1"/>
  <c r="I144" i="2"/>
  <c r="G288" i="2"/>
  <c r="M288" i="2" s="1"/>
  <c r="N288" i="2" s="1"/>
  <c r="I288" i="2"/>
  <c r="G342" i="2"/>
  <c r="M342" i="2" s="1"/>
  <c r="N342" i="2" s="1"/>
  <c r="I342" i="2"/>
  <c r="G261" i="2"/>
  <c r="M261" i="2" s="1"/>
  <c r="N261" i="2" s="1"/>
  <c r="I261" i="2"/>
  <c r="G96" i="2"/>
  <c r="M96" i="2" s="1"/>
  <c r="N96" i="2" s="1"/>
  <c r="I96" i="2"/>
  <c r="G163" i="2"/>
  <c r="M163" i="2" s="1"/>
  <c r="N163" i="2" s="1"/>
  <c r="I163" i="2"/>
  <c r="G287" i="2"/>
  <c r="M287" i="2" s="1"/>
  <c r="N287" i="2" s="1"/>
  <c r="I287" i="2"/>
  <c r="I204" i="2"/>
  <c r="G204" i="2"/>
  <c r="M204" i="2" s="1"/>
  <c r="N204" i="2" s="1"/>
  <c r="I150" i="2"/>
  <c r="G150" i="2"/>
  <c r="M150" i="2" s="1"/>
  <c r="N150" i="2" s="1"/>
  <c r="I103" i="2"/>
  <c r="G103" i="2"/>
  <c r="M103" i="2" s="1"/>
  <c r="N103" i="2" s="1"/>
  <c r="I100" i="2"/>
  <c r="G100" i="2"/>
  <c r="M100" i="2" s="1"/>
  <c r="N100" i="2" s="1"/>
  <c r="I31" i="2"/>
  <c r="G31" i="2"/>
  <c r="M31" i="2" s="1"/>
  <c r="N31" i="2" s="1"/>
  <c r="I22" i="2"/>
  <c r="G22" i="2"/>
  <c r="M22" i="2" s="1"/>
  <c r="N22" i="2" s="1"/>
  <c r="I156" i="2"/>
  <c r="G156" i="2"/>
  <c r="M156" i="2" s="1"/>
  <c r="N156" i="2" s="1"/>
  <c r="I286" i="2"/>
  <c r="G286" i="2"/>
  <c r="M286" i="2" s="1"/>
  <c r="N286" i="2" s="1"/>
  <c r="I372" i="2"/>
  <c r="G372" i="2"/>
  <c r="M372" i="2" s="1"/>
  <c r="N372" i="2" s="1"/>
  <c r="I125" i="2"/>
  <c r="G125" i="2"/>
  <c r="M125" i="2" s="1"/>
  <c r="N125" i="2" s="1"/>
  <c r="I296" i="2"/>
  <c r="G296" i="2"/>
  <c r="M296" i="2" s="1"/>
  <c r="N296" i="2" s="1"/>
  <c r="I176" i="2"/>
  <c r="G176" i="2"/>
  <c r="M176" i="2" s="1"/>
  <c r="N176" i="2" s="1"/>
  <c r="I79" i="2"/>
  <c r="G79" i="2"/>
  <c r="M79" i="2" s="1"/>
  <c r="N79" i="2" s="1"/>
  <c r="I189" i="2"/>
  <c r="G189" i="2"/>
  <c r="M189" i="2" s="1"/>
  <c r="N189" i="2" s="1"/>
  <c r="I164" i="2"/>
  <c r="G164" i="2"/>
  <c r="M164" i="2" s="1"/>
  <c r="N164" i="2" s="1"/>
  <c r="G219" i="2"/>
  <c r="M219" i="2" s="1"/>
  <c r="N219" i="2" s="1"/>
  <c r="I219" i="2"/>
  <c r="G152" i="2"/>
  <c r="M152" i="2" s="1"/>
  <c r="N152" i="2" s="1"/>
  <c r="I152" i="2"/>
  <c r="G63" i="2"/>
  <c r="M63" i="2" s="1"/>
  <c r="N63" i="2" s="1"/>
  <c r="I63" i="2"/>
  <c r="G355" i="2"/>
  <c r="M355" i="2" s="1"/>
  <c r="N355" i="2" s="1"/>
  <c r="I355" i="2"/>
  <c r="G364" i="2"/>
  <c r="M364" i="2" s="1"/>
  <c r="N364" i="2" s="1"/>
  <c r="I364" i="2"/>
  <c r="I206" i="2"/>
  <c r="G206" i="2"/>
  <c r="M206" i="2" s="1"/>
  <c r="N206" i="2" s="1"/>
  <c r="G279" i="2"/>
  <c r="M279" i="2" s="1"/>
  <c r="N279" i="2" s="1"/>
  <c r="I279" i="2"/>
  <c r="G264" i="2"/>
  <c r="M264" i="2" s="1"/>
  <c r="N264" i="2" s="1"/>
  <c r="I264" i="2"/>
  <c r="G136" i="2"/>
  <c r="M136" i="2" s="1"/>
  <c r="N136" i="2" s="1"/>
  <c r="I136" i="2"/>
  <c r="I29" i="2"/>
  <c r="G29" i="2"/>
  <c r="M29" i="2" s="1"/>
  <c r="N29" i="2" s="1"/>
  <c r="G312" i="2"/>
  <c r="M312" i="2" s="1"/>
  <c r="N312" i="2" s="1"/>
  <c r="I312" i="2"/>
  <c r="I305" i="2"/>
  <c r="G305" i="2"/>
  <c r="M305" i="2" s="1"/>
  <c r="N305" i="2" s="1"/>
  <c r="I292" i="2"/>
  <c r="G292" i="2"/>
  <c r="M292" i="2" s="1"/>
  <c r="N292" i="2" s="1"/>
  <c r="I235" i="2"/>
  <c r="G235" i="2"/>
  <c r="M235" i="2" s="1"/>
  <c r="N235" i="2" s="1"/>
  <c r="I301" i="2"/>
  <c r="G301" i="2"/>
  <c r="M301" i="2" s="1"/>
  <c r="N301" i="2" s="1"/>
  <c r="I291" i="2"/>
  <c r="G291" i="2"/>
  <c r="M291" i="2" s="1"/>
  <c r="N291" i="2" s="1"/>
  <c r="I147" i="2"/>
  <c r="G147" i="2"/>
  <c r="M147" i="2" s="1"/>
  <c r="N147" i="2" s="1"/>
  <c r="G195" i="2"/>
  <c r="M195" i="2" s="1"/>
  <c r="N195" i="2" s="1"/>
  <c r="I195" i="2"/>
  <c r="G309" i="2"/>
  <c r="M309" i="2" s="1"/>
  <c r="N309" i="2" s="1"/>
  <c r="I309" i="2"/>
  <c r="G227" i="2"/>
  <c r="M227" i="2" s="1"/>
  <c r="N227" i="2" s="1"/>
  <c r="I227" i="2"/>
  <c r="G68" i="2"/>
  <c r="M68" i="2" s="1"/>
  <c r="N68" i="2" s="1"/>
  <c r="I68" i="2"/>
  <c r="G89" i="2"/>
  <c r="M89" i="2" s="1"/>
  <c r="N89" i="2" s="1"/>
  <c r="I89" i="2"/>
  <c r="I49" i="2"/>
  <c r="G49" i="2"/>
  <c r="M49" i="2" s="1"/>
  <c r="N49" i="2" s="1"/>
  <c r="I293" i="2"/>
  <c r="G293" i="2"/>
  <c r="M293" i="2" s="1"/>
  <c r="N293" i="2" s="1"/>
  <c r="G18" i="2"/>
  <c r="M18" i="2" s="1"/>
  <c r="N18" i="2" s="1"/>
  <c r="I18" i="2"/>
  <c r="G67" i="2"/>
  <c r="M67" i="2" s="1"/>
  <c r="N67" i="2" s="1"/>
  <c r="I67" i="2"/>
  <c r="G253" i="2"/>
  <c r="M253" i="2" s="1"/>
  <c r="N253" i="2" s="1"/>
  <c r="I253" i="2"/>
  <c r="G212" i="2"/>
  <c r="M212" i="2" s="1"/>
  <c r="N212" i="2" s="1"/>
  <c r="I212" i="2"/>
  <c r="G71" i="2"/>
  <c r="M71" i="2" s="1"/>
  <c r="N71" i="2" s="1"/>
  <c r="I71" i="2"/>
  <c r="G121" i="2"/>
  <c r="M121" i="2" s="1"/>
  <c r="N121" i="2" s="1"/>
  <c r="I121" i="2"/>
  <c r="I186" i="2"/>
  <c r="G186" i="2"/>
  <c r="M186" i="2" s="1"/>
  <c r="G47" i="2"/>
  <c r="M47" i="2" s="1"/>
  <c r="N47" i="2" s="1"/>
  <c r="I47" i="2"/>
  <c r="G12" i="2"/>
  <c r="M12" i="2" s="1"/>
  <c r="N12" i="2" s="1"/>
  <c r="I12" i="2"/>
  <c r="I91" i="2"/>
  <c r="G91" i="2"/>
  <c r="M91" i="2" s="1"/>
  <c r="N91" i="2" s="1"/>
  <c r="I285" i="2"/>
  <c r="G285" i="2"/>
  <c r="M285" i="2" s="1"/>
  <c r="N285" i="2" s="1"/>
  <c r="I271" i="2"/>
  <c r="G271" i="2"/>
  <c r="M271" i="2" s="1"/>
  <c r="N271" i="2" s="1"/>
  <c r="G84" i="2"/>
  <c r="M84" i="2" s="1"/>
  <c r="N84" i="2" s="1"/>
  <c r="I84" i="2"/>
  <c r="G241" i="2"/>
  <c r="M241" i="2" s="1"/>
  <c r="N241" i="2" s="1"/>
  <c r="I241" i="2"/>
  <c r="I251" i="2"/>
  <c r="G251" i="2"/>
  <c r="M251" i="2" s="1"/>
  <c r="N251" i="2" s="1"/>
  <c r="I327" i="2"/>
  <c r="G327" i="2"/>
  <c r="M327" i="2" s="1"/>
  <c r="N327" i="2" s="1"/>
  <c r="G324" i="2"/>
  <c r="M324" i="2" s="1"/>
  <c r="N324" i="2" s="1"/>
  <c r="I324" i="2"/>
  <c r="I154" i="2"/>
  <c r="G154" i="2"/>
  <c r="M154" i="2" s="1"/>
  <c r="N154" i="2" s="1"/>
  <c r="G148" i="2"/>
  <c r="M148" i="2" s="1"/>
  <c r="I148" i="2"/>
  <c r="I107" i="2"/>
  <c r="G107" i="2"/>
  <c r="M107" i="2" s="1"/>
  <c r="N107" i="2" s="1"/>
  <c r="I15" i="2"/>
  <c r="G15" i="2"/>
  <c r="M15" i="2" s="1"/>
  <c r="N15" i="2" s="1"/>
  <c r="I334" i="2"/>
  <c r="G334" i="2"/>
  <c r="M334" i="2" s="1"/>
  <c r="N334" i="2" s="1"/>
  <c r="D4" i="7"/>
  <c r="N337" i="2"/>
  <c r="Q337" i="2"/>
  <c r="N113" i="2"/>
  <c r="Z2" i="2"/>
  <c r="R2" i="2"/>
  <c r="U2" i="2"/>
  <c r="W2" i="2"/>
  <c r="X2" i="2"/>
  <c r="V2" i="2"/>
  <c r="T2" i="2"/>
  <c r="Q2" i="2"/>
  <c r="Y2" i="2"/>
  <c r="S2" i="2"/>
  <c r="T94" i="4"/>
  <c r="T122" i="4"/>
  <c r="T136" i="4"/>
  <c r="T25" i="4"/>
  <c r="T39" i="4"/>
  <c r="T90" i="4"/>
  <c r="T86" i="4"/>
  <c r="T20" i="4"/>
  <c r="T231" i="4"/>
  <c r="T151" i="4"/>
  <c r="T97" i="4"/>
  <c r="T114" i="4"/>
  <c r="T118" i="4"/>
  <c r="T314" i="4"/>
  <c r="T128" i="4"/>
  <c r="T212" i="4"/>
  <c r="T332" i="4"/>
  <c r="T119" i="4"/>
  <c r="T37" i="4"/>
  <c r="T183" i="4"/>
  <c r="T49" i="4"/>
  <c r="T353" i="4"/>
  <c r="T208" i="4"/>
  <c r="T370" i="4"/>
  <c r="T318" i="4"/>
  <c r="T373" i="4"/>
  <c r="T60" i="4"/>
  <c r="T133" i="4"/>
  <c r="T215" i="4"/>
  <c r="T24" i="4"/>
  <c r="T253" i="4"/>
  <c r="T267" i="4"/>
  <c r="T312" i="4"/>
  <c r="T204" i="4"/>
  <c r="T229" i="4"/>
  <c r="T271" i="4"/>
  <c r="T325" i="4"/>
  <c r="T139" i="4"/>
  <c r="T275" i="4"/>
  <c r="T149" i="4"/>
  <c r="T190" i="4"/>
  <c r="Q106" i="4"/>
  <c r="R86" i="4"/>
  <c r="R231" i="4"/>
  <c r="Q373" i="4"/>
  <c r="S159" i="4"/>
  <c r="P303" i="4"/>
  <c r="S358" i="4"/>
  <c r="R288" i="4"/>
  <c r="R237" i="4"/>
  <c r="Q353" i="4"/>
  <c r="R287" i="4"/>
  <c r="S269" i="4"/>
  <c r="P216" i="4"/>
  <c r="R304" i="4"/>
  <c r="S243" i="4"/>
  <c r="Q125" i="4"/>
  <c r="Q241" i="4"/>
  <c r="R27" i="4"/>
  <c r="S337" i="4"/>
  <c r="S162" i="4"/>
  <c r="P265" i="4"/>
  <c r="P369" i="4"/>
  <c r="P207" i="4"/>
  <c r="R129" i="4"/>
  <c r="Q87" i="4"/>
  <c r="R141" i="4"/>
  <c r="S361" i="4"/>
  <c r="S332" i="4"/>
  <c r="S46" i="4"/>
  <c r="R220" i="4"/>
  <c r="Q366" i="4"/>
  <c r="Q113" i="4"/>
  <c r="Q159" i="4"/>
  <c r="R270" i="4"/>
  <c r="P180" i="4"/>
  <c r="Q295" i="4"/>
  <c r="R300" i="4"/>
  <c r="S83" i="4"/>
  <c r="P155" i="4"/>
  <c r="R348" i="4"/>
  <c r="P77" i="4"/>
  <c r="P170" i="4"/>
  <c r="R286" i="4"/>
  <c r="P43" i="4"/>
  <c r="Q217" i="4"/>
  <c r="P341" i="4"/>
  <c r="S195" i="4"/>
  <c r="S128" i="4"/>
  <c r="Q297" i="4"/>
  <c r="P103" i="4"/>
  <c r="S49" i="4"/>
  <c r="Q147" i="4"/>
  <c r="P32" i="4"/>
  <c r="R264" i="4"/>
  <c r="Q197" i="4"/>
  <c r="R43" i="4"/>
  <c r="P343" i="4"/>
  <c r="S335" i="4"/>
  <c r="S99" i="4"/>
  <c r="P147" i="4"/>
  <c r="P20" i="4"/>
  <c r="S140" i="4"/>
  <c r="P110" i="4"/>
  <c r="S11" i="4"/>
  <c r="S320" i="4"/>
  <c r="R194" i="4"/>
  <c r="R139" i="4"/>
  <c r="Q311" i="4"/>
  <c r="P135" i="4"/>
  <c r="S289" i="4"/>
  <c r="Q223" i="4"/>
  <c r="R97" i="4"/>
  <c r="Q120" i="4"/>
  <c r="P376" i="4"/>
  <c r="R379" i="4"/>
  <c r="S113" i="4"/>
  <c r="S19" i="4"/>
  <c r="S176" i="4"/>
  <c r="S86" i="4"/>
  <c r="R151" i="4"/>
  <c r="S315" i="4"/>
  <c r="R196" i="4"/>
  <c r="R145" i="4"/>
  <c r="S66" i="4"/>
  <c r="P81" i="4"/>
  <c r="R71" i="4"/>
  <c r="R244" i="4"/>
  <c r="Q206" i="4"/>
  <c r="S194" i="4"/>
  <c r="Q190" i="4"/>
  <c r="S79" i="4"/>
  <c r="S90" i="4"/>
  <c r="R372" i="4"/>
  <c r="P238" i="4"/>
  <c r="S13" i="4"/>
  <c r="S67" i="4"/>
  <c r="Q149" i="4"/>
  <c r="P68" i="4"/>
  <c r="S57" i="4"/>
  <c r="P60" i="4"/>
  <c r="P230" i="4"/>
  <c r="R124" i="4"/>
  <c r="R122" i="4"/>
  <c r="Q340" i="4"/>
  <c r="Q267" i="4"/>
  <c r="P111" i="4"/>
  <c r="Q280" i="4"/>
  <c r="R223" i="4"/>
  <c r="R117" i="4"/>
  <c r="Q351" i="4"/>
  <c r="R38" i="4"/>
  <c r="S353" i="4"/>
  <c r="P191" i="4"/>
  <c r="P202" i="4"/>
  <c r="P289" i="4"/>
  <c r="Q78" i="4"/>
  <c r="R62" i="4"/>
  <c r="Q363" i="4"/>
  <c r="P176" i="4"/>
  <c r="R149" i="4"/>
  <c r="R225" i="4"/>
  <c r="P245" i="4"/>
  <c r="R212" i="4"/>
  <c r="R76" i="4"/>
  <c r="S226" i="4"/>
  <c r="P262" i="4"/>
  <c r="Q157" i="4"/>
  <c r="R46" i="4"/>
  <c r="R204" i="4"/>
  <c r="Q115" i="4"/>
  <c r="P311" i="4"/>
  <c r="S178" i="4"/>
  <c r="R253" i="4"/>
  <c r="S48" i="4"/>
  <c r="Q148" i="4"/>
  <c r="P301" i="4"/>
  <c r="S109" i="4"/>
  <c r="R275" i="4"/>
  <c r="S297" i="4"/>
  <c r="S151" i="4"/>
  <c r="R330" i="4"/>
  <c r="R297" i="4"/>
  <c r="S220" i="4"/>
  <c r="S318" i="4"/>
  <c r="R265" i="4"/>
  <c r="P138" i="4"/>
  <c r="P161" i="4"/>
  <c r="Q348" i="4"/>
  <c r="P298" i="4"/>
  <c r="S217" i="4"/>
  <c r="R209" i="4"/>
  <c r="R89" i="4"/>
  <c r="Q361" i="4"/>
  <c r="R316" i="4"/>
  <c r="S131" i="4"/>
  <c r="Q294" i="4"/>
  <c r="S304" i="4"/>
  <c r="R247" i="4"/>
  <c r="R322" i="4"/>
  <c r="S153" i="4"/>
  <c r="Q32" i="4"/>
  <c r="P287" i="4"/>
  <c r="Q371" i="4"/>
  <c r="S41" i="4"/>
  <c r="R346" i="4"/>
  <c r="R189" i="4"/>
  <c r="P184" i="4"/>
  <c r="S139" i="4"/>
  <c r="R54" i="4"/>
  <c r="S328" i="4"/>
  <c r="S336" i="4"/>
  <c r="Q119" i="4"/>
  <c r="S165" i="4"/>
  <c r="Q111" i="4"/>
  <c r="P178" i="4"/>
  <c r="Q28" i="4"/>
  <c r="R94" i="4"/>
  <c r="R377" i="4"/>
  <c r="Q260" i="4"/>
  <c r="S237" i="4"/>
  <c r="P292" i="4"/>
  <c r="S290" i="4"/>
  <c r="Q71" i="4"/>
  <c r="P159" i="4"/>
  <c r="R224" i="4"/>
  <c r="R33" i="4"/>
  <c r="Q114" i="4"/>
  <c r="T123" i="4"/>
  <c r="T247" i="4"/>
  <c r="T272" i="4"/>
  <c r="T199" i="4"/>
  <c r="T58" i="4"/>
  <c r="T110" i="4"/>
  <c r="T359" i="4"/>
  <c r="T155" i="4"/>
  <c r="D13" i="7"/>
  <c r="L10" i="7"/>
  <c r="S213" i="4"/>
  <c r="Q196" i="4"/>
  <c r="Q95" i="4"/>
  <c r="Q104" i="4"/>
  <c r="R357" i="4"/>
  <c r="S242" i="4"/>
  <c r="Q365" i="4"/>
  <c r="P267" i="4"/>
  <c r="P118" i="4"/>
  <c r="S36" i="4"/>
  <c r="Q85" i="4"/>
  <c r="R367" i="4"/>
  <c r="R302" i="4"/>
  <c r="S286" i="4"/>
  <c r="S280" i="4"/>
  <c r="S45" i="4"/>
  <c r="P28" i="4"/>
  <c r="R229" i="4"/>
  <c r="Q109" i="4"/>
  <c r="S72" i="4"/>
  <c r="T307" i="4"/>
  <c r="T23" i="4"/>
  <c r="T171" i="4"/>
  <c r="T365" i="4"/>
  <c r="T28" i="4"/>
  <c r="T168" i="4"/>
  <c r="T29" i="4"/>
  <c r="T19" i="4"/>
  <c r="P321" i="4"/>
  <c r="S293" i="4"/>
  <c r="S329" i="4"/>
  <c r="S368" i="4"/>
  <c r="Q172" i="4"/>
  <c r="R185" i="4"/>
  <c r="P46" i="4"/>
  <c r="Q156" i="4"/>
  <c r="S381" i="4"/>
  <c r="Q219" i="4"/>
  <c r="Q105" i="4"/>
  <c r="R181" i="4"/>
  <c r="P350" i="4"/>
  <c r="Q248" i="4"/>
  <c r="P195" i="4"/>
  <c r="R92" i="4"/>
  <c r="P73" i="4"/>
  <c r="P360" i="4"/>
  <c r="R380" i="4"/>
  <c r="P283" i="4"/>
  <c r="R216" i="4"/>
  <c r="S37" i="4"/>
  <c r="Q333" i="4"/>
  <c r="S171" i="4"/>
  <c r="P278" i="4"/>
  <c r="S102" i="4"/>
  <c r="S33" i="4"/>
  <c r="Q274" i="4"/>
  <c r="R16" i="4"/>
  <c r="S92" i="4"/>
  <c r="S224" i="4"/>
  <c r="Q369" i="4"/>
  <c r="P141" i="4"/>
  <c r="R26" i="4"/>
  <c r="S369" i="4"/>
  <c r="Q284" i="4"/>
  <c r="S24" i="4"/>
  <c r="Q286" i="4"/>
  <c r="T138" i="4"/>
  <c r="T95" i="4"/>
  <c r="T286" i="4"/>
  <c r="T167" i="4"/>
  <c r="T363" i="4"/>
  <c r="T44" i="4"/>
  <c r="T374" i="4"/>
  <c r="T76" i="4"/>
  <c r="T42" i="4"/>
  <c r="T144" i="4"/>
  <c r="T324" i="4"/>
  <c r="T378" i="4"/>
  <c r="T34" i="4"/>
  <c r="T157" i="4"/>
  <c r="T304" i="4"/>
  <c r="T313" i="4"/>
  <c r="T360" i="4"/>
  <c r="T282" i="4"/>
  <c r="T238" i="4"/>
  <c r="T380" i="4"/>
  <c r="T165" i="4"/>
  <c r="T159" i="4"/>
  <c r="T193" i="4"/>
  <c r="T301" i="4"/>
  <c r="T300" i="4"/>
  <c r="T80" i="4"/>
  <c r="T172" i="4"/>
  <c r="T352" i="4"/>
  <c r="T269" i="4"/>
  <c r="T170" i="4"/>
  <c r="T343" i="4"/>
  <c r="T292" i="4"/>
  <c r="T228" i="4"/>
  <c r="T201" i="4"/>
  <c r="T220" i="4"/>
  <c r="T75" i="4"/>
  <c r="T302" i="4"/>
  <c r="T152" i="4"/>
  <c r="T15" i="4"/>
  <c r="T103" i="4"/>
  <c r="S257" i="4"/>
  <c r="S248" i="4"/>
  <c r="Q329" i="4"/>
  <c r="Q292" i="4"/>
  <c r="R118" i="4"/>
  <c r="S14" i="4"/>
  <c r="P65" i="4"/>
  <c r="Q53" i="4"/>
  <c r="P295" i="4"/>
  <c r="P200" i="4"/>
  <c r="P325" i="4"/>
  <c r="R111" i="4"/>
  <c r="S81" i="4"/>
  <c r="P285" i="4"/>
  <c r="S268" i="4"/>
  <c r="Q200" i="4"/>
  <c r="R182" i="4"/>
  <c r="Q271" i="4"/>
  <c r="Q334" i="4"/>
  <c r="P100" i="4"/>
  <c r="R373" i="4"/>
  <c r="P153" i="4"/>
  <c r="P374" i="4"/>
  <c r="P106" i="4"/>
  <c r="P119" i="4"/>
  <c r="Q91" i="4"/>
  <c r="S71" i="4"/>
  <c r="Q254" i="4"/>
  <c r="Q364" i="4"/>
  <c r="Q343" i="4"/>
  <c r="S284" i="4"/>
  <c r="R135" i="4"/>
  <c r="Q14" i="4"/>
  <c r="Q186" i="4"/>
  <c r="P51" i="4"/>
  <c r="Q131" i="4"/>
  <c r="S192" i="4"/>
  <c r="Q306" i="4"/>
  <c r="P252" i="4"/>
  <c r="P367" i="4"/>
  <c r="Q176" i="4"/>
  <c r="Q80" i="4"/>
  <c r="Q117" i="4"/>
  <c r="P206" i="4"/>
  <c r="Q61" i="4"/>
  <c r="R353" i="4"/>
  <c r="R42" i="4"/>
  <c r="P354" i="4"/>
  <c r="Q48" i="4"/>
  <c r="Q314" i="4"/>
  <c r="P281" i="4"/>
  <c r="P334" i="4"/>
  <c r="P115" i="4"/>
  <c r="R107" i="4"/>
  <c r="Q38" i="4"/>
  <c r="P45" i="4"/>
  <c r="S256" i="4"/>
  <c r="R245" i="4"/>
  <c r="R305" i="4"/>
  <c r="Q132" i="4"/>
  <c r="P331" i="4"/>
  <c r="Q94" i="4"/>
  <c r="P358" i="4"/>
  <c r="R283" i="4"/>
  <c r="R296" i="4"/>
  <c r="P10" i="4"/>
  <c r="R136" i="4"/>
  <c r="Q98" i="4"/>
  <c r="S266" i="4"/>
  <c r="Q56" i="4"/>
  <c r="R67" i="4"/>
  <c r="S137" i="4"/>
  <c r="R55" i="4"/>
  <c r="P268" i="4"/>
  <c r="S191" i="4"/>
  <c r="P82" i="4"/>
  <c r="Q13" i="4"/>
  <c r="R360" i="4"/>
  <c r="R163" i="4"/>
  <c r="P12" i="4"/>
  <c r="P102" i="4"/>
  <c r="P246" i="4"/>
  <c r="S380" i="4"/>
  <c r="P79" i="4"/>
  <c r="R22" i="4"/>
  <c r="Q218" i="4"/>
  <c r="R307" i="4"/>
  <c r="P219" i="4"/>
  <c r="S282" i="4"/>
  <c r="S56" i="4"/>
  <c r="P198" i="4"/>
  <c r="S120" i="4"/>
  <c r="R81" i="4"/>
  <c r="P244" i="4"/>
  <c r="S234" i="4"/>
  <c r="P248" i="4"/>
  <c r="P232" i="4"/>
  <c r="R93" i="4"/>
  <c r="P42" i="4"/>
  <c r="S327" i="4"/>
  <c r="Q130" i="4"/>
  <c r="R87" i="4"/>
  <c r="S179" i="4"/>
  <c r="P41" i="4"/>
  <c r="Q356" i="4"/>
  <c r="Q360" i="4"/>
  <c r="P226" i="4"/>
  <c r="P71" i="4"/>
  <c r="S326" i="4"/>
  <c r="Q332" i="4"/>
  <c r="Q376" i="4"/>
  <c r="S183" i="4"/>
  <c r="S161" i="4"/>
  <c r="Q170" i="4"/>
  <c r="S331" i="4"/>
  <c r="P377" i="4"/>
  <c r="S35" i="4"/>
  <c r="Q168" i="4"/>
  <c r="Q121" i="4"/>
  <c r="P359" i="4"/>
  <c r="R172" i="4"/>
  <c r="S44" i="4"/>
  <c r="R207" i="4"/>
  <c r="R217" i="4"/>
  <c r="S356" i="4"/>
  <c r="S246" i="4"/>
  <c r="R376" i="4"/>
  <c r="P25" i="4"/>
  <c r="R64" i="4"/>
  <c r="R306" i="4"/>
  <c r="R252" i="4"/>
  <c r="S9" i="4"/>
  <c r="S22" i="4"/>
  <c r="P236" i="4"/>
  <c r="S104" i="4"/>
  <c r="P233" i="4"/>
  <c r="R203" i="4"/>
  <c r="R233" i="4"/>
  <c r="Q270" i="4"/>
  <c r="R32" i="4"/>
  <c r="P271" i="4"/>
  <c r="R341" i="4"/>
  <c r="R359" i="4"/>
  <c r="P177" i="4"/>
  <c r="P105" i="4"/>
  <c r="Q317" i="4"/>
  <c r="R12" i="4"/>
  <c r="R120" i="4"/>
  <c r="S147" i="4"/>
  <c r="R13" i="4"/>
  <c r="P152" i="4"/>
  <c r="Q134" i="4"/>
  <c r="Q215" i="4"/>
  <c r="Q216" i="4"/>
  <c r="P173" i="4"/>
  <c r="S370" i="4"/>
  <c r="R205" i="4"/>
  <c r="P90" i="4"/>
  <c r="Q228" i="4"/>
  <c r="Q99" i="4"/>
  <c r="Q116" i="4"/>
  <c r="Q166" i="4"/>
  <c r="R276" i="4"/>
  <c r="P270" i="4"/>
  <c r="S31" i="4"/>
  <c r="Q220" i="4"/>
  <c r="P94" i="4"/>
  <c r="P291" i="4"/>
  <c r="P64" i="4"/>
  <c r="S189" i="4"/>
  <c r="R329" i="4"/>
  <c r="S233" i="4"/>
  <c r="P240" i="4"/>
  <c r="Q259" i="4"/>
  <c r="P220" i="4"/>
  <c r="R72" i="4"/>
  <c r="S26" i="4"/>
  <c r="S345" i="4"/>
  <c r="P336" i="4"/>
  <c r="R114" i="4"/>
  <c r="P183" i="4"/>
  <c r="Q47" i="4"/>
  <c r="Q359" i="4"/>
  <c r="S96" i="4"/>
  <c r="Q264" i="4"/>
  <c r="Q138" i="4"/>
  <c r="R24" i="4"/>
  <c r="T337" i="4"/>
  <c r="T329" i="4"/>
  <c r="T289" i="4"/>
  <c r="T12" i="4"/>
  <c r="T59" i="4"/>
  <c r="T100" i="4"/>
  <c r="T274" i="4"/>
  <c r="T126" i="4"/>
  <c r="T125" i="4"/>
  <c r="S144" i="4"/>
  <c r="S321" i="4"/>
  <c r="R105" i="4"/>
  <c r="S55" i="4"/>
  <c r="P308" i="4"/>
  <c r="Q62" i="4"/>
  <c r="P231" i="4"/>
  <c r="S355" i="4"/>
  <c r="S18" i="4"/>
  <c r="Q127" i="4"/>
  <c r="Q108" i="4"/>
  <c r="P203" i="4"/>
  <c r="R358" i="4"/>
  <c r="R268" i="4"/>
  <c r="R187" i="4"/>
  <c r="S60" i="4"/>
  <c r="Q187" i="4"/>
  <c r="P351" i="4"/>
  <c r="Q188" i="4"/>
  <c r="P50" i="4"/>
  <c r="S312" i="4"/>
  <c r="S180" i="4"/>
  <c r="S130" i="4"/>
  <c r="P344" i="4"/>
  <c r="Q209" i="4"/>
  <c r="Q208" i="4"/>
  <c r="S154" i="4"/>
  <c r="P185" i="4"/>
  <c r="R222" i="4"/>
  <c r="P172" i="4"/>
  <c r="R176" i="4"/>
  <c r="P165" i="4"/>
  <c r="P209" i="4"/>
  <c r="R137" i="4"/>
  <c r="P97" i="4"/>
  <c r="P329" i="4"/>
  <c r="R331" i="4"/>
  <c r="Q118" i="4"/>
  <c r="S349" i="4"/>
  <c r="S311" i="4"/>
  <c r="P92" i="4"/>
  <c r="S334" i="4"/>
  <c r="P108" i="4"/>
  <c r="Q10" i="4"/>
  <c r="S200" i="4"/>
  <c r="P104" i="4"/>
  <c r="R8" i="4"/>
  <c r="S347" i="4"/>
  <c r="P212" i="4"/>
  <c r="S228" i="4"/>
  <c r="S301" i="4"/>
  <c r="R44" i="4"/>
  <c r="S170" i="4"/>
  <c r="Q226" i="4"/>
  <c r="S73" i="4"/>
  <c r="R214" i="4"/>
  <c r="Q316" i="4"/>
  <c r="S294" i="4"/>
  <c r="Q178" i="4"/>
  <c r="S74" i="4"/>
  <c r="S80" i="4"/>
  <c r="R83" i="4"/>
  <c r="R258" i="4"/>
  <c r="P122" i="4"/>
  <c r="P85" i="4"/>
  <c r="P62" i="4"/>
  <c r="S100" i="4"/>
  <c r="Q93" i="4"/>
  <c r="Q301" i="4"/>
  <c r="S61" i="4"/>
  <c r="R255" i="4"/>
  <c r="R175" i="4"/>
  <c r="Q143" i="4"/>
  <c r="S135" i="4"/>
  <c r="R98" i="4"/>
  <c r="P29" i="4"/>
  <c r="S188" i="4"/>
  <c r="P261" i="4"/>
  <c r="Q202" i="4"/>
  <c r="R164" i="4"/>
  <c r="Q342" i="4"/>
  <c r="P330" i="4"/>
  <c r="S379" i="4"/>
  <c r="R68" i="4"/>
  <c r="R143" i="4"/>
  <c r="Q318" i="4"/>
  <c r="S333" i="4"/>
  <c r="R127" i="4"/>
  <c r="Q146" i="4"/>
  <c r="P130" i="4"/>
  <c r="R219" i="4"/>
  <c r="P75" i="4"/>
  <c r="R73" i="4"/>
  <c r="Q16" i="4"/>
  <c r="Q46" i="4"/>
  <c r="Q183" i="4"/>
  <c r="R148" i="4"/>
  <c r="P37" i="4"/>
  <c r="T43" i="4"/>
  <c r="T182" i="4"/>
  <c r="T203" i="4"/>
  <c r="T69" i="4"/>
  <c r="T227" i="4"/>
  <c r="T111" i="4"/>
  <c r="T158" i="4"/>
  <c r="S210" i="4"/>
  <c r="R128" i="4"/>
  <c r="S187" i="4"/>
  <c r="R177" i="4"/>
  <c r="Q346" i="4"/>
  <c r="R293" i="4"/>
  <c r="Q273" i="4"/>
  <c r="P87" i="4"/>
  <c r="Q379" i="4"/>
  <c r="Q26" i="4"/>
  <c r="R262" i="4"/>
  <c r="R303" i="4"/>
  <c r="P269" i="4"/>
  <c r="S119" i="4"/>
  <c r="S169" i="4"/>
  <c r="P126" i="4"/>
  <c r="Q107" i="4"/>
  <c r="Q39" i="4"/>
  <c r="Q231" i="4"/>
  <c r="P332" i="4"/>
  <c r="P279" i="4"/>
  <c r="Q362" i="4"/>
  <c r="S12" i="4"/>
  <c r="R321" i="4"/>
  <c r="R132" i="4"/>
  <c r="P162" i="4"/>
  <c r="Q307" i="4"/>
  <c r="S54" i="4"/>
  <c r="Q290" i="4"/>
  <c r="Q313" i="4"/>
  <c r="R61" i="4"/>
  <c r="P107" i="4"/>
  <c r="P223" i="4"/>
  <c r="R319" i="4"/>
  <c r="P379" i="4"/>
  <c r="R289" i="4"/>
  <c r="P181" i="4"/>
  <c r="T260" i="4"/>
  <c r="P38" i="4"/>
  <c r="R352" i="4"/>
  <c r="Q11" i="4"/>
  <c r="S111" i="4"/>
  <c r="R95" i="4"/>
  <c r="Q153" i="4"/>
  <c r="Q350" i="4"/>
  <c r="R338" i="4"/>
  <c r="R374" i="4"/>
  <c r="S261" i="4"/>
  <c r="Q182" i="4"/>
  <c r="Q77" i="4"/>
  <c r="R238" i="4"/>
  <c r="S117" i="4"/>
  <c r="R349" i="4"/>
  <c r="S313" i="4"/>
  <c r="Q339" i="4"/>
  <c r="Q321" i="4"/>
  <c r="R202" i="4"/>
  <c r="Q315" i="4"/>
  <c r="P288" i="4"/>
  <c r="Q144" i="4"/>
  <c r="S28" i="4"/>
  <c r="R183" i="4"/>
  <c r="R197" i="4"/>
  <c r="R154" i="4"/>
  <c r="R36" i="4"/>
  <c r="Q207" i="4"/>
  <c r="S110" i="4"/>
  <c r="P76" i="4"/>
  <c r="Q378" i="4"/>
  <c r="R249" i="4"/>
  <c r="R57" i="4"/>
  <c r="R271" i="4"/>
  <c r="P263" i="4"/>
  <c r="R99" i="4"/>
  <c r="P237" i="4"/>
  <c r="Q344" i="4"/>
  <c r="R69" i="4"/>
  <c r="Q136" i="4"/>
  <c r="T288" i="4"/>
  <c r="T362" i="4"/>
  <c r="T251" i="4"/>
  <c r="T132" i="4"/>
  <c r="T185" i="4"/>
  <c r="T264" i="4"/>
  <c r="T51" i="4"/>
  <c r="T55" i="4"/>
  <c r="T9" i="4"/>
  <c r="T321" i="4"/>
  <c r="T73" i="4"/>
  <c r="T117" i="4"/>
  <c r="T287" i="4"/>
  <c r="T84" i="4"/>
  <c r="T14" i="4"/>
  <c r="T256" i="4"/>
  <c r="T219" i="4"/>
  <c r="T245" i="4"/>
  <c r="T330" i="4"/>
  <c r="T336" i="4"/>
  <c r="T345" i="4"/>
  <c r="T246" i="4"/>
  <c r="T323" i="4"/>
  <c r="T213" i="4"/>
  <c r="T230" i="4"/>
  <c r="T290" i="4"/>
  <c r="T210" i="4"/>
  <c r="T88" i="4"/>
  <c r="T316" i="4"/>
  <c r="T372" i="4"/>
  <c r="T174" i="4"/>
  <c r="T262" i="4"/>
  <c r="T137" i="4"/>
  <c r="T356" i="4"/>
  <c r="T206" i="4"/>
  <c r="T113" i="4"/>
  <c r="T156" i="4"/>
  <c r="T322" i="4"/>
  <c r="T309" i="4"/>
  <c r="T140" i="4"/>
  <c r="T310" i="4"/>
  <c r="P214" i="4"/>
  <c r="Q272" i="4"/>
  <c r="Q232" i="4"/>
  <c r="S352" i="4"/>
  <c r="P58" i="4"/>
  <c r="R345" i="4"/>
  <c r="R292" i="4"/>
  <c r="S365" i="4"/>
  <c r="R267" i="4"/>
  <c r="P199" i="4"/>
  <c r="P323" i="4"/>
  <c r="S343" i="4"/>
  <c r="P312" i="4"/>
  <c r="R152" i="4"/>
  <c r="Q112" i="4"/>
  <c r="Q74" i="4"/>
  <c r="S238" i="4"/>
  <c r="R138" i="4"/>
  <c r="Q289" i="4"/>
  <c r="S98" i="4"/>
  <c r="R157" i="4"/>
  <c r="Q323" i="4"/>
  <c r="S367" i="4"/>
  <c r="P55" i="4"/>
  <c r="P353" i="4"/>
  <c r="S134" i="4"/>
  <c r="Q221" i="4"/>
  <c r="R291" i="4"/>
  <c r="P257" i="4"/>
  <c r="S50" i="4"/>
  <c r="P365" i="4"/>
  <c r="P120" i="4"/>
  <c r="S359" i="4"/>
  <c r="Q75" i="4"/>
  <c r="S146" i="4"/>
  <c r="S279" i="4"/>
  <c r="P35" i="4"/>
  <c r="Q327" i="4"/>
  <c r="Q160" i="4"/>
  <c r="S285" i="4"/>
  <c r="P222" i="4"/>
  <c r="R191" i="4"/>
  <c r="P23" i="4"/>
  <c r="P74" i="4"/>
  <c r="P148" i="4"/>
  <c r="P378" i="4"/>
  <c r="R370" i="4"/>
  <c r="Q326" i="4"/>
  <c r="R121" i="4"/>
  <c r="S259" i="4"/>
  <c r="S357" i="4"/>
  <c r="S363" i="4"/>
  <c r="R327" i="4"/>
  <c r="P93" i="4"/>
  <c r="P186" i="4"/>
  <c r="Q63" i="4"/>
  <c r="P24" i="4"/>
  <c r="P40" i="4"/>
  <c r="Q36" i="4"/>
  <c r="Q151" i="4"/>
  <c r="S105" i="4"/>
  <c r="R206" i="4"/>
  <c r="S273" i="4"/>
  <c r="Q352" i="4"/>
  <c r="P146" i="4"/>
  <c r="R269" i="4"/>
  <c r="S306" i="4"/>
  <c r="P347" i="4"/>
  <c r="S232" i="4"/>
  <c r="S97" i="4"/>
  <c r="P91" i="4"/>
  <c r="P337" i="4"/>
  <c r="S197" i="4"/>
  <c r="P61" i="4"/>
  <c r="Q133" i="4"/>
  <c r="S255" i="4"/>
  <c r="P286" i="4"/>
  <c r="P116" i="4"/>
  <c r="S150" i="4"/>
  <c r="P36" i="4"/>
  <c r="R317" i="4"/>
  <c r="S58" i="4"/>
  <c r="P201" i="4"/>
  <c r="Q203" i="4"/>
  <c r="Q67" i="4"/>
  <c r="Q175" i="4"/>
  <c r="P314" i="4"/>
  <c r="S236" i="4"/>
  <c r="Q154" i="4"/>
  <c r="T99" i="4"/>
  <c r="T18" i="4"/>
  <c r="T154" i="4"/>
  <c r="R174" i="4"/>
  <c r="R63" i="4"/>
  <c r="R282" i="4"/>
  <c r="P306" i="4"/>
  <c r="Q54" i="4"/>
  <c r="R166" i="4"/>
  <c r="R126" i="4"/>
  <c r="P34" i="4"/>
  <c r="P143" i="4"/>
  <c r="Q198" i="4"/>
  <c r="R28" i="4"/>
  <c r="P375" i="4"/>
  <c r="Q129" i="4"/>
  <c r="P109" i="4"/>
  <c r="S291" i="4"/>
  <c r="S39" i="4"/>
  <c r="P124" i="4"/>
  <c r="P346" i="4"/>
  <c r="Q69" i="4"/>
  <c r="S122" i="4"/>
  <c r="S167" i="4"/>
  <c r="R309" i="4"/>
  <c r="P274" i="4"/>
  <c r="P30" i="4"/>
  <c r="S339" i="4"/>
  <c r="Q45" i="4"/>
  <c r="P18" i="4"/>
  <c r="T285" i="4"/>
  <c r="T291" i="4"/>
  <c r="T108" i="4"/>
  <c r="T54" i="4"/>
  <c r="T41" i="4"/>
  <c r="T160" i="4"/>
  <c r="S249" i="4"/>
  <c r="R347" i="4"/>
  <c r="Q65" i="4"/>
  <c r="P227" i="4"/>
  <c r="S175" i="4"/>
  <c r="T189" i="4"/>
  <c r="T105" i="4"/>
  <c r="T145" i="4"/>
  <c r="T296" i="4"/>
  <c r="T77" i="4"/>
  <c r="T31" i="4"/>
  <c r="T240" i="4"/>
  <c r="T366" i="4"/>
  <c r="T258" i="4"/>
  <c r="T92" i="4"/>
  <c r="T33" i="4"/>
  <c r="T13" i="4"/>
  <c r="T317" i="4"/>
  <c r="T177" i="4"/>
  <c r="T303" i="4"/>
  <c r="T53" i="4"/>
  <c r="T265" i="4"/>
  <c r="T187" i="4"/>
  <c r="T369" i="4"/>
  <c r="T326" i="4"/>
  <c r="T87" i="4"/>
  <c r="T278" i="4"/>
  <c r="T200" i="4"/>
  <c r="T121" i="4"/>
  <c r="T357" i="4"/>
  <c r="T135" i="4"/>
  <c r="T129" i="4"/>
  <c r="T70" i="4"/>
  <c r="T358" i="4"/>
  <c r="T101" i="4"/>
  <c r="T202" i="4"/>
  <c r="T299" i="4"/>
  <c r="T96" i="4"/>
  <c r="T50" i="4"/>
  <c r="T181" i="4"/>
  <c r="S227" i="4"/>
  <c r="R354" i="4"/>
  <c r="R278" i="4"/>
  <c r="P7" i="4"/>
  <c r="S264" i="4"/>
  <c r="Q37" i="4"/>
  <c r="P280" i="4"/>
  <c r="P256" i="4"/>
  <c r="S287" i="4"/>
  <c r="S295" i="4"/>
  <c r="P290" i="4"/>
  <c r="P15" i="4"/>
  <c r="R340" i="4"/>
  <c r="Q161" i="4"/>
  <c r="P33" i="4"/>
  <c r="S136" i="4"/>
  <c r="S196" i="4"/>
  <c r="S77" i="4"/>
  <c r="Q185" i="4"/>
  <c r="P22" i="4"/>
  <c r="S38" i="4"/>
  <c r="P342" i="4"/>
  <c r="P210" i="4"/>
  <c r="S84" i="4"/>
  <c r="Q25" i="4"/>
  <c r="R160" i="4"/>
  <c r="R344" i="4"/>
  <c r="R130" i="4"/>
  <c r="Q293" i="4"/>
  <c r="P319" i="4"/>
  <c r="Q338" i="4"/>
  <c r="R90" i="4"/>
  <c r="R339" i="4"/>
  <c r="S239" i="4"/>
  <c r="P373" i="4"/>
  <c r="S181" i="4"/>
  <c r="R263" i="4"/>
  <c r="R242" i="4"/>
  <c r="S204" i="4"/>
  <c r="P310" i="4"/>
  <c r="R150" i="4"/>
  <c r="P175" i="4"/>
  <c r="Q212" i="4"/>
  <c r="Q12" i="4"/>
  <c r="S341" i="4"/>
  <c r="S78" i="4"/>
  <c r="R336" i="4"/>
  <c r="P305" i="4"/>
  <c r="S93" i="4"/>
  <c r="Q150" i="4"/>
  <c r="R123" i="4"/>
  <c r="P113" i="4"/>
  <c r="R165" i="4"/>
  <c r="S302" i="4"/>
  <c r="Q64" i="4"/>
  <c r="Q252" i="4"/>
  <c r="S278" i="4"/>
  <c r="R315" i="4"/>
  <c r="P78" i="4"/>
  <c r="R298" i="4"/>
  <c r="P254" i="4"/>
  <c r="R192" i="4"/>
  <c r="P318" i="4"/>
  <c r="P101" i="4"/>
  <c r="S300" i="4"/>
  <c r="Q68" i="4"/>
  <c r="S208" i="4"/>
  <c r="P340" i="4"/>
  <c r="Q84" i="4"/>
  <c r="P125" i="4"/>
  <c r="S190" i="4"/>
  <c r="Q124" i="4"/>
  <c r="S263" i="4"/>
  <c r="R84" i="4"/>
  <c r="S145" i="4"/>
  <c r="Q304" i="4"/>
  <c r="P69" i="4"/>
  <c r="S53" i="4"/>
  <c r="P174" i="4"/>
  <c r="P151" i="4"/>
  <c r="Q222" i="4"/>
  <c r="Q312" i="4"/>
  <c r="R11" i="4"/>
  <c r="Q27" i="4"/>
  <c r="P282" i="4"/>
  <c r="R37" i="4"/>
  <c r="Q204" i="4"/>
  <c r="R308" i="4"/>
  <c r="S260" i="4"/>
  <c r="Q367" i="4"/>
  <c r="S362" i="4"/>
  <c r="P239" i="4"/>
  <c r="R41" i="4"/>
  <c r="P168" i="4"/>
  <c r="P117" i="4"/>
  <c r="P70" i="4"/>
  <c r="S366" i="4"/>
  <c r="P193" i="4"/>
  <c r="R56" i="4"/>
  <c r="R155" i="4"/>
  <c r="R156" i="4"/>
  <c r="Q262" i="4"/>
  <c r="R361" i="4"/>
  <c r="S281" i="4"/>
  <c r="Q43" i="4"/>
  <c r="Q57" i="4"/>
  <c r="S124" i="4"/>
  <c r="S184" i="4"/>
  <c r="Q21" i="4"/>
  <c r="S205" i="4"/>
  <c r="R366" i="4"/>
  <c r="P112" i="4"/>
  <c r="S211" i="4"/>
  <c r="R9" i="4"/>
  <c r="P217" i="4"/>
  <c r="P83" i="4"/>
  <c r="Q195" i="4"/>
  <c r="Q234" i="4"/>
  <c r="S29" i="4"/>
  <c r="P258" i="4"/>
  <c r="R103" i="4"/>
  <c r="P163" i="4"/>
  <c r="R106" i="4"/>
  <c r="S340" i="4"/>
  <c r="R178" i="4"/>
  <c r="Q58" i="4"/>
  <c r="P132" i="4"/>
  <c r="S292" i="4"/>
  <c r="S372" i="4"/>
  <c r="S250" i="4"/>
  <c r="P205" i="4"/>
  <c r="P247" i="4"/>
  <c r="R227" i="4"/>
  <c r="Q59" i="4"/>
  <c r="Q322" i="4"/>
  <c r="R19" i="4"/>
  <c r="Q55" i="4"/>
  <c r="R312" i="4"/>
  <c r="P171" i="4"/>
  <c r="R256" i="4"/>
  <c r="P364" i="4"/>
  <c r="Q181" i="4"/>
  <c r="S218" i="4"/>
  <c r="Q164" i="4"/>
  <c r="S62" i="4"/>
  <c r="R193" i="4"/>
  <c r="R23" i="4"/>
  <c r="Q44" i="4"/>
  <c r="P11" i="4"/>
  <c r="S324" i="4"/>
  <c r="R199" i="4"/>
  <c r="S377" i="4"/>
  <c r="R375" i="4"/>
  <c r="Q237" i="4"/>
  <c r="P194" i="4"/>
  <c r="S164" i="4"/>
  <c r="S378" i="4"/>
  <c r="Q296" i="4"/>
  <c r="R310" i="4"/>
  <c r="Q357" i="4"/>
  <c r="S307" i="4"/>
  <c r="Q82" i="4"/>
  <c r="Q23" i="4"/>
  <c r="Q336" i="4"/>
  <c r="Q199" i="4"/>
  <c r="P371" i="4"/>
  <c r="R39" i="4"/>
  <c r="Q309" i="4"/>
  <c r="S17" i="4"/>
  <c r="Q242" i="4"/>
  <c r="R25" i="4"/>
  <c r="R363" i="4"/>
  <c r="Q358" i="4"/>
  <c r="R266" i="4"/>
  <c r="Q380" i="4"/>
  <c r="Q22" i="4"/>
  <c r="Q128" i="4"/>
  <c r="R169" i="4"/>
  <c r="R40" i="4"/>
  <c r="Q17" i="4"/>
  <c r="R239" i="4"/>
  <c r="S199" i="4"/>
  <c r="Q276" i="4"/>
  <c r="R168" i="4"/>
  <c r="S115" i="4"/>
  <c r="S258" i="4"/>
  <c r="R18" i="4"/>
  <c r="Q100" i="4"/>
  <c r="T191" i="4"/>
  <c r="T243" i="4"/>
  <c r="T146" i="4"/>
  <c r="T194" i="4"/>
  <c r="T124" i="4"/>
  <c r="T153" i="4"/>
  <c r="T342" i="4"/>
  <c r="T261" i="4"/>
  <c r="T112" i="4"/>
  <c r="H9" i="7"/>
  <c r="T308" i="4"/>
  <c r="T188" i="4"/>
  <c r="T21" i="4"/>
  <c r="T250" i="4"/>
  <c r="T347" i="4"/>
  <c r="T57" i="4"/>
  <c r="T143" i="4"/>
  <c r="T379" i="4"/>
  <c r="T106" i="4"/>
  <c r="T163" i="4"/>
  <c r="T120" i="4"/>
  <c r="T205" i="4"/>
  <c r="T81" i="4"/>
  <c r="T195" i="4"/>
  <c r="T223" i="4"/>
  <c r="S82" i="4"/>
  <c r="R285" i="4"/>
  <c r="P299" i="4"/>
  <c r="P335" i="4"/>
  <c r="Q268" i="4"/>
  <c r="Q377" i="4"/>
  <c r="S149" i="4"/>
  <c r="S32" i="4"/>
  <c r="R228" i="4"/>
  <c r="Q194" i="4"/>
  <c r="S223" i="4"/>
  <c r="S330" i="4"/>
  <c r="S354" i="4"/>
  <c r="S152" i="4"/>
  <c r="R290" i="4"/>
  <c r="S8" i="4"/>
  <c r="S129" i="4"/>
  <c r="Q249" i="4"/>
  <c r="P156" i="4"/>
  <c r="S69" i="4"/>
  <c r="P296" i="4"/>
  <c r="Q86" i="4"/>
  <c r="P26" i="4"/>
  <c r="Q169" i="4"/>
  <c r="P293" i="4"/>
  <c r="S265" i="4"/>
  <c r="R34" i="4"/>
  <c r="Q191" i="4"/>
  <c r="Q50" i="4"/>
  <c r="P127" i="4"/>
  <c r="P355" i="4"/>
  <c r="S222" i="4"/>
  <c r="P208" i="4"/>
  <c r="Q122" i="4"/>
  <c r="T284" i="4"/>
  <c r="T214" i="4"/>
  <c r="T147" i="4"/>
  <c r="T85" i="4"/>
  <c r="T367" i="4"/>
  <c r="T305" i="4"/>
  <c r="T61" i="4"/>
  <c r="T335" i="4"/>
  <c r="T241" i="4"/>
  <c r="T67" i="4"/>
  <c r="T234" i="4"/>
  <c r="S360" i="4"/>
  <c r="R342" i="4"/>
  <c r="P59" i="4"/>
  <c r="Q374" i="4"/>
  <c r="P297" i="4"/>
  <c r="R144" i="4"/>
  <c r="S245" i="4"/>
  <c r="R59" i="4"/>
  <c r="P204" i="4"/>
  <c r="Q35" i="4"/>
  <c r="S91" i="4"/>
  <c r="Q341" i="4"/>
  <c r="S206" i="4"/>
  <c r="S310" i="4"/>
  <c r="P228" i="4"/>
  <c r="S95" i="4"/>
  <c r="S126" i="4"/>
  <c r="P67" i="4"/>
  <c r="Q328" i="4"/>
  <c r="S244" i="4"/>
  <c r="Q302" i="4"/>
  <c r="Q265" i="4"/>
  <c r="P188" i="4"/>
  <c r="Q24" i="4"/>
  <c r="Q158" i="4"/>
  <c r="R190" i="4"/>
  <c r="Q278" i="4"/>
  <c r="Q233" i="4"/>
  <c r="P140" i="4"/>
  <c r="R368" i="4"/>
  <c r="R48" i="4"/>
  <c r="R333" i="4"/>
  <c r="S303" i="4"/>
  <c r="P234" i="4"/>
  <c r="S283" i="4"/>
  <c r="Q101" i="4"/>
  <c r="R170" i="4"/>
  <c r="P345" i="4"/>
  <c r="Q192" i="4"/>
  <c r="T7" i="4"/>
  <c r="T293" i="4"/>
  <c r="T333" i="4"/>
  <c r="T242" i="4"/>
  <c r="T162" i="4"/>
  <c r="T217" i="4"/>
  <c r="T186" i="4"/>
  <c r="T32" i="4"/>
  <c r="T327" i="4"/>
  <c r="T10" i="4"/>
  <c r="T236" i="4"/>
  <c r="T375" i="4"/>
  <c r="T348" i="4"/>
  <c r="T48" i="4"/>
  <c r="T115" i="4"/>
  <c r="T164" i="4"/>
  <c r="T196" i="4"/>
  <c r="T270" i="4"/>
  <c r="T35" i="4"/>
  <c r="T56" i="4"/>
  <c r="T47" i="4"/>
  <c r="T141" i="4"/>
  <c r="T248" i="4"/>
  <c r="T78" i="4"/>
  <c r="T259" i="4"/>
  <c r="T180" i="4"/>
  <c r="T66" i="4"/>
  <c r="T127" i="4"/>
  <c r="T226" i="4"/>
  <c r="T334" i="4"/>
  <c r="T104" i="4"/>
  <c r="T224" i="4"/>
  <c r="T175" i="4"/>
  <c r="T294" i="4"/>
  <c r="T184" i="4"/>
  <c r="T376" i="4"/>
  <c r="T142" i="4"/>
  <c r="T306" i="4"/>
  <c r="T197" i="4"/>
  <c r="R221" i="4"/>
  <c r="P333" i="4"/>
  <c r="R232" i="4"/>
  <c r="Q229" i="4"/>
  <c r="S65" i="4"/>
  <c r="Q18" i="4"/>
  <c r="P150" i="4"/>
  <c r="Q88" i="4"/>
  <c r="P160" i="4"/>
  <c r="R108" i="4"/>
  <c r="P57" i="4"/>
  <c r="R230" i="4"/>
  <c r="S172" i="4"/>
  <c r="P17" i="4"/>
  <c r="Q30" i="4"/>
  <c r="S108" i="4"/>
  <c r="S247" i="4"/>
  <c r="Q31" i="4"/>
  <c r="S219" i="4"/>
  <c r="S252" i="4"/>
  <c r="S75" i="4"/>
  <c r="P128" i="4"/>
  <c r="P251" i="4"/>
  <c r="S323" i="4"/>
  <c r="R273" i="4"/>
  <c r="R243" i="4"/>
  <c r="P8" i="4"/>
  <c r="Q355" i="4"/>
  <c r="S160" i="4"/>
  <c r="Q7" i="4"/>
  <c r="P167" i="4"/>
  <c r="S7" i="4"/>
  <c r="R110" i="4"/>
  <c r="S271" i="4"/>
  <c r="R70" i="4"/>
  <c r="S346" i="4"/>
  <c r="P169" i="4"/>
  <c r="P324" i="4"/>
  <c r="R173" i="4"/>
  <c r="Q255" i="4"/>
  <c r="R7" i="4"/>
  <c r="S107" i="4"/>
  <c r="Q349" i="4"/>
  <c r="Q9" i="4"/>
  <c r="S106" i="4"/>
  <c r="P243" i="4"/>
  <c r="S123" i="4"/>
  <c r="Q275" i="4"/>
  <c r="Q20" i="4"/>
  <c r="S177" i="4"/>
  <c r="P253" i="4"/>
  <c r="S174" i="4"/>
  <c r="R208" i="4"/>
  <c r="Q299" i="4"/>
  <c r="R314" i="4"/>
  <c r="R272" i="4"/>
  <c r="R323" i="4"/>
  <c r="P255" i="4"/>
  <c r="Q310" i="4"/>
  <c r="P31" i="4"/>
  <c r="Q171" i="4"/>
  <c r="S309" i="4"/>
  <c r="P225" i="4"/>
  <c r="Q253" i="4"/>
  <c r="R281" i="4"/>
  <c r="S68" i="4"/>
  <c r="Q236" i="4"/>
  <c r="P145" i="4"/>
  <c r="Q33" i="4"/>
  <c r="P224" i="4"/>
  <c r="S89" i="4"/>
  <c r="R257" i="4"/>
  <c r="R355" i="4"/>
  <c r="Q42" i="4"/>
  <c r="S63" i="4"/>
  <c r="P157" i="4"/>
  <c r="Q155" i="4"/>
  <c r="P381" i="4"/>
  <c r="S203" i="4"/>
  <c r="R235" i="4"/>
  <c r="P136" i="4"/>
  <c r="Q246" i="4"/>
  <c r="R140" i="4"/>
  <c r="Q239" i="4"/>
  <c r="S235" i="4"/>
  <c r="R14" i="4"/>
  <c r="R313" i="4"/>
  <c r="R277" i="4"/>
  <c r="R146" i="4"/>
  <c r="Q142" i="4"/>
  <c r="S23" i="4"/>
  <c r="S163" i="4"/>
  <c r="R318" i="4"/>
  <c r="R351" i="4"/>
  <c r="P179" i="4"/>
  <c r="S342" i="4"/>
  <c r="P366" i="4"/>
  <c r="S241" i="4"/>
  <c r="P327" i="4"/>
  <c r="R100" i="4"/>
  <c r="R162" i="4"/>
  <c r="P276" i="4"/>
  <c r="S88" i="4"/>
  <c r="Q337" i="4"/>
  <c r="Q60" i="4"/>
  <c r="Q244" i="4"/>
  <c r="Q245" i="4"/>
  <c r="P63" i="4"/>
  <c r="R210" i="4"/>
  <c r="Q66" i="4"/>
  <c r="R179" i="4"/>
  <c r="P362" i="4"/>
  <c r="R167" i="4"/>
  <c r="S319" i="4"/>
  <c r="P166" i="4"/>
  <c r="S16" i="4"/>
  <c r="R161" i="4"/>
  <c r="Q8" i="4"/>
  <c r="P259" i="4"/>
  <c r="Q162" i="4"/>
  <c r="S87" i="4"/>
  <c r="R378" i="4"/>
  <c r="Q167" i="4"/>
  <c r="S276" i="4"/>
  <c r="Q102" i="4"/>
  <c r="S299" i="4"/>
  <c r="Q174" i="4"/>
  <c r="R200" i="4"/>
  <c r="P348" i="4"/>
  <c r="S143" i="4"/>
  <c r="Q184" i="4"/>
  <c r="R381" i="4"/>
  <c r="S316" i="4"/>
  <c r="R159" i="4"/>
  <c r="P72" i="4"/>
  <c r="P187" i="4"/>
  <c r="Q89" i="4"/>
  <c r="Q165" i="4"/>
  <c r="S371" i="4"/>
  <c r="S20" i="4"/>
  <c r="R31" i="4"/>
  <c r="Q283" i="4"/>
  <c r="Q90" i="4"/>
  <c r="S15" i="4"/>
  <c r="R250" i="4"/>
  <c r="S52" i="4"/>
  <c r="R171" i="4"/>
  <c r="P221" i="4"/>
  <c r="P218" i="4"/>
  <c r="R198" i="4"/>
  <c r="R280" i="4"/>
  <c r="S166" i="4"/>
  <c r="P316" i="4"/>
  <c r="P154" i="4"/>
  <c r="P272" i="4"/>
  <c r="P211" i="4"/>
  <c r="P52" i="4"/>
  <c r="R274" i="4"/>
  <c r="Q331" i="4"/>
  <c r="Q256" i="4"/>
  <c r="R17" i="4"/>
  <c r="P338" i="4"/>
  <c r="S193" i="4"/>
  <c r="S305" i="4"/>
  <c r="S94" i="4"/>
  <c r="R364" i="4"/>
  <c r="P39" i="4"/>
  <c r="P294" i="4"/>
  <c r="Q163" i="4"/>
  <c r="S47" i="4"/>
  <c r="S101" i="4"/>
  <c r="S34" i="4"/>
  <c r="S118" i="4"/>
  <c r="R261" i="4"/>
  <c r="Q247" i="4"/>
  <c r="P99" i="4"/>
  <c r="Q79" i="4"/>
  <c r="S338" i="4"/>
  <c r="S270" i="4"/>
  <c r="R251" i="4"/>
  <c r="Q227" i="4"/>
  <c r="R102" i="4"/>
  <c r="P95" i="4"/>
  <c r="S254" i="4"/>
  <c r="S116" i="4"/>
  <c r="R125" i="4"/>
  <c r="R369" i="4"/>
  <c r="P27" i="4"/>
  <c r="T216" i="4"/>
  <c r="T311" i="4"/>
  <c r="T355" i="4"/>
  <c r="T211" i="4"/>
  <c r="T166" i="4"/>
  <c r="T249" i="4"/>
  <c r="T263" i="4"/>
  <c r="T255" i="4"/>
  <c r="T176" i="4"/>
  <c r="T169" i="4"/>
  <c r="T131" i="4"/>
  <c r="T82" i="4"/>
  <c r="T30" i="4"/>
  <c r="T331" i="4"/>
  <c r="P317" i="4"/>
  <c r="R51" i="4"/>
  <c r="Q287" i="4"/>
  <c r="S30" i="4"/>
  <c r="Q110" i="4"/>
  <c r="R82" i="4"/>
  <c r="P164" i="4"/>
  <c r="Q123" i="4"/>
  <c r="Q291" i="4"/>
  <c r="R104" i="4"/>
  <c r="S132" i="4"/>
  <c r="R21" i="4"/>
  <c r="Q303" i="4"/>
  <c r="R301" i="4"/>
  <c r="S251" i="4"/>
  <c r="R79" i="4"/>
  <c r="R20" i="4"/>
  <c r="S186" i="4"/>
  <c r="R320" i="4"/>
  <c r="Q285" i="4"/>
  <c r="S141" i="4"/>
  <c r="P54" i="4"/>
  <c r="R211" i="4"/>
  <c r="Q70" i="4"/>
  <c r="Q40" i="4"/>
  <c r="R119" i="4"/>
  <c r="Q224" i="4"/>
  <c r="P277" i="4"/>
  <c r="R60" i="4"/>
  <c r="P66" i="4"/>
  <c r="P322" i="4"/>
  <c r="P370" i="4"/>
  <c r="P197" i="4"/>
  <c r="T339" i="4"/>
  <c r="T148" i="4"/>
  <c r="T89" i="4"/>
  <c r="T222" i="4"/>
  <c r="T130" i="4"/>
  <c r="T295" i="4"/>
  <c r="T68" i="4"/>
  <c r="T79" i="4"/>
  <c r="T218" i="4"/>
  <c r="Q81" i="4"/>
  <c r="S376" i="4"/>
  <c r="P249" i="4"/>
  <c r="S85" i="4"/>
  <c r="Q73" i="4"/>
  <c r="Q269" i="4"/>
  <c r="Q282" i="4"/>
  <c r="R35" i="4"/>
  <c r="S253" i="4"/>
  <c r="P144" i="4"/>
  <c r="P134" i="4"/>
  <c r="Q180" i="4"/>
  <c r="R356" i="4"/>
  <c r="R218" i="4"/>
  <c r="Q145" i="4"/>
  <c r="R112" i="4"/>
  <c r="Q201" i="4"/>
  <c r="Q34" i="4"/>
  <c r="S42" i="4"/>
  <c r="P242" i="4"/>
  <c r="P372" i="4"/>
  <c r="P142" i="4"/>
  <c r="S76" i="4"/>
  <c r="P190" i="4"/>
  <c r="P260" i="4"/>
  <c r="Q19" i="4"/>
  <c r="P315" i="4"/>
  <c r="R80" i="4"/>
  <c r="P380" i="4"/>
  <c r="S207" i="4"/>
  <c r="P302" i="4"/>
  <c r="S40" i="4"/>
  <c r="R115" i="4"/>
  <c r="P133" i="4"/>
  <c r="S158" i="4"/>
  <c r="Q210" i="4"/>
  <c r="P368" i="4"/>
  <c r="P89" i="4"/>
  <c r="R49" i="4"/>
  <c r="P53" i="4"/>
  <c r="T16" i="4"/>
  <c r="T273" i="4"/>
  <c r="T65" i="4"/>
  <c r="T354" i="4"/>
  <c r="T26" i="4"/>
  <c r="T74" i="4"/>
  <c r="T235" i="4"/>
  <c r="T150" i="4"/>
  <c r="T344" i="4"/>
  <c r="T209" i="4"/>
  <c r="T233" i="4"/>
  <c r="T46" i="4"/>
  <c r="T45" i="4"/>
  <c r="T377" i="4"/>
  <c r="T276" i="4"/>
  <c r="T207" i="4"/>
  <c r="T349" i="4"/>
  <c r="T17" i="4"/>
  <c r="T368" i="4"/>
  <c r="T161" i="4"/>
  <c r="T364" i="4"/>
  <c r="T237" i="4"/>
  <c r="T93" i="4"/>
  <c r="T244" i="4"/>
  <c r="T109" i="4"/>
  <c r="T319" i="4"/>
  <c r="T198" i="4"/>
  <c r="T221" i="4"/>
  <c r="T173" i="4"/>
  <c r="T102" i="4"/>
  <c r="T257" i="4"/>
  <c r="T134" i="4"/>
  <c r="T71" i="4"/>
  <c r="T340" i="4"/>
  <c r="T107" i="4"/>
  <c r="T298" i="4"/>
  <c r="T277" i="4"/>
  <c r="T346" i="4"/>
  <c r="T320" i="4"/>
  <c r="T179" i="4"/>
  <c r="T239" i="4"/>
  <c r="P266" i="4"/>
  <c r="R332" i="4"/>
  <c r="R234" i="4"/>
  <c r="R186" i="4"/>
  <c r="R371" i="4"/>
  <c r="R195" i="4"/>
  <c r="P137" i="4"/>
  <c r="Q126" i="4"/>
  <c r="S308" i="4"/>
  <c r="R260" i="4"/>
  <c r="Q288" i="4"/>
  <c r="P49" i="4"/>
  <c r="P273" i="4"/>
  <c r="R52" i="4"/>
  <c r="R96" i="4"/>
  <c r="S274" i="4"/>
  <c r="S240" i="4"/>
  <c r="R29" i="4"/>
  <c r="S262" i="4"/>
  <c r="P182" i="4"/>
  <c r="R116" i="4"/>
  <c r="S314" i="4"/>
  <c r="P307" i="4"/>
  <c r="Q225" i="4"/>
  <c r="P80" i="4"/>
  <c r="R350" i="4"/>
  <c r="S156" i="4"/>
  <c r="R337" i="4"/>
  <c r="Q347" i="4"/>
  <c r="P275" i="4"/>
  <c r="Q250" i="4"/>
  <c r="Q277" i="4"/>
  <c r="R74" i="4"/>
  <c r="R325" i="4"/>
  <c r="S201" i="4"/>
  <c r="S298" i="4"/>
  <c r="P88" i="4"/>
  <c r="P44" i="4"/>
  <c r="R109" i="4"/>
  <c r="R153" i="4"/>
  <c r="P48" i="4"/>
  <c r="Q354" i="4"/>
  <c r="Q211" i="4"/>
  <c r="R77" i="4"/>
  <c r="Q261" i="4"/>
  <c r="Q300" i="4"/>
  <c r="R78" i="4"/>
  <c r="Q76" i="4"/>
  <c r="S364" i="4"/>
  <c r="S133" i="4"/>
  <c r="R58" i="4"/>
  <c r="R184" i="4"/>
  <c r="P300" i="4"/>
  <c r="R75" i="4"/>
  <c r="P123" i="4"/>
  <c r="Q368" i="4"/>
  <c r="S185" i="4"/>
  <c r="Q370" i="4"/>
  <c r="Q279" i="4"/>
  <c r="P229" i="4"/>
  <c r="P313" i="4"/>
  <c r="S350" i="4"/>
  <c r="R133" i="4"/>
  <c r="R180" i="4"/>
  <c r="R188" i="4"/>
  <c r="R147" i="4"/>
  <c r="Q41" i="4"/>
  <c r="S103" i="4"/>
  <c r="Q51" i="4"/>
  <c r="P356" i="4"/>
  <c r="P84" i="4"/>
  <c r="R65" i="4"/>
  <c r="P352" i="4"/>
  <c r="P9" i="4"/>
  <c r="R335" i="4"/>
  <c r="S277" i="4"/>
  <c r="S216" i="4"/>
  <c r="P304" i="4"/>
  <c r="S215" i="4"/>
  <c r="R45" i="4"/>
  <c r="S317" i="4"/>
  <c r="Q72" i="4"/>
  <c r="Q135" i="4"/>
  <c r="R30" i="4"/>
  <c r="Q319" i="4"/>
  <c r="Q372" i="4"/>
  <c r="Q213" i="4"/>
  <c r="R91" i="4"/>
  <c r="P129" i="4"/>
  <c r="Q230" i="4"/>
  <c r="P357" i="4"/>
  <c r="P98" i="4"/>
  <c r="S267" i="4"/>
  <c r="S59" i="4"/>
  <c r="P320" i="4"/>
  <c r="R294" i="4"/>
  <c r="Q381" i="4"/>
  <c r="S51" i="4"/>
  <c r="P235" i="4"/>
  <c r="Q179" i="4"/>
  <c r="Q173" i="4"/>
  <c r="S198" i="4"/>
  <c r="Q92" i="4"/>
  <c r="P114" i="4"/>
  <c r="P19" i="4"/>
  <c r="R236" i="4"/>
  <c r="Q324" i="4"/>
  <c r="P16" i="4"/>
  <c r="R241" i="4"/>
  <c r="Q257" i="4"/>
  <c r="P13" i="4"/>
  <c r="S202" i="4"/>
  <c r="Q251" i="4"/>
  <c r="S225" i="4"/>
  <c r="R254" i="4"/>
  <c r="S374" i="4"/>
  <c r="Q235" i="4"/>
  <c r="P309" i="4"/>
  <c r="P215" i="4"/>
  <c r="P189" i="4"/>
  <c r="P339" i="4"/>
  <c r="S229" i="4"/>
  <c r="P56" i="4"/>
  <c r="R343" i="4"/>
  <c r="R246" i="4"/>
  <c r="S325" i="4"/>
  <c r="Q103" i="4"/>
  <c r="R88" i="4"/>
  <c r="Q238" i="4"/>
  <c r="P349" i="4"/>
  <c r="R201" i="4"/>
  <c r="R47" i="4"/>
  <c r="P131" i="4"/>
  <c r="S348" i="4"/>
  <c r="R134" i="4"/>
  <c r="R295" i="4"/>
  <c r="S43" i="4"/>
  <c r="R240" i="4"/>
  <c r="Q193" i="4"/>
  <c r="R53" i="4"/>
  <c r="P363" i="4"/>
  <c r="P284" i="4"/>
  <c r="R15" i="4"/>
  <c r="Q345" i="4"/>
  <c r="Q214" i="4"/>
  <c r="P86" i="4"/>
  <c r="S64" i="4"/>
  <c r="R259" i="4"/>
  <c r="S142" i="4"/>
  <c r="S322" i="4"/>
  <c r="P21" i="4"/>
  <c r="R158" i="4"/>
  <c r="S157" i="4"/>
  <c r="R50" i="4"/>
  <c r="R279" i="4"/>
  <c r="Q243" i="4"/>
  <c r="P326" i="4"/>
  <c r="R66" i="4"/>
  <c r="Q308" i="4"/>
  <c r="S125" i="4"/>
  <c r="P241" i="4"/>
  <c r="S25" i="4"/>
  <c r="R365" i="4"/>
  <c r="S138" i="4"/>
  <c r="Q205" i="4"/>
  <c r="P14" i="4"/>
  <c r="Q15" i="4"/>
  <c r="P250" i="4"/>
  <c r="Q152" i="4"/>
  <c r="Q177" i="4"/>
  <c r="R85" i="4"/>
  <c r="R215" i="4"/>
  <c r="Q83" i="4"/>
  <c r="P196" i="4"/>
  <c r="Q96" i="4"/>
  <c r="S121" i="4"/>
  <c r="S288" i="4"/>
  <c r="S214" i="4"/>
  <c r="Q266" i="4"/>
  <c r="Q52" i="4"/>
  <c r="S70" i="4"/>
  <c r="S209" i="4"/>
  <c r="Q298" i="4"/>
  <c r="R101" i="4"/>
  <c r="R299" i="4"/>
  <c r="S351" i="4"/>
  <c r="R324" i="4"/>
  <c r="S148" i="4"/>
  <c r="T116" i="4"/>
  <c r="T381" i="4"/>
  <c r="T72" i="4"/>
  <c r="T64" i="4"/>
  <c r="T361" i="4"/>
  <c r="T338" i="4"/>
  <c r="T266" i="4"/>
  <c r="T22" i="4"/>
  <c r="T27" i="4"/>
  <c r="T281" i="4"/>
  <c r="T83" i="4"/>
  <c r="T11" i="4"/>
  <c r="T232" i="4"/>
  <c r="T279" i="4"/>
  <c r="T341" i="4"/>
  <c r="T350" i="4"/>
  <c r="T8" i="4"/>
  <c r="T280" i="4"/>
  <c r="T36" i="4"/>
  <c r="R311" i="4"/>
  <c r="R334" i="4"/>
  <c r="S114" i="4"/>
  <c r="P121" i="4"/>
  <c r="S112" i="4"/>
  <c r="Q330" i="4"/>
  <c r="P213" i="4"/>
  <c r="Q335" i="4"/>
  <c r="Q140" i="4"/>
  <c r="S344" i="4"/>
  <c r="Q320" i="4"/>
  <c r="Q240" i="4"/>
  <c r="R226" i="4"/>
  <c r="R248" i="4"/>
  <c r="S296" i="4"/>
  <c r="Q325" i="4"/>
  <c r="S231" i="4"/>
  <c r="S375" i="4"/>
  <c r="Q137" i="4"/>
  <c r="Q263" i="4"/>
  <c r="P264" i="4"/>
  <c r="S275" i="4"/>
  <c r="R284" i="4"/>
  <c r="R328" i="4"/>
  <c r="R362" i="4"/>
  <c r="P158" i="4"/>
  <c r="Q305" i="4"/>
  <c r="Q49" i="4"/>
  <c r="P328" i="4"/>
  <c r="S155" i="4"/>
  <c r="S272" i="4"/>
  <c r="Q375" i="4"/>
  <c r="Q139" i="4"/>
  <c r="S373" i="4"/>
  <c r="S182" i="4"/>
  <c r="R131" i="4"/>
  <c r="P149" i="4"/>
  <c r="T178" i="4"/>
  <c r="T98" i="4"/>
  <c r="T297" i="4"/>
  <c r="T371" i="4"/>
  <c r="T283" i="4"/>
  <c r="T52" i="4"/>
  <c r="T62" i="4"/>
  <c r="T192" i="4"/>
  <c r="T63" i="4"/>
  <c r="T268" i="4"/>
  <c r="Q141" i="4"/>
  <c r="S21" i="4"/>
  <c r="S212" i="4"/>
  <c r="P96" i="4"/>
  <c r="R113" i="4"/>
  <c r="Q29" i="4"/>
  <c r="S173" i="4"/>
  <c r="S168" i="4"/>
  <c r="P47" i="4"/>
  <c r="Q189" i="4"/>
  <c r="S230" i="4"/>
  <c r="R142" i="4"/>
  <c r="R10" i="4"/>
  <c r="S127" i="4"/>
  <c r="S221" i="4"/>
  <c r="P361" i="4"/>
  <c r="R326" i="4"/>
  <c r="Q258" i="4"/>
  <c r="Q281" i="4"/>
  <c r="S10" i="4"/>
  <c r="P139" i="4"/>
  <c r="R213" i="4"/>
  <c r="S27" i="4"/>
  <c r="P192" i="4"/>
  <c r="Q97" i="4"/>
  <c r="T328" i="4"/>
  <c r="T351" i="4"/>
  <c r="T254" i="4"/>
  <c r="T315" i="4"/>
  <c r="T225" i="4"/>
  <c r="T40" i="4"/>
  <c r="T38" i="4"/>
  <c r="T91" i="4"/>
  <c r="T252" i="4"/>
  <c r="J2" i="4" l="1"/>
  <c r="O3" i="2"/>
  <c r="L3" i="2"/>
  <c r="AC6" i="4"/>
  <c r="AE6" i="4"/>
  <c r="AF6" i="4"/>
  <c r="AG6" i="4"/>
  <c r="AH6" i="4"/>
  <c r="AJ6" i="4"/>
  <c r="AN6" i="4"/>
  <c r="AD6" i="4"/>
  <c r="AK6" i="4"/>
  <c r="AM6" i="4"/>
  <c r="AO6" i="4"/>
  <c r="AL6" i="4"/>
  <c r="AC344" i="4"/>
  <c r="AC76" i="4"/>
  <c r="AC240" i="4"/>
  <c r="AC40" i="4"/>
  <c r="AC231" i="4"/>
  <c r="AC49" i="4"/>
  <c r="AC304" i="4"/>
  <c r="AC364" i="4"/>
  <c r="AC366" i="4"/>
  <c r="AC244" i="4"/>
  <c r="AC208" i="4"/>
  <c r="AC180" i="4"/>
  <c r="AC353" i="4"/>
  <c r="AC369" i="4"/>
  <c r="AC63" i="4"/>
  <c r="AC253" i="4"/>
  <c r="AC314" i="4"/>
  <c r="AC294" i="4"/>
  <c r="AC360" i="4"/>
  <c r="AC358" i="4"/>
  <c r="AC68" i="4"/>
  <c r="AC204" i="4"/>
  <c r="AC220" i="4"/>
  <c r="AC137" i="4"/>
  <c r="AC94" i="4"/>
  <c r="AC306" i="4"/>
  <c r="AC230" i="4"/>
  <c r="AC271" i="4"/>
  <c r="AC54" i="4"/>
  <c r="AC280" i="4"/>
  <c r="AC95" i="4"/>
  <c r="AC346" i="4"/>
  <c r="AC190" i="4"/>
  <c r="AC162" i="4"/>
  <c r="AC38" i="4"/>
  <c r="AC36" i="4"/>
  <c r="AC195" i="4"/>
  <c r="AC194" i="4"/>
  <c r="AC315" i="4"/>
  <c r="AC88" i="4"/>
  <c r="AC168" i="4"/>
  <c r="AC256" i="4"/>
  <c r="AC110" i="4"/>
  <c r="AC293" i="4"/>
  <c r="AC267" i="4"/>
  <c r="AC132" i="4"/>
  <c r="AC268" i="4"/>
  <c r="AE32" i="4"/>
  <c r="AE115" i="4"/>
  <c r="AE40" i="4"/>
  <c r="AE28" i="4"/>
  <c r="AE377" i="4"/>
  <c r="AE118" i="4"/>
  <c r="AE37" i="4"/>
  <c r="AE241" i="4"/>
  <c r="AE283" i="4"/>
  <c r="AE371" i="4"/>
  <c r="AE334" i="4"/>
  <c r="AE63" i="4"/>
  <c r="AE337" i="4"/>
  <c r="AE104" i="4"/>
  <c r="AE360" i="4"/>
  <c r="AE107" i="4"/>
  <c r="AE221" i="4"/>
  <c r="AE174" i="4"/>
  <c r="AE223" i="4"/>
  <c r="AE268" i="4"/>
  <c r="AE232" i="4"/>
  <c r="AE49" i="4"/>
  <c r="AE302" i="4"/>
  <c r="AE47" i="4"/>
  <c r="AE304" i="4"/>
  <c r="AE41" i="4"/>
  <c r="AE280" i="4"/>
  <c r="AE325" i="4"/>
  <c r="AE50" i="4"/>
  <c r="AE87" i="4"/>
  <c r="AE380" i="4"/>
  <c r="AE243" i="4"/>
  <c r="AE309" i="4"/>
  <c r="AE179" i="4"/>
  <c r="AE195" i="4"/>
  <c r="AE60" i="4"/>
  <c r="AE80" i="4"/>
  <c r="AE253" i="4"/>
  <c r="AE62" i="4"/>
  <c r="AE197" i="4"/>
  <c r="AE257" i="4"/>
  <c r="AE105" i="4"/>
  <c r="AE125" i="4"/>
  <c r="AE147" i="4"/>
  <c r="AE148" i="4"/>
  <c r="AE186" i="4"/>
  <c r="AE318" i="4"/>
  <c r="AF39" i="4"/>
  <c r="AF115" i="4"/>
  <c r="AF40" i="4"/>
  <c r="AF297" i="4"/>
  <c r="AF233" i="4"/>
  <c r="AF281" i="4"/>
  <c r="AF78" i="4"/>
  <c r="AF283" i="4"/>
  <c r="AF165" i="4"/>
  <c r="AF334" i="4"/>
  <c r="AF61" i="4"/>
  <c r="AF292" i="4"/>
  <c r="AF129" i="4"/>
  <c r="AF257" i="4"/>
  <c r="AF82" i="4"/>
  <c r="AF341" i="4"/>
  <c r="AF343" i="4"/>
  <c r="AF72" i="4"/>
  <c r="AF49" i="4"/>
  <c r="AF29" i="4"/>
  <c r="AF83" i="4"/>
  <c r="AF89" i="4"/>
  <c r="AF275" i="4"/>
  <c r="AF156" i="4"/>
  <c r="AF300" i="4"/>
  <c r="AF280" i="4"/>
  <c r="AF7" i="4"/>
  <c r="AF121" i="4"/>
  <c r="AF87" i="4"/>
  <c r="AF239" i="4"/>
  <c r="AF91" i="4"/>
  <c r="AF12" i="4"/>
  <c r="AF272" i="4"/>
  <c r="AF65" i="4"/>
  <c r="AF288" i="4"/>
  <c r="AF194" i="4"/>
  <c r="AF252" i="4"/>
  <c r="AF314" i="4"/>
  <c r="AF313" i="4"/>
  <c r="AF109" i="4"/>
  <c r="AF373" i="4"/>
  <c r="AF125" i="4"/>
  <c r="AF263" i="4"/>
  <c r="AF355" i="4"/>
  <c r="AF69" i="4"/>
  <c r="AF113" i="4"/>
  <c r="AF318" i="4"/>
  <c r="AG276" i="4"/>
  <c r="AG240" i="4"/>
  <c r="AG188" i="4"/>
  <c r="AG193" i="4"/>
  <c r="AG187" i="4"/>
  <c r="AG271" i="4"/>
  <c r="AG140" i="4"/>
  <c r="AG52" i="4"/>
  <c r="AG178" i="4"/>
  <c r="AG244" i="4"/>
  <c r="AG330" i="4"/>
  <c r="AG198" i="4"/>
  <c r="AG38" i="4"/>
  <c r="AG331" i="4"/>
  <c r="AG190" i="4"/>
  <c r="AG162" i="4"/>
  <c r="AG36" i="4"/>
  <c r="AG248" i="4"/>
  <c r="AG310" i="4"/>
  <c r="AG289" i="4"/>
  <c r="AG194" i="4"/>
  <c r="AG356" i="4"/>
  <c r="AG251" i="4"/>
  <c r="AG106" i="4"/>
  <c r="AG340" i="4"/>
  <c r="AG67" i="4"/>
  <c r="AG339" i="4"/>
  <c r="AG218" i="4"/>
  <c r="AG221" i="4"/>
  <c r="AG355" i="4"/>
  <c r="AG25" i="4"/>
  <c r="AG342" i="4"/>
  <c r="AG266" i="4"/>
  <c r="AG76" i="4"/>
  <c r="AG245" i="4"/>
  <c r="AG46" i="4"/>
  <c r="AG320" i="4"/>
  <c r="AG364" i="4"/>
  <c r="AG346" i="4"/>
  <c r="AG99" i="4"/>
  <c r="AG64" i="4"/>
  <c r="AG155" i="4"/>
  <c r="AG357" i="4"/>
  <c r="AG109" i="4"/>
  <c r="AG317" i="4"/>
  <c r="AG224" i="4"/>
  <c r="AG318" i="4"/>
  <c r="AL150" i="4"/>
  <c r="AL115" i="4"/>
  <c r="AL157" i="4"/>
  <c r="AL55" i="4"/>
  <c r="AL308" i="4"/>
  <c r="AL245" i="4"/>
  <c r="AL364" i="4"/>
  <c r="AL368" i="4"/>
  <c r="AL365" i="4"/>
  <c r="AL283" i="4"/>
  <c r="AL53" i="4"/>
  <c r="AL192" i="4"/>
  <c r="AL99" i="4"/>
  <c r="AL291" i="4"/>
  <c r="AL79" i="4"/>
  <c r="AL292" i="4"/>
  <c r="AL128" i="4"/>
  <c r="AL294" i="4"/>
  <c r="AL145" i="4"/>
  <c r="AL262" i="4"/>
  <c r="AL71" i="4"/>
  <c r="AL265" i="4"/>
  <c r="AL224" i="4"/>
  <c r="AL113" i="4"/>
  <c r="AL320" i="4"/>
  <c r="AL75" i="4"/>
  <c r="AL281" i="4"/>
  <c r="AL306" i="4"/>
  <c r="AL302" i="4"/>
  <c r="AL140" i="4"/>
  <c r="AL43" i="4"/>
  <c r="AC32" i="4"/>
  <c r="AC236" i="4"/>
  <c r="AC9" i="4"/>
  <c r="AC44" i="4"/>
  <c r="AC298" i="4"/>
  <c r="AC10" i="4"/>
  <c r="AC187" i="4"/>
  <c r="AC98" i="4"/>
  <c r="AC367" i="4"/>
  <c r="AC163" i="4"/>
  <c r="AC238" i="4"/>
  <c r="AC196" i="4"/>
  <c r="AC301" i="4"/>
  <c r="AC248" i="4"/>
  <c r="AC108" i="4"/>
  <c r="AC352" i="4"/>
  <c r="AC129" i="4"/>
  <c r="AC183" i="4"/>
  <c r="AC202" i="4"/>
  <c r="AC131" i="4"/>
  <c r="AC71" i="4"/>
  <c r="AC295" i="4"/>
  <c r="AC177" i="4"/>
  <c r="AC113" i="4"/>
  <c r="AC41" i="4"/>
  <c r="AC326" i="4"/>
  <c r="AC151" i="4"/>
  <c r="AC233" i="4"/>
  <c r="AC325" i="4"/>
  <c r="AC51" i="4"/>
  <c r="AC43" i="4"/>
  <c r="AC17" i="4"/>
  <c r="AC16" i="4"/>
  <c r="AC288" i="4"/>
  <c r="AC334" i="4"/>
  <c r="AC307" i="4"/>
  <c r="AC21" i="4"/>
  <c r="AC249" i="4"/>
  <c r="AC251" i="4"/>
  <c r="AC197" i="4"/>
  <c r="AC359" i="4"/>
  <c r="AC74" i="4"/>
  <c r="AC339" i="4"/>
  <c r="AC147" i="4"/>
  <c r="AC25" i="4"/>
  <c r="AC185" i="4"/>
  <c r="AC225" i="4"/>
  <c r="AE39" i="4"/>
  <c r="AE305" i="4"/>
  <c r="AE44" i="4"/>
  <c r="AE320" i="4"/>
  <c r="AE94" i="4"/>
  <c r="AE245" i="4"/>
  <c r="AE368" i="4"/>
  <c r="AE285" i="4"/>
  <c r="AE196" i="4"/>
  <c r="AE353" i="4"/>
  <c r="AE102" i="4"/>
  <c r="AE108" i="4"/>
  <c r="AE168" i="4"/>
  <c r="AE201" i="4"/>
  <c r="AE81" i="4"/>
  <c r="AE109" i="4"/>
  <c r="AE23" i="4"/>
  <c r="AE70" i="4"/>
  <c r="AE185" i="4"/>
  <c r="AE137" i="4"/>
  <c r="AE237" i="4"/>
  <c r="AE297" i="4"/>
  <c r="AE95" i="4"/>
  <c r="AE159" i="4"/>
  <c r="AE330" i="4"/>
  <c r="AE12" i="4"/>
  <c r="AE34" i="4"/>
  <c r="AE208" i="4"/>
  <c r="AE97" i="4"/>
  <c r="AE121" i="4"/>
  <c r="AE180" i="4"/>
  <c r="AE182" i="4"/>
  <c r="AE242" i="4"/>
  <c r="AE36" i="4"/>
  <c r="AE290" i="4"/>
  <c r="AE183" i="4"/>
  <c r="AE273" i="4"/>
  <c r="AE254" i="4"/>
  <c r="AE100" i="4"/>
  <c r="AE166" i="4"/>
  <c r="AE218" i="4"/>
  <c r="AE373" i="4"/>
  <c r="AE203" i="4"/>
  <c r="AE263" i="4"/>
  <c r="AE274" i="4"/>
  <c r="AE361" i="4"/>
  <c r="AE296" i="4"/>
  <c r="AF276" i="4"/>
  <c r="AF305" i="4"/>
  <c r="AF77" i="4"/>
  <c r="AF323" i="4"/>
  <c r="AF279" i="4"/>
  <c r="AF52" i="4"/>
  <c r="AF241" i="4"/>
  <c r="AF180" i="4"/>
  <c r="AF371" i="4"/>
  <c r="AF102" i="4"/>
  <c r="AF144" i="4"/>
  <c r="AF356" i="4"/>
  <c r="AF259" i="4"/>
  <c r="AF340" i="4"/>
  <c r="AF175" i="4"/>
  <c r="AF173" i="4"/>
  <c r="AF224" i="4"/>
  <c r="AF138" i="4"/>
  <c r="AF245" i="4"/>
  <c r="AF44" i="4"/>
  <c r="AF73" i="4"/>
  <c r="AF378" i="4"/>
  <c r="AF302" i="4"/>
  <c r="AF306" i="4"/>
  <c r="AF20" i="4"/>
  <c r="AF210" i="4"/>
  <c r="AF234" i="4"/>
  <c r="AF330" i="4"/>
  <c r="AF38" i="4"/>
  <c r="AF329" i="4"/>
  <c r="AF142" i="4"/>
  <c r="AF15" i="4"/>
  <c r="AF290" i="4"/>
  <c r="AF310" i="4"/>
  <c r="AF58" i="4"/>
  <c r="AF249" i="4"/>
  <c r="AF214" i="4"/>
  <c r="AF127" i="4"/>
  <c r="AF107" i="4"/>
  <c r="AF22" i="4"/>
  <c r="AF68" i="4"/>
  <c r="AF266" i="4"/>
  <c r="AF24" i="4"/>
  <c r="AF148" i="4"/>
  <c r="AF111" i="4"/>
  <c r="AF342" i="4"/>
  <c r="AF227" i="4"/>
  <c r="AG150" i="4"/>
  <c r="AG114" i="4"/>
  <c r="AG45" i="4"/>
  <c r="AG275" i="4"/>
  <c r="AG278" i="4"/>
  <c r="AG306" i="4"/>
  <c r="AG41" i="4"/>
  <c r="AG368" i="4"/>
  <c r="AG50" i="4"/>
  <c r="AG163" i="4"/>
  <c r="AG210" i="4"/>
  <c r="AG213" i="4"/>
  <c r="AG161" i="4"/>
  <c r="AG18" i="4"/>
  <c r="AG328" i="4"/>
  <c r="AG349" i="4"/>
  <c r="AG307" i="4"/>
  <c r="AG290" i="4"/>
  <c r="AG333" i="4"/>
  <c r="AG336" i="4"/>
  <c r="AG249" i="4"/>
  <c r="AG101" i="4"/>
  <c r="AG199" i="4"/>
  <c r="AG215" i="4"/>
  <c r="AG206" i="4"/>
  <c r="AG184" i="4"/>
  <c r="AG126" i="4"/>
  <c r="AG172" i="4"/>
  <c r="AG354" i="4"/>
  <c r="AG148" i="4"/>
  <c r="AG69" i="4"/>
  <c r="AG222" i="4"/>
  <c r="AG136" i="4"/>
  <c r="AG94" i="4"/>
  <c r="AG297" i="4"/>
  <c r="AG282" i="4"/>
  <c r="AG283" i="4"/>
  <c r="AG10" i="4"/>
  <c r="AG366" i="4"/>
  <c r="AG358" i="4"/>
  <c r="AG107" i="4"/>
  <c r="AG170" i="4"/>
  <c r="AG65" i="4"/>
  <c r="AG256" i="4"/>
  <c r="AG341" i="4"/>
  <c r="AG111" i="4"/>
  <c r="AG225" i="4"/>
  <c r="AL33" i="4"/>
  <c r="AL305" i="4"/>
  <c r="AL375" i="4"/>
  <c r="AL374" i="4"/>
  <c r="AL89" i="4"/>
  <c r="AL303" i="4"/>
  <c r="AL98" i="4"/>
  <c r="AL346" i="4"/>
  <c r="AL20" i="4"/>
  <c r="AL97" i="4"/>
  <c r="AL121" i="4"/>
  <c r="AL57" i="4"/>
  <c r="AL349" i="4"/>
  <c r="AL370" i="4"/>
  <c r="AL312" i="4"/>
  <c r="AL356" i="4"/>
  <c r="AL129" i="4"/>
  <c r="AL183" i="4"/>
  <c r="AL360" i="4"/>
  <c r="AL358" i="4"/>
  <c r="AL176" i="4"/>
  <c r="AL269" i="4"/>
  <c r="AL223" i="4"/>
  <c r="AL111" i="4"/>
  <c r="AL141" i="4"/>
  <c r="AL90" i="4"/>
  <c r="AL239" i="4"/>
  <c r="AL119" i="4"/>
  <c r="AL230" i="4"/>
  <c r="AL299" i="4"/>
  <c r="AL152" i="4"/>
  <c r="AL34" i="4"/>
  <c r="AL18" i="4"/>
  <c r="AL348" i="4"/>
  <c r="AL160" i="4"/>
  <c r="AL311" i="4"/>
  <c r="AL251" i="4"/>
  <c r="AL313" i="4"/>
  <c r="AL256" i="4"/>
  <c r="AL168" i="4"/>
  <c r="AL103" i="4"/>
  <c r="AL125" i="4"/>
  <c r="AL74" i="4"/>
  <c r="AL359" i="4"/>
  <c r="AL361" i="4"/>
  <c r="AL225" i="4"/>
  <c r="AL363" i="4"/>
  <c r="AM232" i="4"/>
  <c r="AM42" i="4"/>
  <c r="AM375" i="4"/>
  <c r="AM231" i="4"/>
  <c r="AM378" i="4"/>
  <c r="AM364" i="4"/>
  <c r="AM347" i="4"/>
  <c r="AM159" i="4"/>
  <c r="AM196" i="4"/>
  <c r="AM353" i="4"/>
  <c r="AM291" i="4"/>
  <c r="AM108" i="4"/>
  <c r="AM337" i="4"/>
  <c r="AM201" i="4"/>
  <c r="AM340" i="4"/>
  <c r="AM373" i="4"/>
  <c r="AM71" i="4"/>
  <c r="AM269" i="4"/>
  <c r="AM177" i="4"/>
  <c r="AM111" i="4"/>
  <c r="AM277" i="4"/>
  <c r="AM40" i="4"/>
  <c r="AM303" i="4"/>
  <c r="AM187" i="4"/>
  <c r="AM119" i="4"/>
  <c r="AM7" i="4"/>
  <c r="AM322" i="4"/>
  <c r="AM50" i="4"/>
  <c r="AM116" i="4"/>
  <c r="AM17" i="4"/>
  <c r="AM161" i="4"/>
  <c r="AM120" i="4"/>
  <c r="AM181" i="4"/>
  <c r="AM15" i="4"/>
  <c r="AM99" i="4"/>
  <c r="AM19" i="4"/>
  <c r="AM211" i="4"/>
  <c r="AM60" i="4"/>
  <c r="AM273" i="4"/>
  <c r="AM66" i="4"/>
  <c r="AM154" i="4"/>
  <c r="AM293" i="4"/>
  <c r="AM74" i="4"/>
  <c r="AM110" i="4"/>
  <c r="AM361" i="4"/>
  <c r="AM26" i="4"/>
  <c r="AH48" i="4"/>
  <c r="AH236" i="4"/>
  <c r="AH114" i="4"/>
  <c r="AH207" i="4"/>
  <c r="AH30" i="4"/>
  <c r="AH151" i="4"/>
  <c r="AH279" i="4"/>
  <c r="AH271" i="4"/>
  <c r="AH379" i="4"/>
  <c r="AH281" i="4"/>
  <c r="AH78" i="4"/>
  <c r="AH300" i="4"/>
  <c r="AH92" i="4"/>
  <c r="AH161" i="4"/>
  <c r="AH331" i="4"/>
  <c r="AH96" i="4"/>
  <c r="AH54" i="4"/>
  <c r="AH291" i="4"/>
  <c r="AH310" i="4"/>
  <c r="AH336" i="4"/>
  <c r="AH292" i="4"/>
  <c r="AH214" i="4"/>
  <c r="AH259" i="4"/>
  <c r="AH183" i="4"/>
  <c r="AH315" i="4"/>
  <c r="AH317" i="4"/>
  <c r="AH130" i="4"/>
  <c r="AH316" i="4"/>
  <c r="AH269" i="4"/>
  <c r="AH343" i="4"/>
  <c r="AH270" i="4"/>
  <c r="AH26" i="4"/>
  <c r="AH9" i="4"/>
  <c r="AH275" i="4"/>
  <c r="AH377" i="4"/>
  <c r="AH83" i="4"/>
  <c r="AH278" i="4"/>
  <c r="AH283" i="4"/>
  <c r="AH143" i="4"/>
  <c r="AH168" i="4"/>
  <c r="AH249" i="4"/>
  <c r="AH352" i="4"/>
  <c r="AH146" i="4"/>
  <c r="AH273" i="4"/>
  <c r="AH260" i="4"/>
  <c r="AH24" i="4"/>
  <c r="AH186" i="4"/>
  <c r="AD344" i="4"/>
  <c r="AD236" i="4"/>
  <c r="AD114" i="4"/>
  <c r="AD77" i="4"/>
  <c r="AD30" i="4"/>
  <c r="AD378" i="4"/>
  <c r="AD98" i="4"/>
  <c r="AD366" i="4"/>
  <c r="AD163" i="4"/>
  <c r="AD198" i="4"/>
  <c r="AD99" i="4"/>
  <c r="AD80" i="4"/>
  <c r="AD352" i="4"/>
  <c r="AD259" i="4"/>
  <c r="AD64" i="4"/>
  <c r="AD202" i="4"/>
  <c r="AD82" i="4"/>
  <c r="AD173" i="4"/>
  <c r="AD220" i="4"/>
  <c r="AD268" i="4"/>
  <c r="AD237" i="4"/>
  <c r="AD233" i="4"/>
  <c r="AD320" i="4"/>
  <c r="AD322" i="4"/>
  <c r="AD8" i="4"/>
  <c r="AD238" i="4"/>
  <c r="AD331" i="4"/>
  <c r="AD41" i="4"/>
  <c r="AD34" i="4"/>
  <c r="AD119" i="4"/>
  <c r="AD53" i="4"/>
  <c r="AD190" i="4"/>
  <c r="AD162" i="4"/>
  <c r="AD381" i="4"/>
  <c r="AD350" i="4"/>
  <c r="AD248" i="4"/>
  <c r="AD289" i="4"/>
  <c r="AD123" i="4"/>
  <c r="AD215" i="4"/>
  <c r="AD166" i="4"/>
  <c r="AD339" i="4"/>
  <c r="AD373" i="4"/>
  <c r="AD147" i="4"/>
  <c r="AD217" i="4"/>
  <c r="AD267" i="4"/>
  <c r="AD132" i="4"/>
  <c r="AD72" i="4"/>
  <c r="AO32" i="4"/>
  <c r="AO86" i="4"/>
  <c r="AO321" i="4"/>
  <c r="AO188" i="4"/>
  <c r="AO326" i="4"/>
  <c r="AO117" i="4"/>
  <c r="AO368" i="4"/>
  <c r="AO365" i="4"/>
  <c r="AO92" i="4"/>
  <c r="AO164" i="4"/>
  <c r="AO144" i="4"/>
  <c r="AO129" i="4"/>
  <c r="AO294" i="4"/>
  <c r="AO262" i="4"/>
  <c r="AO133" i="4"/>
  <c r="AO205" i="4"/>
  <c r="AO112" i="4"/>
  <c r="AO151" i="4"/>
  <c r="AO35" i="4"/>
  <c r="AO278" i="4"/>
  <c r="AO52" i="4"/>
  <c r="AO336" i="4"/>
  <c r="AO47" i="4"/>
  <c r="AO330" i="4"/>
  <c r="AO190" i="4"/>
  <c r="AO234" i="4"/>
  <c r="AO143" i="4"/>
  <c r="AO246" i="4"/>
  <c r="AO161" i="4"/>
  <c r="AO331" i="4"/>
  <c r="AO142" i="4"/>
  <c r="AO215" i="4"/>
  <c r="AO160" i="4"/>
  <c r="AO350" i="4"/>
  <c r="AO286" i="4"/>
  <c r="AO249" i="4"/>
  <c r="AO88" i="4"/>
  <c r="AO65" i="4"/>
  <c r="AO197" i="4"/>
  <c r="AO103" i="4"/>
  <c r="AO154" i="4"/>
  <c r="AO218" i="4"/>
  <c r="AO147" i="4"/>
  <c r="AO341" i="4"/>
  <c r="AO69" i="4"/>
  <c r="AO225" i="4"/>
  <c r="AO113" i="4"/>
  <c r="AJ39" i="4"/>
  <c r="AJ27" i="4"/>
  <c r="AJ321" i="4"/>
  <c r="AJ207" i="4"/>
  <c r="AJ45" i="4"/>
  <c r="AJ10" i="4"/>
  <c r="AJ118" i="4"/>
  <c r="AJ237" i="4"/>
  <c r="AJ364" i="4"/>
  <c r="AJ37" i="4"/>
  <c r="AJ159" i="4"/>
  <c r="AJ330" i="4"/>
  <c r="AJ198" i="4"/>
  <c r="AJ38" i="4"/>
  <c r="AJ239" i="4"/>
  <c r="AJ332" i="4"/>
  <c r="AJ291" i="4"/>
  <c r="AJ311" i="4"/>
  <c r="AJ60" i="4"/>
  <c r="AJ169" i="4"/>
  <c r="AJ259" i="4"/>
  <c r="AJ257" i="4"/>
  <c r="AJ105" i="4"/>
  <c r="AJ317" i="4"/>
  <c r="AJ218" i="4"/>
  <c r="AJ221" i="4"/>
  <c r="AJ70" i="4"/>
  <c r="AJ112" i="4"/>
  <c r="AJ227" i="4"/>
  <c r="AJ140" i="4"/>
  <c r="AJ41" i="4"/>
  <c r="AJ280" i="4"/>
  <c r="AJ189" i="4"/>
  <c r="AJ381" i="4"/>
  <c r="AJ162" i="4"/>
  <c r="AJ99" i="4"/>
  <c r="AJ272" i="4"/>
  <c r="AJ211" i="4"/>
  <c r="AJ370" i="4"/>
  <c r="AJ351" i="4"/>
  <c r="AJ129" i="4"/>
  <c r="AJ126" i="4"/>
  <c r="AJ217" i="4"/>
  <c r="AJ171" i="4"/>
  <c r="AJ220" i="4"/>
  <c r="AJ223" i="4"/>
  <c r="AJ138" i="4"/>
  <c r="AN276" i="4"/>
  <c r="AN115" i="4"/>
  <c r="AN46" i="4"/>
  <c r="AN55" i="4"/>
  <c r="AN297" i="4"/>
  <c r="AN118" i="4"/>
  <c r="AN281" i="4"/>
  <c r="AN367" i="4"/>
  <c r="AN212" i="4"/>
  <c r="AN213" i="4"/>
  <c r="AN332" i="4"/>
  <c r="AN61" i="4"/>
  <c r="AN356" i="4"/>
  <c r="AN258" i="4"/>
  <c r="AN340" i="4"/>
  <c r="AN109" i="4"/>
  <c r="AN316" i="4"/>
  <c r="AN174" i="4"/>
  <c r="AN135" i="4"/>
  <c r="AN308" i="4"/>
  <c r="AN230" i="4"/>
  <c r="AN84" i="4"/>
  <c r="AN97" i="4"/>
  <c r="AN75" i="4"/>
  <c r="AN277" i="4"/>
  <c r="AN299" i="4"/>
  <c r="AN158" i="4"/>
  <c r="AN234" i="4"/>
  <c r="AN208" i="4"/>
  <c r="AN169" i="4"/>
  <c r="AN331" i="4"/>
  <c r="AN142" i="4"/>
  <c r="AN215" i="4"/>
  <c r="AN99" i="4"/>
  <c r="AN58" i="4"/>
  <c r="AN200" i="4"/>
  <c r="AN123" i="4"/>
  <c r="AN251" i="4"/>
  <c r="AN372" i="4"/>
  <c r="AN170" i="4"/>
  <c r="AN155" i="4"/>
  <c r="AN293" i="4"/>
  <c r="AC39" i="4"/>
  <c r="AC86" i="4"/>
  <c r="AC114" i="4"/>
  <c r="AC77" i="4"/>
  <c r="AC45" i="4"/>
  <c r="AC378" i="4"/>
  <c r="AC278" i="4"/>
  <c r="AC35" i="4"/>
  <c r="AC78" i="4"/>
  <c r="AC212" i="4"/>
  <c r="AC300" i="4"/>
  <c r="AC92" i="4"/>
  <c r="AC332" i="4"/>
  <c r="AC290" i="4"/>
  <c r="AC79" i="4"/>
  <c r="AC292" i="4"/>
  <c r="AC259" i="4"/>
  <c r="AC64" i="4"/>
  <c r="AC105" i="4"/>
  <c r="AC107" i="4"/>
  <c r="AC176" i="4"/>
  <c r="AC24" i="4"/>
  <c r="AC223" i="4"/>
  <c r="AC111" i="4"/>
  <c r="AC374" i="4"/>
  <c r="AC28" i="4"/>
  <c r="AC322" i="4"/>
  <c r="AC192" i="4"/>
  <c r="AC331" i="4"/>
  <c r="AC34" i="4"/>
  <c r="AC152" i="4"/>
  <c r="AC58" i="4"/>
  <c r="AC119" i="4"/>
  <c r="AC289" i="4"/>
  <c r="AC101" i="4"/>
  <c r="AC160" i="4"/>
  <c r="AC153" i="4"/>
  <c r="AC250" i="4"/>
  <c r="AC214" i="4"/>
  <c r="AC166" i="4"/>
  <c r="AC167" i="4"/>
  <c r="AC217" i="4"/>
  <c r="AC126" i="4"/>
  <c r="AC263" i="4"/>
  <c r="AC342" i="4"/>
  <c r="AC222" i="4"/>
  <c r="AC136" i="4"/>
  <c r="AE276" i="4"/>
  <c r="AE235" i="4"/>
  <c r="AE77" i="4"/>
  <c r="AE231" i="4"/>
  <c r="AE141" i="4"/>
  <c r="AE327" i="4"/>
  <c r="AE14" i="4"/>
  <c r="AE365" i="4"/>
  <c r="AE92" i="4"/>
  <c r="AE301" i="4"/>
  <c r="AE291" i="4"/>
  <c r="AE79" i="4"/>
  <c r="AE216" i="4"/>
  <c r="AE170" i="4"/>
  <c r="AE315" i="4"/>
  <c r="AE82" i="4"/>
  <c r="AE341" i="4"/>
  <c r="AE205" i="4"/>
  <c r="AE135" i="4"/>
  <c r="AE113" i="4"/>
  <c r="AE375" i="4"/>
  <c r="AE233" i="4"/>
  <c r="AE187" i="4"/>
  <c r="AE319" i="4"/>
  <c r="AE149" i="4"/>
  <c r="AE238" i="4"/>
  <c r="AE210" i="4"/>
  <c r="AE56" i="4"/>
  <c r="AE96" i="4"/>
  <c r="AE17" i="4"/>
  <c r="AE369" i="4"/>
  <c r="AE284" i="4"/>
  <c r="AE54" i="4"/>
  <c r="AE307" i="4"/>
  <c r="AE287" i="4"/>
  <c r="AE258" i="4"/>
  <c r="AE211" i="4"/>
  <c r="AE171" i="4"/>
  <c r="AE251" i="4"/>
  <c r="AE351" i="4"/>
  <c r="AE22" i="4"/>
  <c r="AE68" i="4"/>
  <c r="AE359" i="4"/>
  <c r="AE354" i="4"/>
  <c r="AE222" i="4"/>
  <c r="AE342" i="4"/>
  <c r="AE229" i="4"/>
  <c r="AF150" i="4"/>
  <c r="AF240" i="4"/>
  <c r="AF11" i="4"/>
  <c r="AF324" i="4"/>
  <c r="AF117" i="4"/>
  <c r="AF37" i="4"/>
  <c r="AF285" i="4"/>
  <c r="AF196" i="4"/>
  <c r="AF353" i="4"/>
  <c r="AF291" i="4"/>
  <c r="AF63" i="4"/>
  <c r="AF169" i="4"/>
  <c r="AF258" i="4"/>
  <c r="AF206" i="4"/>
  <c r="AF71" i="4"/>
  <c r="AF295" i="4"/>
  <c r="AF177" i="4"/>
  <c r="AF231" i="4"/>
  <c r="AF42" i="4"/>
  <c r="AF187" i="4"/>
  <c r="AF230" i="4"/>
  <c r="AF322" i="4"/>
  <c r="AF345" i="4"/>
  <c r="AF325" i="4"/>
  <c r="AF212" i="4"/>
  <c r="AF369" i="4"/>
  <c r="AF178" i="4"/>
  <c r="AF380" i="4"/>
  <c r="AF161" i="4"/>
  <c r="AF331" i="4"/>
  <c r="AF181" i="4"/>
  <c r="AF381" i="4"/>
  <c r="AF201" i="4"/>
  <c r="AF333" i="4"/>
  <c r="AF289" i="4"/>
  <c r="AF171" i="4"/>
  <c r="AF215" i="4"/>
  <c r="AF357" i="4"/>
  <c r="AF273" i="4"/>
  <c r="AF256" i="4"/>
  <c r="AF265" i="4"/>
  <c r="AF66" i="4"/>
  <c r="AF204" i="4"/>
  <c r="AF274" i="4"/>
  <c r="AF186" i="4"/>
  <c r="AF136" i="4"/>
  <c r="AF229" i="4"/>
  <c r="AG232" i="4"/>
  <c r="AG321" i="4"/>
  <c r="AG319" i="4"/>
  <c r="AG302" i="4"/>
  <c r="AG83" i="4"/>
  <c r="AG158" i="4"/>
  <c r="AG299" i="4"/>
  <c r="AG277" i="4"/>
  <c r="AG367" i="4"/>
  <c r="AG73" i="4"/>
  <c r="AG53" i="4"/>
  <c r="AG34" i="4"/>
  <c r="AG57" i="4"/>
  <c r="AG243" i="4"/>
  <c r="AG91" i="4"/>
  <c r="AG334" i="4"/>
  <c r="AG160" i="4"/>
  <c r="AG348" i="4"/>
  <c r="AG311" i="4"/>
  <c r="AG61" i="4"/>
  <c r="AG122" i="4"/>
  <c r="AG88" i="4"/>
  <c r="AG216" i="4"/>
  <c r="AG313" i="4"/>
  <c r="AG22" i="4"/>
  <c r="AG131" i="4"/>
  <c r="AG171" i="4"/>
  <c r="AG133" i="4"/>
  <c r="AG261" i="4"/>
  <c r="AG274" i="4"/>
  <c r="AG343" i="4"/>
  <c r="AG362" i="4"/>
  <c r="AG227" i="4"/>
  <c r="AG298" i="4"/>
  <c r="AG305" i="4"/>
  <c r="AG375" i="4"/>
  <c r="AG151" i="4"/>
  <c r="AG378" i="4"/>
  <c r="AG79" i="4"/>
  <c r="AG192" i="4"/>
  <c r="AG168" i="4"/>
  <c r="AG183" i="4"/>
  <c r="AG145" i="4"/>
  <c r="AG202" i="4"/>
  <c r="AG220" i="4"/>
  <c r="AG186" i="4"/>
  <c r="AG138" i="4"/>
  <c r="AL232" i="4"/>
  <c r="AL42" i="4"/>
  <c r="AL31" i="4"/>
  <c r="AL29" i="4"/>
  <c r="AL49" i="4"/>
  <c r="AL304" i="4"/>
  <c r="AL35" i="4"/>
  <c r="AL347" i="4"/>
  <c r="AL159" i="4"/>
  <c r="AL13" i="4"/>
  <c r="AL56" i="4"/>
  <c r="AL165" i="4"/>
  <c r="AL334" i="4"/>
  <c r="AL80" i="4"/>
  <c r="AL122" i="4"/>
  <c r="AL169" i="4"/>
  <c r="AL258" i="4"/>
  <c r="AL64" i="4"/>
  <c r="AL315" i="4"/>
  <c r="AL131" i="4"/>
  <c r="AL172" i="4"/>
  <c r="AL219" i="4"/>
  <c r="AL185" i="4"/>
  <c r="AL296" i="4"/>
  <c r="AL114" i="4"/>
  <c r="AL8" i="4"/>
  <c r="AL30" i="4"/>
  <c r="AL139" i="4"/>
  <c r="AL94" i="4"/>
  <c r="AL116" i="4"/>
  <c r="AL7" i="4"/>
  <c r="AL242" i="4"/>
  <c r="AL38" i="4"/>
  <c r="AL12" i="4"/>
  <c r="AL272" i="4"/>
  <c r="AL100" i="4"/>
  <c r="AL252" i="4"/>
  <c r="AL211" i="4"/>
  <c r="AL69" i="4"/>
  <c r="AL255" i="4"/>
  <c r="AL215" i="4"/>
  <c r="AL293" i="4"/>
  <c r="AL355" i="4"/>
  <c r="AL264" i="4"/>
  <c r="AL177" i="4"/>
  <c r="AL222" i="4"/>
  <c r="AM48" i="4"/>
  <c r="AM85" i="4"/>
  <c r="AM235" i="4"/>
  <c r="AM44" i="4"/>
  <c r="AM298" i="4"/>
  <c r="AM193" i="4"/>
  <c r="AM98" i="4"/>
  <c r="AM366" i="4"/>
  <c r="AM244" i="4"/>
  <c r="AM92" i="4"/>
  <c r="AM301" i="4"/>
  <c r="AM250" i="4"/>
  <c r="AM79" i="4"/>
  <c r="AM372" i="4"/>
  <c r="AM170" i="4"/>
  <c r="AM206" i="4"/>
  <c r="AM262" i="4"/>
  <c r="AM176" i="4"/>
  <c r="AM219" i="4"/>
  <c r="AM185" i="4"/>
  <c r="AM296" i="4"/>
  <c r="AM28" i="4"/>
  <c r="AM51" i="4"/>
  <c r="AM233" i="4"/>
  <c r="AM156" i="4"/>
  <c r="AM284" i="4"/>
  <c r="AM178" i="4"/>
  <c r="AM271" i="4"/>
  <c r="AM238" i="4"/>
  <c r="AM376" i="4"/>
  <c r="AM53" i="4"/>
  <c r="AM195" i="4"/>
  <c r="AM210" i="4"/>
  <c r="AM309" i="4"/>
  <c r="AM381" i="4"/>
  <c r="AM339" i="4"/>
  <c r="AM286" i="4"/>
  <c r="AM247" i="4"/>
  <c r="AM144" i="4"/>
  <c r="AM259" i="4"/>
  <c r="AM62" i="4"/>
  <c r="AM81" i="4"/>
  <c r="AM203" i="4"/>
  <c r="AM68" i="4"/>
  <c r="AM341" i="4"/>
  <c r="AM132" i="4"/>
  <c r="AM270" i="4"/>
  <c r="AH32" i="4"/>
  <c r="AH86" i="4"/>
  <c r="AH321" i="4"/>
  <c r="AH55" i="4"/>
  <c r="AH297" i="4"/>
  <c r="AH308" i="4"/>
  <c r="AH117" i="4"/>
  <c r="AH306" i="4"/>
  <c r="AH41" i="4"/>
  <c r="AH51" i="4"/>
  <c r="AH285" i="4"/>
  <c r="AH330" i="4"/>
  <c r="AH213" i="4"/>
  <c r="AH192" i="4"/>
  <c r="AH18" i="4"/>
  <c r="AH190" i="4"/>
  <c r="AH162" i="4"/>
  <c r="AH348" i="4"/>
  <c r="AH333" i="4"/>
  <c r="AH144" i="4"/>
  <c r="AH356" i="4"/>
  <c r="AH93" i="4"/>
  <c r="AH258" i="4"/>
  <c r="AH257" i="4"/>
  <c r="AH202" i="4"/>
  <c r="AH82" i="4"/>
  <c r="AH218" i="4"/>
  <c r="AH221" i="4"/>
  <c r="AH264" i="4"/>
  <c r="AH361" i="4"/>
  <c r="AC276" i="4"/>
  <c r="AC27" i="4"/>
  <c r="AC321" i="4"/>
  <c r="AC207" i="4"/>
  <c r="AC319" i="4"/>
  <c r="AC193" i="4"/>
  <c r="AC83" i="4"/>
  <c r="AC209" i="4"/>
  <c r="AC241" i="4"/>
  <c r="AC73" i="4"/>
  <c r="AC330" i="4"/>
  <c r="AC198" i="4"/>
  <c r="AC164" i="4"/>
  <c r="AC291" i="4"/>
  <c r="AC312" i="4"/>
  <c r="AC356" i="4"/>
  <c r="AC106" i="4"/>
  <c r="AC124" i="4"/>
  <c r="AC67" i="4"/>
  <c r="AC109" i="4"/>
  <c r="AC316" i="4"/>
  <c r="AC265" i="4"/>
  <c r="AC135" i="4"/>
  <c r="AC296" i="4"/>
  <c r="AC279" i="4"/>
  <c r="AC149" i="4"/>
  <c r="AC324" i="4"/>
  <c r="AC275" i="4"/>
  <c r="AC182" i="4"/>
  <c r="AC142" i="4"/>
  <c r="AC7" i="4"/>
  <c r="AC96" i="4"/>
  <c r="AC87" i="4"/>
  <c r="AC258" i="4"/>
  <c r="AC12" i="4"/>
  <c r="AC272" i="4"/>
  <c r="AC287" i="4"/>
  <c r="AC123" i="4"/>
  <c r="AC100" i="4"/>
  <c r="AC351" i="4"/>
  <c r="AC255" i="4"/>
  <c r="AC338" i="4"/>
  <c r="AC260" i="4"/>
  <c r="AC355" i="4"/>
  <c r="AC69" i="4"/>
  <c r="AC362" i="4"/>
  <c r="AC363" i="4"/>
  <c r="AE33" i="4"/>
  <c r="AE240" i="4"/>
  <c r="AE207" i="4"/>
  <c r="AE298" i="4"/>
  <c r="AE151" i="4"/>
  <c r="AE35" i="4"/>
  <c r="AE346" i="4"/>
  <c r="AE20" i="4"/>
  <c r="AE198" i="4"/>
  <c r="AE332" i="4"/>
  <c r="AE250" i="4"/>
  <c r="AE312" i="4"/>
  <c r="AE314" i="4"/>
  <c r="AE294" i="4"/>
  <c r="AE67" i="4"/>
  <c r="AE175" i="4"/>
  <c r="AE173" i="4"/>
  <c r="AE220" i="4"/>
  <c r="AE267" i="4"/>
  <c r="AE150" i="4"/>
  <c r="AE84" i="4"/>
  <c r="AE90" i="4"/>
  <c r="AE10" i="4"/>
  <c r="AE89" i="4"/>
  <c r="AE299" i="4"/>
  <c r="AE212" i="4"/>
  <c r="AE322" i="4"/>
  <c r="AE43" i="4"/>
  <c r="AE13" i="4"/>
  <c r="AE53" i="4"/>
  <c r="AE16" i="4"/>
  <c r="AE130" i="4"/>
  <c r="AE162" i="4"/>
  <c r="AE160" i="4"/>
  <c r="AE248" i="4"/>
  <c r="AE286" i="4"/>
  <c r="AE247" i="4"/>
  <c r="AE123" i="4"/>
  <c r="AE199" i="4"/>
  <c r="AE124" i="4"/>
  <c r="AE256" i="4"/>
  <c r="AE265" i="4"/>
  <c r="AE266" i="4"/>
  <c r="AE261" i="4"/>
  <c r="AE264" i="4"/>
  <c r="AE136" i="4"/>
  <c r="AE26" i="4"/>
  <c r="AF33" i="4"/>
  <c r="AF9" i="4"/>
  <c r="AF55" i="4"/>
  <c r="AF326" i="4"/>
  <c r="AF282" i="4"/>
  <c r="AF368" i="4"/>
  <c r="AF365" i="4"/>
  <c r="AF92" i="4"/>
  <c r="AF332" i="4"/>
  <c r="AF250" i="4"/>
  <c r="AF108" i="4"/>
  <c r="AF337" i="4"/>
  <c r="AF106" i="4"/>
  <c r="AF155" i="4"/>
  <c r="AF176" i="4"/>
  <c r="AF269" i="4"/>
  <c r="AF134" i="4"/>
  <c r="AF76" i="4"/>
  <c r="AF375" i="4"/>
  <c r="AF377" i="4"/>
  <c r="AF151" i="4"/>
  <c r="AF271" i="4"/>
  <c r="AF303" i="4"/>
  <c r="AF51" i="4"/>
  <c r="AF299" i="4"/>
  <c r="AF248" i="4"/>
  <c r="AF50" i="4"/>
  <c r="AF34" i="4"/>
  <c r="AF19" i="4"/>
  <c r="AF18" i="4"/>
  <c r="AF309" i="4"/>
  <c r="AF191" i="4"/>
  <c r="AF348" i="4"/>
  <c r="AF311" i="4"/>
  <c r="AF123" i="4"/>
  <c r="AF101" i="4"/>
  <c r="AF62" i="4"/>
  <c r="AF197" i="4"/>
  <c r="AF67" i="4"/>
  <c r="AF74" i="4"/>
  <c r="AF317" i="4"/>
  <c r="AF218" i="4"/>
  <c r="AF354" i="4"/>
  <c r="AF222" i="4"/>
  <c r="AF361" i="4"/>
  <c r="AF137" i="4"/>
  <c r="AF363" i="4"/>
  <c r="AG85" i="4"/>
  <c r="AG157" i="4"/>
  <c r="AG323" i="4"/>
  <c r="AG118" i="4"/>
  <c r="AG84" i="4"/>
  <c r="AG325" i="4"/>
  <c r="AG75" i="4"/>
  <c r="AG95" i="4"/>
  <c r="AG78" i="4"/>
  <c r="AG97" i="4"/>
  <c r="AG121" i="4"/>
  <c r="AG90" i="4"/>
  <c r="AG165" i="4"/>
  <c r="AG182" i="4"/>
  <c r="AG142" i="4"/>
  <c r="AG12" i="4"/>
  <c r="AG272" i="4"/>
  <c r="AG287" i="4"/>
  <c r="AG80" i="4"/>
  <c r="AG144" i="4"/>
  <c r="AG335" i="4"/>
  <c r="AG123" i="4"/>
  <c r="AG372" i="4"/>
  <c r="AG62" i="4"/>
  <c r="AG167" i="4"/>
  <c r="AG338" i="4"/>
  <c r="AG71" i="4"/>
  <c r="AG293" i="4"/>
  <c r="AG217" i="4"/>
  <c r="AG269" i="4"/>
  <c r="AG361" i="4"/>
  <c r="AG228" i="4"/>
  <c r="AG229" i="4"/>
  <c r="AG9" i="4"/>
  <c r="AG235" i="4"/>
  <c r="AG139" i="4"/>
  <c r="AG308" i="4"/>
  <c r="AG365" i="4"/>
  <c r="AG14" i="4"/>
  <c r="AG371" i="4"/>
  <c r="AG169" i="4"/>
  <c r="AG258" i="4"/>
  <c r="AG201" i="4"/>
  <c r="AG112" i="4"/>
  <c r="AG219" i="4"/>
  <c r="AG135" i="4"/>
  <c r="AL48" i="4"/>
  <c r="AL85" i="4"/>
  <c r="AL235" i="4"/>
  <c r="AL40" i="4"/>
  <c r="AL188" i="4"/>
  <c r="AL10" i="4"/>
  <c r="AL187" i="4"/>
  <c r="AL209" i="4"/>
  <c r="AL366" i="4"/>
  <c r="AL244" i="4"/>
  <c r="AL208" i="4"/>
  <c r="AL180" i="4"/>
  <c r="AL371" i="4"/>
  <c r="AL102" i="4"/>
  <c r="AL336" i="4"/>
  <c r="AL335" i="4"/>
  <c r="AL93" i="4"/>
  <c r="AL106" i="4"/>
  <c r="AL124" i="4"/>
  <c r="AL202" i="4"/>
  <c r="AL107" i="4"/>
  <c r="AL133" i="4"/>
  <c r="AL174" i="4"/>
  <c r="AL135" i="4"/>
  <c r="AL72" i="4"/>
  <c r="AL271" i="4"/>
  <c r="AL345" i="4"/>
  <c r="AL156" i="4"/>
  <c r="AL323" i="4"/>
  <c r="AL377" i="4"/>
  <c r="AL189" i="4"/>
  <c r="AL234" i="4"/>
  <c r="AL91" i="4"/>
  <c r="AL142" i="4"/>
  <c r="AL15" i="4"/>
  <c r="AL153" i="4"/>
  <c r="AL59" i="4"/>
  <c r="AL88" i="4"/>
  <c r="AL247" i="4"/>
  <c r="AL123" i="4"/>
  <c r="AL22" i="4"/>
  <c r="AL81" i="4"/>
  <c r="AL354" i="4"/>
  <c r="AL274" i="4"/>
  <c r="AL25" i="4"/>
  <c r="AL263" i="4"/>
  <c r="AL136" i="4"/>
  <c r="AM344" i="4"/>
  <c r="AM76" i="4"/>
  <c r="AM240" i="4"/>
  <c r="AM77" i="4"/>
  <c r="AM45" i="4"/>
  <c r="AM139" i="4"/>
  <c r="AM35" i="4"/>
  <c r="AM367" i="4"/>
  <c r="AM163" i="4"/>
  <c r="AM198" i="4"/>
  <c r="AM332" i="4"/>
  <c r="AM370" i="4"/>
  <c r="AM312" i="4"/>
  <c r="AM128" i="4"/>
  <c r="AM294" i="4"/>
  <c r="AM65" i="4"/>
  <c r="AM358" i="4"/>
  <c r="AM133" i="4"/>
  <c r="AM174" i="4"/>
  <c r="AM135" i="4"/>
  <c r="AM318" i="4"/>
  <c r="AM320" i="4"/>
  <c r="AM278" i="4"/>
  <c r="AM94" i="4"/>
  <c r="AM326" i="4"/>
  <c r="AM302" i="4"/>
  <c r="AM300" i="4"/>
  <c r="AM158" i="4"/>
  <c r="AM121" i="4"/>
  <c r="AM189" i="4"/>
  <c r="AM12" i="4"/>
  <c r="AM248" i="4"/>
  <c r="AM313" i="4"/>
  <c r="AM242" i="4"/>
  <c r="AM191" i="4"/>
  <c r="AM311" i="4"/>
  <c r="AM288" i="4"/>
  <c r="AM194" i="4"/>
  <c r="AM122" i="4"/>
  <c r="AM147" i="4"/>
  <c r="AM184" i="4"/>
  <c r="AM155" i="4"/>
  <c r="AM264" i="4"/>
  <c r="AM172" i="4"/>
  <c r="AM173" i="4"/>
  <c r="AM134" i="4"/>
  <c r="AM266" i="4"/>
  <c r="AH39" i="4"/>
  <c r="AH27" i="4"/>
  <c r="AH46" i="4"/>
  <c r="AH374" i="4"/>
  <c r="AH323" i="4"/>
  <c r="AH89" i="4"/>
  <c r="AH282" i="4"/>
  <c r="AH158" i="4"/>
  <c r="AH299" i="4"/>
  <c r="AH37" i="4"/>
  <c r="AH20" i="4"/>
  <c r="AH210" i="4"/>
  <c r="AH90" i="4"/>
  <c r="AH57" i="4"/>
  <c r="AH243" i="4"/>
  <c r="AH328" i="4"/>
  <c r="AH334" i="4"/>
  <c r="AH287" i="4"/>
  <c r="AH311" i="4"/>
  <c r="AH63" i="4"/>
  <c r="AH101" i="4"/>
  <c r="AH100" i="4"/>
  <c r="AH106" i="4"/>
  <c r="AH206" i="4"/>
  <c r="AH105" i="4"/>
  <c r="AH175" i="4"/>
  <c r="AH172" i="4"/>
  <c r="AH261" i="4"/>
  <c r="AH219" i="4"/>
  <c r="AH223" i="4"/>
  <c r="AH268" i="4"/>
  <c r="AH319" i="4"/>
  <c r="AH178" i="4"/>
  <c r="AH50" i="4"/>
  <c r="AH7" i="4"/>
  <c r="AH347" i="4"/>
  <c r="AH365" i="4"/>
  <c r="AH34" i="4"/>
  <c r="AH272" i="4"/>
  <c r="AH358" i="4"/>
  <c r="AH122" i="4"/>
  <c r="AH254" i="4"/>
  <c r="AH124" i="4"/>
  <c r="AH71" i="4"/>
  <c r="AH173" i="4"/>
  <c r="AH222" i="4"/>
  <c r="AH72" i="4"/>
  <c r="AD39" i="4"/>
  <c r="AD115" i="4"/>
  <c r="AD46" i="4"/>
  <c r="AD11" i="4"/>
  <c r="AD377" i="4"/>
  <c r="AD139" i="4"/>
  <c r="AD209" i="4"/>
  <c r="AD78" i="4"/>
  <c r="AD73" i="4"/>
  <c r="AD57" i="4"/>
  <c r="AD349" i="4"/>
  <c r="AD61" i="4"/>
  <c r="AD356" i="4"/>
  <c r="AD106" i="4"/>
  <c r="AD340" i="4"/>
  <c r="AD184" i="4"/>
  <c r="AD71" i="4"/>
  <c r="AD295" i="4"/>
  <c r="AD134" i="4"/>
  <c r="AD318" i="4"/>
  <c r="AD84" i="4"/>
  <c r="AD90" i="4"/>
  <c r="AD319" i="4"/>
  <c r="AD158" i="4"/>
  <c r="AD152" i="4"/>
  <c r="AD122" i="4"/>
  <c r="AD43" i="4"/>
  <c r="AD75" i="4"/>
  <c r="AD13" i="4"/>
  <c r="AD87" i="4"/>
  <c r="AD210" i="4"/>
  <c r="AD91" i="4"/>
  <c r="AD311" i="4"/>
  <c r="AD179" i="4"/>
  <c r="AD200" i="4"/>
  <c r="AD348" i="4"/>
  <c r="AD62" i="4"/>
  <c r="AD93" i="4"/>
  <c r="AD100" i="4"/>
  <c r="AD314" i="4"/>
  <c r="AD293" i="4"/>
  <c r="AD265" i="4"/>
  <c r="AD110" i="4"/>
  <c r="AD355" i="4"/>
  <c r="AD342" i="4"/>
  <c r="AD266" i="4"/>
  <c r="AD227" i="4"/>
  <c r="AO276" i="4"/>
  <c r="AO115" i="4"/>
  <c r="AO157" i="4"/>
  <c r="AO231" i="4"/>
  <c r="AO141" i="4"/>
  <c r="AO118" i="4"/>
  <c r="AO346" i="4"/>
  <c r="AO163" i="4"/>
  <c r="AO213" i="4"/>
  <c r="AO349" i="4"/>
  <c r="AO253" i="4"/>
  <c r="AO258" i="4"/>
  <c r="AO146" i="4"/>
  <c r="AO131" i="4"/>
  <c r="AO173" i="4"/>
  <c r="AO343" i="4"/>
  <c r="AO270" i="4"/>
  <c r="AO29" i="4"/>
  <c r="AO304" i="4"/>
  <c r="AO319" i="4"/>
  <c r="AO364" i="4"/>
  <c r="AO275" i="4"/>
  <c r="AO322" i="4"/>
  <c r="AO299" i="4"/>
  <c r="AO19" i="4"/>
  <c r="AO50" i="4"/>
  <c r="AO108" i="4"/>
  <c r="AO90" i="4"/>
  <c r="AO248" i="4"/>
  <c r="AO243" i="4"/>
  <c r="AO309" i="4"/>
  <c r="AO15" i="4"/>
  <c r="AO339" i="4"/>
  <c r="AO314" i="4"/>
  <c r="AO58" i="4"/>
  <c r="AO93" i="4"/>
  <c r="AO64" i="4"/>
  <c r="AO100" i="4"/>
  <c r="AO351" i="4"/>
  <c r="AO340" i="4"/>
  <c r="AO67" i="4"/>
  <c r="AO107" i="4"/>
  <c r="AO264" i="4"/>
  <c r="AO355" i="4"/>
  <c r="AO222" i="4"/>
  <c r="AO186" i="4"/>
  <c r="AO318" i="4"/>
  <c r="AJ150" i="4"/>
  <c r="AJ305" i="4"/>
  <c r="AJ157" i="4"/>
  <c r="AJ55" i="4"/>
  <c r="AJ297" i="4"/>
  <c r="AJ193" i="4"/>
  <c r="AJ304" i="4"/>
  <c r="AJ322" i="4"/>
  <c r="AJ35" i="4"/>
  <c r="AJ346" i="4"/>
  <c r="AJ212" i="4"/>
  <c r="AJ53" i="4"/>
  <c r="AJ34" i="4"/>
  <c r="AJ192" i="4"/>
  <c r="AJ331" i="4"/>
  <c r="AJ334" i="4"/>
  <c r="AJ287" i="4"/>
  <c r="AJ336" i="4"/>
  <c r="AJ253" i="4"/>
  <c r="AJ59" i="4"/>
  <c r="AJ106" i="4"/>
  <c r="AJ206" i="4"/>
  <c r="AJ184" i="4"/>
  <c r="AJ175" i="4"/>
  <c r="AJ133" i="4"/>
  <c r="AJ295" i="4"/>
  <c r="AJ25" i="4"/>
  <c r="AJ270" i="4"/>
  <c r="AJ8" i="4"/>
  <c r="AJ232" i="4"/>
  <c r="AJ349" i="4"/>
  <c r="AJ181" i="4"/>
  <c r="AJ7" i="4"/>
  <c r="AJ50" i="4"/>
  <c r="AJ191" i="4"/>
  <c r="AJ328" i="4"/>
  <c r="AJ194" i="4"/>
  <c r="AJ312" i="4"/>
  <c r="AJ313" i="4"/>
  <c r="AJ199" i="4"/>
  <c r="AJ104" i="4"/>
  <c r="AJ69" i="4"/>
  <c r="AJ273" i="4"/>
  <c r="AJ109" i="4"/>
  <c r="AJ263" i="4"/>
  <c r="AJ185" i="4"/>
  <c r="AJ225" i="4"/>
  <c r="AN33" i="4"/>
  <c r="AN42" i="4"/>
  <c r="AN375" i="4"/>
  <c r="AN188" i="4"/>
  <c r="AN94" i="4"/>
  <c r="AN237" i="4"/>
  <c r="AN52" i="4"/>
  <c r="AN241" i="4"/>
  <c r="AN143" i="4"/>
  <c r="AN57" i="4"/>
  <c r="AN349" i="4"/>
  <c r="AN63" i="4"/>
  <c r="AN337" i="4"/>
  <c r="AC150" i="4"/>
  <c r="AC115" i="4"/>
  <c r="AC46" i="4"/>
  <c r="AC11" i="4"/>
  <c r="AC297" i="4"/>
  <c r="AC282" i="4"/>
  <c r="AC84" i="4"/>
  <c r="AC379" i="4"/>
  <c r="AC285" i="4"/>
  <c r="AC143" i="4"/>
  <c r="AC210" i="4"/>
  <c r="AC213" i="4"/>
  <c r="AC99" i="4"/>
  <c r="AC370" i="4"/>
  <c r="AC122" i="4"/>
  <c r="AC169" i="4"/>
  <c r="AC357" i="4"/>
  <c r="AC146" i="4"/>
  <c r="AC184" i="4"/>
  <c r="AC317" i="4"/>
  <c r="AC221" i="4"/>
  <c r="AC269" i="4"/>
  <c r="AC112" i="4"/>
  <c r="AC318" i="4"/>
  <c r="AC368" i="4"/>
  <c r="AC323" i="4"/>
  <c r="AC189" i="4"/>
  <c r="AC302" i="4"/>
  <c r="AC311" i="4"/>
  <c r="AC273" i="4"/>
  <c r="AC234" i="4"/>
  <c r="AC328" i="4"/>
  <c r="AC90" i="4"/>
  <c r="AC309" i="4"/>
  <c r="AC15" i="4"/>
  <c r="AC286" i="4"/>
  <c r="AC62" i="4"/>
  <c r="AC144" i="4"/>
  <c r="AC252" i="4"/>
  <c r="AC216" i="4"/>
  <c r="AC254" i="4"/>
  <c r="AC172" i="4"/>
  <c r="AC148" i="4"/>
  <c r="AC274" i="4"/>
  <c r="AC134" i="4"/>
  <c r="AC266" i="4"/>
  <c r="AC229" i="4"/>
  <c r="AE85" i="4"/>
  <c r="AE114" i="4"/>
  <c r="AE11" i="4"/>
  <c r="AE45" i="4"/>
  <c r="AE378" i="4"/>
  <c r="AE209" i="4"/>
  <c r="AE347" i="4"/>
  <c r="AE244" i="4"/>
  <c r="AE213" i="4"/>
  <c r="AE164" i="4"/>
  <c r="AE370" i="4"/>
  <c r="AE352" i="4"/>
  <c r="AE128" i="4"/>
  <c r="AE146" i="4"/>
  <c r="AE184" i="4"/>
  <c r="AE71" i="4"/>
  <c r="AE204" i="4"/>
  <c r="AE343" i="4"/>
  <c r="AE112" i="4"/>
  <c r="AE345" i="4"/>
  <c r="AE275" i="4"/>
  <c r="AE157" i="4"/>
  <c r="AE379" i="4"/>
  <c r="AE364" i="4"/>
  <c r="AE116" i="4"/>
  <c r="AE122" i="4"/>
  <c r="AE156" i="4"/>
  <c r="AE152" i="4"/>
  <c r="AE120" i="4"/>
  <c r="AE19" i="4"/>
  <c r="AE239" i="4"/>
  <c r="AE328" i="4"/>
  <c r="AE246" i="4"/>
  <c r="AE272" i="4"/>
  <c r="AE65" i="4"/>
  <c r="AE288" i="4"/>
  <c r="AE194" i="4"/>
  <c r="AE59" i="4"/>
  <c r="AE103" i="4"/>
  <c r="AE145" i="4"/>
  <c r="AE74" i="4"/>
  <c r="AE317" i="4"/>
  <c r="AE339" i="4"/>
  <c r="AE217" i="4"/>
  <c r="AE25" i="4"/>
  <c r="AE362" i="4"/>
  <c r="AE363" i="4"/>
  <c r="AF85" i="4"/>
  <c r="AF114" i="4"/>
  <c r="AF28" i="4"/>
  <c r="AF94" i="4"/>
  <c r="AF237" i="4"/>
  <c r="AF14" i="4"/>
  <c r="AF159" i="4"/>
  <c r="AF198" i="4"/>
  <c r="AF164" i="4"/>
  <c r="AF370" i="4"/>
  <c r="AF79" i="4"/>
  <c r="AF168" i="4"/>
  <c r="AF170" i="4"/>
  <c r="AF360" i="4"/>
  <c r="AF133" i="4"/>
  <c r="AF174" i="4"/>
  <c r="AF223" i="4"/>
  <c r="AF140" i="4"/>
  <c r="AF139" i="4"/>
  <c r="AF190" i="4"/>
  <c r="AF308" i="4"/>
  <c r="AF158" i="4"/>
  <c r="AF304" i="4"/>
  <c r="AF208" i="4"/>
  <c r="AF75" i="4"/>
  <c r="AF277" i="4"/>
  <c r="AF97" i="4"/>
  <c r="AF90" i="4"/>
  <c r="AF301" i="4"/>
  <c r="AF243" i="4"/>
  <c r="AF242" i="4"/>
  <c r="AF179" i="4"/>
  <c r="AF287" i="4"/>
  <c r="AF60" i="4"/>
  <c r="AF335" i="4"/>
  <c r="AF88" i="4"/>
  <c r="AF81" i="4"/>
  <c r="AF166" i="4"/>
  <c r="AF219" i="4"/>
  <c r="AF202" i="4"/>
  <c r="AF126" i="4"/>
  <c r="AF293" i="4"/>
  <c r="AF261" i="4"/>
  <c r="AF267" i="4"/>
  <c r="AF185" i="4"/>
  <c r="AF362" i="4"/>
  <c r="AG48" i="4"/>
  <c r="AG236" i="4"/>
  <c r="AG40" i="4"/>
  <c r="AG324" i="4"/>
  <c r="AG230" i="4"/>
  <c r="AG47" i="4"/>
  <c r="AG98" i="4"/>
  <c r="AG116" i="4"/>
  <c r="AG43" i="4"/>
  <c r="AG241" i="4"/>
  <c r="AG13" i="4"/>
  <c r="AG56" i="4"/>
  <c r="AG119" i="4"/>
  <c r="AG353" i="4"/>
  <c r="AG284" i="4"/>
  <c r="AG181" i="4"/>
  <c r="AG15" i="4"/>
  <c r="AG102" i="4"/>
  <c r="AG195" i="4"/>
  <c r="AG19" i="4"/>
  <c r="AG63" i="4"/>
  <c r="AG60" i="4"/>
  <c r="AG59" i="4"/>
  <c r="AG197" i="4"/>
  <c r="AG294" i="4"/>
  <c r="AG255" i="4"/>
  <c r="AG125" i="4"/>
  <c r="AG176" i="4"/>
  <c r="AG203" i="4"/>
  <c r="AG110" i="4"/>
  <c r="AG264" i="4"/>
  <c r="AG134" i="4"/>
  <c r="AG270" i="4"/>
  <c r="AG26" i="4"/>
  <c r="AG31" i="4"/>
  <c r="AG49" i="4"/>
  <c r="AG77" i="4"/>
  <c r="AG347" i="4"/>
  <c r="AG209" i="4"/>
  <c r="AG143" i="4"/>
  <c r="AG312" i="4"/>
  <c r="AG129" i="4"/>
  <c r="AG93" i="4"/>
  <c r="AG360" i="4"/>
  <c r="AG127" i="4"/>
  <c r="AG70" i="4"/>
  <c r="AG296" i="4"/>
  <c r="AL344" i="4"/>
  <c r="AL76" i="4"/>
  <c r="AL240" i="4"/>
  <c r="AL44" i="4"/>
  <c r="AL298" i="4"/>
  <c r="AL378" i="4"/>
  <c r="AL278" i="4"/>
  <c r="AL379" i="4"/>
  <c r="AL367" i="4"/>
  <c r="AL163" i="4"/>
  <c r="AL238" i="4"/>
  <c r="AL196" i="4"/>
  <c r="AL353" i="4"/>
  <c r="AL380" i="4"/>
  <c r="AL61" i="4"/>
  <c r="AL60" i="4"/>
  <c r="AL337" i="4"/>
  <c r="AL357" i="4"/>
  <c r="AL257" i="4"/>
  <c r="AL105" i="4"/>
  <c r="AL109" i="4"/>
  <c r="AL316" i="4"/>
  <c r="AL70" i="4"/>
  <c r="AL267" i="4"/>
  <c r="AL318" i="4"/>
  <c r="AL325" i="4"/>
  <c r="AL297" i="4"/>
  <c r="AL326" i="4"/>
  <c r="AL280" i="4"/>
  <c r="AL237" i="4"/>
  <c r="AL96" i="4"/>
  <c r="AL178" i="4"/>
  <c r="AL120" i="4"/>
  <c r="AL331" i="4"/>
  <c r="AL381" i="4"/>
  <c r="AL289" i="4"/>
  <c r="AL147" i="4"/>
  <c r="AL19" i="4"/>
  <c r="AL194" i="4"/>
  <c r="AL199" i="4"/>
  <c r="AL167" i="4"/>
  <c r="AL155" i="4"/>
  <c r="AL217" i="4"/>
  <c r="AL132" i="4"/>
  <c r="AL260" i="4"/>
  <c r="AL362" i="4"/>
  <c r="AL112" i="4"/>
  <c r="AM32" i="4"/>
  <c r="AM236" i="4"/>
  <c r="AM9" i="4"/>
  <c r="AM207" i="4"/>
  <c r="AM377" i="4"/>
  <c r="AM282" i="4"/>
  <c r="AM209" i="4"/>
  <c r="AM78" i="4"/>
  <c r="AM212" i="4"/>
  <c r="AM213" i="4"/>
  <c r="AM164" i="4"/>
  <c r="AM21" i="4"/>
  <c r="AM253" i="4"/>
  <c r="AM129" i="4"/>
  <c r="AM183" i="4"/>
  <c r="AM145" i="4"/>
  <c r="AM131" i="4"/>
  <c r="AM316" i="4"/>
  <c r="AM70" i="4"/>
  <c r="AM267" i="4"/>
  <c r="AM225" i="4"/>
  <c r="AM324" i="4"/>
  <c r="AM87" i="4"/>
  <c r="AM345" i="4"/>
  <c r="AM97" i="4"/>
  <c r="AM323" i="4"/>
  <c r="AM117" i="4"/>
  <c r="AM13" i="4"/>
  <c r="AM149" i="4"/>
  <c r="AM280" i="4"/>
  <c r="AM329" i="4"/>
  <c r="AM169" i="4"/>
  <c r="AM96" i="4"/>
  <c r="AM54" i="4"/>
  <c r="AM179" i="4"/>
  <c r="AM123" i="4"/>
  <c r="AM58" i="4"/>
  <c r="AM249" i="4"/>
  <c r="AM335" i="4"/>
  <c r="AM166" i="4"/>
  <c r="AM103" i="4"/>
  <c r="AM315" i="4"/>
  <c r="AM25" i="4"/>
  <c r="AM223" i="4"/>
  <c r="AM260" i="4"/>
  <c r="AM342" i="4"/>
  <c r="AM136" i="4"/>
  <c r="AH276" i="4"/>
  <c r="AH115" i="4"/>
  <c r="AH157" i="4"/>
  <c r="AH29" i="4"/>
  <c r="AH324" i="4"/>
  <c r="AH49" i="4"/>
  <c r="AH118" i="4"/>
  <c r="AH325" i="4"/>
  <c r="AH75" i="4"/>
  <c r="AC235" i="4"/>
  <c r="AC308" i="4"/>
  <c r="AC52" i="4"/>
  <c r="AC13" i="4"/>
  <c r="AC102" i="4"/>
  <c r="AC93" i="4"/>
  <c r="AC65" i="4"/>
  <c r="AC341" i="4"/>
  <c r="AC138" i="4"/>
  <c r="AC246" i="4"/>
  <c r="AC75" i="4"/>
  <c r="AC239" i="4"/>
  <c r="AC18" i="4"/>
  <c r="AC211" i="4"/>
  <c r="AC313" i="4"/>
  <c r="AC203" i="4"/>
  <c r="AC343" i="4"/>
  <c r="AE76" i="4"/>
  <c r="AE188" i="4"/>
  <c r="AE51" i="4"/>
  <c r="AE192" i="4"/>
  <c r="AE144" i="4"/>
  <c r="AE206" i="4"/>
  <c r="AE295" i="4"/>
  <c r="AE226" i="4"/>
  <c r="AE117" i="4"/>
  <c r="AE189" i="4"/>
  <c r="AE158" i="4"/>
  <c r="AE300" i="4"/>
  <c r="AE101" i="4"/>
  <c r="AE311" i="4"/>
  <c r="AE214" i="4"/>
  <c r="AE202" i="4"/>
  <c r="AE293" i="4"/>
  <c r="AE227" i="4"/>
  <c r="AF321" i="4"/>
  <c r="AF193" i="4"/>
  <c r="AF163" i="4"/>
  <c r="AF21" i="4"/>
  <c r="AF128" i="4"/>
  <c r="AF221" i="4"/>
  <c r="AF232" i="4"/>
  <c r="AF188" i="4"/>
  <c r="AF84" i="4"/>
  <c r="AF95" i="4"/>
  <c r="AF17" i="4"/>
  <c r="AF162" i="4"/>
  <c r="AF167" i="4"/>
  <c r="AF59" i="4"/>
  <c r="AF103" i="4"/>
  <c r="AF203" i="4"/>
  <c r="AF226" i="4"/>
  <c r="AG32" i="4"/>
  <c r="AG326" i="4"/>
  <c r="AG156" i="4"/>
  <c r="AG7" i="4"/>
  <c r="AG180" i="4"/>
  <c r="AG329" i="4"/>
  <c r="AG191" i="4"/>
  <c r="AG286" i="4"/>
  <c r="AG292" i="4"/>
  <c r="AG103" i="4"/>
  <c r="AG74" i="4"/>
  <c r="AG260" i="4"/>
  <c r="AG137" i="4"/>
  <c r="AG237" i="4"/>
  <c r="AG117" i="4"/>
  <c r="AG370" i="4"/>
  <c r="AG257" i="4"/>
  <c r="AG204" i="4"/>
  <c r="AL86" i="4"/>
  <c r="AL45" i="4"/>
  <c r="AL47" i="4"/>
  <c r="AL73" i="4"/>
  <c r="AL301" i="4"/>
  <c r="AL108" i="4"/>
  <c r="AL201" i="4"/>
  <c r="AL317" i="4"/>
  <c r="AL343" i="4"/>
  <c r="AL327" i="4"/>
  <c r="AL149" i="4"/>
  <c r="AL95" i="4"/>
  <c r="AL181" i="4"/>
  <c r="AL307" i="4"/>
  <c r="AL250" i="4"/>
  <c r="AL82" i="4"/>
  <c r="AL62" i="4"/>
  <c r="AL126" i="4"/>
  <c r="AL221" i="4"/>
  <c r="AL26" i="4"/>
  <c r="AM305" i="4"/>
  <c r="AM188" i="4"/>
  <c r="AM327" i="4"/>
  <c r="AM20" i="4"/>
  <c r="AM371" i="4"/>
  <c r="AM63" i="4"/>
  <c r="AM104" i="4"/>
  <c r="AM127" i="4"/>
  <c r="AM24" i="4"/>
  <c r="AM268" i="4"/>
  <c r="AM230" i="4"/>
  <c r="AM30" i="4"/>
  <c r="AM43" i="4"/>
  <c r="AM234" i="4"/>
  <c r="AM208" i="4"/>
  <c r="AM290" i="4"/>
  <c r="AM314" i="4"/>
  <c r="AM252" i="4"/>
  <c r="AM197" i="4"/>
  <c r="AM254" i="4"/>
  <c r="AM125" i="4"/>
  <c r="AM261" i="4"/>
  <c r="AM362" i="4"/>
  <c r="AH76" i="4"/>
  <c r="AH77" i="4"/>
  <c r="AH141" i="4"/>
  <c r="AH156" i="4"/>
  <c r="AH280" i="4"/>
  <c r="AH73" i="4"/>
  <c r="AH119" i="4"/>
  <c r="AH239" i="4"/>
  <c r="AH142" i="4"/>
  <c r="AH290" i="4"/>
  <c r="AH288" i="4"/>
  <c r="AH88" i="4"/>
  <c r="AH372" i="4"/>
  <c r="AH155" i="4"/>
  <c r="AH131" i="4"/>
  <c r="AH203" i="4"/>
  <c r="AH70" i="4"/>
  <c r="AH112" i="4"/>
  <c r="AH344" i="4"/>
  <c r="AH198" i="4"/>
  <c r="AH139" i="4"/>
  <c r="AH47" i="4"/>
  <c r="AH61" i="4"/>
  <c r="AH337" i="4"/>
  <c r="AH170" i="4"/>
  <c r="AH128" i="4"/>
  <c r="AH215" i="4"/>
  <c r="AH274" i="4"/>
  <c r="AH354" i="4"/>
  <c r="AH185" i="4"/>
  <c r="AD32" i="4"/>
  <c r="AD42" i="4"/>
  <c r="AD40" i="4"/>
  <c r="AD326" i="4"/>
  <c r="AD118" i="4"/>
  <c r="AD368" i="4"/>
  <c r="AD212" i="4"/>
  <c r="AD371" i="4"/>
  <c r="AD370" i="4"/>
  <c r="AD292" i="4"/>
  <c r="AD104" i="4"/>
  <c r="AD360" i="4"/>
  <c r="AD175" i="4"/>
  <c r="AD269" i="4"/>
  <c r="AD228" i="4"/>
  <c r="AD302" i="4"/>
  <c r="AD187" i="4"/>
  <c r="AD277" i="4"/>
  <c r="AD151" i="4"/>
  <c r="AD156" i="4"/>
  <c r="AD149" i="4"/>
  <c r="AD121" i="4"/>
  <c r="AD334" i="4"/>
  <c r="AD161" i="4"/>
  <c r="AD246" i="4"/>
  <c r="AD307" i="4"/>
  <c r="AD290" i="4"/>
  <c r="AD335" i="4"/>
  <c r="AD254" i="4"/>
  <c r="AD372" i="4"/>
  <c r="AD354" i="4"/>
  <c r="AD338" i="4"/>
  <c r="AD218" i="4"/>
  <c r="AD25" i="4"/>
  <c r="AD111" i="4"/>
  <c r="AO48" i="4"/>
  <c r="AO27" i="4"/>
  <c r="AO44" i="4"/>
  <c r="AO323" i="4"/>
  <c r="AO282" i="4"/>
  <c r="AO366" i="4"/>
  <c r="AO180" i="4"/>
  <c r="AO99" i="4"/>
  <c r="AO337" i="4"/>
  <c r="AO201" i="4"/>
  <c r="AO358" i="4"/>
  <c r="AO295" i="4"/>
  <c r="AO135" i="4"/>
  <c r="AO320" i="4"/>
  <c r="AO327" i="4"/>
  <c r="AO94" i="4"/>
  <c r="AO49" i="4"/>
  <c r="AO158" i="4"/>
  <c r="AO189" i="4"/>
  <c r="AO178" i="4"/>
  <c r="AO121" i="4"/>
  <c r="AO87" i="4"/>
  <c r="AO18" i="4"/>
  <c r="AO54" i="4"/>
  <c r="AO36" i="4"/>
  <c r="AO370" i="4"/>
  <c r="AO292" i="4"/>
  <c r="AO256" i="4"/>
  <c r="AO105" i="4"/>
  <c r="AO338" i="4"/>
  <c r="AO315" i="4"/>
  <c r="AO125" i="4"/>
  <c r="AO261" i="4"/>
  <c r="AO70" i="4"/>
  <c r="AO342" i="4"/>
  <c r="AO363" i="4"/>
  <c r="AJ236" i="4"/>
  <c r="AJ46" i="4"/>
  <c r="AJ29" i="4"/>
  <c r="AJ141" i="4"/>
  <c r="AJ245" i="4"/>
  <c r="AJ271" i="4"/>
  <c r="AJ51" i="4"/>
  <c r="AJ244" i="4"/>
  <c r="AJ56" i="4"/>
  <c r="AJ17" i="4"/>
  <c r="AJ329" i="4"/>
  <c r="AJ380" i="4"/>
  <c r="AJ310" i="4"/>
  <c r="AJ200" i="4"/>
  <c r="AJ214" i="4"/>
  <c r="AJ254" i="4"/>
  <c r="AJ67" i="4"/>
  <c r="AJ176" i="4"/>
  <c r="AJ359" i="4"/>
  <c r="AJ205" i="4"/>
  <c r="AJ268" i="4"/>
  <c r="AJ345" i="4"/>
  <c r="AJ152" i="4"/>
  <c r="AJ302" i="4"/>
  <c r="AJ89" i="4"/>
  <c r="AJ15" i="4"/>
  <c r="AJ247" i="4"/>
  <c r="AJ249" i="4"/>
  <c r="AJ246" i="4"/>
  <c r="AJ251" i="4"/>
  <c r="AJ215" i="4"/>
  <c r="AJ145" i="4"/>
  <c r="AJ110" i="4"/>
  <c r="AJ342" i="4"/>
  <c r="AJ363" i="4"/>
  <c r="AN85" i="4"/>
  <c r="AN114" i="4"/>
  <c r="AN374" i="4"/>
  <c r="AN151" i="4"/>
  <c r="AN35" i="4"/>
  <c r="AN78" i="4"/>
  <c r="AN180" i="4"/>
  <c r="AN284" i="4"/>
  <c r="AN144" i="4"/>
  <c r="AN216" i="4"/>
  <c r="AN294" i="4"/>
  <c r="AN131" i="4"/>
  <c r="AN133" i="4"/>
  <c r="AN205" i="4"/>
  <c r="AN112" i="4"/>
  <c r="AN302" i="4"/>
  <c r="AN87" i="4"/>
  <c r="AN30" i="4"/>
  <c r="AN345" i="4"/>
  <c r="AN47" i="4"/>
  <c r="AN116" i="4"/>
  <c r="AN96" i="4"/>
  <c r="AN15" i="4"/>
  <c r="AN161" i="4"/>
  <c r="AN16" i="4"/>
  <c r="AN328" i="4"/>
  <c r="AN380" i="4"/>
  <c r="AN370" i="4"/>
  <c r="AN88" i="4"/>
  <c r="AN352" i="4"/>
  <c r="AN313" i="4"/>
  <c r="AN166" i="4"/>
  <c r="AN184" i="4"/>
  <c r="AN81" i="4"/>
  <c r="AN147" i="4"/>
  <c r="AN359" i="4"/>
  <c r="AN260" i="4"/>
  <c r="AN362" i="4"/>
  <c r="AN111" i="4"/>
  <c r="AN26" i="4"/>
  <c r="AK33" i="4"/>
  <c r="AK305" i="4"/>
  <c r="AK31" i="4"/>
  <c r="AK188" i="4"/>
  <c r="AK297" i="4"/>
  <c r="AK89" i="4"/>
  <c r="AK118" i="4"/>
  <c r="AK83" i="4"/>
  <c r="AK209" i="4"/>
  <c r="AK347" i="4"/>
  <c r="AK244" i="4"/>
  <c r="AK208" i="4"/>
  <c r="AK180" i="4"/>
  <c r="AK120" i="4"/>
  <c r="AK353" i="4"/>
  <c r="AK380" i="4"/>
  <c r="AK350" i="4"/>
  <c r="AK63" i="4"/>
  <c r="AK352" i="4"/>
  <c r="AK216" i="4"/>
  <c r="AK357" i="4"/>
  <c r="AK124" i="4"/>
  <c r="AK256" i="4"/>
  <c r="AK109" i="4"/>
  <c r="AK130" i="4"/>
  <c r="AK204" i="4"/>
  <c r="AK224" i="4"/>
  <c r="AK226" i="4"/>
  <c r="AK8" i="4"/>
  <c r="AK376" i="4"/>
  <c r="AK41" i="4"/>
  <c r="AK302" i="4"/>
  <c r="AK78" i="4"/>
  <c r="AK149" i="4"/>
  <c r="AK91" i="4"/>
  <c r="AK329" i="4"/>
  <c r="AK289" i="4"/>
  <c r="AK311" i="4"/>
  <c r="AK19" i="4"/>
  <c r="AK166" i="4"/>
  <c r="AK294" i="4"/>
  <c r="AK266" i="4"/>
  <c r="AK74" i="4"/>
  <c r="AK171" i="4"/>
  <c r="AK361" i="4"/>
  <c r="AK111" i="4"/>
  <c r="AK136" i="4"/>
  <c r="AM379" i="4"/>
  <c r="AM190" i="4"/>
  <c r="AM289" i="4"/>
  <c r="AM105" i="4"/>
  <c r="AM171" i="4"/>
  <c r="AM354" i="4"/>
  <c r="AM355" i="4"/>
  <c r="AM113" i="4"/>
  <c r="AH305" i="4"/>
  <c r="AH188" i="4"/>
  <c r="AH10" i="4"/>
  <c r="AH364" i="4"/>
  <c r="AH368" i="4"/>
  <c r="AH208" i="4"/>
  <c r="AH120" i="4"/>
  <c r="AH329" i="4"/>
  <c r="AH181" i="4"/>
  <c r="AH195" i="4"/>
  <c r="AH58" i="4"/>
  <c r="AH169" i="4"/>
  <c r="AH314" i="4"/>
  <c r="AH360" i="4"/>
  <c r="AH171" i="4"/>
  <c r="AH147" i="4"/>
  <c r="AH205" i="4"/>
  <c r="AH228" i="4"/>
  <c r="AH277" i="4"/>
  <c r="AH241" i="4"/>
  <c r="AH43" i="4"/>
  <c r="AH15" i="4"/>
  <c r="AH12" i="4"/>
  <c r="AH97" i="4"/>
  <c r="AH371" i="4"/>
  <c r="AH166" i="4"/>
  <c r="AH126" i="4"/>
  <c r="AH339" i="4"/>
  <c r="AH362" i="4"/>
  <c r="AH296" i="4"/>
  <c r="AD276" i="4"/>
  <c r="AD235" i="4"/>
  <c r="AD44" i="4"/>
  <c r="AD94" i="4"/>
  <c r="AD245" i="4"/>
  <c r="AD347" i="4"/>
  <c r="AD143" i="4"/>
  <c r="AD353" i="4"/>
  <c r="AD21" i="4"/>
  <c r="AD169" i="4"/>
  <c r="AD170" i="4"/>
  <c r="AD256" i="4"/>
  <c r="AD176" i="4"/>
  <c r="AD174" i="4"/>
  <c r="AD270" i="4"/>
  <c r="AD275" i="4"/>
  <c r="AD56" i="4"/>
  <c r="AD304" i="4"/>
  <c r="AD234" i="4"/>
  <c r="AD306" i="4"/>
  <c r="AD140" i="4"/>
  <c r="AD14" i="4"/>
  <c r="AD130" i="4"/>
  <c r="AD96" i="4"/>
  <c r="AD197" i="4"/>
  <c r="AD160" i="4"/>
  <c r="AD287" i="4"/>
  <c r="AD273" i="4"/>
  <c r="AD315" i="4"/>
  <c r="AD127" i="4"/>
  <c r="AD263" i="4"/>
  <c r="AD172" i="4"/>
  <c r="AD74" i="4"/>
  <c r="AD69" i="4"/>
  <c r="AD296" i="4"/>
  <c r="AO344" i="4"/>
  <c r="AO305" i="4"/>
  <c r="AO77" i="4"/>
  <c r="AO324" i="4"/>
  <c r="AO245" i="4"/>
  <c r="AO367" i="4"/>
  <c r="AO196" i="4"/>
  <c r="AO334" i="4"/>
  <c r="AO216" i="4"/>
  <c r="AO170" i="4"/>
  <c r="AO317" i="4"/>
  <c r="AO269" i="4"/>
  <c r="AO267" i="4"/>
  <c r="AO236" i="4"/>
  <c r="AO332" i="4"/>
  <c r="AO345" i="4"/>
  <c r="AO302" i="4"/>
  <c r="AO96" i="4"/>
  <c r="AO280" i="4"/>
  <c r="AO238" i="4"/>
  <c r="AO301" i="4"/>
  <c r="AO38" i="4"/>
  <c r="AO182" i="4"/>
  <c r="AO162" i="4"/>
  <c r="AO307" i="4"/>
  <c r="AO63" i="4"/>
  <c r="AO211" i="4"/>
  <c r="AO101" i="4"/>
  <c r="AO251" i="4"/>
  <c r="AO126" i="4"/>
  <c r="AO360" i="4"/>
  <c r="AO109" i="4"/>
  <c r="AO217" i="4"/>
  <c r="AO25" i="4"/>
  <c r="AO111" i="4"/>
  <c r="AJ48" i="4"/>
  <c r="AJ86" i="4"/>
  <c r="AJ375" i="4"/>
  <c r="AJ188" i="4"/>
  <c r="AJ151" i="4"/>
  <c r="AJ187" i="4"/>
  <c r="AJ306" i="4"/>
  <c r="AJ52" i="4"/>
  <c r="AJ73" i="4"/>
  <c r="AJ180" i="4"/>
  <c r="AJ87" i="4"/>
  <c r="AJ18" i="4"/>
  <c r="AJ369" i="4"/>
  <c r="AJ333" i="4"/>
  <c r="AJ352" i="4"/>
  <c r="AJ93" i="4"/>
  <c r="AJ103" i="4"/>
  <c r="AJ127" i="4"/>
  <c r="AJ74" i="4"/>
  <c r="AJ316" i="4"/>
  <c r="AJ343" i="4"/>
  <c r="AJ113" i="4"/>
  <c r="AJ94" i="4"/>
  <c r="AJ275" i="4"/>
  <c r="AJ116" i="4"/>
  <c r="AJ49" i="4"/>
  <c r="AJ142" i="4"/>
  <c r="AJ63" i="4"/>
  <c r="AJ289" i="4"/>
  <c r="AJ155" i="4"/>
  <c r="AJ167" i="4"/>
  <c r="AJ81" i="4"/>
  <c r="AJ274" i="4"/>
  <c r="AJ260" i="4"/>
  <c r="AJ134" i="4"/>
  <c r="AJ136" i="4"/>
  <c r="AN76" i="4"/>
  <c r="AN321" i="4"/>
  <c r="AN28" i="4"/>
  <c r="AN10" i="4"/>
  <c r="AN379" i="4"/>
  <c r="AN285" i="4"/>
  <c r="AN196" i="4"/>
  <c r="AN301" i="4"/>
  <c r="AN108" i="4"/>
  <c r="AN314" i="4"/>
  <c r="AN183" i="4"/>
  <c r="AN107" i="4"/>
  <c r="AN221" i="4"/>
  <c r="AN220" i="4"/>
  <c r="AN228" i="4"/>
  <c r="AN236" i="4"/>
  <c r="AN278" i="4"/>
  <c r="AN187" i="4"/>
  <c r="AN41" i="4"/>
  <c r="AN233" i="4"/>
  <c r="AN189" i="4"/>
  <c r="AN13" i="4"/>
  <c r="AN238" i="4"/>
  <c r="AN195" i="4"/>
  <c r="AN239" i="4"/>
  <c r="AN91" i="4"/>
  <c r="AN381" i="4"/>
  <c r="AN250" i="4"/>
  <c r="AN211" i="4"/>
  <c r="AN256" i="4"/>
  <c r="AN65" i="4"/>
  <c r="AC157" i="4"/>
  <c r="AC89" i="4"/>
  <c r="AC37" i="4"/>
  <c r="AC53" i="4"/>
  <c r="AC380" i="4"/>
  <c r="AC337" i="4"/>
  <c r="AC127" i="4"/>
  <c r="AC173" i="4"/>
  <c r="AC117" i="4"/>
  <c r="AC158" i="4"/>
  <c r="AC376" i="4"/>
  <c r="AC242" i="4"/>
  <c r="AC381" i="4"/>
  <c r="AC247" i="4"/>
  <c r="AC145" i="4"/>
  <c r="AC66" i="4"/>
  <c r="AC224" i="4"/>
  <c r="AE236" i="4"/>
  <c r="AE323" i="4"/>
  <c r="AE52" i="4"/>
  <c r="AE57" i="4"/>
  <c r="AE292" i="4"/>
  <c r="AE155" i="4"/>
  <c r="AE24" i="4"/>
  <c r="AE42" i="4"/>
  <c r="AE29" i="4"/>
  <c r="AE98" i="4"/>
  <c r="AE7" i="4"/>
  <c r="AE348" i="4"/>
  <c r="AE381" i="4"/>
  <c r="AE58" i="4"/>
  <c r="AE215" i="4"/>
  <c r="AE255" i="4"/>
  <c r="AE110" i="4"/>
  <c r="AE138" i="4"/>
  <c r="AF46" i="4"/>
  <c r="AF327" i="4"/>
  <c r="AF143" i="4"/>
  <c r="AF80" i="4"/>
  <c r="AF294" i="4"/>
  <c r="AF23" i="4"/>
  <c r="AF8" i="4"/>
  <c r="AF47" i="4"/>
  <c r="AF41" i="4"/>
  <c r="AF43" i="4"/>
  <c r="AF122" i="4"/>
  <c r="AF246" i="4"/>
  <c r="AF183" i="4"/>
  <c r="AF100" i="4"/>
  <c r="AF339" i="4"/>
  <c r="AF147" i="4"/>
  <c r="AF135" i="4"/>
  <c r="AG39" i="4"/>
  <c r="AG377" i="4"/>
  <c r="AG35" i="4"/>
  <c r="AG234" i="4"/>
  <c r="AG196" i="4"/>
  <c r="AG332" i="4"/>
  <c r="AG179" i="4"/>
  <c r="AG288" i="4"/>
  <c r="AG252" i="4"/>
  <c r="AG146" i="4"/>
  <c r="AG66" i="4"/>
  <c r="AG174" i="4"/>
  <c r="AG113" i="4"/>
  <c r="AG30" i="4"/>
  <c r="AG37" i="4"/>
  <c r="AG291" i="4"/>
  <c r="AG262" i="4"/>
  <c r="AG268" i="4"/>
  <c r="AL27" i="4"/>
  <c r="AL319" i="4"/>
  <c r="AL51" i="4"/>
  <c r="AL143" i="4"/>
  <c r="AL332" i="4"/>
  <c r="AL200" i="4"/>
  <c r="AL170" i="4"/>
  <c r="AL175" i="4"/>
  <c r="AL228" i="4"/>
  <c r="AL233" i="4"/>
  <c r="AL324" i="4"/>
  <c r="AL50" i="4"/>
  <c r="AL87" i="4"/>
  <c r="AL338" i="4"/>
  <c r="AL246" i="4"/>
  <c r="AL146" i="4"/>
  <c r="AL127" i="4"/>
  <c r="AL130" i="4"/>
  <c r="AL134" i="4"/>
  <c r="AM39" i="4"/>
  <c r="AM114" i="4"/>
  <c r="AM308" i="4"/>
  <c r="AM73" i="4"/>
  <c r="AM153" i="4"/>
  <c r="AM352" i="4"/>
  <c r="AM64" i="4"/>
  <c r="AM107" i="4"/>
  <c r="AM205" i="4"/>
  <c r="AM138" i="4"/>
  <c r="AM348" i="4"/>
  <c r="AM246" i="4"/>
  <c r="AM281" i="4"/>
  <c r="AM140" i="4"/>
  <c r="AM369" i="4"/>
  <c r="AM36" i="4"/>
  <c r="AC48" i="4"/>
  <c r="AC375" i="4"/>
  <c r="AC118" i="4"/>
  <c r="AC347" i="4"/>
  <c r="AC121" i="4"/>
  <c r="AC80" i="4"/>
  <c r="AC372" i="4"/>
  <c r="AC373" i="4"/>
  <c r="AC219" i="4"/>
  <c r="AC30" i="4"/>
  <c r="AC8" i="4"/>
  <c r="AC14" i="4"/>
  <c r="AC128" i="4"/>
  <c r="AC191" i="4"/>
  <c r="AC154" i="4"/>
  <c r="AC261" i="4"/>
  <c r="AC218" i="4"/>
  <c r="AC72" i="4"/>
  <c r="AE86" i="4"/>
  <c r="AE324" i="4"/>
  <c r="AE366" i="4"/>
  <c r="AE165" i="4"/>
  <c r="AE356" i="4"/>
  <c r="AE262" i="4"/>
  <c r="AE269" i="4"/>
  <c r="AE9" i="4"/>
  <c r="AE83" i="4"/>
  <c r="AE15" i="4"/>
  <c r="AE234" i="4"/>
  <c r="AE329" i="4"/>
  <c r="AE191" i="4"/>
  <c r="AE289" i="4"/>
  <c r="AE372" i="4"/>
  <c r="AE154" i="4"/>
  <c r="AE260" i="4"/>
  <c r="AF48" i="4"/>
  <c r="AF31" i="4"/>
  <c r="AF98" i="4"/>
  <c r="AF213" i="4"/>
  <c r="AF336" i="4"/>
  <c r="AF124" i="4"/>
  <c r="AF70" i="4"/>
  <c r="AF235" i="4"/>
  <c r="AF209" i="4"/>
  <c r="AF366" i="4"/>
  <c r="AF152" i="4"/>
  <c r="AF64" i="4"/>
  <c r="AF36" i="4"/>
  <c r="AF286" i="4"/>
  <c r="AF251" i="4"/>
  <c r="AF154" i="4"/>
  <c r="AF359" i="4"/>
  <c r="AF296" i="4"/>
  <c r="AG86" i="4"/>
  <c r="AG8" i="4"/>
  <c r="AG379" i="4"/>
  <c r="AG285" i="4"/>
  <c r="AG92" i="4"/>
  <c r="AG164" i="4"/>
  <c r="AG246" i="4"/>
  <c r="AG58" i="4"/>
  <c r="AG214" i="4"/>
  <c r="AG154" i="4"/>
  <c r="AG130" i="4"/>
  <c r="AG205" i="4"/>
  <c r="AG363" i="4"/>
  <c r="AG231" i="4"/>
  <c r="AG281" i="4"/>
  <c r="AG253" i="4"/>
  <c r="AG23" i="4"/>
  <c r="AG267" i="4"/>
  <c r="AL9" i="4"/>
  <c r="AL151" i="4"/>
  <c r="AL52" i="4"/>
  <c r="AL300" i="4"/>
  <c r="AL164" i="4"/>
  <c r="AL253" i="4"/>
  <c r="AL340" i="4"/>
  <c r="AL68" i="4"/>
  <c r="AL270" i="4"/>
  <c r="AL279" i="4"/>
  <c r="AL275" i="4"/>
  <c r="AL190" i="4"/>
  <c r="AL162" i="4"/>
  <c r="AL58" i="4"/>
  <c r="AL310" i="4"/>
  <c r="AL197" i="4"/>
  <c r="AL261" i="4"/>
  <c r="AL295" i="4"/>
  <c r="AL226" i="4"/>
  <c r="AM276" i="4"/>
  <c r="AM321" i="4"/>
  <c r="AM89" i="4"/>
  <c r="AM52" i="4"/>
  <c r="AM143" i="4"/>
  <c r="AM349" i="4"/>
  <c r="AM292" i="4"/>
  <c r="AM124" i="4"/>
  <c r="AM109" i="4"/>
  <c r="AM220" i="4"/>
  <c r="AM304" i="4"/>
  <c r="AM84" i="4"/>
  <c r="AM275" i="4"/>
  <c r="AM239" i="4"/>
  <c r="AM41" i="4"/>
  <c r="AM214" i="4"/>
  <c r="AM328" i="4"/>
  <c r="AM307" i="4"/>
  <c r="AM59" i="4"/>
  <c r="AM100" i="4"/>
  <c r="AM359" i="4"/>
  <c r="AM217" i="4"/>
  <c r="AM148" i="4"/>
  <c r="AM229" i="4"/>
  <c r="AH42" i="4"/>
  <c r="AH28" i="4"/>
  <c r="AH378" i="4"/>
  <c r="AH98" i="4"/>
  <c r="AH14" i="4"/>
  <c r="AH238" i="4"/>
  <c r="AH17" i="4"/>
  <c r="AH182" i="4"/>
  <c r="AH309" i="4"/>
  <c r="AH350" i="4"/>
  <c r="AH289" i="4"/>
  <c r="AH123" i="4"/>
  <c r="AH357" i="4"/>
  <c r="AH81" i="4"/>
  <c r="AH68" i="4"/>
  <c r="AH359" i="4"/>
  <c r="AH263" i="4"/>
  <c r="AH226" i="4"/>
  <c r="AH33" i="4"/>
  <c r="AH152" i="4"/>
  <c r="AH149" i="4"/>
  <c r="AH163" i="4"/>
  <c r="AH381" i="4"/>
  <c r="AH153" i="4"/>
  <c r="AH312" i="4"/>
  <c r="AH154" i="4"/>
  <c r="AH64" i="4"/>
  <c r="AH262" i="4"/>
  <c r="AH174" i="4"/>
  <c r="AH136" i="4"/>
  <c r="AD33" i="4"/>
  <c r="AD240" i="4"/>
  <c r="AD207" i="4"/>
  <c r="AD308" i="4"/>
  <c r="AD327" i="4"/>
  <c r="AD367" i="4"/>
  <c r="AD283" i="4"/>
  <c r="AD332" i="4"/>
  <c r="AD336" i="4"/>
  <c r="AD337" i="4"/>
  <c r="AD294" i="4"/>
  <c r="AD67" i="4"/>
  <c r="AD133" i="4"/>
  <c r="AD70" i="4"/>
  <c r="AD137" i="4"/>
  <c r="AD27" i="4"/>
  <c r="AD374" i="4"/>
  <c r="AD324" i="4"/>
  <c r="AD50" i="4"/>
  <c r="AD325" i="4"/>
  <c r="AD299" i="4"/>
  <c r="AD301" i="4"/>
  <c r="AD329" i="4"/>
  <c r="AD328" i="4"/>
  <c r="AD59" i="4"/>
  <c r="AD272" i="4"/>
  <c r="AD65" i="4"/>
  <c r="AD211" i="4"/>
  <c r="AD214" i="4"/>
  <c r="AD351" i="4"/>
  <c r="AD167" i="4"/>
  <c r="AD81" i="4"/>
  <c r="AD260" i="4"/>
  <c r="AD361" i="4"/>
  <c r="AD226" i="4"/>
  <c r="AO39" i="4"/>
  <c r="AO42" i="4"/>
  <c r="AO11" i="4"/>
  <c r="AO377" i="4"/>
  <c r="AO237" i="4"/>
  <c r="AO78" i="4"/>
  <c r="AO198" i="4"/>
  <c r="AO102" i="4"/>
  <c r="AO372" i="4"/>
  <c r="AO124" i="4"/>
  <c r="AO82" i="4"/>
  <c r="AO219" i="4"/>
  <c r="AO228" i="4"/>
  <c r="AO374" i="4"/>
  <c r="AO31" i="4"/>
  <c r="AO41" i="4"/>
  <c r="AO139" i="4"/>
  <c r="AO13" i="4"/>
  <c r="AO56" i="4"/>
  <c r="AO210" i="4"/>
  <c r="AO335" i="4"/>
  <c r="AO284" i="4"/>
  <c r="AO369" i="4"/>
  <c r="AO153" i="4"/>
  <c r="AO272" i="4"/>
  <c r="AO310" i="4"/>
  <c r="AO247" i="4"/>
  <c r="AO169" i="4"/>
  <c r="AO199" i="4"/>
  <c r="AO223" i="4"/>
  <c r="AO81" i="4"/>
  <c r="AO316" i="4"/>
  <c r="AO110" i="4"/>
  <c r="AO361" i="4"/>
  <c r="AO136" i="4"/>
  <c r="AJ344" i="4"/>
  <c r="AJ115" i="4"/>
  <c r="AJ31" i="4"/>
  <c r="AJ320" i="4"/>
  <c r="AJ378" i="4"/>
  <c r="AJ278" i="4"/>
  <c r="AJ158" i="4"/>
  <c r="AJ368" i="4"/>
  <c r="AJ143" i="4"/>
  <c r="AJ196" i="4"/>
  <c r="AJ161" i="4"/>
  <c r="AJ243" i="4"/>
  <c r="AJ248" i="4"/>
  <c r="AJ80" i="4"/>
  <c r="AJ292" i="4"/>
  <c r="AJ372" i="4"/>
  <c r="AJ340" i="4"/>
  <c r="AJ373" i="4"/>
  <c r="AJ66" i="4"/>
  <c r="AJ204" i="4"/>
  <c r="AJ224" i="4"/>
  <c r="AJ318" i="4"/>
  <c r="AJ376" i="4"/>
  <c r="AJ231" i="4"/>
  <c r="AJ190" i="4"/>
  <c r="AJ367" i="4"/>
  <c r="AJ163" i="4"/>
  <c r="AJ283" i="4"/>
  <c r="AJ288" i="4"/>
  <c r="AJ197" i="4"/>
  <c r="AJ100" i="4"/>
  <c r="AJ146" i="4"/>
  <c r="AJ71" i="4"/>
  <c r="AJ148" i="4"/>
  <c r="AJ222" i="4"/>
  <c r="AN48" i="4"/>
  <c r="AN86" i="4"/>
  <c r="AN157" i="4"/>
  <c r="AN320" i="4"/>
  <c r="AN378" i="4"/>
  <c r="AN51" i="4"/>
  <c r="AN365" i="4"/>
  <c r="AN92" i="4"/>
  <c r="AN164" i="4"/>
  <c r="AN79" i="4"/>
  <c r="AN128" i="4"/>
  <c r="AN64" i="4"/>
  <c r="AN317" i="4"/>
  <c r="AN23" i="4"/>
  <c r="AN343" i="4"/>
  <c r="AN270" i="4"/>
  <c r="AN324" i="4"/>
  <c r="AN368" i="4"/>
  <c r="AN326" i="4"/>
  <c r="AN376" i="4"/>
  <c r="AN279" i="4"/>
  <c r="AN19" i="4"/>
  <c r="AN119" i="4"/>
  <c r="AN300" i="4"/>
  <c r="AN248" i="4"/>
  <c r="AN329" i="4"/>
  <c r="AN181" i="4"/>
  <c r="AC33" i="4"/>
  <c r="AC31" i="4"/>
  <c r="AC245" i="4"/>
  <c r="AC365" i="4"/>
  <c r="AC56" i="4"/>
  <c r="AC336" i="4"/>
  <c r="AC104" i="4"/>
  <c r="AC262" i="4"/>
  <c r="AC70" i="4"/>
  <c r="AC156" i="4"/>
  <c r="AC140" i="4"/>
  <c r="AC91" i="4"/>
  <c r="AC181" i="4"/>
  <c r="AC179" i="4"/>
  <c r="AC257" i="4"/>
  <c r="AC22" i="4"/>
  <c r="AC354" i="4"/>
  <c r="AC186" i="4"/>
  <c r="AE321" i="4"/>
  <c r="AE326" i="4"/>
  <c r="AE367" i="4"/>
  <c r="AE99" i="4"/>
  <c r="AE169" i="4"/>
  <c r="AE358" i="4"/>
  <c r="AE224" i="4"/>
  <c r="AE30" i="4"/>
  <c r="AE119" i="4"/>
  <c r="AE230" i="4"/>
  <c r="AE178" i="4"/>
  <c r="AE331" i="4"/>
  <c r="AE350" i="4"/>
  <c r="AE335" i="4"/>
  <c r="AE127" i="4"/>
  <c r="AE172" i="4"/>
  <c r="AE355" i="4"/>
  <c r="AF344" i="4"/>
  <c r="AF298" i="4"/>
  <c r="AF35" i="4"/>
  <c r="AF192" i="4"/>
  <c r="AF312" i="4"/>
  <c r="AF146" i="4"/>
  <c r="AF205" i="4"/>
  <c r="AF157" i="4"/>
  <c r="AF319" i="4"/>
  <c r="AF364" i="4"/>
  <c r="AF96" i="4"/>
  <c r="AF16" i="4"/>
  <c r="AF307" i="4"/>
  <c r="AF104" i="4"/>
  <c r="AF199" i="4"/>
  <c r="AF338" i="4"/>
  <c r="AF217" i="4"/>
  <c r="AF132" i="4"/>
  <c r="AG115" i="4"/>
  <c r="AG345" i="4"/>
  <c r="AG149" i="4"/>
  <c r="AG20" i="4"/>
  <c r="AG120" i="4"/>
  <c r="AG96" i="4"/>
  <c r="AG380" i="4"/>
  <c r="AG108" i="4"/>
  <c r="AG100" i="4"/>
  <c r="AG315" i="4"/>
  <c r="AG147" i="4"/>
  <c r="AG263" i="4"/>
  <c r="AG33" i="4"/>
  <c r="AG374" i="4"/>
  <c r="AG51" i="4"/>
  <c r="AG104" i="4"/>
  <c r="AG373" i="4"/>
  <c r="AG72" i="4"/>
  <c r="AL321" i="4"/>
  <c r="AL193" i="4"/>
  <c r="AL37" i="4"/>
  <c r="AL330" i="4"/>
  <c r="AL369" i="4"/>
  <c r="AL352" i="4"/>
  <c r="AL206" i="4"/>
  <c r="AL341" i="4"/>
  <c r="AL137" i="4"/>
  <c r="AL376" i="4"/>
  <c r="AL17" i="4"/>
  <c r="AL243" i="4"/>
  <c r="AL54" i="4"/>
  <c r="AL259" i="4"/>
  <c r="AL195" i="4"/>
  <c r="AL166" i="4"/>
  <c r="AL173" i="4"/>
  <c r="AL171" i="4"/>
  <c r="AL138" i="4"/>
  <c r="AM150" i="4"/>
  <c r="AM46" i="4"/>
  <c r="AM49" i="4"/>
  <c r="AM37" i="4"/>
  <c r="AM283" i="4"/>
  <c r="AM334" i="4"/>
  <c r="AM356" i="4"/>
  <c r="AM146" i="4"/>
  <c r="AM317" i="4"/>
  <c r="AM343" i="4"/>
  <c r="AM151" i="4"/>
  <c r="AM325" i="4"/>
  <c r="AM83" i="4"/>
  <c r="AM330" i="4"/>
  <c r="AM299" i="4"/>
  <c r="AM34" i="4"/>
  <c r="AM91" i="4"/>
  <c r="AM160" i="4"/>
  <c r="AM88" i="4"/>
  <c r="AM251" i="4"/>
  <c r="AM167" i="4"/>
  <c r="AM69" i="4"/>
  <c r="AM274" i="4"/>
  <c r="AM227" i="4"/>
  <c r="AH235" i="4"/>
  <c r="AH320" i="4"/>
  <c r="AH193" i="4"/>
  <c r="AH35" i="4"/>
  <c r="AH346" i="4"/>
  <c r="AH53" i="4"/>
  <c r="AH87" i="4"/>
  <c r="AH284" i="4"/>
  <c r="AH242" i="4"/>
  <c r="AH250" i="4"/>
  <c r="AH108" i="4"/>
  <c r="AH59" i="4"/>
  <c r="AH313" i="4"/>
  <c r="AH256" i="4"/>
  <c r="AH176" i="4"/>
  <c r="AH217" i="4"/>
  <c r="AH25" i="4"/>
  <c r="AH137" i="4"/>
  <c r="AH11" i="4"/>
  <c r="AH191" i="4"/>
  <c r="AH230" i="4"/>
  <c r="AH345" i="4"/>
  <c r="AH36" i="4"/>
  <c r="AH211" i="4"/>
  <c r="AH19" i="4"/>
  <c r="AH167" i="4"/>
  <c r="AH125" i="4"/>
  <c r="AH23" i="4"/>
  <c r="AH177" i="4"/>
  <c r="AH225" i="4"/>
  <c r="AD232" i="4"/>
  <c r="AD9" i="4"/>
  <c r="AD55" i="4"/>
  <c r="AD89" i="4"/>
  <c r="AD364" i="4"/>
  <c r="AD241" i="4"/>
  <c r="AD180" i="4"/>
  <c r="AD164" i="4"/>
  <c r="AD63" i="4"/>
  <c r="AD168" i="4"/>
  <c r="AD183" i="4"/>
  <c r="AD262" i="4"/>
  <c r="AD316" i="4"/>
  <c r="AD205" i="4"/>
  <c r="AD225" i="4"/>
  <c r="AD303" i="4"/>
  <c r="AD83" i="4"/>
  <c r="AD300" i="4"/>
  <c r="AD281" i="4"/>
  <c r="AD208" i="4"/>
  <c r="AD116" i="4"/>
  <c r="AD239" i="4"/>
  <c r="AD17" i="4"/>
  <c r="AD142" i="4"/>
  <c r="AD101" i="4"/>
  <c r="AD333" i="4"/>
  <c r="AD369" i="4"/>
  <c r="AD247" i="4"/>
  <c r="AD252" i="4"/>
  <c r="AD216" i="4"/>
  <c r="AD255" i="4"/>
  <c r="AD203" i="4"/>
  <c r="AD148" i="4"/>
  <c r="AD223" i="4"/>
  <c r="AD26" i="4"/>
  <c r="AO150" i="4"/>
  <c r="AO235" i="4"/>
  <c r="AO55" i="4"/>
  <c r="AO10" i="4"/>
  <c r="AO209" i="4"/>
  <c r="AO241" i="4"/>
  <c r="AO192" i="4"/>
  <c r="AO291" i="4"/>
  <c r="AO128" i="4"/>
  <c r="AO257" i="4"/>
  <c r="AO175" i="4"/>
  <c r="AO174" i="4"/>
  <c r="AC232" i="4"/>
  <c r="AC55" i="4"/>
  <c r="AC303" i="4"/>
  <c r="AC20" i="4"/>
  <c r="AC57" i="4"/>
  <c r="AC61" i="4"/>
  <c r="AC201" i="4"/>
  <c r="AC82" i="4"/>
  <c r="AC205" i="4"/>
  <c r="AC320" i="4"/>
  <c r="AC345" i="4"/>
  <c r="AC277" i="4"/>
  <c r="AC120" i="4"/>
  <c r="AC333" i="4"/>
  <c r="AC199" i="4"/>
  <c r="AC125" i="4"/>
  <c r="AC133" i="4"/>
  <c r="AC227" i="4"/>
  <c r="AE46" i="4"/>
  <c r="AE193" i="4"/>
  <c r="AE78" i="4"/>
  <c r="AE153" i="4"/>
  <c r="AE129" i="4"/>
  <c r="AE131" i="4"/>
  <c r="AE177" i="4"/>
  <c r="AE27" i="4"/>
  <c r="AE308" i="4"/>
  <c r="AE75" i="4"/>
  <c r="AE161" i="4"/>
  <c r="AE18" i="4"/>
  <c r="AE88" i="4"/>
  <c r="AE249" i="4"/>
  <c r="AE357" i="4"/>
  <c r="AE66" i="4"/>
  <c r="AE225" i="4"/>
  <c r="AF32" i="4"/>
  <c r="AF45" i="4"/>
  <c r="AF346" i="4"/>
  <c r="AF57" i="4"/>
  <c r="AF253" i="4"/>
  <c r="AF262" i="4"/>
  <c r="AF220" i="4"/>
  <c r="AF207" i="4"/>
  <c r="AF118" i="4"/>
  <c r="AF238" i="4"/>
  <c r="AF13" i="4"/>
  <c r="AF182" i="4"/>
  <c r="AF160" i="4"/>
  <c r="AF211" i="4"/>
  <c r="AF351" i="4"/>
  <c r="AF105" i="4"/>
  <c r="AF110" i="4"/>
  <c r="AF225" i="4"/>
  <c r="AG42" i="4"/>
  <c r="AG303" i="4"/>
  <c r="AG376" i="4"/>
  <c r="AG159" i="4"/>
  <c r="AG17" i="4"/>
  <c r="AG309" i="4"/>
  <c r="AG369" i="4"/>
  <c r="AG211" i="4"/>
  <c r="AG166" i="4"/>
  <c r="AG105" i="4"/>
  <c r="AG359" i="4"/>
  <c r="AG223" i="4"/>
  <c r="AG11" i="4"/>
  <c r="AG29" i="4"/>
  <c r="AG153" i="4"/>
  <c r="AG337" i="4"/>
  <c r="AG68" i="4"/>
  <c r="AL32" i="4"/>
  <c r="AL46" i="4"/>
  <c r="AL282" i="4"/>
  <c r="AL78" i="4"/>
  <c r="AL210" i="4"/>
  <c r="AL248" i="4"/>
  <c r="AL216" i="4"/>
  <c r="AL65" i="4"/>
  <c r="AL204" i="4"/>
  <c r="AL186" i="4"/>
  <c r="AL117" i="4"/>
  <c r="AL158" i="4"/>
  <c r="AL329" i="4"/>
  <c r="AL284" i="4"/>
  <c r="AL288" i="4"/>
  <c r="AL214" i="4"/>
  <c r="AL351" i="4"/>
  <c r="AL218" i="4"/>
  <c r="AL203" i="4"/>
  <c r="AL342" i="4"/>
  <c r="AM33" i="4"/>
  <c r="AM157" i="4"/>
  <c r="AM10" i="4"/>
  <c r="AM368" i="4"/>
  <c r="AM180" i="4"/>
  <c r="AM102" i="4"/>
  <c r="AM93" i="4"/>
  <c r="AM257" i="4"/>
  <c r="AM175" i="4"/>
  <c r="AM224" i="4"/>
  <c r="AM319" i="4"/>
  <c r="AM14" i="4"/>
  <c r="AM306" i="4"/>
  <c r="AM95" i="4"/>
  <c r="AM75" i="4"/>
  <c r="AM243" i="4"/>
  <c r="AM142" i="4"/>
  <c r="AM272" i="4"/>
  <c r="AM338" i="4"/>
  <c r="AM199" i="4"/>
  <c r="AM255" i="4"/>
  <c r="AM126" i="4"/>
  <c r="AM265" i="4"/>
  <c r="AM363" i="4"/>
  <c r="AH240" i="4"/>
  <c r="AH231" i="4"/>
  <c r="AH233" i="4"/>
  <c r="AH209" i="4"/>
  <c r="AH366" i="4"/>
  <c r="AH121" i="4"/>
  <c r="AH38" i="4"/>
  <c r="AH301" i="4"/>
  <c r="AH246" i="4"/>
  <c r="AH370" i="4"/>
  <c r="AH335" i="4"/>
  <c r="AH252" i="4"/>
  <c r="AH62" i="4"/>
  <c r="AH67" i="4"/>
  <c r="AH74" i="4"/>
  <c r="AH110" i="4"/>
  <c r="AH69" i="4"/>
  <c r="AH113" i="4"/>
  <c r="AH45" i="4"/>
  <c r="AH234" i="4"/>
  <c r="AH307" i="4"/>
  <c r="AH303" i="4"/>
  <c r="AH102" i="4"/>
  <c r="AH160" i="4"/>
  <c r="AH197" i="4"/>
  <c r="AH129" i="4"/>
  <c r="AH340" i="4"/>
  <c r="AH109" i="4"/>
  <c r="AH342" i="4"/>
  <c r="AH318" i="4"/>
  <c r="AD85" i="4"/>
  <c r="AD321" i="4"/>
  <c r="AD29" i="4"/>
  <c r="AD49" i="4"/>
  <c r="AD35" i="4"/>
  <c r="AD365" i="4"/>
  <c r="AD196" i="4"/>
  <c r="AD153" i="4"/>
  <c r="AD108" i="4"/>
  <c r="AD128" i="4"/>
  <c r="AD146" i="4"/>
  <c r="AD358" i="4"/>
  <c r="AD221" i="4"/>
  <c r="AD177" i="4"/>
  <c r="AD138" i="4"/>
  <c r="AD279" i="4"/>
  <c r="AD47" i="4"/>
  <c r="AD141" i="4"/>
  <c r="AD346" i="4"/>
  <c r="AD18" i="4"/>
  <c r="AD376" i="4"/>
  <c r="AD38" i="4"/>
  <c r="AD120" i="4"/>
  <c r="AD181" i="4"/>
  <c r="AD60" i="4"/>
  <c r="AD88" i="4"/>
  <c r="AD19" i="4"/>
  <c r="AD194" i="4"/>
  <c r="AD201" i="4"/>
  <c r="AD124" i="4"/>
  <c r="AD154" i="4"/>
  <c r="AD261" i="4"/>
  <c r="AD274" i="4"/>
  <c r="AD343" i="4"/>
  <c r="AD186" i="4"/>
  <c r="AO33" i="4"/>
  <c r="AO240" i="4"/>
  <c r="AO28" i="4"/>
  <c r="AO378" i="4"/>
  <c r="AO281" i="4"/>
  <c r="AO20" i="4"/>
  <c r="AO57" i="4"/>
  <c r="AO250" i="4"/>
  <c r="AO259" i="4"/>
  <c r="AO206" i="4"/>
  <c r="AO71" i="4"/>
  <c r="AO220" i="4"/>
  <c r="AO72" i="4"/>
  <c r="AO114" i="4"/>
  <c r="AO98" i="4"/>
  <c r="AO303" i="4"/>
  <c r="AO187" i="4"/>
  <c r="AO159" i="4"/>
  <c r="AO95" i="4"/>
  <c r="AO244" i="4"/>
  <c r="AO34" i="4"/>
  <c r="AO61" i="4"/>
  <c r="AO328" i="4"/>
  <c r="AO12" i="4"/>
  <c r="AO184" i="4"/>
  <c r="AO311" i="4"/>
  <c r="AO200" i="4"/>
  <c r="AO252" i="4"/>
  <c r="AO183" i="4"/>
  <c r="AO171" i="4"/>
  <c r="AO74" i="4"/>
  <c r="AO293" i="4"/>
  <c r="AO260" i="4"/>
  <c r="AO134" i="4"/>
  <c r="AO296" i="4"/>
  <c r="AJ276" i="4"/>
  <c r="AJ235" i="4"/>
  <c r="AJ44" i="4"/>
  <c r="AJ30" i="4"/>
  <c r="AJ233" i="4"/>
  <c r="AJ84" i="4"/>
  <c r="AJ98" i="4"/>
  <c r="AJ78" i="4"/>
  <c r="AJ238" i="4"/>
  <c r="AJ213" i="4"/>
  <c r="AJ165" i="4"/>
  <c r="AJ284" i="4"/>
  <c r="AJ348" i="4"/>
  <c r="AJ144" i="4"/>
  <c r="AJ101" i="4"/>
  <c r="AJ258" i="4"/>
  <c r="AJ360" i="4"/>
  <c r="AJ338" i="4"/>
  <c r="AJ172" i="4"/>
  <c r="AJ265" i="4"/>
  <c r="AJ135" i="4"/>
  <c r="AJ229" i="4"/>
  <c r="AJ230" i="4"/>
  <c r="AJ299" i="4"/>
  <c r="AJ377" i="4"/>
  <c r="AJ307" i="4"/>
  <c r="AJ309" i="4"/>
  <c r="AJ164" i="4"/>
  <c r="AJ170" i="4"/>
  <c r="AJ294" i="4"/>
  <c r="AJ358" i="4"/>
  <c r="AJ341" i="4"/>
  <c r="AJ262" i="4"/>
  <c r="AJ361" i="4"/>
  <c r="AJ111" i="4"/>
  <c r="AN32" i="4"/>
  <c r="AN305" i="4"/>
  <c r="AN44" i="4"/>
  <c r="AN298" i="4"/>
  <c r="AN245" i="4"/>
  <c r="AN14" i="4"/>
  <c r="AN244" i="4"/>
  <c r="AN192" i="4"/>
  <c r="AN102" i="4"/>
  <c r="AN253" i="4"/>
  <c r="AC85" i="4"/>
  <c r="AC29" i="4"/>
  <c r="AC47" i="4"/>
  <c r="AC159" i="4"/>
  <c r="AC165" i="4"/>
  <c r="AC335" i="4"/>
  <c r="AC170" i="4"/>
  <c r="AC175" i="4"/>
  <c r="AC228" i="4"/>
  <c r="AC299" i="4"/>
  <c r="AC141" i="4"/>
  <c r="AC178" i="4"/>
  <c r="AC19" i="4"/>
  <c r="AC350" i="4"/>
  <c r="AC215" i="4"/>
  <c r="AC130" i="4"/>
  <c r="AC264" i="4"/>
  <c r="AC26" i="4"/>
  <c r="AE31" i="4"/>
  <c r="AE139" i="4"/>
  <c r="AE163" i="4"/>
  <c r="AE349" i="4"/>
  <c r="AE259" i="4"/>
  <c r="AE176" i="4"/>
  <c r="AE134" i="4"/>
  <c r="AE303" i="4"/>
  <c r="AE8" i="4"/>
  <c r="AE376" i="4"/>
  <c r="AE190" i="4"/>
  <c r="AE91" i="4"/>
  <c r="AE200" i="4"/>
  <c r="AE336" i="4"/>
  <c r="AE313" i="4"/>
  <c r="AE338" i="4"/>
  <c r="AE69" i="4"/>
  <c r="AF236" i="4"/>
  <c r="AF30" i="4"/>
  <c r="AF347" i="4"/>
  <c r="AF99" i="4"/>
  <c r="AF352" i="4"/>
  <c r="AF358" i="4"/>
  <c r="AF112" i="4"/>
  <c r="AF374" i="4"/>
  <c r="AF53" i="4"/>
  <c r="AF116" i="4"/>
  <c r="AF56" i="4"/>
  <c r="AF284" i="4"/>
  <c r="AF195" i="4"/>
  <c r="AF247" i="4"/>
  <c r="AF145" i="4"/>
  <c r="AF184" i="4"/>
  <c r="AF260" i="4"/>
  <c r="AF268" i="4"/>
  <c r="AG44" i="4"/>
  <c r="AG304" i="4"/>
  <c r="AG189" i="4"/>
  <c r="AG208" i="4"/>
  <c r="AG87" i="4"/>
  <c r="AG242" i="4"/>
  <c r="AG350" i="4"/>
  <c r="AG247" i="4"/>
  <c r="AG351" i="4"/>
  <c r="AG82" i="4"/>
  <c r="AG316" i="4"/>
  <c r="AG132" i="4"/>
  <c r="AG141" i="4"/>
  <c r="AG28" i="4"/>
  <c r="AG128" i="4"/>
  <c r="AG81" i="4"/>
  <c r="AG265" i="4"/>
  <c r="AL39" i="4"/>
  <c r="AL77" i="4"/>
  <c r="AL118" i="4"/>
  <c r="AL241" i="4"/>
  <c r="AL92" i="4"/>
  <c r="AL290" i="4"/>
  <c r="AL372" i="4"/>
  <c r="AL67" i="4"/>
  <c r="AL24" i="4"/>
  <c r="AL14" i="4"/>
  <c r="AL328" i="4"/>
  <c r="AL16" i="4"/>
  <c r="AL309" i="4"/>
  <c r="AL191" i="4"/>
  <c r="AL286" i="4"/>
  <c r="AL249" i="4"/>
  <c r="AL254" i="4"/>
  <c r="AL273" i="4"/>
  <c r="AL148" i="4"/>
  <c r="AL268" i="4"/>
  <c r="AM86" i="4"/>
  <c r="AM11" i="4"/>
  <c r="AM118" i="4"/>
  <c r="AM241" i="4"/>
  <c r="AM192" i="4"/>
  <c r="AM80" i="4"/>
  <c r="AM258" i="4"/>
  <c r="AM360" i="4"/>
  <c r="AM221" i="4"/>
  <c r="AM112" i="4"/>
  <c r="AM374" i="4"/>
  <c r="AM297" i="4"/>
  <c r="AM47" i="4"/>
  <c r="AM16" i="4"/>
  <c r="AM90" i="4"/>
  <c r="AM18" i="4"/>
  <c r="AM162" i="4"/>
  <c r="AM216" i="4"/>
  <c r="AM101" i="4"/>
  <c r="AM351" i="4"/>
  <c r="AM67" i="4"/>
  <c r="AM72" i="4"/>
  <c r="AM186" i="4"/>
  <c r="AH150" i="4"/>
  <c r="AH375" i="4"/>
  <c r="AH326" i="4"/>
  <c r="AH245" i="4"/>
  <c r="AH116" i="4"/>
  <c r="AH367" i="4"/>
  <c r="AH56" i="4"/>
  <c r="AH165" i="4"/>
  <c r="AH332" i="4"/>
  <c r="AH380" i="4"/>
  <c r="AH21" i="4"/>
  <c r="AH60" i="4"/>
  <c r="AH251" i="4"/>
  <c r="AH201" i="4"/>
  <c r="AH184" i="4"/>
  <c r="AH66" i="4"/>
  <c r="AH204" i="4"/>
  <c r="AH132" i="4"/>
  <c r="AH266" i="4"/>
  <c r="AH298" i="4"/>
  <c r="AH13" i="4"/>
  <c r="AH140" i="4"/>
  <c r="AH304" i="4"/>
  <c r="AH194" i="4"/>
  <c r="AH349" i="4"/>
  <c r="AH294" i="4"/>
  <c r="AH255" i="4"/>
  <c r="AH220" i="4"/>
  <c r="AH338" i="4"/>
  <c r="AH134" i="4"/>
  <c r="AH227" i="4"/>
  <c r="AD76" i="4"/>
  <c r="AD157" i="4"/>
  <c r="AD188" i="4"/>
  <c r="AD10" i="4"/>
  <c r="AD379" i="4"/>
  <c r="AD20" i="4"/>
  <c r="AD92" i="4"/>
  <c r="AD102" i="4"/>
  <c r="AD79" i="4"/>
  <c r="AD129" i="4"/>
  <c r="AD206" i="4"/>
  <c r="AD131" i="4"/>
  <c r="AD23" i="4"/>
  <c r="AD185" i="4"/>
  <c r="AD150" i="4"/>
  <c r="AD297" i="4"/>
  <c r="AD28" i="4"/>
  <c r="AD278" i="4"/>
  <c r="AD12" i="4"/>
  <c r="AD7" i="4"/>
  <c r="AD189" i="4"/>
  <c r="AD16" i="4"/>
  <c r="AD380" i="4"/>
  <c r="AD309" i="4"/>
  <c r="AD15" i="4"/>
  <c r="AD125" i="4"/>
  <c r="AD286" i="4"/>
  <c r="AD249" i="4"/>
  <c r="AD251" i="4"/>
  <c r="AD313" i="4"/>
  <c r="AD105" i="4"/>
  <c r="AD126" i="4"/>
  <c r="AD222" i="4"/>
  <c r="AD224" i="4"/>
  <c r="AD113" i="4"/>
  <c r="AO232" i="4"/>
  <c r="AO9" i="4"/>
  <c r="AO45" i="4"/>
  <c r="AO193" i="4"/>
  <c r="AO37" i="4"/>
  <c r="AO212" i="4"/>
  <c r="AO165" i="4"/>
  <c r="AO21" i="4"/>
  <c r="AO106" i="4"/>
  <c r="AO155" i="4"/>
  <c r="AO176" i="4"/>
  <c r="AO224" i="4"/>
  <c r="AO138" i="4"/>
  <c r="AO51" i="4"/>
  <c r="AO84" i="4"/>
  <c r="AO156" i="4"/>
  <c r="AO83" i="4"/>
  <c r="AO75" i="4"/>
  <c r="AO43" i="4"/>
  <c r="AO300" i="4"/>
  <c r="AO119" i="4"/>
  <c r="AO16" i="4"/>
  <c r="AO91" i="4"/>
  <c r="AO381" i="4"/>
  <c r="AO348" i="4"/>
  <c r="AO62" i="4"/>
  <c r="AO60" i="4"/>
  <c r="AO214" i="4"/>
  <c r="AO273" i="4"/>
  <c r="AO24" i="4"/>
  <c r="AO68" i="4"/>
  <c r="AO203" i="4"/>
  <c r="AO148" i="4"/>
  <c r="AO132" i="4"/>
  <c r="AO137" i="4"/>
  <c r="AJ33" i="4"/>
  <c r="AJ240" i="4"/>
  <c r="AJ77" i="4"/>
  <c r="AJ323" i="4"/>
  <c r="AJ279" i="4"/>
  <c r="AJ47" i="4"/>
  <c r="AJ209" i="4"/>
  <c r="AJ285" i="4"/>
  <c r="AJ300" i="4"/>
  <c r="AJ90" i="4"/>
  <c r="AJ371" i="4"/>
  <c r="AJ301" i="4"/>
  <c r="AJ195" i="4"/>
  <c r="AJ108" i="4"/>
  <c r="AJ88" i="4"/>
  <c r="AJ357" i="4"/>
  <c r="AJ256" i="4"/>
  <c r="AJ125" i="4"/>
  <c r="AJ293" i="4"/>
  <c r="AJ269" i="4"/>
  <c r="AJ267" i="4"/>
  <c r="AJ14" i="4"/>
  <c r="AJ303" i="4"/>
  <c r="AJ234" i="4"/>
  <c r="AJ96" i="4"/>
  <c r="AJ149" i="4"/>
  <c r="AJ54" i="4"/>
  <c r="AJ58" i="4"/>
  <c r="AJ286" i="4"/>
  <c r="AJ122" i="4"/>
  <c r="AJ183" i="4"/>
  <c r="AJ64" i="4"/>
  <c r="AJ23" i="4"/>
  <c r="AJ362" i="4"/>
  <c r="AJ296" i="4"/>
  <c r="AN39" i="4"/>
  <c r="AN235" i="4"/>
  <c r="AN77" i="4"/>
  <c r="AN45" i="4"/>
  <c r="AN327" i="4"/>
  <c r="AN346" i="4"/>
  <c r="AN163" i="4"/>
  <c r="AN165" i="4"/>
  <c r="AN291" i="4"/>
  <c r="AN292" i="4"/>
  <c r="AN357" i="4"/>
  <c r="AN202" i="4"/>
  <c r="AN171" i="4"/>
  <c r="AN24" i="4"/>
  <c r="AN134" i="4"/>
  <c r="AN137" i="4"/>
  <c r="AN40" i="4"/>
  <c r="AN8" i="4"/>
  <c r="AN139" i="4"/>
  <c r="AN90" i="4"/>
  <c r="AN330" i="4"/>
  <c r="AN271" i="4"/>
  <c r="AN7" i="4"/>
  <c r="AN12" i="4"/>
  <c r="AN53" i="4"/>
  <c r="AN182" i="4"/>
  <c r="AN54" i="4"/>
  <c r="AN307" i="4"/>
  <c r="AN286" i="4"/>
  <c r="AN101" i="4"/>
  <c r="AN59" i="4"/>
  <c r="AN273" i="4"/>
  <c r="AN62" i="4"/>
  <c r="AN360" i="4"/>
  <c r="AN295" i="4"/>
  <c r="AN172" i="4"/>
  <c r="AN217" i="4"/>
  <c r="AN70" i="4"/>
  <c r="AN113" i="4"/>
  <c r="AN318" i="4"/>
  <c r="AK39" i="4"/>
  <c r="AK86" i="4"/>
  <c r="AK46" i="4"/>
  <c r="AK55" i="4"/>
  <c r="AK45" i="4"/>
  <c r="AK141" i="4"/>
  <c r="AK233" i="4"/>
  <c r="AK304" i="4"/>
  <c r="AK364" i="4"/>
  <c r="AK37" i="4"/>
  <c r="AK365" i="4"/>
  <c r="AK283" i="4"/>
  <c r="AK53" i="4"/>
  <c r="AK34" i="4"/>
  <c r="AK57" i="4"/>
  <c r="AK334" i="4"/>
  <c r="AK348" i="4"/>
  <c r="AK336" i="4"/>
  <c r="AK60" i="4"/>
  <c r="AK169" i="4"/>
  <c r="AK259" i="4"/>
  <c r="AK201" i="4"/>
  <c r="AK145" i="4"/>
  <c r="AK373" i="4"/>
  <c r="AK71" i="4"/>
  <c r="AK221" i="4"/>
  <c r="AK219" i="4"/>
  <c r="AK222" i="4"/>
  <c r="AK225" i="4"/>
  <c r="AK271" i="4"/>
  <c r="AK94" i="4"/>
  <c r="AK280" i="4"/>
  <c r="AK189" i="4"/>
  <c r="AK152" i="4"/>
  <c r="AK381" i="4"/>
  <c r="AK142" i="4"/>
  <c r="AK242" i="4"/>
  <c r="AK22" i="4"/>
  <c r="AK286" i="4"/>
  <c r="AK122" i="4"/>
  <c r="AK254" i="4"/>
  <c r="AK126" i="4"/>
  <c r="AK354" i="4"/>
  <c r="AK262" i="4"/>
  <c r="AK343" i="4"/>
  <c r="AK220" i="4"/>
  <c r="AK138" i="4"/>
  <c r="AF119" i="4"/>
  <c r="AF328" i="4"/>
  <c r="AF350" i="4"/>
  <c r="AF93" i="4"/>
  <c r="AF255" i="4"/>
  <c r="AC305" i="4"/>
  <c r="AC188" i="4"/>
  <c r="AC237" i="4"/>
  <c r="AC283" i="4"/>
  <c r="AC371" i="4"/>
  <c r="AC60" i="4"/>
  <c r="AC340" i="4"/>
  <c r="AC171" i="4"/>
  <c r="AC270" i="4"/>
  <c r="AC116" i="4"/>
  <c r="AC329" i="4"/>
  <c r="AC50" i="4"/>
  <c r="AC243" i="4"/>
  <c r="AC310" i="4"/>
  <c r="AC103" i="4"/>
  <c r="AC81" i="4"/>
  <c r="AC174" i="4"/>
  <c r="AE48" i="4"/>
  <c r="AE55" i="4"/>
  <c r="AE282" i="4"/>
  <c r="AE73" i="4"/>
  <c r="AE21" i="4"/>
  <c r="AE106" i="4"/>
  <c r="AE133" i="4"/>
  <c r="AE228" i="4"/>
  <c r="AE278" i="4"/>
  <c r="AE140" i="4"/>
  <c r="AE271" i="4"/>
  <c r="AE38" i="4"/>
  <c r="AE142" i="4"/>
  <c r="AE310" i="4"/>
  <c r="AE93" i="4"/>
  <c r="AE132" i="4"/>
  <c r="AE126" i="4"/>
  <c r="AE111" i="4"/>
  <c r="AF86" i="4"/>
  <c r="AF141" i="4"/>
  <c r="AF367" i="4"/>
  <c r="AF153" i="4"/>
  <c r="AF216" i="4"/>
  <c r="AF131" i="4"/>
  <c r="AF228" i="4"/>
  <c r="AF320" i="4"/>
  <c r="AF379" i="4"/>
  <c r="AF376" i="4"/>
  <c r="AC200" i="4"/>
  <c r="AC348" i="4"/>
  <c r="AE61" i="4"/>
  <c r="AE181" i="4"/>
  <c r="AF244" i="4"/>
  <c r="AF120" i="4"/>
  <c r="AF25" i="4"/>
  <c r="AG152" i="4"/>
  <c r="AG21" i="4"/>
  <c r="AG295" i="4"/>
  <c r="AG301" i="4"/>
  <c r="AL11" i="4"/>
  <c r="AL63" i="4"/>
  <c r="AL322" i="4"/>
  <c r="AL36" i="4"/>
  <c r="AL339" i="4"/>
  <c r="AM29" i="4"/>
  <c r="AM61" i="4"/>
  <c r="AM226" i="4"/>
  <c r="AM152" i="4"/>
  <c r="AM350" i="4"/>
  <c r="AM295" i="4"/>
  <c r="AH94" i="4"/>
  <c r="AH196" i="4"/>
  <c r="AH286" i="4"/>
  <c r="AH373" i="4"/>
  <c r="AH229" i="4"/>
  <c r="AH99" i="4"/>
  <c r="AH355" i="4"/>
  <c r="AD48" i="4"/>
  <c r="AD282" i="4"/>
  <c r="AD250" i="4"/>
  <c r="AD109" i="4"/>
  <c r="AD95" i="4"/>
  <c r="AD97" i="4"/>
  <c r="AD54" i="4"/>
  <c r="AD257" i="4"/>
  <c r="AD66" i="4"/>
  <c r="AO76" i="4"/>
  <c r="AO347" i="4"/>
  <c r="AO104" i="4"/>
  <c r="AO149" i="4"/>
  <c r="AO285" i="4"/>
  <c r="AO376" i="4"/>
  <c r="AO120" i="4"/>
  <c r="AO380" i="4"/>
  <c r="AO289" i="4"/>
  <c r="AO166" i="4"/>
  <c r="AO130" i="4"/>
  <c r="AO266" i="4"/>
  <c r="AJ9" i="4"/>
  <c r="AJ139" i="4"/>
  <c r="AJ281" i="4"/>
  <c r="AJ119" i="4"/>
  <c r="AJ290" i="4"/>
  <c r="AJ252" i="4"/>
  <c r="AJ82" i="4"/>
  <c r="AJ177" i="4"/>
  <c r="AJ241" i="4"/>
  <c r="AJ347" i="4"/>
  <c r="AJ255" i="4"/>
  <c r="AJ355" i="4"/>
  <c r="AJ174" i="4"/>
  <c r="AN27" i="4"/>
  <c r="AN141" i="4"/>
  <c r="AN73" i="4"/>
  <c r="AN312" i="4"/>
  <c r="AN315" i="4"/>
  <c r="AN204" i="4"/>
  <c r="AN268" i="4"/>
  <c r="AN49" i="4"/>
  <c r="AN190" i="4"/>
  <c r="AN156" i="4"/>
  <c r="AN290" i="4"/>
  <c r="AN243" i="4"/>
  <c r="AN179" i="4"/>
  <c r="AN289" i="4"/>
  <c r="AN103" i="4"/>
  <c r="AN351" i="4"/>
  <c r="AN22" i="4"/>
  <c r="AN338" i="4"/>
  <c r="AN264" i="4"/>
  <c r="AN274" i="4"/>
  <c r="AN229" i="4"/>
  <c r="AN363" i="4"/>
  <c r="AK76" i="4"/>
  <c r="AK157" i="4"/>
  <c r="AK28" i="4"/>
  <c r="AK326" i="4"/>
  <c r="AK279" i="4"/>
  <c r="AK84" i="4"/>
  <c r="AK51" i="4"/>
  <c r="AK20" i="4"/>
  <c r="AK238" i="4"/>
  <c r="AK198" i="4"/>
  <c r="AK165" i="4"/>
  <c r="AK369" i="4"/>
  <c r="AK21" i="4"/>
  <c r="AK200" i="4"/>
  <c r="AK372" i="4"/>
  <c r="AK62" i="4"/>
  <c r="AK360" i="4"/>
  <c r="AK317" i="4"/>
  <c r="AK133" i="4"/>
  <c r="AK70" i="4"/>
  <c r="AK268" i="4"/>
  <c r="AK114" i="4"/>
  <c r="AK156" i="4"/>
  <c r="AK116" i="4"/>
  <c r="AK96" i="4"/>
  <c r="AK162" i="4"/>
  <c r="AK307" i="4"/>
  <c r="AK247" i="4"/>
  <c r="AK333" i="4"/>
  <c r="AK199" i="4"/>
  <c r="AK355" i="4"/>
  <c r="AK217" i="4"/>
  <c r="AK203" i="4"/>
  <c r="AK174" i="4"/>
  <c r="AK186" i="4"/>
  <c r="AD52" i="4"/>
  <c r="AD312" i="4"/>
  <c r="AD204" i="4"/>
  <c r="AD323" i="4"/>
  <c r="AD280" i="4"/>
  <c r="AD191" i="4"/>
  <c r="AD199" i="4"/>
  <c r="AD341" i="4"/>
  <c r="AO46" i="4"/>
  <c r="AO73" i="4"/>
  <c r="AO202" i="4"/>
  <c r="AO308" i="4"/>
  <c r="AO306" i="4"/>
  <c r="AO277" i="4"/>
  <c r="AO17" i="4"/>
  <c r="AO191" i="4"/>
  <c r="AO194" i="4"/>
  <c r="AO167" i="4"/>
  <c r="AO359" i="4"/>
  <c r="AO227" i="4"/>
  <c r="AJ114" i="4"/>
  <c r="AJ117" i="4"/>
  <c r="AJ366" i="4"/>
  <c r="AJ120" i="4"/>
  <c r="AJ350" i="4"/>
  <c r="AJ128" i="4"/>
  <c r="AJ68" i="4"/>
  <c r="AJ228" i="4"/>
  <c r="AJ95" i="4"/>
  <c r="AJ12" i="4"/>
  <c r="AJ19" i="4"/>
  <c r="AJ132" i="4"/>
  <c r="AJ26" i="4"/>
  <c r="AN240" i="4"/>
  <c r="AN193" i="4"/>
  <c r="AN283" i="4"/>
  <c r="AN93" i="4"/>
  <c r="AN262" i="4"/>
  <c r="AN269" i="4"/>
  <c r="AN304" i="4"/>
  <c r="AN303" i="4"/>
  <c r="AN209" i="4"/>
  <c r="AN306" i="4"/>
  <c r="AN350" i="4"/>
  <c r="AN348" i="4"/>
  <c r="AN36" i="4"/>
  <c r="AN247" i="4"/>
  <c r="AN252" i="4"/>
  <c r="AN167" i="4"/>
  <c r="AN127" i="4"/>
  <c r="AN125" i="4"/>
  <c r="AN25" i="4"/>
  <c r="AN265" i="4"/>
  <c r="AN296" i="4"/>
  <c r="AK48" i="4"/>
  <c r="AK236" i="4"/>
  <c r="AK375" i="4"/>
  <c r="AK320" i="4"/>
  <c r="AK377" i="4"/>
  <c r="AK117" i="4"/>
  <c r="AK47" i="4"/>
  <c r="AK52" i="4"/>
  <c r="AK159" i="4"/>
  <c r="AK300" i="4"/>
  <c r="AK213" i="4"/>
  <c r="AK371" i="4"/>
  <c r="AK248" i="4"/>
  <c r="AK80" i="4"/>
  <c r="AK253" i="4"/>
  <c r="AK314" i="4"/>
  <c r="AK104" i="4"/>
  <c r="AK81" i="4"/>
  <c r="AK82" i="4"/>
  <c r="AK316" i="4"/>
  <c r="AK205" i="4"/>
  <c r="AK296" i="4"/>
  <c r="AK140" i="4"/>
  <c r="AK272" i="4"/>
  <c r="AK190" i="4"/>
  <c r="AK282" i="4"/>
  <c r="AK346" i="4"/>
  <c r="AK54" i="4"/>
  <c r="AK58" i="4"/>
  <c r="AK252" i="4"/>
  <c r="AK251" i="4"/>
  <c r="AK338" i="4"/>
  <c r="AK273" i="4"/>
  <c r="AK359" i="4"/>
  <c r="AK267" i="4"/>
  <c r="AK363" i="4"/>
  <c r="AJ130" i="4"/>
  <c r="AJ250" i="4"/>
  <c r="AJ266" i="4"/>
  <c r="AN9" i="4"/>
  <c r="AN198" i="4"/>
  <c r="AN168" i="4"/>
  <c r="AN219" i="4"/>
  <c r="AN29" i="4"/>
  <c r="AN34" i="4"/>
  <c r="AN325" i="4"/>
  <c r="AN287" i="4"/>
  <c r="AN369" i="4"/>
  <c r="AN194" i="4"/>
  <c r="AN214" i="4"/>
  <c r="AN254" i="4"/>
  <c r="AN339" i="4"/>
  <c r="AN354" i="4"/>
  <c r="AN136" i="4"/>
  <c r="AK344" i="4"/>
  <c r="AK27" i="4"/>
  <c r="AK231" i="4"/>
  <c r="AK151" i="4"/>
  <c r="AK237" i="4"/>
  <c r="AK368" i="4"/>
  <c r="AK330" i="4"/>
  <c r="AK301" i="4"/>
  <c r="AK290" i="4"/>
  <c r="AK292" i="4"/>
  <c r="AK170" i="4"/>
  <c r="AK202" i="4"/>
  <c r="AK341" i="4"/>
  <c r="AK177" i="4"/>
  <c r="AK325" i="4"/>
  <c r="AK322" i="4"/>
  <c r="AK234" i="4"/>
  <c r="AK284" i="4"/>
  <c r="AK310" i="4"/>
  <c r="AK214" i="4"/>
  <c r="AK264" i="4"/>
  <c r="AK42" i="4"/>
  <c r="AK17" i="4"/>
  <c r="AK258" i="4"/>
  <c r="AK295" i="4"/>
  <c r="AK95" i="4"/>
  <c r="AK182" i="4"/>
  <c r="AK183" i="4"/>
  <c r="AK228" i="4"/>
  <c r="AE277" i="4"/>
  <c r="AE72" i="4"/>
  <c r="AG327" i="4"/>
  <c r="AG233" i="4"/>
  <c r="AL161" i="4"/>
  <c r="AM57" i="4"/>
  <c r="AM263" i="4"/>
  <c r="AH107" i="4"/>
  <c r="AD145" i="4"/>
  <c r="AD288" i="4"/>
  <c r="AO233" i="4"/>
  <c r="AO140" i="4"/>
  <c r="AO79" i="4"/>
  <c r="AO263" i="4"/>
  <c r="AJ85" i="4"/>
  <c r="AJ156" i="4"/>
  <c r="AJ182" i="4"/>
  <c r="AJ24" i="4"/>
  <c r="AJ277" i="4"/>
  <c r="AJ107" i="4"/>
  <c r="AN11" i="4"/>
  <c r="AN71" i="4"/>
  <c r="AN89" i="4"/>
  <c r="AN178" i="4"/>
  <c r="AN333" i="4"/>
  <c r="AN145" i="4"/>
  <c r="AN68" i="4"/>
  <c r="AN132" i="4"/>
  <c r="AK235" i="4"/>
  <c r="AK30" i="4"/>
  <c r="AK303" i="4"/>
  <c r="AK143" i="4"/>
  <c r="AK87" i="4"/>
  <c r="AK195" i="4"/>
  <c r="AK106" i="4"/>
  <c r="AK127" i="4"/>
  <c r="AK135" i="4"/>
  <c r="AK11" i="4"/>
  <c r="AK36" i="4"/>
  <c r="AK59" i="4"/>
  <c r="AK125" i="4"/>
  <c r="AK110" i="4"/>
  <c r="AD45" i="4"/>
  <c r="AJ324" i="4"/>
  <c r="AJ75" i="4"/>
  <c r="AJ261" i="4"/>
  <c r="AN366" i="4"/>
  <c r="AN176" i="4"/>
  <c r="AN95" i="4"/>
  <c r="AN311" i="4"/>
  <c r="AN146" i="4"/>
  <c r="AN266" i="4"/>
  <c r="AK240" i="4"/>
  <c r="AK241" i="4"/>
  <c r="AK196" i="4"/>
  <c r="AK312" i="4"/>
  <c r="AK131" i="4"/>
  <c r="AK112" i="4"/>
  <c r="AK139" i="4"/>
  <c r="AK99" i="4"/>
  <c r="AK293" i="4"/>
  <c r="AK263" i="4"/>
  <c r="AC161" i="4"/>
  <c r="AF189" i="4"/>
  <c r="AG280" i="4"/>
  <c r="AG173" i="4"/>
  <c r="AL207" i="4"/>
  <c r="AL28" i="4"/>
  <c r="AL110" i="4"/>
  <c r="AM228" i="4"/>
  <c r="AH8" i="4"/>
  <c r="AH127" i="4"/>
  <c r="AH104" i="4"/>
  <c r="AD107" i="4"/>
  <c r="AD242" i="4"/>
  <c r="AO357" i="4"/>
  <c r="AO53" i="4"/>
  <c r="AO288" i="4"/>
  <c r="AJ42" i="4"/>
  <c r="AJ102" i="4"/>
  <c r="AJ178" i="4"/>
  <c r="AJ216" i="4"/>
  <c r="AN20" i="4"/>
  <c r="AN173" i="4"/>
  <c r="AN322" i="4"/>
  <c r="AN18" i="4"/>
  <c r="AN130" i="4"/>
  <c r="AN148" i="4"/>
  <c r="AK321" i="4"/>
  <c r="AK278" i="4"/>
  <c r="AK13" i="4"/>
  <c r="AK370" i="4"/>
  <c r="AK335" i="4"/>
  <c r="AK107" i="4"/>
  <c r="AK7" i="4"/>
  <c r="AK191" i="4"/>
  <c r="AK147" i="4"/>
  <c r="AK23" i="4"/>
  <c r="AC206" i="4"/>
  <c r="AC59" i="4"/>
  <c r="AE340" i="4"/>
  <c r="AE333" i="4"/>
  <c r="AF349" i="4"/>
  <c r="AF54" i="4"/>
  <c r="AF26" i="4"/>
  <c r="AG238" i="4"/>
  <c r="AG200" i="4"/>
  <c r="AG185" i="4"/>
  <c r="AG314" i="4"/>
  <c r="AL83" i="4"/>
  <c r="AL314" i="4"/>
  <c r="AL231" i="4"/>
  <c r="AL333" i="4"/>
  <c r="AL266" i="4"/>
  <c r="AM245" i="4"/>
  <c r="AM106" i="4"/>
  <c r="AM31" i="4"/>
  <c r="AM331" i="4"/>
  <c r="AM200" i="4"/>
  <c r="AM222" i="4"/>
  <c r="AH237" i="4"/>
  <c r="AH353" i="4"/>
  <c r="AH200" i="4"/>
  <c r="AH133" i="4"/>
  <c r="AH31" i="4"/>
  <c r="AH244" i="4"/>
  <c r="AH65" i="4"/>
  <c r="AD86" i="4"/>
  <c r="AK274" i="4"/>
  <c r="AK319" i="4"/>
  <c r="AK164" i="4"/>
  <c r="AK146" i="4"/>
  <c r="AK185" i="4"/>
  <c r="AK158" i="4"/>
  <c r="AK100" i="4"/>
  <c r="AK105" i="4"/>
  <c r="AE374" i="4"/>
  <c r="AF130" i="4"/>
  <c r="AL276" i="4"/>
  <c r="AL154" i="4"/>
  <c r="AM346" i="4"/>
  <c r="AH159" i="4"/>
  <c r="AH95" i="4"/>
  <c r="AD213" i="4"/>
  <c r="AD182" i="4"/>
  <c r="AD229" i="4"/>
  <c r="AO177" i="4"/>
  <c r="AO195" i="4"/>
  <c r="AJ298" i="4"/>
  <c r="AJ315" i="4"/>
  <c r="AJ154" i="4"/>
  <c r="AN334" i="4"/>
  <c r="AN83" i="4"/>
  <c r="AN199" i="4"/>
  <c r="AK150" i="4"/>
  <c r="AK367" i="4"/>
  <c r="AK79" i="4"/>
  <c r="AK24" i="4"/>
  <c r="AK16" i="4"/>
  <c r="AK69" i="4"/>
  <c r="AH248" i="4"/>
  <c r="AH351" i="4"/>
  <c r="AD165" i="4"/>
  <c r="AD117" i="4"/>
  <c r="AD58" i="4"/>
  <c r="AD363" i="4"/>
  <c r="AO207" i="4"/>
  <c r="AO181" i="4"/>
  <c r="AO226" i="4"/>
  <c r="AJ356" i="4"/>
  <c r="AJ337" i="4"/>
  <c r="AN201" i="4"/>
  <c r="AN153" i="4"/>
  <c r="AN355" i="4"/>
  <c r="AK187" i="4"/>
  <c r="AK93" i="4"/>
  <c r="AK277" i="4"/>
  <c r="AK351" i="4"/>
  <c r="AF10" i="4"/>
  <c r="AM130" i="4"/>
  <c r="AH84" i="4"/>
  <c r="AD178" i="4"/>
  <c r="AO268" i="4"/>
  <c r="AO66" i="4"/>
  <c r="AJ131" i="4"/>
  <c r="AN232" i="4"/>
  <c r="AN319" i="4"/>
  <c r="AN335" i="4"/>
  <c r="AN227" i="4"/>
  <c r="AK281" i="4"/>
  <c r="AK206" i="4"/>
  <c r="AK160" i="4"/>
  <c r="AK65" i="4"/>
  <c r="AC23" i="4"/>
  <c r="AC155" i="4"/>
  <c r="AE316" i="4"/>
  <c r="AE252" i="4"/>
  <c r="AF372" i="4"/>
  <c r="AF200" i="4"/>
  <c r="AG344" i="4"/>
  <c r="AG300" i="4"/>
  <c r="AG352" i="4"/>
  <c r="AG226" i="4"/>
  <c r="AG124" i="4"/>
  <c r="AL84" i="4"/>
  <c r="AL104" i="4"/>
  <c r="AL41" i="4"/>
  <c r="AL350" i="4"/>
  <c r="AL23" i="4"/>
  <c r="AM237" i="4"/>
  <c r="AM357" i="4"/>
  <c r="AM141" i="4"/>
  <c r="AM182" i="4"/>
  <c r="AM82" i="4"/>
  <c r="AM137" i="4"/>
  <c r="AH322" i="4"/>
  <c r="AH16" i="4"/>
  <c r="AH253" i="4"/>
  <c r="AH293" i="4"/>
  <c r="AH327" i="4"/>
  <c r="AH79" i="4"/>
  <c r="AH145" i="4"/>
  <c r="AD305" i="4"/>
  <c r="AD37" i="4"/>
  <c r="AD253" i="4"/>
  <c r="AD24" i="4"/>
  <c r="AD284" i="4"/>
  <c r="AD51" i="4"/>
  <c r="AD36" i="4"/>
  <c r="AD103" i="4"/>
  <c r="AD264" i="4"/>
  <c r="AO40" i="4"/>
  <c r="AO283" i="4"/>
  <c r="AO373" i="4"/>
  <c r="AO375" i="4"/>
  <c r="AO325" i="4"/>
  <c r="AO152" i="4"/>
  <c r="AO80" i="4"/>
  <c r="AO179" i="4"/>
  <c r="AO352" i="4"/>
  <c r="AO254" i="4"/>
  <c r="AO354" i="4"/>
  <c r="AO229" i="4"/>
  <c r="AJ40" i="4"/>
  <c r="AJ282" i="4"/>
  <c r="AJ365" i="4"/>
  <c r="AJ57" i="4"/>
  <c r="AJ21" i="4"/>
  <c r="AJ62" i="4"/>
  <c r="AJ226" i="4"/>
  <c r="AJ97" i="4"/>
  <c r="AJ91" i="4"/>
  <c r="AJ124" i="4"/>
  <c r="AN364" i="4"/>
  <c r="AN358" i="4"/>
  <c r="AN56" i="4"/>
  <c r="AN160" i="4"/>
  <c r="AN255" i="4"/>
  <c r="AN69" i="4"/>
  <c r="AK40" i="4"/>
  <c r="AK245" i="4"/>
  <c r="AK163" i="4"/>
  <c r="AK90" i="4"/>
  <c r="AK61" i="4"/>
  <c r="AK128" i="4"/>
  <c r="AK175" i="4"/>
  <c r="AK72" i="4"/>
  <c r="AK306" i="4"/>
  <c r="AK309" i="4"/>
  <c r="AK211" i="4"/>
  <c r="AK315" i="4"/>
  <c r="AK342" i="4"/>
  <c r="AK49" i="4"/>
  <c r="AK287" i="4"/>
  <c r="AO290" i="4"/>
  <c r="AC42" i="4"/>
  <c r="AC226" i="4"/>
  <c r="AC361" i="4"/>
  <c r="AE270" i="4"/>
  <c r="AE167" i="4"/>
  <c r="AF316" i="4"/>
  <c r="AF315" i="4"/>
  <c r="AG207" i="4"/>
  <c r="AG16" i="4"/>
  <c r="AG259" i="4"/>
  <c r="AG89" i="4"/>
  <c r="AG177" i="4"/>
  <c r="AL285" i="4"/>
  <c r="AL184" i="4"/>
  <c r="AL182" i="4"/>
  <c r="AL101" i="4"/>
  <c r="AL227" i="4"/>
  <c r="AM285" i="4"/>
  <c r="AM256" i="4"/>
  <c r="AM279" i="4"/>
  <c r="AM38" i="4"/>
  <c r="AM168" i="4"/>
  <c r="AH232" i="4"/>
  <c r="AH376" i="4"/>
  <c r="AH164" i="4"/>
  <c r="AH199" i="4"/>
  <c r="AH295" i="4"/>
  <c r="AH302" i="4"/>
  <c r="AH247" i="4"/>
  <c r="AH148" i="4"/>
  <c r="AD375" i="4"/>
  <c r="AD159" i="4"/>
  <c r="AD258" i="4"/>
  <c r="AD135" i="4"/>
  <c r="AD271" i="4"/>
  <c r="AD330" i="4"/>
  <c r="AD310" i="4"/>
  <c r="AD359" i="4"/>
  <c r="AD136" i="4"/>
  <c r="AO30" i="4"/>
  <c r="AO371" i="4"/>
  <c r="AO221" i="4"/>
  <c r="AO298" i="4"/>
  <c r="AO230" i="4"/>
  <c r="AO7" i="4"/>
  <c r="AO239" i="4"/>
  <c r="AO123" i="4"/>
  <c r="AO145" i="4"/>
  <c r="AO22" i="4"/>
  <c r="AO23" i="4"/>
  <c r="AO26" i="4"/>
  <c r="AJ11" i="4"/>
  <c r="AJ83" i="4"/>
  <c r="AJ20" i="4"/>
  <c r="AJ353" i="4"/>
  <c r="AJ61" i="4"/>
  <c r="AJ201" i="4"/>
  <c r="AJ203" i="4"/>
  <c r="AJ186" i="4"/>
  <c r="AJ160" i="4"/>
  <c r="AJ314" i="4"/>
  <c r="AJ168" i="4"/>
  <c r="AJ354" i="4"/>
  <c r="AJ137" i="4"/>
  <c r="AN31" i="4"/>
  <c r="AN98" i="4"/>
  <c r="AN371" i="4"/>
  <c r="AN129" i="4"/>
  <c r="AN82" i="4"/>
  <c r="AN224" i="4"/>
  <c r="AN323" i="4"/>
  <c r="AN159" i="4"/>
  <c r="AN117" i="4"/>
  <c r="AN43" i="4"/>
  <c r="AN336" i="4"/>
  <c r="AN309" i="4"/>
  <c r="AN272" i="4"/>
  <c r="AN249" i="4"/>
  <c r="AN105" i="4"/>
  <c r="AN66" i="4"/>
  <c r="AN154" i="4"/>
  <c r="AN126" i="4"/>
  <c r="AN261" i="4"/>
  <c r="AN361" i="4"/>
  <c r="AN72" i="4"/>
  <c r="AK32" i="4"/>
  <c r="AK115" i="4"/>
  <c r="AK44" i="4"/>
  <c r="AK298" i="4"/>
  <c r="AK308" i="4"/>
  <c r="AK230" i="4"/>
  <c r="AK327" i="4"/>
  <c r="AK14" i="4"/>
  <c r="AK212" i="4"/>
  <c r="AK210" i="4"/>
  <c r="AK119" i="4"/>
  <c r="AK332" i="4"/>
  <c r="AK291" i="4"/>
  <c r="AK144" i="4"/>
  <c r="AK356" i="4"/>
  <c r="AK129" i="4"/>
  <c r="AK64" i="4"/>
  <c r="AK67" i="4"/>
  <c r="AK68" i="4"/>
  <c r="AK173" i="4"/>
  <c r="AK134" i="4"/>
  <c r="AK318" i="4"/>
  <c r="AK75" i="4"/>
  <c r="AK275" i="4"/>
  <c r="AK43" i="4"/>
  <c r="AK50" i="4"/>
  <c r="AK328" i="4"/>
  <c r="AK194" i="4"/>
  <c r="AK288" i="4"/>
  <c r="AK132" i="4"/>
  <c r="AK167" i="4"/>
  <c r="AK148" i="4"/>
  <c r="AK339" i="4"/>
  <c r="AK25" i="4"/>
  <c r="AK223" i="4"/>
  <c r="AH85" i="4"/>
  <c r="AD31" i="4"/>
  <c r="AD357" i="4"/>
  <c r="AD112" i="4"/>
  <c r="AD22" i="4"/>
  <c r="AD195" i="4"/>
  <c r="AD171" i="4"/>
  <c r="AD362" i="4"/>
  <c r="AO353" i="4"/>
  <c r="AO204" i="4"/>
  <c r="AO89" i="4"/>
  <c r="AO208" i="4"/>
  <c r="AO329" i="4"/>
  <c r="AO287" i="4"/>
  <c r="AO127" i="4"/>
  <c r="AO274" i="4"/>
  <c r="AJ32" i="4"/>
  <c r="AJ327" i="4"/>
  <c r="AJ208" i="4"/>
  <c r="AJ79" i="4"/>
  <c r="AJ147" i="4"/>
  <c r="AJ319" i="4"/>
  <c r="AJ179" i="4"/>
  <c r="AJ339" i="4"/>
  <c r="AJ72" i="4"/>
  <c r="AN37" i="4"/>
  <c r="AN106" i="4"/>
  <c r="AN177" i="4"/>
  <c r="AN275" i="4"/>
  <c r="AN152" i="4"/>
  <c r="AN17" i="4"/>
  <c r="AN310" i="4"/>
  <c r="AN100" i="4"/>
  <c r="AN67" i="4"/>
  <c r="AN110" i="4"/>
  <c r="AN186" i="4"/>
  <c r="AK276" i="4"/>
  <c r="AK345" i="4"/>
  <c r="AK366" i="4"/>
  <c r="AK121" i="4"/>
  <c r="AK101" i="4"/>
  <c r="AK176" i="4"/>
  <c r="AK178" i="4"/>
  <c r="AK239" i="4"/>
  <c r="AK154" i="4"/>
  <c r="AC327" i="4"/>
  <c r="AF149" i="4"/>
  <c r="AG175" i="4"/>
  <c r="AL205" i="4"/>
  <c r="AM23" i="4"/>
  <c r="AH40" i="4"/>
  <c r="AH103" i="4"/>
  <c r="AD298" i="4"/>
  <c r="AD192" i="4"/>
  <c r="AD68" i="4"/>
  <c r="AO312" i="4"/>
  <c r="AO271" i="4"/>
  <c r="AO122" i="4"/>
  <c r="AO255" i="4"/>
  <c r="AO265" i="4"/>
  <c r="AJ210" i="4"/>
  <c r="AJ335" i="4"/>
  <c r="AJ28" i="4"/>
  <c r="AJ22" i="4"/>
  <c r="AN344" i="4"/>
  <c r="AN347" i="4"/>
  <c r="AN104" i="4"/>
  <c r="AN185" i="4"/>
  <c r="AN140" i="4"/>
  <c r="AN246" i="4"/>
  <c r="AN60" i="4"/>
  <c r="AN263" i="4"/>
  <c r="AN341" i="4"/>
  <c r="AN225" i="4"/>
  <c r="AK207" i="4"/>
  <c r="AK10" i="4"/>
  <c r="AK35" i="4"/>
  <c r="AK56" i="4"/>
  <c r="AK349" i="4"/>
  <c r="AK88" i="4"/>
  <c r="AK257" i="4"/>
  <c r="AK66" i="4"/>
  <c r="AK229" i="4"/>
  <c r="AK299" i="4"/>
  <c r="AK179" i="4"/>
  <c r="AK249" i="4"/>
  <c r="AK155" i="4"/>
  <c r="AK260" i="4"/>
  <c r="AK113" i="4"/>
  <c r="AH212" i="4"/>
  <c r="AH267" i="4"/>
  <c r="AH187" i="4"/>
  <c r="AH224" i="4"/>
  <c r="AD155" i="4"/>
  <c r="AD230" i="4"/>
  <c r="AD243" i="4"/>
  <c r="AD317" i="4"/>
  <c r="AO279" i="4"/>
  <c r="AO185" i="4"/>
  <c r="AO97" i="4"/>
  <c r="AO333" i="4"/>
  <c r="AO172" i="4"/>
  <c r="AJ121" i="4"/>
  <c r="AJ202" i="4"/>
  <c r="AJ308" i="4"/>
  <c r="AN150" i="4"/>
  <c r="AN21" i="4"/>
  <c r="AN120" i="4"/>
  <c r="AN50" i="4"/>
  <c r="AN122" i="4"/>
  <c r="AN218" i="4"/>
  <c r="AK232" i="4"/>
  <c r="AK374" i="4"/>
  <c r="AK379" i="4"/>
  <c r="AK97" i="4"/>
  <c r="AK250" i="4"/>
  <c r="AK215" i="4"/>
  <c r="AK265" i="4"/>
  <c r="AK181" i="4"/>
  <c r="AK331" i="4"/>
  <c r="AK337" i="4"/>
  <c r="AK358" i="4"/>
  <c r="AC349" i="4"/>
  <c r="AF264" i="4"/>
  <c r="AG250" i="4"/>
  <c r="AG212" i="4"/>
  <c r="AL144" i="4"/>
  <c r="AL179" i="4"/>
  <c r="AM55" i="4"/>
  <c r="AM310" i="4"/>
  <c r="AH180" i="4"/>
  <c r="AH111" i="4"/>
  <c r="AH363" i="4"/>
  <c r="AD231" i="4"/>
  <c r="AD144" i="4"/>
  <c r="AO14" i="4"/>
  <c r="AO116" i="4"/>
  <c r="AO168" i="4"/>
  <c r="AJ326" i="4"/>
  <c r="AJ92" i="4"/>
  <c r="AJ219" i="4"/>
  <c r="AJ242" i="4"/>
  <c r="AN377" i="4"/>
  <c r="AN206" i="4"/>
  <c r="AN121" i="4"/>
  <c r="AN191" i="4"/>
  <c r="AN373" i="4"/>
  <c r="AN342" i="4"/>
  <c r="AK85" i="4"/>
  <c r="AK193" i="4"/>
  <c r="AK285" i="4"/>
  <c r="AK246" i="4"/>
  <c r="AK313" i="4"/>
  <c r="AK269" i="4"/>
  <c r="AK9" i="4"/>
  <c r="AK12" i="4"/>
  <c r="AK123" i="4"/>
  <c r="AK362" i="4"/>
  <c r="AC377" i="4"/>
  <c r="AC284" i="4"/>
  <c r="AE344" i="4"/>
  <c r="AE279" i="4"/>
  <c r="AE219" i="4"/>
  <c r="AF270" i="4"/>
  <c r="AF254" i="4"/>
  <c r="AG55" i="4"/>
  <c r="AG239" i="4"/>
  <c r="AG254" i="4"/>
  <c r="AG27" i="4"/>
  <c r="AG24" i="4"/>
  <c r="AL212" i="4"/>
  <c r="AL373" i="4"/>
  <c r="AL277" i="4"/>
  <c r="AL21" i="4"/>
  <c r="AL229" i="4"/>
  <c r="AM365" i="4"/>
  <c r="AM202" i="4"/>
  <c r="AM287" i="4"/>
  <c r="AM56" i="4"/>
  <c r="AM22" i="4"/>
  <c r="AH189" i="4"/>
  <c r="AH91" i="4"/>
  <c r="AH216" i="4"/>
  <c r="AH265" i="4"/>
  <c r="AH52" i="4"/>
  <c r="AH179" i="4"/>
  <c r="AH341" i="4"/>
  <c r="AD244" i="4"/>
  <c r="AD285" i="4"/>
  <c r="AO297" i="4"/>
  <c r="AO379" i="4"/>
  <c r="AO59" i="4"/>
  <c r="AJ374" i="4"/>
  <c r="AJ16" i="4"/>
  <c r="AJ65" i="4"/>
  <c r="AJ43" i="4"/>
  <c r="AJ166" i="4"/>
  <c r="AN207" i="4"/>
  <c r="AN353" i="4"/>
  <c r="AN175" i="4"/>
  <c r="AN149" i="4"/>
  <c r="AN282" i="4"/>
  <c r="AN242" i="4"/>
  <c r="AN257" i="4"/>
  <c r="AN124" i="4"/>
  <c r="AN74" i="4"/>
  <c r="AN222" i="4"/>
  <c r="AK77" i="4"/>
  <c r="AK98" i="4"/>
  <c r="AK73" i="4"/>
  <c r="AK108" i="4"/>
  <c r="AK184" i="4"/>
  <c r="AK227" i="4"/>
  <c r="AK15" i="4"/>
  <c r="AK197" i="4"/>
  <c r="AK261" i="4"/>
  <c r="AC139" i="4"/>
  <c r="AG54" i="4"/>
  <c r="AL198" i="4"/>
  <c r="AM27" i="4"/>
  <c r="AM380" i="4"/>
  <c r="AH369" i="4"/>
  <c r="AH135" i="4"/>
  <c r="AH138" i="4"/>
  <c r="AD345" i="4"/>
  <c r="AJ325" i="4"/>
  <c r="AN38" i="4"/>
  <c r="AN223" i="4"/>
  <c r="AK323" i="4"/>
  <c r="AK102" i="4"/>
  <c r="AK218" i="4"/>
  <c r="AK18" i="4"/>
  <c r="AE143" i="4"/>
  <c r="AM333" i="4"/>
  <c r="AD193" i="4"/>
  <c r="AO85" i="4"/>
  <c r="AO242" i="4"/>
  <c r="AJ379" i="4"/>
  <c r="AJ173" i="4"/>
  <c r="AN226" i="4"/>
  <c r="AN197" i="4"/>
  <c r="AK29" i="4"/>
  <c r="AK161" i="4"/>
  <c r="AK172" i="4"/>
  <c r="AK192" i="4"/>
  <c r="AK26" i="4"/>
  <c r="AN162" i="4"/>
  <c r="AH22" i="4"/>
  <c r="AO356" i="4"/>
  <c r="AO313" i="4"/>
  <c r="AJ76" i="4"/>
  <c r="AJ153" i="4"/>
  <c r="AJ264" i="4"/>
  <c r="AJ36" i="4"/>
  <c r="AN231" i="4"/>
  <c r="AN267" i="4"/>
  <c r="AN210" i="4"/>
  <c r="AN259" i="4"/>
  <c r="AN138" i="4"/>
  <c r="AK378" i="4"/>
  <c r="AK38" i="4"/>
  <c r="AK340" i="4"/>
  <c r="AK243" i="4"/>
  <c r="AK255" i="4"/>
  <c r="AK137" i="4"/>
  <c r="AE64" i="4"/>
  <c r="AM336" i="4"/>
  <c r="AH80" i="4"/>
  <c r="AD291" i="4"/>
  <c r="AD219" i="4"/>
  <c r="AO8" i="4"/>
  <c r="AO362" i="4"/>
  <c r="AJ123" i="4"/>
  <c r="AJ13" i="4"/>
  <c r="AN80" i="4"/>
  <c r="AN280" i="4"/>
  <c r="AN288" i="4"/>
  <c r="AN203" i="4"/>
  <c r="AK324" i="4"/>
  <c r="AK92" i="4"/>
  <c r="AK168" i="4"/>
  <c r="AK270" i="4"/>
  <c r="AK153" i="4"/>
  <c r="AK103" i="4"/>
  <c r="AC97" i="4"/>
  <c r="AC281" i="4"/>
  <c r="AE281" i="4"/>
  <c r="AE306" i="4"/>
  <c r="AF27" i="4"/>
  <c r="AF278" i="4"/>
  <c r="AF172" i="4"/>
  <c r="AG322" i="4"/>
  <c r="AG381" i="4"/>
  <c r="AG273" i="4"/>
  <c r="AG279" i="4"/>
  <c r="AL236" i="4"/>
  <c r="AL213" i="4"/>
  <c r="AL220" i="4"/>
  <c r="AL287" i="4"/>
  <c r="AL66" i="4"/>
  <c r="AM115" i="4"/>
  <c r="AM165" i="4"/>
  <c r="AM204" i="4"/>
  <c r="AM8" i="4"/>
  <c r="AM215" i="4"/>
  <c r="AM218" i="4"/>
  <c r="AH44" i="4"/>
  <c r="H10" i="7" l="1"/>
  <c r="G25" i="7"/>
  <c r="L9" i="7"/>
  <c r="J21" i="7"/>
  <c r="J11" i="7"/>
  <c r="H33" i="7"/>
  <c r="H29" i="7"/>
  <c r="J10" i="7"/>
  <c r="L11" i="7"/>
  <c r="H18" i="7"/>
  <c r="H19" i="7"/>
  <c r="H28" i="7"/>
  <c r="H32" i="7"/>
  <c r="L15" i="7"/>
  <c r="J14" i="7"/>
  <c r="H21" i="7"/>
  <c r="J17" i="7"/>
  <c r="H11" i="7"/>
  <c r="H31" i="7"/>
  <c r="L12" i="7"/>
  <c r="J13" i="7"/>
  <c r="H25" i="7"/>
  <c r="L22" i="7"/>
  <c r="H22" i="7"/>
  <c r="L20" i="7"/>
  <c r="H26" i="7"/>
  <c r="H13" i="7"/>
  <c r="H16" i="7"/>
  <c r="J12" i="7"/>
  <c r="H27" i="7"/>
  <c r="L14" i="7"/>
  <c r="L13" i="7"/>
  <c r="L17" i="7"/>
  <c r="J9" i="7"/>
  <c r="H35" i="7"/>
  <c r="H15" i="7"/>
  <c r="J16" i="7"/>
  <c r="L18" i="7"/>
  <c r="L19" i="7"/>
  <c r="H30" i="7"/>
  <c r="L21" i="7"/>
  <c r="H17" i="7"/>
  <c r="H20" i="7"/>
  <c r="H14" i="7"/>
  <c r="J19" i="7"/>
  <c r="H34" i="7"/>
  <c r="L16" i="7"/>
  <c r="J20" i="7"/>
  <c r="J22" i="7"/>
  <c r="J18" i="7"/>
  <c r="J15" i="7"/>
  <c r="K25" i="7" l="1"/>
  <c r="G37" i="7"/>
  <c r="L25" i="7"/>
  <c r="H37" i="7"/>
  <c r="K37" i="7" l="1"/>
  <c r="I32" i="7"/>
  <c r="G44" i="7"/>
  <c r="K32" i="7"/>
  <c r="I29" i="7"/>
  <c r="K29" i="7"/>
  <c r="G41" i="7"/>
  <c r="I34" i="7"/>
  <c r="G46" i="7"/>
  <c r="K34" i="7"/>
  <c r="I31" i="7"/>
  <c r="I26" i="7"/>
  <c r="G43" i="7"/>
  <c r="K31" i="7"/>
  <c r="G38" i="7"/>
  <c r="K26" i="7"/>
  <c r="I28" i="7"/>
  <c r="I25" i="7"/>
  <c r="K28" i="7"/>
  <c r="G40" i="7"/>
  <c r="I33" i="7"/>
  <c r="G45" i="7"/>
  <c r="K33" i="7"/>
  <c r="I30" i="7"/>
  <c r="K30" i="7"/>
  <c r="G42" i="7"/>
  <c r="I27" i="7"/>
  <c r="K35" i="7"/>
  <c r="G47" i="7"/>
  <c r="K27" i="7"/>
  <c r="G39" i="7"/>
  <c r="H46" i="7"/>
  <c r="L31" i="7"/>
  <c r="L26" i="7"/>
  <c r="L28" i="7"/>
  <c r="L34" i="7"/>
  <c r="L27" i="7"/>
  <c r="H45" i="7"/>
  <c r="L37" i="7"/>
  <c r="L29" i="7"/>
  <c r="L30" i="7"/>
  <c r="L35" i="7"/>
  <c r="H42" i="7"/>
  <c r="L32" i="7"/>
  <c r="H41" i="7"/>
  <c r="H44" i="7"/>
  <c r="H40" i="7"/>
  <c r="H38" i="7"/>
  <c r="L33" i="7"/>
  <c r="H47" i="7"/>
  <c r="H39" i="7"/>
  <c r="H43" i="7"/>
  <c r="M29" i="7" l="1"/>
  <c r="M28" i="7"/>
  <c r="M27" i="7"/>
  <c r="M32" i="7"/>
  <c r="M31" i="7"/>
  <c r="M26" i="7"/>
  <c r="M25" i="7"/>
  <c r="M34" i="7"/>
  <c r="M30" i="7"/>
  <c r="M33" i="7"/>
  <c r="K41" i="7"/>
  <c r="K40" i="7"/>
  <c r="K39" i="7"/>
  <c r="K44" i="7"/>
  <c r="K43" i="7"/>
  <c r="K38" i="7"/>
  <c r="K47" i="7"/>
  <c r="K46" i="7"/>
  <c r="K42" i="7"/>
  <c r="K45" i="7"/>
  <c r="L44" i="7"/>
  <c r="L43" i="7"/>
  <c r="L47" i="7"/>
  <c r="L40" i="7"/>
  <c r="L38" i="7"/>
  <c r="L41" i="7"/>
  <c r="L39" i="7"/>
  <c r="L45" i="7"/>
  <c r="L42" i="7"/>
  <c r="L46" i="7"/>
  <c r="M38" i="7" l="1"/>
  <c r="M37" i="7"/>
  <c r="M43" i="7"/>
  <c r="M40" i="7"/>
  <c r="M42" i="7"/>
  <c r="M44" i="7"/>
  <c r="M39" i="7"/>
  <c r="M41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<sst xmlns="http://schemas.openxmlformats.org/spreadsheetml/2006/main" count="5534" uniqueCount="1804">
  <si>
    <t>沪市</t>
  </si>
  <si>
    <t>113579.SH</t>
  </si>
  <si>
    <t>健友转债</t>
  </si>
  <si>
    <t>113580.SH</t>
  </si>
  <si>
    <t>康隆转债</t>
  </si>
  <si>
    <t>深市</t>
  </si>
  <si>
    <t>128107.SZ</t>
  </si>
  <si>
    <t>交科转债</t>
  </si>
  <si>
    <t>113578.SH</t>
  </si>
  <si>
    <t>全筑转债</t>
  </si>
  <si>
    <t>113573.SH</t>
  </si>
  <si>
    <t>纵横转债</t>
  </si>
  <si>
    <t>113577.SH</t>
  </si>
  <si>
    <t>春秋转债</t>
  </si>
  <si>
    <t>123050.SZ</t>
  </si>
  <si>
    <t>聚飞转债</t>
  </si>
  <si>
    <t>123066.SZ</t>
  </si>
  <si>
    <t>赛意转债</t>
  </si>
  <si>
    <t>123067.SZ</t>
  </si>
  <si>
    <t>斯莱转债</t>
  </si>
  <si>
    <t>128132.SZ</t>
  </si>
  <si>
    <t>交建转债</t>
  </si>
  <si>
    <t>128131.SZ</t>
  </si>
  <si>
    <t>崇达转2</t>
  </si>
  <si>
    <t>123065.SZ</t>
  </si>
  <si>
    <t>宝莱转债</t>
  </si>
  <si>
    <t>123064.SZ</t>
  </si>
  <si>
    <t>万孚转债</t>
  </si>
  <si>
    <t>128130.SZ</t>
  </si>
  <si>
    <t>景兴转债</t>
  </si>
  <si>
    <t>113039.SH</t>
  </si>
  <si>
    <t>嘉泽转债</t>
  </si>
  <si>
    <t>113602.SH</t>
  </si>
  <si>
    <t>景20转债</t>
  </si>
  <si>
    <t>113601.SH</t>
  </si>
  <si>
    <t>塞力转债</t>
  </si>
  <si>
    <t>128127.SZ</t>
  </si>
  <si>
    <t>文科转债</t>
  </si>
  <si>
    <t>128128.SZ</t>
  </si>
  <si>
    <t>齐翔转2</t>
  </si>
  <si>
    <t>110074.SH</t>
  </si>
  <si>
    <t>精达转债</t>
  </si>
  <si>
    <t>110072.SH</t>
  </si>
  <si>
    <t>广汇转债</t>
  </si>
  <si>
    <t>113600.SH</t>
  </si>
  <si>
    <t>新星转债</t>
  </si>
  <si>
    <t>128126.SZ</t>
  </si>
  <si>
    <t>赣锋转2</t>
  </si>
  <si>
    <t>113599.SH</t>
  </si>
  <si>
    <t>嘉友转债</t>
  </si>
  <si>
    <t>113038.SH</t>
  </si>
  <si>
    <t>隆20转债</t>
  </si>
  <si>
    <t>113598.SH</t>
  </si>
  <si>
    <t>法兰转债</t>
  </si>
  <si>
    <t>113597.SH</t>
  </si>
  <si>
    <t>佳力转债</t>
  </si>
  <si>
    <t>128125.SZ</t>
  </si>
  <si>
    <t>华阳转债</t>
  </si>
  <si>
    <t>113596.SH</t>
  </si>
  <si>
    <t>城地转债</t>
  </si>
  <si>
    <t>123063.SZ</t>
  </si>
  <si>
    <t>大禹转债</t>
  </si>
  <si>
    <t>128124.SZ</t>
  </si>
  <si>
    <t>科华转债</t>
  </si>
  <si>
    <t>123062.SZ</t>
  </si>
  <si>
    <t>三超转债</t>
  </si>
  <si>
    <t>128123.SZ</t>
  </si>
  <si>
    <t>国光转债</t>
  </si>
  <si>
    <t>110073.SH</t>
  </si>
  <si>
    <t>国投转债</t>
  </si>
  <si>
    <t>123061.SZ</t>
  </si>
  <si>
    <t>航新转债</t>
  </si>
  <si>
    <t>113594.SH</t>
  </si>
  <si>
    <t>淳中转债</t>
  </si>
  <si>
    <t>113595.SH</t>
  </si>
  <si>
    <t>花王转债</t>
  </si>
  <si>
    <t>123060.SZ</t>
  </si>
  <si>
    <t>苏试转债</t>
  </si>
  <si>
    <t>113593.SH</t>
  </si>
  <si>
    <t>沪工转债</t>
  </si>
  <si>
    <t>127020.SZ</t>
  </si>
  <si>
    <t>中金转债</t>
  </si>
  <si>
    <t>128120.SZ</t>
  </si>
  <si>
    <t>联诚转债</t>
  </si>
  <si>
    <t>128121.SZ</t>
  </si>
  <si>
    <t>宏川转债</t>
  </si>
  <si>
    <t>123059.SZ</t>
  </si>
  <si>
    <t>银信转债</t>
  </si>
  <si>
    <t>127019.SZ</t>
  </si>
  <si>
    <t>国城转债</t>
  </si>
  <si>
    <t>123058.SZ</t>
  </si>
  <si>
    <t>欣旺转债</t>
  </si>
  <si>
    <t>128119.SZ</t>
  </si>
  <si>
    <t>龙大转债</t>
  </si>
  <si>
    <t>110071.SH</t>
  </si>
  <si>
    <t>湖盐转债</t>
  </si>
  <si>
    <t>113036.SH</t>
  </si>
  <si>
    <t>宁建转债</t>
  </si>
  <si>
    <t>128117.SZ</t>
  </si>
  <si>
    <t>道恩转债</t>
  </si>
  <si>
    <t>128118.SZ</t>
  </si>
  <si>
    <t>瀛通转债</t>
  </si>
  <si>
    <t>113591.SH</t>
  </si>
  <si>
    <t>胜达转债</t>
  </si>
  <si>
    <t>123057.SZ</t>
  </si>
  <si>
    <t>美联转债</t>
  </si>
  <si>
    <t>127018.SZ</t>
  </si>
  <si>
    <t>本钢转债</t>
  </si>
  <si>
    <t>113589.SH</t>
  </si>
  <si>
    <t>天创转债</t>
  </si>
  <si>
    <t>123056.SZ</t>
  </si>
  <si>
    <t>雪榕转债</t>
  </si>
  <si>
    <t>113588.SH</t>
  </si>
  <si>
    <t>润达转债</t>
  </si>
  <si>
    <t>128114.SZ</t>
  </si>
  <si>
    <t>正邦转债</t>
  </si>
  <si>
    <t>128113.SZ</t>
  </si>
  <si>
    <t>比音转债</t>
  </si>
  <si>
    <t>128111.SZ</t>
  </si>
  <si>
    <t>中矿转债</t>
  </si>
  <si>
    <t>123054.SZ</t>
  </si>
  <si>
    <t>思特转债</t>
  </si>
  <si>
    <t>113585.SH</t>
  </si>
  <si>
    <t>寿仙转债</t>
  </si>
  <si>
    <t>113584.SH</t>
  </si>
  <si>
    <t>家悦转债</t>
  </si>
  <si>
    <t>123052.SZ</t>
  </si>
  <si>
    <t>飞鹿转债</t>
  </si>
  <si>
    <t>123053.SZ</t>
  </si>
  <si>
    <t>宝通转债</t>
  </si>
  <si>
    <t>123051.SZ</t>
  </si>
  <si>
    <t>今天转债</t>
  </si>
  <si>
    <t>128109.SZ</t>
  </si>
  <si>
    <t>楚江转债</t>
  </si>
  <si>
    <t>127017.SZ</t>
  </si>
  <si>
    <t>万青转债</t>
  </si>
  <si>
    <t>128108.SZ</t>
  </si>
  <si>
    <t>蓝帆转债</t>
  </si>
  <si>
    <t>113582.SH</t>
  </si>
  <si>
    <t>火炬转债</t>
  </si>
  <si>
    <t>110070.SH</t>
  </si>
  <si>
    <t>凌钢转债</t>
  </si>
  <si>
    <t>123049.SZ</t>
  </si>
  <si>
    <t>维尔转债</t>
  </si>
  <si>
    <t>113034.SH</t>
  </si>
  <si>
    <t>滨化转债</t>
  </si>
  <si>
    <t>113576.SH</t>
  </si>
  <si>
    <t>起步转债</t>
  </si>
  <si>
    <t>123048.SZ</t>
  </si>
  <si>
    <t>应急转债</t>
  </si>
  <si>
    <t>128106.SZ</t>
  </si>
  <si>
    <t>华统转债</t>
  </si>
  <si>
    <t>113575.SH</t>
  </si>
  <si>
    <t>东时转债</t>
  </si>
  <si>
    <t>127016.SZ</t>
  </si>
  <si>
    <t>鲁泰转债</t>
  </si>
  <si>
    <t>128105.SZ</t>
  </si>
  <si>
    <t>长集转债</t>
  </si>
  <si>
    <t>110069.SH</t>
  </si>
  <si>
    <t>瀚蓝转债</t>
  </si>
  <si>
    <t>113033.SH</t>
  </si>
  <si>
    <t>利群转债</t>
  </si>
  <si>
    <t>113574.SH</t>
  </si>
  <si>
    <t>华体转债</t>
  </si>
  <si>
    <t>128103.SZ</t>
  </si>
  <si>
    <t>同德转债</t>
  </si>
  <si>
    <t>110068.SH</t>
  </si>
  <si>
    <t>龙净转债</t>
  </si>
  <si>
    <t>123047.SZ</t>
  </si>
  <si>
    <t>久吾转债</t>
  </si>
  <si>
    <t>123046.SZ</t>
  </si>
  <si>
    <t>天铁转债</t>
  </si>
  <si>
    <t>128101.SZ</t>
  </si>
  <si>
    <t>联创转债</t>
  </si>
  <si>
    <t>113572.SH</t>
  </si>
  <si>
    <t>三祥转债</t>
  </si>
  <si>
    <t>123044.SZ</t>
  </si>
  <si>
    <t>红相转债</t>
  </si>
  <si>
    <t>123045.SZ</t>
  </si>
  <si>
    <t>雷迪转债</t>
  </si>
  <si>
    <t>128100.SZ</t>
  </si>
  <si>
    <t>搜特转债</t>
  </si>
  <si>
    <t>113570.SH</t>
  </si>
  <si>
    <t>百达转债</t>
  </si>
  <si>
    <t>113569.SH</t>
  </si>
  <si>
    <t>科达转债</t>
  </si>
  <si>
    <t>113568.SH</t>
  </si>
  <si>
    <t>新春转债</t>
  </si>
  <si>
    <t>123043.SZ</t>
  </si>
  <si>
    <t>正元转债</t>
  </si>
  <si>
    <t>113567.SH</t>
  </si>
  <si>
    <t>君禾转债</t>
  </si>
  <si>
    <t>110066.SH</t>
  </si>
  <si>
    <t>盛屯转债</t>
  </si>
  <si>
    <t>113564.SH</t>
  </si>
  <si>
    <t>天目转债</t>
  </si>
  <si>
    <t>113566.SH</t>
  </si>
  <si>
    <t>翔港转债</t>
  </si>
  <si>
    <t>113565.SH</t>
  </si>
  <si>
    <t>宏辉转债</t>
  </si>
  <si>
    <t>128097.SZ</t>
  </si>
  <si>
    <t>奥佳转债</t>
  </si>
  <si>
    <t>128095.SZ</t>
  </si>
  <si>
    <t>恩捷转债</t>
  </si>
  <si>
    <t>128096.SZ</t>
  </si>
  <si>
    <t>奥瑞转债</t>
  </si>
  <si>
    <t>113563.SH</t>
  </si>
  <si>
    <t>柳药转债</t>
  </si>
  <si>
    <t>128094.SZ</t>
  </si>
  <si>
    <t>星帅转债</t>
  </si>
  <si>
    <t>123042.SZ</t>
  </si>
  <si>
    <t>银河转债</t>
  </si>
  <si>
    <t>127015.SZ</t>
  </si>
  <si>
    <t>希望转债</t>
  </si>
  <si>
    <t>128093.SZ</t>
  </si>
  <si>
    <t>百川转债</t>
  </si>
  <si>
    <t>113561.SH</t>
  </si>
  <si>
    <t>正裕转债</t>
  </si>
  <si>
    <t>128091.SZ</t>
  </si>
  <si>
    <t>新天转债</t>
  </si>
  <si>
    <t>128090.SZ</t>
  </si>
  <si>
    <t>汽模转2</t>
  </si>
  <si>
    <t>123039.SZ</t>
  </si>
  <si>
    <t>开润转债</t>
  </si>
  <si>
    <t>123038.SZ</t>
  </si>
  <si>
    <t>联得转债</t>
  </si>
  <si>
    <t>113030.SH</t>
  </si>
  <si>
    <t>东风转债</t>
  </si>
  <si>
    <t>110065.SH</t>
  </si>
  <si>
    <t>淮矿转债</t>
  </si>
  <si>
    <t>113559.SH</t>
  </si>
  <si>
    <t>永创转债</t>
  </si>
  <si>
    <t>110064.SH</t>
  </si>
  <si>
    <t>建工转债</t>
  </si>
  <si>
    <t>113557.SH</t>
  </si>
  <si>
    <t>森特转债</t>
  </si>
  <si>
    <t>128087.SZ</t>
  </si>
  <si>
    <t>孚日转债</t>
  </si>
  <si>
    <t>128085.SZ</t>
  </si>
  <si>
    <t>鸿达转债</t>
  </si>
  <si>
    <t>110063.SH</t>
  </si>
  <si>
    <t>鹰19转债</t>
  </si>
  <si>
    <t>128083.SZ</t>
  </si>
  <si>
    <t>新北转债</t>
  </si>
  <si>
    <t>128082.SZ</t>
  </si>
  <si>
    <t>华锋转债</t>
  </si>
  <si>
    <t>110062.SH</t>
  </si>
  <si>
    <t>烽火转债</t>
  </si>
  <si>
    <t>128081.SZ</t>
  </si>
  <si>
    <t>海亮转债</t>
  </si>
  <si>
    <t>113550.SH</t>
  </si>
  <si>
    <t>常汽转债</t>
  </si>
  <si>
    <t>113549.SH</t>
  </si>
  <si>
    <t>白电转债</t>
  </si>
  <si>
    <t>123035.SZ</t>
  </si>
  <si>
    <t>利德转债</t>
  </si>
  <si>
    <t>110061.SH</t>
  </si>
  <si>
    <t>川投转债</t>
  </si>
  <si>
    <t>123034.SZ</t>
  </si>
  <si>
    <t>通光转债</t>
  </si>
  <si>
    <t>123033.SZ</t>
  </si>
  <si>
    <t>金力转债</t>
  </si>
  <si>
    <t>110060.SH</t>
  </si>
  <si>
    <t>天路转债</t>
  </si>
  <si>
    <t>113548.SH</t>
  </si>
  <si>
    <t>石英转债</t>
  </si>
  <si>
    <t>127014.SZ</t>
  </si>
  <si>
    <t>北方转债</t>
  </si>
  <si>
    <t>113546.SH</t>
  </si>
  <si>
    <t>迪贝转债</t>
  </si>
  <si>
    <t>128078.SZ</t>
  </si>
  <si>
    <t>太极转债</t>
  </si>
  <si>
    <t>128079.SZ</t>
  </si>
  <si>
    <t>英联转债</t>
  </si>
  <si>
    <t>113545.SH</t>
  </si>
  <si>
    <t>金能转债</t>
  </si>
  <si>
    <t>128076.SZ</t>
  </si>
  <si>
    <t>金轮转债</t>
  </si>
  <si>
    <t>128074.SZ</t>
  </si>
  <si>
    <t>游族转债</t>
  </si>
  <si>
    <t>128075.SZ</t>
  </si>
  <si>
    <t>远东转债</t>
  </si>
  <si>
    <t>123031.SZ</t>
  </si>
  <si>
    <t>晶瑞转债</t>
  </si>
  <si>
    <t>123030.SZ</t>
  </si>
  <si>
    <t>九洲转债</t>
  </si>
  <si>
    <t>128072.SZ</t>
  </si>
  <si>
    <t>翔鹭转债</t>
  </si>
  <si>
    <t>113543.SH</t>
  </si>
  <si>
    <t>欧派转债</t>
  </si>
  <si>
    <t>123029.SZ</t>
  </si>
  <si>
    <t>英科转债</t>
  </si>
  <si>
    <t>128071.SZ</t>
  </si>
  <si>
    <t>合兴转债</t>
  </si>
  <si>
    <t>127021.SZ</t>
  </si>
  <si>
    <t>特发转2</t>
  </si>
  <si>
    <t>113542.SH</t>
  </si>
  <si>
    <t>好客转债</t>
  </si>
  <si>
    <t>113541.SH</t>
  </si>
  <si>
    <t>荣晟转债</t>
  </si>
  <si>
    <t>128122.SZ</t>
  </si>
  <si>
    <t>兴森转债</t>
  </si>
  <si>
    <t>128070.SZ</t>
  </si>
  <si>
    <t>智能转债</t>
  </si>
  <si>
    <t>128069.SZ</t>
  </si>
  <si>
    <t>华森转债</t>
  </si>
  <si>
    <t>123028.SZ</t>
  </si>
  <si>
    <t>清水转债</t>
  </si>
  <si>
    <t>113027.SH</t>
  </si>
  <si>
    <t>华钰转债</t>
  </si>
  <si>
    <t>123027.SZ</t>
  </si>
  <si>
    <t>蓝晓转债</t>
  </si>
  <si>
    <t>113537.SH</t>
  </si>
  <si>
    <t>文灿转债</t>
  </si>
  <si>
    <t>113536.SH</t>
  </si>
  <si>
    <t>三星转债</t>
  </si>
  <si>
    <t>128066.SZ</t>
  </si>
  <si>
    <t>亚泰转债</t>
  </si>
  <si>
    <t>110058.SH</t>
  </si>
  <si>
    <t>永鼎转债</t>
  </si>
  <si>
    <t>113026.SH</t>
  </si>
  <si>
    <t>核能转债</t>
  </si>
  <si>
    <t>127013.SZ</t>
  </si>
  <si>
    <t>创维转债</t>
  </si>
  <si>
    <t>113025.SH</t>
  </si>
  <si>
    <t>明泰转债</t>
  </si>
  <si>
    <t>113534.SH</t>
  </si>
  <si>
    <t>鼎胜转债</t>
  </si>
  <si>
    <t>113024.SH</t>
  </si>
  <si>
    <t>核建转债</t>
  </si>
  <si>
    <t>128064.SZ</t>
  </si>
  <si>
    <t>司尔转债</t>
  </si>
  <si>
    <t>128063.SZ</t>
  </si>
  <si>
    <t>未来转债</t>
  </si>
  <si>
    <t>113532.SH</t>
  </si>
  <si>
    <t>海环转债</t>
  </si>
  <si>
    <t>128062.SZ</t>
  </si>
  <si>
    <t>亚药转债</t>
  </si>
  <si>
    <t>110057.SH</t>
  </si>
  <si>
    <t>现代转债</t>
  </si>
  <si>
    <t>123025.SZ</t>
  </si>
  <si>
    <t>精测转债</t>
  </si>
  <si>
    <t>113530.SH</t>
  </si>
  <si>
    <t>大丰转债</t>
  </si>
  <si>
    <t>127012.SZ</t>
  </si>
  <si>
    <t>招路转债</t>
  </si>
  <si>
    <t>123023.SZ</t>
  </si>
  <si>
    <t>迪森转债</t>
  </si>
  <si>
    <t>110056.SH</t>
  </si>
  <si>
    <t>亨通转债</t>
  </si>
  <si>
    <t>123022.SZ</t>
  </si>
  <si>
    <t>长信转债</t>
  </si>
  <si>
    <t>110055.SH</t>
  </si>
  <si>
    <t>伊力转债</t>
  </si>
  <si>
    <t>127011.SZ</t>
  </si>
  <si>
    <t>中鼎转2</t>
  </si>
  <si>
    <t>110052.SH</t>
  </si>
  <si>
    <t>贵广转债</t>
  </si>
  <si>
    <t>128057.SZ</t>
  </si>
  <si>
    <t>博彦转债</t>
  </si>
  <si>
    <t>113528.SH</t>
  </si>
  <si>
    <t>长城转债</t>
  </si>
  <si>
    <t>110051.SH</t>
  </si>
  <si>
    <t>中天转债</t>
  </si>
  <si>
    <t>128056.SZ</t>
  </si>
  <si>
    <t>今飞转债</t>
  </si>
  <si>
    <t>128053.SZ</t>
  </si>
  <si>
    <t>尚荣转债</t>
  </si>
  <si>
    <t>113527.SH</t>
  </si>
  <si>
    <t>维格转债</t>
  </si>
  <si>
    <t>113526.SH</t>
  </si>
  <si>
    <t>联泰转债</t>
  </si>
  <si>
    <t>120004.SZ</t>
  </si>
  <si>
    <t>20华菱EB</t>
  </si>
  <si>
    <t>128052.SZ</t>
  </si>
  <si>
    <t>凯龙转债</t>
  </si>
  <si>
    <t>123018.SZ</t>
  </si>
  <si>
    <t>溢利转债</t>
  </si>
  <si>
    <t>113525.SH</t>
  </si>
  <si>
    <t>台华转债</t>
  </si>
  <si>
    <t>113524.SH</t>
  </si>
  <si>
    <t>奇精转债</t>
  </si>
  <si>
    <t>128051.SZ</t>
  </si>
  <si>
    <t>光华转债</t>
  </si>
  <si>
    <t>128050.SZ</t>
  </si>
  <si>
    <t>钧达转债</t>
  </si>
  <si>
    <t>110048.SH</t>
  </si>
  <si>
    <t>福能转债</t>
  </si>
  <si>
    <t>128049.SZ</t>
  </si>
  <si>
    <t>华源转债</t>
  </si>
  <si>
    <t>120003.SZ</t>
  </si>
  <si>
    <t>19华菱EB</t>
  </si>
  <si>
    <t>110047.SH</t>
  </si>
  <si>
    <t>山鹰转债</t>
  </si>
  <si>
    <t>113519.SH</t>
  </si>
  <si>
    <t>长久转债</t>
  </si>
  <si>
    <t>EB</t>
  </si>
  <si>
    <t>132020.SH</t>
  </si>
  <si>
    <t>19蓝星EB</t>
  </si>
  <si>
    <t>128046.SZ</t>
  </si>
  <si>
    <t>利尔转债</t>
  </si>
  <si>
    <t>128073.SZ</t>
  </si>
  <si>
    <t>哈尔转债</t>
  </si>
  <si>
    <t>128044.SZ</t>
  </si>
  <si>
    <t>岭南转债</t>
  </si>
  <si>
    <t>123015.SZ</t>
  </si>
  <si>
    <t>蓝盾转债</t>
  </si>
  <si>
    <t>128042.SZ</t>
  </si>
  <si>
    <t>凯中转债</t>
  </si>
  <si>
    <t>123013.SZ</t>
  </si>
  <si>
    <t>横河转债</t>
  </si>
  <si>
    <t>123012.SZ</t>
  </si>
  <si>
    <t>万顺转债</t>
  </si>
  <si>
    <t>123011.SZ</t>
  </si>
  <si>
    <t>德尔转债</t>
  </si>
  <si>
    <t>128041.SZ</t>
  </si>
  <si>
    <t>盛路转债</t>
  </si>
  <si>
    <t>110045.SH</t>
  </si>
  <si>
    <t>海澜转债</t>
  </si>
  <si>
    <t>123010.SZ</t>
  </si>
  <si>
    <t>博世转债</t>
  </si>
  <si>
    <t>127007.SZ</t>
  </si>
  <si>
    <t>湖广转债</t>
  </si>
  <si>
    <t>110044.SH</t>
  </si>
  <si>
    <t>广电转债</t>
  </si>
  <si>
    <t>128040.SZ</t>
  </si>
  <si>
    <t>华通转债</t>
  </si>
  <si>
    <t>128039.SZ</t>
  </si>
  <si>
    <t>三力转债</t>
  </si>
  <si>
    <t>113509.SH</t>
  </si>
  <si>
    <t>新泉转债</t>
  </si>
  <si>
    <t>113535.SH</t>
  </si>
  <si>
    <t>大业转债</t>
  </si>
  <si>
    <t>113508.SH</t>
  </si>
  <si>
    <t>新凤转债</t>
  </si>
  <si>
    <t>132018.SH</t>
  </si>
  <si>
    <t>G三峡EB1</t>
  </si>
  <si>
    <t>123024.SZ</t>
  </si>
  <si>
    <t>岱勒转债</t>
  </si>
  <si>
    <t>128037.SZ</t>
  </si>
  <si>
    <t>岩土转债</t>
  </si>
  <si>
    <t>127006.SZ</t>
  </si>
  <si>
    <t>敖东转债</t>
  </si>
  <si>
    <t>128036.SZ</t>
  </si>
  <si>
    <t>金农转债</t>
  </si>
  <si>
    <t>113505.SH</t>
  </si>
  <si>
    <t>杭电转债</t>
  </si>
  <si>
    <t>113504.SH</t>
  </si>
  <si>
    <t>艾华转债</t>
  </si>
  <si>
    <t>128035.SZ</t>
  </si>
  <si>
    <t>大族转债</t>
  </si>
  <si>
    <t>123007.SZ</t>
  </si>
  <si>
    <t>道氏转债</t>
  </si>
  <si>
    <t>113017.SH</t>
  </si>
  <si>
    <t>吉视转债</t>
  </si>
  <si>
    <t>128033.SZ</t>
  </si>
  <si>
    <t>迪龙转债</t>
  </si>
  <si>
    <t>128032.SZ</t>
  </si>
  <si>
    <t>双环转债</t>
  </si>
  <si>
    <t>120002.SZ</t>
  </si>
  <si>
    <t>18中原EB</t>
  </si>
  <si>
    <t>110041.SH</t>
  </si>
  <si>
    <t>蒙电转债</t>
  </si>
  <si>
    <t>128030.SZ</t>
  </si>
  <si>
    <t>天康转债</t>
  </si>
  <si>
    <t>123004.SZ</t>
  </si>
  <si>
    <t>铁汉转债</t>
  </si>
  <si>
    <t>128026.SZ</t>
  </si>
  <si>
    <t>众兴转债</t>
  </si>
  <si>
    <t>128025.SZ</t>
  </si>
  <si>
    <t>特一转债</t>
  </si>
  <si>
    <t>128023.SZ</t>
  </si>
  <si>
    <t>亚太转债</t>
  </si>
  <si>
    <t>128022.SZ</t>
  </si>
  <si>
    <t>众信转债</t>
  </si>
  <si>
    <t>128021.SZ</t>
  </si>
  <si>
    <t>兄弟转债</t>
  </si>
  <si>
    <t>123002.SZ</t>
  </si>
  <si>
    <t>国祯转债</t>
  </si>
  <si>
    <t>113502.SH</t>
  </si>
  <si>
    <t>嘉澳转债</t>
  </si>
  <si>
    <t>113016.SH</t>
  </si>
  <si>
    <t>小康转债</t>
  </si>
  <si>
    <t>128018.SZ</t>
  </si>
  <si>
    <t>时达转债</t>
  </si>
  <si>
    <t>128017.SZ</t>
  </si>
  <si>
    <t>金禾转债</t>
  </si>
  <si>
    <t>113014.SH</t>
  </si>
  <si>
    <t>林洋转债</t>
  </si>
  <si>
    <t>123014.SZ</t>
  </si>
  <si>
    <t>凯发转债</t>
  </si>
  <si>
    <t>128015.SZ</t>
  </si>
  <si>
    <t>久其转债</t>
  </si>
  <si>
    <t>127004.SZ</t>
  </si>
  <si>
    <t>模塑转债</t>
  </si>
  <si>
    <t>132014.SH</t>
  </si>
  <si>
    <t>18中化EB</t>
  </si>
  <si>
    <t>128014.SZ</t>
  </si>
  <si>
    <t>永东转债</t>
  </si>
  <si>
    <t>113012.SH</t>
  </si>
  <si>
    <t>骆驼转债</t>
  </si>
  <si>
    <t>132015.SH</t>
  </si>
  <si>
    <t>18中油EB</t>
  </si>
  <si>
    <t>128029.SZ</t>
  </si>
  <si>
    <t>太阳转债</t>
  </si>
  <si>
    <t>132021.SH</t>
  </si>
  <si>
    <t>19中电EB</t>
  </si>
  <si>
    <t>110038.SH</t>
  </si>
  <si>
    <t>济川转债</t>
  </si>
  <si>
    <t>132011.SH</t>
  </si>
  <si>
    <t>17浙报EB</t>
  </si>
  <si>
    <t>128013.SZ</t>
  </si>
  <si>
    <t>洪涛转债</t>
  </si>
  <si>
    <t>132009.SH</t>
  </si>
  <si>
    <t>17中油EB</t>
  </si>
  <si>
    <t>127003.SZ</t>
  </si>
  <si>
    <t>海印转债</t>
  </si>
  <si>
    <t>132008.SH</t>
  </si>
  <si>
    <t>17山高EB</t>
  </si>
  <si>
    <t>128012.SZ</t>
  </si>
  <si>
    <t>辉丰转债</t>
  </si>
  <si>
    <t>132017.SH</t>
  </si>
  <si>
    <t>19新钢EB</t>
  </si>
  <si>
    <t>132016.SH</t>
  </si>
  <si>
    <t>19东创EB</t>
  </si>
  <si>
    <t>113009.SH</t>
  </si>
  <si>
    <t>广汽转债</t>
  </si>
  <si>
    <t>110034.SH</t>
  </si>
  <si>
    <t>九州转债</t>
  </si>
  <si>
    <t>110033.SH</t>
  </si>
  <si>
    <t>国贸转债</t>
  </si>
  <si>
    <t>132004.SH</t>
  </si>
  <si>
    <t>15国盛EB</t>
  </si>
  <si>
    <t>132007.SH</t>
  </si>
  <si>
    <t>16凤凰EB</t>
  </si>
  <si>
    <t>132006.SH</t>
  </si>
  <si>
    <t>16皖新EB</t>
  </si>
  <si>
    <t>110031.SH</t>
  </si>
  <si>
    <t>航信转债</t>
  </si>
  <si>
    <t>110075.SH</t>
  </si>
  <si>
    <t>南航转债</t>
  </si>
  <si>
    <t>110076.SH</t>
  </si>
  <si>
    <t>华海转债</t>
  </si>
  <si>
    <t>110077.SH</t>
  </si>
  <si>
    <t>洪城转债</t>
  </si>
  <si>
    <t>113040.SH</t>
  </si>
  <si>
    <t>星宇转债</t>
  </si>
  <si>
    <t>113041.SH</t>
  </si>
  <si>
    <t>紫金转债</t>
  </si>
  <si>
    <t>113044.SH</t>
  </si>
  <si>
    <t>大秦转债</t>
  </si>
  <si>
    <t>113603.SH</t>
  </si>
  <si>
    <t>东缆转债</t>
  </si>
  <si>
    <t>113604.SH</t>
  </si>
  <si>
    <t>多伦转债</t>
  </si>
  <si>
    <t>113605.SH</t>
  </si>
  <si>
    <t>大参转债</t>
  </si>
  <si>
    <t>113606.SH</t>
  </si>
  <si>
    <t>荣泰转债</t>
  </si>
  <si>
    <t>113607.SH</t>
  </si>
  <si>
    <t>伟20转债</t>
  </si>
  <si>
    <t>113608.SH</t>
  </si>
  <si>
    <t>威派转债</t>
  </si>
  <si>
    <t>113609.SH</t>
  </si>
  <si>
    <t>永安转债</t>
  </si>
  <si>
    <t>113610.SH</t>
  </si>
  <si>
    <t>灵康转债</t>
  </si>
  <si>
    <t>113611.SH</t>
  </si>
  <si>
    <t>福20转债</t>
  </si>
  <si>
    <t>113612.SH</t>
  </si>
  <si>
    <t>永冠转债</t>
  </si>
  <si>
    <t>113614.SH</t>
  </si>
  <si>
    <t>健20转债</t>
  </si>
  <si>
    <t>113615.SH</t>
  </si>
  <si>
    <t>金诚转债</t>
  </si>
  <si>
    <t>113616.SH</t>
  </si>
  <si>
    <t>韦尔转债</t>
  </si>
  <si>
    <t>123068.SZ</t>
  </si>
  <si>
    <t>弘信转债</t>
  </si>
  <si>
    <t>123069.SZ</t>
  </si>
  <si>
    <t>金诺转债</t>
  </si>
  <si>
    <t>123070.SZ</t>
  </si>
  <si>
    <t>鹏辉转债</t>
  </si>
  <si>
    <t>123071.SZ</t>
  </si>
  <si>
    <t>天能转债</t>
  </si>
  <si>
    <t>123072.SZ</t>
  </si>
  <si>
    <t>乐歌转债</t>
  </si>
  <si>
    <t>123073.SZ</t>
  </si>
  <si>
    <t>同和转债</t>
  </si>
  <si>
    <t>123074.SZ</t>
  </si>
  <si>
    <t>隆利转债</t>
  </si>
  <si>
    <t>123075.SZ</t>
  </si>
  <si>
    <t>贝斯转债</t>
  </si>
  <si>
    <t>123076.SZ</t>
  </si>
  <si>
    <t>强力转债</t>
  </si>
  <si>
    <t>123077.SZ</t>
  </si>
  <si>
    <t>汉得转债</t>
  </si>
  <si>
    <t>123078.SZ</t>
  </si>
  <si>
    <t>飞凯转债</t>
  </si>
  <si>
    <t>123079.SZ</t>
  </si>
  <si>
    <t>运达转债</t>
  </si>
  <si>
    <t>123080.SZ</t>
  </si>
  <si>
    <t>海波转债</t>
  </si>
  <si>
    <t>123081.SZ</t>
  </si>
  <si>
    <t>精研转债</t>
  </si>
  <si>
    <t>123082.SZ</t>
  </si>
  <si>
    <t>北陆转债</t>
  </si>
  <si>
    <t>123083.SZ</t>
  </si>
  <si>
    <t>朗新转债</t>
  </si>
  <si>
    <t>123084.SZ</t>
  </si>
  <si>
    <t>高澜转债</t>
  </si>
  <si>
    <t>123085.SZ</t>
  </si>
  <si>
    <t>万顺转2</t>
  </si>
  <si>
    <t>123086.SZ</t>
  </si>
  <si>
    <t>海兰转债</t>
  </si>
  <si>
    <t>123087.SZ</t>
  </si>
  <si>
    <t>123088.SZ</t>
  </si>
  <si>
    <t>威唐转债</t>
  </si>
  <si>
    <t>123089.SZ</t>
  </si>
  <si>
    <t>九洲转2</t>
  </si>
  <si>
    <t>123090.SZ</t>
  </si>
  <si>
    <t>三诺转债</t>
  </si>
  <si>
    <t>123091.SZ</t>
  </si>
  <si>
    <t>长海转债</t>
  </si>
  <si>
    <t>123092.SZ</t>
  </si>
  <si>
    <t>天壕转债</t>
  </si>
  <si>
    <t>127022.SZ</t>
  </si>
  <si>
    <t>恒逸转债</t>
  </si>
  <si>
    <t>127023.SZ</t>
  </si>
  <si>
    <t>华菱转2</t>
  </si>
  <si>
    <t>127024.SZ</t>
  </si>
  <si>
    <t>盈峰转债</t>
  </si>
  <si>
    <t>127025.SZ</t>
  </si>
  <si>
    <t>冀东转债</t>
  </si>
  <si>
    <t>127026.SZ</t>
  </si>
  <si>
    <t>超声转债</t>
  </si>
  <si>
    <t>127027.SZ</t>
  </si>
  <si>
    <t>靖远转债</t>
  </si>
  <si>
    <t>127028.SZ</t>
  </si>
  <si>
    <t>英特转债</t>
  </si>
  <si>
    <t>128133.SZ</t>
  </si>
  <si>
    <t>奇正转债</t>
  </si>
  <si>
    <t>128134.SZ</t>
  </si>
  <si>
    <t>鸿路转债</t>
  </si>
  <si>
    <t>128135.SZ</t>
  </si>
  <si>
    <t>洽洽转债</t>
  </si>
  <si>
    <t>128136.SZ</t>
  </si>
  <si>
    <t>立讯转债</t>
  </si>
  <si>
    <t>128137.SZ</t>
  </si>
  <si>
    <t>洁美转债</t>
  </si>
  <si>
    <t>128138.SZ</t>
  </si>
  <si>
    <t>侨银转债</t>
  </si>
  <si>
    <t>128139.SZ</t>
  </si>
  <si>
    <t>祥鑫转债</t>
  </si>
  <si>
    <t>128140.SZ</t>
  </si>
  <si>
    <t>润建转债</t>
  </si>
  <si>
    <t>128141.SZ</t>
  </si>
  <si>
    <t>旺能转债</t>
  </si>
  <si>
    <t>128142.SZ</t>
  </si>
  <si>
    <t>新乳转债</t>
  </si>
  <si>
    <t>余额</t>
    <phoneticPr fontId="6" type="noConversion"/>
  </si>
  <si>
    <t>最新交易日</t>
    <phoneticPr fontId="4" type="noConversion"/>
  </si>
  <si>
    <t>上一个交易日</t>
    <phoneticPr fontId="4" type="noConversion"/>
  </si>
  <si>
    <t>今天日期</t>
    <phoneticPr fontId="12" type="noConversion"/>
  </si>
  <si>
    <t>本周一</t>
    <phoneticPr fontId="12" type="noConversion"/>
  </si>
  <si>
    <t>PreSettleDate</t>
    <phoneticPr fontId="12" type="noConversion"/>
  </si>
  <si>
    <t>TradeDate</t>
    <phoneticPr fontId="12" type="noConversion"/>
  </si>
  <si>
    <t>SettleDate</t>
    <phoneticPr fontId="12" type="noConversion"/>
  </si>
  <si>
    <t>RF</t>
    <phoneticPr fontId="12" type="noConversion"/>
  </si>
  <si>
    <r>
      <rPr>
        <b/>
        <sz val="8.5"/>
        <color indexed="8"/>
        <rFont val="楷体"/>
        <family val="3"/>
        <charset val="134"/>
      </rPr>
      <t>转债涨</t>
    </r>
    <r>
      <rPr>
        <b/>
        <sz val="8.5"/>
        <color indexed="8"/>
        <rFont val="Arial"/>
        <family val="2"/>
      </rPr>
      <t>/</t>
    </r>
    <r>
      <rPr>
        <b/>
        <sz val="8.5"/>
        <color indexed="8"/>
        <rFont val="楷体"/>
        <family val="3"/>
        <charset val="134"/>
      </rPr>
      <t>平</t>
    </r>
    <r>
      <rPr>
        <b/>
        <sz val="8.5"/>
        <color indexed="8"/>
        <rFont val="Arial"/>
        <family val="2"/>
      </rPr>
      <t>/</t>
    </r>
    <r>
      <rPr>
        <b/>
        <sz val="8.5"/>
        <color indexed="8"/>
        <rFont val="楷体"/>
        <family val="3"/>
        <charset val="134"/>
      </rPr>
      <t>跌</t>
    </r>
    <phoneticPr fontId="12" type="noConversion"/>
  </si>
  <si>
    <t>ytm</t>
    <phoneticPr fontId="6" type="noConversion"/>
  </si>
  <si>
    <r>
      <rPr>
        <b/>
        <sz val="8.5"/>
        <color indexed="8"/>
        <rFont val="楷体"/>
        <family val="3"/>
        <charset val="134"/>
      </rPr>
      <t>成交额</t>
    </r>
    <phoneticPr fontId="12" type="noConversion"/>
  </si>
  <si>
    <r>
      <rPr>
        <b/>
        <sz val="8.5"/>
        <color indexed="8"/>
        <rFont val="楷体"/>
        <family val="3"/>
        <charset val="134"/>
      </rPr>
      <t>中证转债</t>
    </r>
    <phoneticPr fontId="12" type="noConversion"/>
  </si>
  <si>
    <r>
      <rPr>
        <b/>
        <sz val="8.5"/>
        <color indexed="8"/>
        <rFont val="楷体"/>
        <family val="3"/>
        <charset val="134"/>
      </rPr>
      <t>上证综指</t>
    </r>
    <phoneticPr fontId="12" type="noConversion"/>
  </si>
  <si>
    <r>
      <rPr>
        <b/>
        <sz val="8.5"/>
        <color indexed="8"/>
        <rFont val="楷体"/>
        <family val="3"/>
        <charset val="134"/>
      </rPr>
      <t>创业板</t>
    </r>
    <phoneticPr fontId="12" type="noConversion"/>
  </si>
  <si>
    <r>
      <rPr>
        <b/>
        <sz val="8.5"/>
        <color indexed="8"/>
        <rFont val="楷体"/>
        <family val="3"/>
        <charset val="134"/>
      </rPr>
      <t>沪深</t>
    </r>
    <r>
      <rPr>
        <b/>
        <sz val="8.5"/>
        <color indexed="8"/>
        <rFont val="Arial"/>
        <family val="2"/>
      </rPr>
      <t>300</t>
    </r>
    <phoneticPr fontId="12" type="noConversion"/>
  </si>
  <si>
    <r>
      <rPr>
        <b/>
        <sz val="8.5"/>
        <color indexed="8"/>
        <rFont val="楷体"/>
        <family val="3"/>
        <charset val="134"/>
      </rPr>
      <t>国债期货</t>
    </r>
    <phoneticPr fontId="12" type="noConversion"/>
  </si>
  <si>
    <r>
      <rPr>
        <b/>
        <sz val="8"/>
        <color indexed="8"/>
        <rFont val="楷体"/>
        <family val="3"/>
        <charset val="134"/>
      </rPr>
      <t>均值</t>
    </r>
    <phoneticPr fontId="12" type="noConversion"/>
  </si>
  <si>
    <r>
      <rPr>
        <b/>
        <sz val="8.5"/>
        <color indexed="8"/>
        <rFont val="楷体"/>
        <family val="3"/>
        <charset val="134"/>
      </rPr>
      <t>正股涨</t>
    </r>
    <r>
      <rPr>
        <b/>
        <sz val="8.5"/>
        <color indexed="8"/>
        <rFont val="Arial"/>
        <family val="2"/>
      </rPr>
      <t>/</t>
    </r>
    <r>
      <rPr>
        <b/>
        <sz val="8.5"/>
        <color indexed="8"/>
        <rFont val="楷体"/>
        <family val="3"/>
        <charset val="134"/>
      </rPr>
      <t>平</t>
    </r>
    <r>
      <rPr>
        <b/>
        <sz val="8.5"/>
        <color indexed="8"/>
        <rFont val="Arial"/>
        <family val="2"/>
      </rPr>
      <t>/</t>
    </r>
    <r>
      <rPr>
        <b/>
        <sz val="8.5"/>
        <color indexed="8"/>
        <rFont val="楷体"/>
        <family val="3"/>
        <charset val="134"/>
      </rPr>
      <t>跌</t>
    </r>
    <phoneticPr fontId="12" type="noConversion"/>
  </si>
  <si>
    <t>转债监控屏</t>
    <phoneticPr fontId="12" type="noConversion"/>
  </si>
  <si>
    <r>
      <rPr>
        <b/>
        <sz val="10"/>
        <color theme="0"/>
        <rFont val="楷体"/>
        <family val="3"/>
        <charset val="134"/>
      </rPr>
      <t>实时走势监控</t>
    </r>
    <phoneticPr fontId="12" type="noConversion"/>
  </si>
  <si>
    <r>
      <rPr>
        <b/>
        <sz val="10"/>
        <color indexed="8"/>
        <rFont val="楷体"/>
        <family val="3"/>
        <charset val="134"/>
      </rPr>
      <t>关键指标</t>
    </r>
    <phoneticPr fontId="12" type="noConversion"/>
  </si>
  <si>
    <r>
      <rPr>
        <b/>
        <sz val="10"/>
        <color indexed="8"/>
        <rFont val="楷体"/>
        <family val="3"/>
        <charset val="134"/>
      </rPr>
      <t>期权指标</t>
    </r>
    <phoneticPr fontId="12" type="noConversion"/>
  </si>
  <si>
    <r>
      <rPr>
        <b/>
        <sz val="10"/>
        <color indexed="8"/>
        <rFont val="楷体"/>
        <family val="3"/>
        <charset val="134"/>
      </rPr>
      <t>其他基本信息</t>
    </r>
    <phoneticPr fontId="12" type="noConversion"/>
  </si>
  <si>
    <t>code</t>
    <phoneticPr fontId="12" type="noConversion"/>
  </si>
  <si>
    <t>name</t>
    <phoneticPr fontId="12" type="noConversion"/>
  </si>
  <si>
    <t>issue date</t>
    <phoneticPr fontId="12" type="noConversion"/>
  </si>
  <si>
    <t>years left</t>
    <phoneticPr fontId="12" type="noConversion"/>
  </si>
  <si>
    <t>conversion price</t>
    <phoneticPr fontId="12" type="noConversion"/>
  </si>
  <si>
    <t>CB price</t>
    <phoneticPr fontId="12" type="noConversion"/>
  </si>
  <si>
    <t>stock price</t>
    <phoneticPr fontId="12" type="noConversion"/>
  </si>
  <si>
    <t>trading amount</t>
    <phoneticPr fontId="12" type="noConversion"/>
  </si>
  <si>
    <t>chg CB</t>
    <phoneticPr fontId="12" type="noConversion"/>
  </si>
  <si>
    <t>chg stock</t>
    <phoneticPr fontId="12" type="noConversion"/>
  </si>
  <si>
    <t>Rating</t>
    <phoneticPr fontId="12" type="noConversion"/>
  </si>
  <si>
    <t>discount rate</t>
    <phoneticPr fontId="12" type="noConversion"/>
  </si>
  <si>
    <t xml:space="preserve">parity </t>
    <phoneticPr fontId="12" type="noConversion"/>
  </si>
  <si>
    <t>bond floor</t>
    <phoneticPr fontId="12" type="noConversion"/>
  </si>
  <si>
    <t>parity premium</t>
    <phoneticPr fontId="12" type="noConversion"/>
  </si>
  <si>
    <t>bond floor premium</t>
    <phoneticPr fontId="12" type="noConversion"/>
  </si>
  <si>
    <t>duration</t>
    <phoneticPr fontId="12" type="noConversion"/>
  </si>
  <si>
    <t>YTM</t>
    <phoneticPr fontId="12" type="noConversion"/>
  </si>
  <si>
    <t>spread</t>
    <phoneticPr fontId="12" type="noConversion"/>
  </si>
  <si>
    <t>payback period</t>
    <phoneticPr fontId="12" type="noConversion"/>
  </si>
  <si>
    <t>VOL</t>
    <phoneticPr fontId="12" type="noConversion"/>
  </si>
  <si>
    <r>
      <rPr>
        <b/>
        <sz val="8"/>
        <color indexed="8"/>
        <rFont val="楷体"/>
        <family val="3"/>
        <charset val="134"/>
      </rPr>
      <t>期权价值</t>
    </r>
    <phoneticPr fontId="12" type="noConversion"/>
  </si>
  <si>
    <r>
      <rPr>
        <b/>
        <sz val="8"/>
        <color indexed="8"/>
        <rFont val="楷体"/>
        <family val="3"/>
        <charset val="134"/>
      </rPr>
      <t>折价</t>
    </r>
    <phoneticPr fontId="12" type="noConversion"/>
  </si>
  <si>
    <t>DELTA</t>
  </si>
  <si>
    <t>GAMMA</t>
  </si>
  <si>
    <t>VEGA</t>
  </si>
  <si>
    <t>THETA</t>
  </si>
  <si>
    <t>RHODOM</t>
  </si>
  <si>
    <r>
      <rPr>
        <b/>
        <sz val="8"/>
        <color indexed="8"/>
        <rFont val="楷体"/>
        <family val="3"/>
        <charset val="134"/>
      </rPr>
      <t>修正</t>
    </r>
    <phoneticPr fontId="12" type="noConversion"/>
  </si>
  <si>
    <r>
      <rPr>
        <b/>
        <sz val="8"/>
        <color indexed="8"/>
        <rFont val="楷体"/>
        <family val="3"/>
        <charset val="134"/>
      </rPr>
      <t>回售</t>
    </r>
    <phoneticPr fontId="12" type="noConversion"/>
  </si>
  <si>
    <r>
      <rPr>
        <b/>
        <sz val="8"/>
        <color indexed="8"/>
        <rFont val="楷体"/>
        <family val="3"/>
        <charset val="134"/>
      </rPr>
      <t>赎回</t>
    </r>
    <phoneticPr fontId="12" type="noConversion"/>
  </si>
  <si>
    <t>Maturity day</t>
    <phoneticPr fontId="12" type="noConversion"/>
  </si>
  <si>
    <t>conversion</t>
    <phoneticPr fontId="12" type="noConversion"/>
  </si>
  <si>
    <t>call</t>
    <phoneticPr fontId="12" type="noConversion"/>
  </si>
  <si>
    <t>put</t>
    <phoneticPr fontId="12" type="noConversion"/>
  </si>
  <si>
    <t>P/E</t>
    <phoneticPr fontId="12" type="noConversion"/>
  </si>
  <si>
    <t>P/B</t>
    <phoneticPr fontId="12" type="noConversion"/>
  </si>
  <si>
    <t>divident</t>
    <phoneticPr fontId="12" type="noConversion"/>
  </si>
  <si>
    <t>outstanding volume</t>
    <phoneticPr fontId="12" type="noConversion"/>
  </si>
  <si>
    <t>issue volume</t>
    <phoneticPr fontId="12" type="noConversion"/>
  </si>
  <si>
    <t>dilution</t>
    <phoneticPr fontId="12" type="noConversion"/>
  </si>
  <si>
    <t>credit</t>
    <phoneticPr fontId="12" type="noConversion"/>
  </si>
  <si>
    <t>guarantors</t>
    <phoneticPr fontId="12" type="noConversion"/>
  </si>
  <si>
    <t>Coupon</t>
    <phoneticPr fontId="12" type="noConversion"/>
  </si>
  <si>
    <t>redemption price</t>
    <phoneticPr fontId="12" type="noConversion"/>
  </si>
  <si>
    <r>
      <rPr>
        <b/>
        <sz val="8"/>
        <color indexed="8"/>
        <rFont val="楷体"/>
        <family val="3"/>
        <charset val="134"/>
      </rPr>
      <t>回售期</t>
    </r>
    <phoneticPr fontId="12" type="noConversion"/>
  </si>
  <si>
    <r>
      <rPr>
        <b/>
        <sz val="8"/>
        <color indexed="8"/>
        <rFont val="楷体"/>
        <family val="3"/>
        <charset val="134"/>
      </rPr>
      <t>回售剩余期</t>
    </r>
    <phoneticPr fontId="12" type="noConversion"/>
  </si>
  <si>
    <r>
      <rPr>
        <b/>
        <sz val="8"/>
        <color indexed="8"/>
        <rFont val="楷体"/>
        <family val="3"/>
        <charset val="134"/>
      </rPr>
      <t>底价</t>
    </r>
    <phoneticPr fontId="12" type="noConversion"/>
  </si>
  <si>
    <t>YTP</t>
    <phoneticPr fontId="12" type="noConversion"/>
  </si>
  <si>
    <t>wind ticker(stock)</t>
    <phoneticPr fontId="12" type="noConversion"/>
  </si>
  <si>
    <t>Name</t>
    <phoneticPr fontId="12" type="noConversion"/>
  </si>
  <si>
    <t>Issue Maturity</t>
    <phoneticPr fontId="12" type="noConversion"/>
  </si>
  <si>
    <t>Industry</t>
    <phoneticPr fontId="12" type="noConversion"/>
  </si>
  <si>
    <t>ParValue Rate</t>
    <phoneticPr fontId="12" type="noConversion"/>
  </si>
  <si>
    <t>Scenario Test</t>
    <phoneticPr fontId="12" type="noConversion"/>
  </si>
  <si>
    <t>last</t>
    <phoneticPr fontId="12" type="noConversion"/>
  </si>
  <si>
    <t>current</t>
    <phoneticPr fontId="12" type="noConversion"/>
  </si>
  <si>
    <t>(%)</t>
  </si>
  <si>
    <r>
      <rPr>
        <b/>
        <sz val="8"/>
        <color indexed="8"/>
        <rFont val="楷体"/>
        <family val="3"/>
        <charset val="134"/>
      </rPr>
      <t>（</t>
    </r>
    <r>
      <rPr>
        <b/>
        <sz val="8"/>
        <color indexed="8"/>
        <rFont val="Arial"/>
        <family val="2"/>
      </rPr>
      <t>RMB</t>
    </r>
    <r>
      <rPr>
        <b/>
        <sz val="8"/>
        <color indexed="8"/>
        <rFont val="楷体"/>
        <family val="3"/>
        <charset val="134"/>
      </rPr>
      <t>）</t>
    </r>
    <phoneticPr fontId="12" type="noConversion"/>
  </si>
  <si>
    <t>aft_tax</t>
    <phoneticPr fontId="12" type="noConversion"/>
  </si>
  <si>
    <t>(bp)</t>
  </si>
  <si>
    <t>his</t>
    <phoneticPr fontId="12" type="noConversion"/>
  </si>
  <si>
    <t>imp</t>
    <phoneticPr fontId="12" type="noConversion"/>
  </si>
  <si>
    <r>
      <rPr>
        <b/>
        <sz val="8"/>
        <color indexed="8"/>
        <rFont val="楷体"/>
        <family val="3"/>
        <charset val="134"/>
      </rPr>
      <t>市场</t>
    </r>
    <phoneticPr fontId="12" type="noConversion"/>
  </si>
  <si>
    <r>
      <rPr>
        <b/>
        <sz val="8"/>
        <color indexed="8"/>
        <rFont val="楷体"/>
        <family val="3"/>
        <charset val="134"/>
      </rPr>
      <t>理论</t>
    </r>
    <phoneticPr fontId="12" type="noConversion"/>
  </si>
  <si>
    <r>
      <rPr>
        <b/>
        <sz val="8"/>
        <color indexed="8"/>
        <rFont val="楷体"/>
        <family val="3"/>
        <charset val="134"/>
      </rPr>
      <t>触发</t>
    </r>
    <phoneticPr fontId="12" type="noConversion"/>
  </si>
  <si>
    <t>period</t>
    <phoneticPr fontId="12" type="noConversion"/>
  </si>
  <si>
    <t>2014E</t>
    <phoneticPr fontId="12" type="noConversion"/>
  </si>
  <si>
    <t>updated</t>
    <phoneticPr fontId="12" type="noConversion"/>
  </si>
  <si>
    <r>
      <rPr>
        <b/>
        <sz val="8"/>
        <color indexed="8"/>
        <rFont val="楷体"/>
        <family val="3"/>
        <charset val="134"/>
      </rPr>
      <t>（</t>
    </r>
    <r>
      <rPr>
        <b/>
        <sz val="8"/>
        <color indexed="8"/>
        <rFont val="Arial"/>
        <family val="2"/>
      </rPr>
      <t>hundred million</t>
    </r>
    <r>
      <rPr>
        <b/>
        <sz val="8"/>
        <color indexed="8"/>
        <rFont val="楷体"/>
        <family val="3"/>
        <charset val="134"/>
      </rPr>
      <t>）</t>
    </r>
    <phoneticPr fontId="12" type="noConversion"/>
  </si>
  <si>
    <r>
      <rPr>
        <b/>
        <sz val="8"/>
        <color indexed="8"/>
        <rFont val="楷体"/>
        <family val="3"/>
        <charset val="134"/>
      </rPr>
      <t>（</t>
    </r>
    <r>
      <rPr>
        <b/>
        <sz val="8"/>
        <color indexed="8"/>
        <rFont val="Arial"/>
        <family val="2"/>
      </rPr>
      <t>hundred of million</t>
    </r>
    <r>
      <rPr>
        <b/>
        <sz val="8"/>
        <color indexed="8"/>
        <rFont val="楷体"/>
        <family val="3"/>
        <charset val="134"/>
      </rPr>
      <t>）</t>
    </r>
    <phoneticPr fontId="12" type="noConversion"/>
  </si>
  <si>
    <t>rating</t>
    <phoneticPr fontId="12" type="noConversion"/>
  </si>
  <si>
    <r>
      <rPr>
        <b/>
        <sz val="8"/>
        <color indexed="8"/>
        <rFont val="楷体"/>
        <family val="3"/>
        <charset val="134"/>
      </rPr>
      <t>（</t>
    </r>
    <r>
      <rPr>
        <b/>
        <sz val="8"/>
        <color indexed="8"/>
        <rFont val="Arial"/>
        <family val="2"/>
      </rPr>
      <t>rmb</t>
    </r>
    <r>
      <rPr>
        <b/>
        <sz val="8"/>
        <color indexed="8"/>
        <rFont val="楷体"/>
        <family val="3"/>
        <charset val="134"/>
      </rPr>
      <t>）</t>
    </r>
    <phoneticPr fontId="12" type="noConversion"/>
  </si>
  <si>
    <r>
      <rPr>
        <b/>
        <sz val="8"/>
        <color indexed="8"/>
        <rFont val="楷体"/>
        <family val="3"/>
        <charset val="134"/>
      </rPr>
      <t>代码</t>
    </r>
    <phoneticPr fontId="12" type="noConversion"/>
  </si>
  <si>
    <r>
      <rPr>
        <b/>
        <sz val="8"/>
        <color indexed="8"/>
        <rFont val="楷体"/>
        <family val="3"/>
        <charset val="134"/>
      </rPr>
      <t>名称</t>
    </r>
    <phoneticPr fontId="12" type="noConversion"/>
  </si>
  <si>
    <r>
      <rPr>
        <b/>
        <sz val="8"/>
        <color indexed="8"/>
        <rFont val="楷体"/>
        <family val="3"/>
        <charset val="134"/>
      </rPr>
      <t>发行日</t>
    </r>
    <phoneticPr fontId="12" type="noConversion"/>
  </si>
  <si>
    <t>剩余</t>
    <phoneticPr fontId="12" type="noConversion"/>
  </si>
  <si>
    <r>
      <rPr>
        <b/>
        <sz val="8"/>
        <color indexed="8"/>
        <rFont val="楷体"/>
        <family val="3"/>
        <charset val="134"/>
      </rPr>
      <t>转股价格</t>
    </r>
    <phoneticPr fontId="12" type="noConversion"/>
  </si>
  <si>
    <r>
      <rPr>
        <b/>
        <sz val="8"/>
        <color indexed="8"/>
        <rFont val="楷体"/>
        <family val="3"/>
        <charset val="134"/>
      </rPr>
      <t>昨日</t>
    </r>
    <phoneticPr fontId="12" type="noConversion"/>
  </si>
  <si>
    <r>
      <rPr>
        <b/>
        <sz val="8"/>
        <color indexed="8"/>
        <rFont val="楷体"/>
        <family val="3"/>
        <charset val="134"/>
      </rPr>
      <t>当前</t>
    </r>
    <phoneticPr fontId="12" type="noConversion"/>
  </si>
  <si>
    <r>
      <rPr>
        <b/>
        <sz val="8"/>
        <color indexed="8"/>
        <rFont val="楷体"/>
        <family val="3"/>
        <charset val="134"/>
      </rPr>
      <t>交易额</t>
    </r>
    <phoneticPr fontId="12" type="noConversion"/>
  </si>
  <si>
    <r>
      <rPr>
        <b/>
        <sz val="8"/>
        <color indexed="8"/>
        <rFont val="楷体"/>
        <family val="3"/>
        <charset val="134"/>
      </rPr>
      <t>转债变动</t>
    </r>
    <phoneticPr fontId="12" type="noConversion"/>
  </si>
  <si>
    <r>
      <rPr>
        <b/>
        <sz val="8"/>
        <color indexed="8"/>
        <rFont val="楷体"/>
        <family val="3"/>
        <charset val="134"/>
      </rPr>
      <t>股价变动</t>
    </r>
    <phoneticPr fontId="12" type="noConversion"/>
  </si>
  <si>
    <r>
      <rPr>
        <b/>
        <sz val="8"/>
        <color indexed="8"/>
        <rFont val="楷体"/>
        <family val="3"/>
        <charset val="134"/>
      </rPr>
      <t>评级</t>
    </r>
    <phoneticPr fontId="12" type="noConversion"/>
  </si>
  <si>
    <r>
      <rPr>
        <b/>
        <sz val="8"/>
        <color indexed="8"/>
        <rFont val="楷体"/>
        <family val="3"/>
        <charset val="134"/>
      </rPr>
      <t>折现率</t>
    </r>
    <phoneticPr fontId="12" type="noConversion"/>
  </si>
  <si>
    <r>
      <rPr>
        <b/>
        <sz val="8"/>
        <color indexed="8"/>
        <rFont val="楷体"/>
        <family val="3"/>
        <charset val="134"/>
      </rPr>
      <t>平价</t>
    </r>
    <phoneticPr fontId="12" type="noConversion"/>
  </si>
  <si>
    <r>
      <rPr>
        <b/>
        <sz val="8"/>
        <color indexed="8"/>
        <rFont val="楷体"/>
        <family val="3"/>
        <charset val="134"/>
      </rPr>
      <t>平价溢价</t>
    </r>
    <phoneticPr fontId="12" type="noConversion"/>
  </si>
  <si>
    <r>
      <rPr>
        <b/>
        <sz val="8"/>
        <color indexed="8"/>
        <rFont val="楷体"/>
        <family val="3"/>
        <charset val="134"/>
      </rPr>
      <t>底价溢价</t>
    </r>
    <phoneticPr fontId="12" type="noConversion"/>
  </si>
  <si>
    <r>
      <rPr>
        <b/>
        <sz val="8"/>
        <color indexed="8"/>
        <rFont val="楷体"/>
        <family val="3"/>
        <charset val="134"/>
      </rPr>
      <t>久期</t>
    </r>
    <phoneticPr fontId="12" type="noConversion"/>
  </si>
  <si>
    <r>
      <rPr>
        <b/>
        <sz val="8"/>
        <color indexed="8"/>
        <rFont val="楷体"/>
        <family val="3"/>
        <charset val="134"/>
      </rPr>
      <t>息差</t>
    </r>
    <phoneticPr fontId="12" type="noConversion"/>
  </si>
  <si>
    <r>
      <rPr>
        <b/>
        <sz val="8"/>
        <color indexed="8"/>
        <rFont val="楷体"/>
        <family val="3"/>
        <charset val="134"/>
      </rPr>
      <t>回收期</t>
    </r>
  </si>
  <si>
    <r>
      <rPr>
        <b/>
        <sz val="8"/>
        <color indexed="8"/>
        <rFont val="楷体"/>
        <family val="3"/>
        <charset val="134"/>
      </rPr>
      <t>到期日</t>
    </r>
    <phoneticPr fontId="12" type="noConversion"/>
  </si>
  <si>
    <r>
      <rPr>
        <b/>
        <sz val="8"/>
        <color indexed="8"/>
        <rFont val="楷体"/>
        <family val="3"/>
        <charset val="134"/>
      </rPr>
      <t>转股期</t>
    </r>
    <phoneticPr fontId="12" type="noConversion"/>
  </si>
  <si>
    <r>
      <rPr>
        <b/>
        <sz val="8"/>
        <color indexed="8"/>
        <rFont val="楷体"/>
        <family val="3"/>
        <charset val="134"/>
      </rPr>
      <t>赎回期</t>
    </r>
    <phoneticPr fontId="12" type="noConversion"/>
  </si>
  <si>
    <r>
      <rPr>
        <b/>
        <sz val="8"/>
        <color indexed="8"/>
        <rFont val="楷体"/>
        <family val="3"/>
        <charset val="134"/>
      </rPr>
      <t>市场存量</t>
    </r>
    <phoneticPr fontId="12" type="noConversion"/>
  </si>
  <si>
    <r>
      <rPr>
        <b/>
        <sz val="8"/>
        <color indexed="8"/>
        <rFont val="楷体"/>
        <family val="3"/>
        <charset val="134"/>
      </rPr>
      <t>发行额</t>
    </r>
    <phoneticPr fontId="12" type="noConversion"/>
  </si>
  <si>
    <r>
      <rPr>
        <b/>
        <sz val="8"/>
        <color indexed="8"/>
        <rFont val="楷体"/>
        <family val="3"/>
        <charset val="134"/>
      </rPr>
      <t>担保人</t>
    </r>
    <phoneticPr fontId="12" type="noConversion"/>
  </si>
  <si>
    <r>
      <rPr>
        <b/>
        <sz val="8"/>
        <color indexed="8"/>
        <rFont val="楷体"/>
        <family val="3"/>
        <charset val="134"/>
      </rPr>
      <t>到期价格</t>
    </r>
    <phoneticPr fontId="12" type="noConversion"/>
  </si>
  <si>
    <t>YRP</t>
    <phoneticPr fontId="12" type="noConversion"/>
  </si>
  <si>
    <r>
      <rPr>
        <b/>
        <sz val="8"/>
        <color indexed="8"/>
        <rFont val="楷体"/>
        <family val="3"/>
        <charset val="134"/>
      </rPr>
      <t>正股代码</t>
    </r>
    <phoneticPr fontId="12" type="noConversion"/>
  </si>
  <si>
    <r>
      <rPr>
        <b/>
        <sz val="8"/>
        <color indexed="8"/>
        <rFont val="楷体"/>
        <family val="3"/>
        <charset val="134"/>
      </rPr>
      <t>正股简称</t>
    </r>
    <phoneticPr fontId="12" type="noConversion"/>
  </si>
  <si>
    <r>
      <rPr>
        <b/>
        <sz val="8"/>
        <color indexed="8"/>
        <rFont val="楷体"/>
        <family val="3"/>
        <charset val="134"/>
      </rPr>
      <t>发行期限</t>
    </r>
    <phoneticPr fontId="12" type="noConversion"/>
  </si>
  <si>
    <r>
      <rPr>
        <b/>
        <sz val="8"/>
        <color indexed="8"/>
        <rFont val="楷体"/>
        <family val="3"/>
        <charset val="134"/>
      </rPr>
      <t>行业</t>
    </r>
    <phoneticPr fontId="12" type="noConversion"/>
  </si>
  <si>
    <r>
      <rPr>
        <b/>
        <sz val="8"/>
        <color indexed="8"/>
        <rFont val="楷体"/>
        <family val="3"/>
        <charset val="134"/>
      </rPr>
      <t>平价高低</t>
    </r>
    <phoneticPr fontId="12" type="noConversion"/>
  </si>
  <si>
    <t>简简称</t>
    <phoneticPr fontId="12" type="noConversion"/>
  </si>
  <si>
    <r>
      <rPr>
        <b/>
        <sz val="8"/>
        <color indexed="8"/>
        <rFont val="楷体"/>
        <family val="3"/>
        <charset val="134"/>
      </rPr>
      <t>底价溢价处理</t>
    </r>
    <phoneticPr fontId="12" type="noConversion"/>
  </si>
  <si>
    <r>
      <rPr>
        <b/>
        <sz val="8"/>
        <color indexed="8"/>
        <rFont val="楷体"/>
        <family val="3"/>
        <charset val="134"/>
      </rPr>
      <t>正股涨</t>
    </r>
    <phoneticPr fontId="12" type="noConversion"/>
  </si>
  <si>
    <r>
      <rPr>
        <b/>
        <sz val="8"/>
        <color indexed="8"/>
        <rFont val="楷体"/>
        <family val="3"/>
        <charset val="134"/>
      </rPr>
      <t>正股跌</t>
    </r>
    <phoneticPr fontId="12" type="noConversion"/>
  </si>
  <si>
    <t>正股波动率</t>
    <phoneticPr fontId="6" type="noConversion"/>
  </si>
  <si>
    <t>期限</t>
    <phoneticPr fontId="12" type="noConversion"/>
  </si>
  <si>
    <t>转债价格</t>
    <phoneticPr fontId="12" type="noConversion"/>
  </si>
  <si>
    <r>
      <rPr>
        <b/>
        <sz val="8"/>
        <color indexed="8"/>
        <rFont val="楷体"/>
        <family val="3"/>
        <charset val="134"/>
      </rPr>
      <t>转债价格</t>
    </r>
    <phoneticPr fontId="12" type="noConversion"/>
  </si>
  <si>
    <r>
      <rPr>
        <b/>
        <sz val="8"/>
        <color indexed="8"/>
        <rFont val="楷体"/>
        <family val="3"/>
        <charset val="134"/>
      </rPr>
      <t>股价</t>
    </r>
    <phoneticPr fontId="12" type="noConversion"/>
  </si>
  <si>
    <t>百万元</t>
    <phoneticPr fontId="12" type="noConversion"/>
  </si>
  <si>
    <r>
      <rPr>
        <b/>
        <sz val="8"/>
        <color indexed="8"/>
        <rFont val="楷体"/>
        <family val="3"/>
        <charset val="134"/>
      </rPr>
      <t>（元）</t>
    </r>
  </si>
  <si>
    <r>
      <rPr>
        <b/>
        <sz val="8"/>
        <color indexed="8"/>
        <rFont val="楷体"/>
        <family val="3"/>
        <charset val="134"/>
      </rPr>
      <t>（年）</t>
    </r>
  </si>
  <si>
    <r>
      <rPr>
        <b/>
        <sz val="8"/>
        <color indexed="8"/>
        <rFont val="楷体"/>
        <family val="3"/>
        <charset val="134"/>
      </rPr>
      <t>历史</t>
    </r>
    <phoneticPr fontId="12" type="noConversion"/>
  </si>
  <si>
    <r>
      <rPr>
        <b/>
        <sz val="8"/>
        <color indexed="8"/>
        <rFont val="楷体"/>
        <family val="3"/>
        <charset val="134"/>
      </rPr>
      <t>隐含</t>
    </r>
    <phoneticPr fontId="12" type="noConversion"/>
  </si>
  <si>
    <r>
      <rPr>
        <b/>
        <sz val="8"/>
        <color indexed="8"/>
        <rFont val="楷体"/>
        <family val="3"/>
        <charset val="134"/>
      </rPr>
      <t>（亿元）</t>
    </r>
    <phoneticPr fontId="12" type="noConversion"/>
  </si>
  <si>
    <r>
      <rPr>
        <b/>
        <sz val="8"/>
        <color indexed="8"/>
        <rFont val="楷体"/>
        <family val="3"/>
        <charset val="134"/>
      </rPr>
      <t>（元）</t>
    </r>
    <phoneticPr fontId="12" type="noConversion"/>
  </si>
  <si>
    <t>+20%</t>
    <phoneticPr fontId="12" type="noConversion"/>
  </si>
  <si>
    <t>-20%</t>
    <phoneticPr fontId="12" type="noConversion"/>
  </si>
  <si>
    <t>0/0/0</t>
  </si>
  <si>
    <t>YTM</t>
    <phoneticPr fontId="4" type="noConversion"/>
  </si>
  <si>
    <t>平价溢价率</t>
    <phoneticPr fontId="6" type="noConversion"/>
  </si>
  <si>
    <t>YTM</t>
    <phoneticPr fontId="6" type="noConversion"/>
  </si>
  <si>
    <t>选择报告期</t>
    <phoneticPr fontId="4" type="noConversion"/>
  </si>
  <si>
    <t>PE</t>
    <phoneticPr fontId="4" type="noConversion"/>
  </si>
  <si>
    <t>PB</t>
    <phoneticPr fontId="4" type="noConversion"/>
  </si>
  <si>
    <t>转债代码</t>
    <phoneticPr fontId="6" type="noConversion"/>
  </si>
  <si>
    <t>报告期</t>
    <phoneticPr fontId="6" type="noConversion"/>
  </si>
  <si>
    <t>交易日</t>
    <phoneticPr fontId="6" type="noConversion"/>
  </si>
  <si>
    <t>转债基本信息</t>
    <phoneticPr fontId="6" type="noConversion"/>
  </si>
  <si>
    <r>
      <rPr>
        <b/>
        <sz val="8"/>
        <color rgb="FF000000"/>
        <rFont val="KaiTi"/>
        <family val="3"/>
        <charset val="134"/>
      </rPr>
      <t>正股名称</t>
    </r>
  </si>
  <si>
    <r>
      <rPr>
        <b/>
        <sz val="8"/>
        <color rgb="FF000000"/>
        <rFont val="KaiTi"/>
        <family val="3"/>
        <charset val="134"/>
      </rPr>
      <t>正股代码</t>
    </r>
  </si>
  <si>
    <r>
      <rPr>
        <b/>
        <sz val="8"/>
        <color rgb="FF000000"/>
        <rFont val="KaiTi"/>
        <family val="3"/>
        <charset val="134"/>
      </rPr>
      <t>正股行业</t>
    </r>
  </si>
  <si>
    <r>
      <rPr>
        <b/>
        <sz val="8"/>
        <color rgb="FF000000"/>
        <rFont val="KaiTi"/>
        <family val="3"/>
        <charset val="134"/>
      </rPr>
      <t>主体评级</t>
    </r>
  </si>
  <si>
    <r>
      <rPr>
        <b/>
        <sz val="8"/>
        <color rgb="FF000000"/>
        <rFont val="KaiTi"/>
        <family val="3"/>
        <charset val="134"/>
      </rPr>
      <t>稀释率</t>
    </r>
  </si>
  <si>
    <r>
      <rPr>
        <b/>
        <sz val="8"/>
        <color rgb="FF000000"/>
        <rFont val="KaiTi"/>
        <family val="3"/>
        <charset val="134"/>
      </rPr>
      <t>到期赎回价</t>
    </r>
  </si>
  <si>
    <r>
      <rPr>
        <b/>
        <sz val="8"/>
        <color rgb="FF000000"/>
        <rFont val="KaiTi"/>
        <family val="3"/>
        <charset val="134"/>
      </rPr>
      <t>平价</t>
    </r>
  </si>
  <si>
    <r>
      <rPr>
        <b/>
        <sz val="8"/>
        <color rgb="FF000000"/>
        <rFont val="KaiTi"/>
        <family val="3"/>
        <charset val="134"/>
      </rPr>
      <t>转股起始日</t>
    </r>
  </si>
  <si>
    <r>
      <rPr>
        <sz val="8"/>
        <color rgb="FF000000"/>
        <rFont val="KaiTi"/>
        <family val="3"/>
        <charset val="134"/>
      </rPr>
      <t>（</t>
    </r>
    <r>
      <rPr>
        <sz val="8"/>
        <color rgb="FF000000"/>
        <rFont val="Arial"/>
        <family val="2"/>
      </rPr>
      <t>1</t>
    </r>
    <r>
      <rPr>
        <sz val="8"/>
        <color rgb="FF000000"/>
        <rFont val="KaiTi"/>
        <family val="3"/>
        <charset val="134"/>
      </rPr>
      <t>）有条件回售：最后两个计息年度，任何连续</t>
    </r>
    <r>
      <rPr>
        <sz val="8"/>
        <color rgb="FF000000"/>
        <rFont val="Arial"/>
        <family val="2"/>
      </rPr>
      <t>30</t>
    </r>
    <r>
      <rPr>
        <sz val="8"/>
        <color rgb="FF000000"/>
        <rFont val="KaiTi"/>
        <family val="3"/>
        <charset val="134"/>
      </rPr>
      <t>日，股票收盘价低于转股价</t>
    </r>
    <r>
      <rPr>
        <sz val="8"/>
        <color rgb="FF000000"/>
        <rFont val="Arial"/>
        <family val="2"/>
      </rPr>
      <t>70%</t>
    </r>
  </si>
  <si>
    <t>估值分析</t>
    <phoneticPr fontId="6" type="noConversion"/>
  </si>
  <si>
    <t>隐含波动率</t>
    <phoneticPr fontId="6" type="noConversion"/>
  </si>
  <si>
    <t>平均价格</t>
    <phoneticPr fontId="6" type="noConversion"/>
  </si>
  <si>
    <t>平均平价</t>
    <phoneticPr fontId="6" type="noConversion"/>
  </si>
  <si>
    <t>ROIC</t>
    <phoneticPr fontId="4" type="noConversion"/>
  </si>
  <si>
    <t>ROE</t>
    <phoneticPr fontId="4" type="noConversion"/>
  </si>
  <si>
    <t>明电转债</t>
  </si>
  <si>
    <t>科创板</t>
    <phoneticPr fontId="6" type="noConversion"/>
  </si>
  <si>
    <t>128143.SZ</t>
  </si>
  <si>
    <t>锋龙转债</t>
  </si>
  <si>
    <t>113618.SH</t>
  </si>
  <si>
    <t>美诺转债</t>
  </si>
  <si>
    <t>113619.SH</t>
  </si>
  <si>
    <t>世运转债</t>
  </si>
  <si>
    <t>113621.SH</t>
  </si>
  <si>
    <t>彤程转债</t>
  </si>
  <si>
    <t>123093.SZ</t>
  </si>
  <si>
    <t>金陵转债</t>
  </si>
  <si>
    <t>123094.SZ</t>
  </si>
  <si>
    <t>星源转2</t>
  </si>
  <si>
    <t>123096.SZ</t>
  </si>
  <si>
    <t>思创转债</t>
  </si>
  <si>
    <t>123097.SZ</t>
  </si>
  <si>
    <t>美力转债</t>
  </si>
  <si>
    <t>123098.SZ</t>
  </si>
  <si>
    <t>一品转债</t>
  </si>
  <si>
    <t>123099.SZ</t>
  </si>
  <si>
    <t>普利转债</t>
  </si>
  <si>
    <t>123100.SZ</t>
  </si>
  <si>
    <t>朗科转债</t>
  </si>
  <si>
    <t>110043.SH</t>
  </si>
  <si>
    <t>无锡转债</t>
  </si>
  <si>
    <t>110053.SH</t>
  </si>
  <si>
    <t>苏银转债</t>
  </si>
  <si>
    <t>110059.SH</t>
  </si>
  <si>
    <t>浦发转债</t>
  </si>
  <si>
    <t>110067.SH</t>
  </si>
  <si>
    <t>华安转债</t>
  </si>
  <si>
    <t>113011.SH</t>
  </si>
  <si>
    <t>光大转债</t>
  </si>
  <si>
    <t>113013.SH</t>
  </si>
  <si>
    <t>国君转债</t>
  </si>
  <si>
    <t>113021.SH</t>
  </si>
  <si>
    <t>中信转债</t>
  </si>
  <si>
    <t>113037.SH</t>
  </si>
  <si>
    <t>紫银转债</t>
  </si>
  <si>
    <t>113042.SH</t>
  </si>
  <si>
    <t>上银转债</t>
  </si>
  <si>
    <t>113043.SH</t>
  </si>
  <si>
    <t>财通转债</t>
  </si>
  <si>
    <t>113045.SH</t>
  </si>
  <si>
    <t>环旭转债</t>
  </si>
  <si>
    <t>113516.SH</t>
  </si>
  <si>
    <t>苏农转债</t>
  </si>
  <si>
    <t>118000.SH</t>
  </si>
  <si>
    <t>127005.SZ</t>
  </si>
  <si>
    <t>长证转债</t>
  </si>
  <si>
    <t>128034.SZ</t>
  </si>
  <si>
    <t>江银转债</t>
  </si>
  <si>
    <t>128048.SZ</t>
  </si>
  <si>
    <t>张行转债</t>
  </si>
  <si>
    <t>128116.SZ</t>
  </si>
  <si>
    <t>瑞达转债</t>
  </si>
  <si>
    <t>128129.SZ</t>
  </si>
  <si>
    <t>青农转债</t>
  </si>
  <si>
    <t>相对转股期</t>
    <phoneticPr fontId="6" type="noConversion"/>
  </si>
  <si>
    <t>主营业务</t>
    <phoneticPr fontId="4" type="noConversion"/>
  </si>
  <si>
    <r>
      <rPr>
        <sz val="8"/>
        <color theme="0"/>
        <rFont val="KaiTi"/>
        <family val="3"/>
        <charset val="134"/>
      </rPr>
      <t>最新交易日</t>
    </r>
    <phoneticPr fontId="4" type="noConversion"/>
  </si>
  <si>
    <r>
      <t>TTM</t>
    </r>
    <r>
      <rPr>
        <sz val="8"/>
        <color theme="0"/>
        <rFont val="KaiTi"/>
        <family val="3"/>
        <charset val="134"/>
      </rPr>
      <t>起始日</t>
    </r>
    <phoneticPr fontId="4" type="noConversion"/>
  </si>
  <si>
    <r>
      <rPr>
        <b/>
        <sz val="8"/>
        <color indexed="8"/>
        <rFont val="楷体"/>
        <family val="3"/>
        <charset val="134"/>
      </rPr>
      <t>中证转债</t>
    </r>
    <phoneticPr fontId="12" type="noConversion"/>
  </si>
  <si>
    <r>
      <rPr>
        <b/>
        <sz val="8"/>
        <color indexed="8"/>
        <rFont val="楷体"/>
        <family val="3"/>
        <charset val="134"/>
      </rPr>
      <t>上证综指</t>
    </r>
    <phoneticPr fontId="12" type="noConversion"/>
  </si>
  <si>
    <r>
      <rPr>
        <b/>
        <sz val="8"/>
        <color indexed="8"/>
        <rFont val="楷体"/>
        <family val="3"/>
        <charset val="134"/>
      </rPr>
      <t>创业板</t>
    </r>
    <phoneticPr fontId="12" type="noConversion"/>
  </si>
  <si>
    <r>
      <rPr>
        <b/>
        <sz val="8"/>
        <color indexed="8"/>
        <rFont val="楷体"/>
        <family val="3"/>
        <charset val="134"/>
      </rPr>
      <t>沪深</t>
    </r>
    <r>
      <rPr>
        <b/>
        <sz val="8"/>
        <color indexed="8"/>
        <rFont val="Arial"/>
        <family val="2"/>
      </rPr>
      <t>300</t>
    </r>
    <phoneticPr fontId="12" type="noConversion"/>
  </si>
  <si>
    <r>
      <rPr>
        <b/>
        <sz val="8"/>
        <color indexed="8"/>
        <rFont val="楷体"/>
        <family val="3"/>
        <charset val="134"/>
      </rPr>
      <t>国债期货</t>
    </r>
    <phoneticPr fontId="12" type="noConversion"/>
  </si>
  <si>
    <t>113620.SH</t>
  </si>
  <si>
    <t>傲农转债</t>
  </si>
  <si>
    <t>123101.SZ</t>
  </si>
  <si>
    <t>拓斯转债</t>
  </si>
  <si>
    <t>123102.SZ</t>
  </si>
  <si>
    <t>华自转债</t>
  </si>
  <si>
    <t>123103.SZ</t>
  </si>
  <si>
    <t>震安转债</t>
  </si>
  <si>
    <t>123104.SZ</t>
  </si>
  <si>
    <t>卫宁转债</t>
  </si>
  <si>
    <t>转债价格</t>
    <phoneticPr fontId="6" type="noConversion"/>
  </si>
  <si>
    <t>平价</t>
    <phoneticPr fontId="6" type="noConversion"/>
  </si>
  <si>
    <t>底价</t>
    <phoneticPr fontId="6" type="noConversion"/>
  </si>
  <si>
    <t>底价溢价率</t>
    <phoneticPr fontId="6" type="noConversion"/>
  </si>
  <si>
    <t>当前值</t>
    <phoneticPr fontId="4" type="noConversion"/>
  </si>
  <si>
    <t>嘉元转债</t>
  </si>
  <si>
    <t>杜邦</t>
  </si>
  <si>
    <t>转债正股基本信息</t>
    <phoneticPr fontId="6" type="noConversion"/>
  </si>
  <si>
    <t>正股关键信息</t>
    <phoneticPr fontId="6" type="noConversion"/>
  </si>
  <si>
    <t>113046.SH</t>
  </si>
  <si>
    <t>金田转债</t>
  </si>
  <si>
    <t>113622.SH</t>
  </si>
  <si>
    <t>杭叉转债</t>
  </si>
  <si>
    <t>123105.SZ</t>
  </si>
  <si>
    <t>拓尔转债</t>
  </si>
  <si>
    <t>123106.SZ</t>
  </si>
  <si>
    <t>正丹转债</t>
  </si>
  <si>
    <t>127029.SZ</t>
  </si>
  <si>
    <t>中钢转债</t>
  </si>
  <si>
    <t>127030.SZ</t>
  </si>
  <si>
    <t>盛虹转债</t>
  </si>
  <si>
    <t>127031.SZ</t>
  </si>
  <si>
    <t>洋丰转债</t>
  </si>
  <si>
    <t>128144.SZ</t>
  </si>
  <si>
    <t>利民转债</t>
  </si>
  <si>
    <t>AA+</t>
    <phoneticPr fontId="6" type="noConversion"/>
  </si>
  <si>
    <t>中诚信国际信用评级有限责任公司</t>
    <phoneticPr fontId="6" type="noConversion"/>
  </si>
  <si>
    <t>九州通医药集团股份有限公司</t>
    <phoneticPr fontId="6" type="noConversion"/>
  </si>
  <si>
    <t>国信证券股份有限公司,摩根士丹利华鑫证券有限责任公司</t>
    <phoneticPr fontId="6" type="noConversion"/>
  </si>
  <si>
    <t>AA</t>
    <phoneticPr fontId="4" type="noConversion"/>
  </si>
  <si>
    <t>国金证券股份有限公司</t>
    <phoneticPr fontId="4" type="noConversion"/>
  </si>
  <si>
    <t>AAA</t>
    <phoneticPr fontId="6" type="noConversion"/>
  </si>
  <si>
    <t>联合资信评估股份有限公司</t>
    <phoneticPr fontId="6" type="noConversion"/>
  </si>
  <si>
    <t>中信建投证券股份有限公司</t>
    <phoneticPr fontId="6" type="noConversion"/>
  </si>
  <si>
    <t>联合信用评级有限公司</t>
    <phoneticPr fontId="4" type="noConversion"/>
  </si>
  <si>
    <t>中信建投证券股份有限公司</t>
    <phoneticPr fontId="4" type="noConversion"/>
  </si>
  <si>
    <t>大公国际资信评估有限公司</t>
    <phoneticPr fontId="6" type="noConversion"/>
  </si>
  <si>
    <t>华泰联合证券有限责任公司</t>
    <phoneticPr fontId="6" type="noConversion"/>
  </si>
  <si>
    <t>联合信用评级有限公司</t>
    <phoneticPr fontId="6" type="noConversion"/>
  </si>
  <si>
    <t>国金证券股份有限公司</t>
    <phoneticPr fontId="6" type="noConversion"/>
  </si>
  <si>
    <t>平安证券股份有限公司</t>
    <phoneticPr fontId="6" type="noConversion"/>
  </si>
  <si>
    <t>上海新世纪资信评估投资服务有限公司</t>
    <phoneticPr fontId="6" type="noConversion"/>
  </si>
  <si>
    <t>AA+</t>
    <phoneticPr fontId="4" type="noConversion"/>
  </si>
  <si>
    <t>AAA</t>
    <phoneticPr fontId="4" type="noConversion"/>
  </si>
  <si>
    <t>申万宏源证券承销保荐有限责任公司</t>
    <phoneticPr fontId="6" type="noConversion"/>
  </si>
  <si>
    <t>联合资信评估股份有限公司</t>
    <phoneticPr fontId="4" type="noConversion"/>
  </si>
  <si>
    <t>中信证券股份有限公司</t>
    <phoneticPr fontId="4" type="noConversion"/>
  </si>
  <si>
    <t>AA</t>
    <phoneticPr fontId="6" type="noConversion"/>
  </si>
  <si>
    <t>上海新世纪资信评估投资服务有限公司</t>
    <phoneticPr fontId="4" type="noConversion"/>
  </si>
  <si>
    <t>四川川投能源股份有限公司</t>
    <phoneticPr fontId="6" type="noConversion"/>
  </si>
  <si>
    <t>烽火通信科技股份有限公司</t>
    <phoneticPr fontId="6" type="noConversion"/>
  </si>
  <si>
    <t>平安证券股份有限公司</t>
    <phoneticPr fontId="4" type="noConversion"/>
  </si>
  <si>
    <t>大公国际资信评估有限公司</t>
    <phoneticPr fontId="4" type="noConversion"/>
  </si>
  <si>
    <t>国元证券股份有限公司</t>
    <phoneticPr fontId="6" type="noConversion"/>
  </si>
  <si>
    <t>华安证券股份有限公司</t>
    <phoneticPr fontId="6" type="noConversion"/>
  </si>
  <si>
    <t>广汇汽车服务集团股份公司</t>
    <phoneticPr fontId="6" type="noConversion"/>
  </si>
  <si>
    <t>中国南方航空股份有限公司</t>
    <phoneticPr fontId="6" type="noConversion"/>
  </si>
  <si>
    <t>浙商证券股份有限公司</t>
    <phoneticPr fontId="6" type="noConversion"/>
  </si>
  <si>
    <t>东方金诚国际信用评估有限公司</t>
    <phoneticPr fontId="6" type="noConversion"/>
  </si>
  <si>
    <t>江西洪城环境股份有限公司</t>
    <phoneticPr fontId="6" type="noConversion"/>
  </si>
  <si>
    <t>中证鹏元资信评估股份有限公司</t>
    <phoneticPr fontId="4" type="noConversion"/>
  </si>
  <si>
    <t>国泰君安证券股份有限公司</t>
    <phoneticPr fontId="6" type="noConversion"/>
  </si>
  <si>
    <t>广发证券股份有限公司</t>
    <phoneticPr fontId="6" type="noConversion"/>
  </si>
  <si>
    <t>AA-</t>
    <phoneticPr fontId="6" type="noConversion"/>
  </si>
  <si>
    <t>中证鹏元资信评估股份有限公司</t>
    <phoneticPr fontId="6" type="noConversion"/>
  </si>
  <si>
    <t>长江证券承销保荐有限公司</t>
    <phoneticPr fontId="6" type="noConversion"/>
  </si>
  <si>
    <t>国信证券股份有限公司</t>
    <phoneticPr fontId="4" type="noConversion"/>
  </si>
  <si>
    <t>招商证券股份有限公司</t>
    <phoneticPr fontId="4" type="noConversion"/>
  </si>
  <si>
    <t>国泰君安证券股份有限公司</t>
    <phoneticPr fontId="4" type="noConversion"/>
  </si>
  <si>
    <t>安信证券股份有限公司</t>
    <phoneticPr fontId="6" type="noConversion"/>
  </si>
  <si>
    <t>申万宏源证券承销保荐有限责任公司</t>
    <phoneticPr fontId="4" type="noConversion"/>
  </si>
  <si>
    <t>北京长久物流股份有限公司</t>
    <phoneticPr fontId="6" type="noConversion"/>
  </si>
  <si>
    <t>国信证券股份有限公司</t>
    <phoneticPr fontId="6" type="noConversion"/>
  </si>
  <si>
    <t>AA-</t>
    <phoneticPr fontId="4" type="noConversion"/>
  </si>
  <si>
    <t>浙商证券股份有限公司</t>
    <phoneticPr fontId="4" type="noConversion"/>
  </si>
  <si>
    <t>东兴证券股份有限公司</t>
    <phoneticPr fontId="6" type="noConversion"/>
  </si>
  <si>
    <t>江苏常熟汽饰集团股份有限公司</t>
    <phoneticPr fontId="6" type="noConversion"/>
  </si>
  <si>
    <t>中信建投证券股份有限公司,中国国际金融股份有限公司</t>
    <phoneticPr fontId="6" type="noConversion"/>
  </si>
  <si>
    <t>远东资信评估有限公司</t>
    <phoneticPr fontId="6" type="noConversion"/>
  </si>
  <si>
    <t>中泰证券股份有限公司</t>
    <phoneticPr fontId="6" type="noConversion"/>
  </si>
  <si>
    <t>东兴证券股份有限公司</t>
    <phoneticPr fontId="4" type="noConversion"/>
  </si>
  <si>
    <t>福建火炬电子科技股份有限公司</t>
    <phoneticPr fontId="6" type="noConversion"/>
  </si>
  <si>
    <t>北京淳中科技股份有限公司</t>
    <phoneticPr fontId="6" type="noConversion"/>
  </si>
  <si>
    <t>国元证券股份有限公司</t>
    <phoneticPr fontId="4" type="noConversion"/>
  </si>
  <si>
    <t>安信证券股份有限公司</t>
    <phoneticPr fontId="4" type="noConversion"/>
  </si>
  <si>
    <t>中德证券有限责任公司</t>
    <phoneticPr fontId="6" type="noConversion"/>
  </si>
  <si>
    <t>河南清水源科技股份有限公司</t>
    <phoneticPr fontId="6" type="noConversion"/>
  </si>
  <si>
    <t>长城证券股份有限公司</t>
    <phoneticPr fontId="6" type="noConversion"/>
  </si>
  <si>
    <t>民生证券股份有限公司</t>
    <phoneticPr fontId="4" type="noConversion"/>
  </si>
  <si>
    <t>浙江正元智慧科技股份有限公司</t>
    <phoneticPr fontId="6" type="noConversion"/>
  </si>
  <si>
    <t>红相股份有限公司</t>
    <phoneticPr fontId="6" type="noConversion"/>
  </si>
  <si>
    <t>江苏久吾高科技股份有限公司</t>
    <phoneticPr fontId="6" type="noConversion"/>
  </si>
  <si>
    <t>华创证券有限责任公司</t>
    <phoneticPr fontId="6" type="noConversion"/>
  </si>
  <si>
    <t>东方证券承销保荐有限公司</t>
    <phoneticPr fontId="6" type="noConversion"/>
  </si>
  <si>
    <t>天壕环境股份有限公司</t>
    <phoneticPr fontId="6" type="noConversion"/>
  </si>
  <si>
    <t>思创医惠科技股份有限公司</t>
    <phoneticPr fontId="6" type="noConversion"/>
  </si>
  <si>
    <t>中天国富证券有限公司</t>
    <phoneticPr fontId="6" type="noConversion"/>
  </si>
  <si>
    <t>江苏正丹化学工业股份有限公司</t>
    <phoneticPr fontId="6" type="noConversion"/>
  </si>
  <si>
    <t>广东海印集团股份有限公司</t>
    <phoneticPr fontId="6" type="noConversion"/>
  </si>
  <si>
    <t>盈峰环境科技集团股份有限公司</t>
    <phoneticPr fontId="6" type="noConversion"/>
  </si>
  <si>
    <t>天康生物股份有限公司</t>
    <phoneticPr fontId="6" type="noConversion"/>
  </si>
  <si>
    <t>博彦科技股份有限公司</t>
    <phoneticPr fontId="6" type="noConversion"/>
  </si>
  <si>
    <t>浙江交通科技股份有限公司</t>
    <phoneticPr fontId="6" type="noConversion"/>
  </si>
  <si>
    <t>东兴证券股份有限公司,浙商证券股份有限公司</t>
    <phoneticPr fontId="6" type="noConversion"/>
  </si>
  <si>
    <t>中矿资源集团股份有限公司</t>
    <phoneticPr fontId="6" type="noConversion"/>
  </si>
  <si>
    <t>湖南华菱钢铁集团有限责任公司</t>
    <phoneticPr fontId="6" type="noConversion"/>
  </si>
  <si>
    <t>华泰联合证券有限责任公司,招商证券股份有限公司</t>
    <phoneticPr fontId="6" type="noConversion"/>
  </si>
  <si>
    <t>福建傲农生物科技集团股份有限公司</t>
    <phoneticPr fontId="6" type="noConversion"/>
  </si>
  <si>
    <t>山东联诚精密制造股份有限公司</t>
    <phoneticPr fontId="6" type="noConversion"/>
  </si>
  <si>
    <t>深圳市华阳国际工程设计股份有限公司</t>
    <phoneticPr fontId="6" type="noConversion"/>
  </si>
  <si>
    <t>宁波东方电缆股份有限公司</t>
    <phoneticPr fontId="6" type="noConversion"/>
  </si>
  <si>
    <t>浙江海亮股份有限公司</t>
    <phoneticPr fontId="6" type="noConversion"/>
  </si>
  <si>
    <t>鲁泰纺织股份有限公司</t>
    <phoneticPr fontId="6" type="noConversion"/>
  </si>
  <si>
    <t>中山证券有限责任公司</t>
    <phoneticPr fontId="6" type="noConversion"/>
  </si>
  <si>
    <t>利尔化学股份有限公司</t>
    <phoneticPr fontId="6" type="noConversion"/>
  </si>
  <si>
    <r>
      <rPr>
        <b/>
        <sz val="8"/>
        <color rgb="FF000000"/>
        <rFont val="楷体"/>
        <family val="3"/>
        <charset val="134"/>
      </rPr>
      <t>正股代码</t>
    </r>
    <phoneticPr fontId="4" type="noConversion"/>
  </si>
  <si>
    <r>
      <rPr>
        <b/>
        <sz val="8"/>
        <color rgb="FF000000"/>
        <rFont val="楷体"/>
        <family val="3"/>
        <charset val="134"/>
      </rPr>
      <t>流通股占比</t>
    </r>
    <phoneticPr fontId="4" type="noConversion"/>
  </si>
  <si>
    <r>
      <rPr>
        <b/>
        <sz val="8"/>
        <color rgb="FF000000"/>
        <rFont val="楷体"/>
        <family val="3"/>
        <charset val="134"/>
      </rPr>
      <t>市值</t>
    </r>
    <phoneticPr fontId="4" type="noConversion"/>
  </si>
  <si>
    <r>
      <rPr>
        <b/>
        <sz val="8"/>
        <color rgb="FF000000"/>
        <rFont val="楷体"/>
        <family val="3"/>
        <charset val="134"/>
      </rPr>
      <t>营收</t>
    </r>
    <r>
      <rPr>
        <b/>
        <sz val="8"/>
        <color rgb="FF000000"/>
        <rFont val="Arial"/>
        <family val="2"/>
      </rPr>
      <t>TTM</t>
    </r>
    <phoneticPr fontId="4" type="noConversion"/>
  </si>
  <si>
    <t>日期
（默认今天）</t>
    <phoneticPr fontId="6" type="noConversion"/>
  </si>
  <si>
    <t>兴业证券股份有限公司</t>
    <phoneticPr fontId="6" type="noConversion"/>
  </si>
  <si>
    <t>A+</t>
    <phoneticPr fontId="6" type="noConversion"/>
  </si>
  <si>
    <t>昆明川金诺化工股份有限公司</t>
    <phoneticPr fontId="6" type="noConversion"/>
  </si>
  <si>
    <t>南京健友生化制药股份有限公司</t>
    <phoneticPr fontId="6" type="noConversion"/>
  </si>
  <si>
    <t>中国国际金融股份有限公司</t>
    <phoneticPr fontId="6" type="noConversion"/>
  </si>
  <si>
    <t>江苏太平洋石英股份有限公司</t>
    <phoneticPr fontId="6" type="noConversion"/>
  </si>
  <si>
    <t>华融证券股份有限公司</t>
    <phoneticPr fontId="6" type="noConversion"/>
  </si>
  <si>
    <t>广州迪森热能技术股份有限公司</t>
    <phoneticPr fontId="6" type="noConversion"/>
  </si>
  <si>
    <t>广东道氏技术股份有限公司</t>
    <phoneticPr fontId="6" type="noConversion"/>
  </si>
  <si>
    <t>招商证券股份有限公司</t>
    <phoneticPr fontId="6" type="noConversion"/>
  </si>
  <si>
    <t>华安证券股份有限公司</t>
    <phoneticPr fontId="4" type="noConversion"/>
  </si>
  <si>
    <t>广东英联包装股份有限公司</t>
    <phoneticPr fontId="6" type="noConversion"/>
  </si>
  <si>
    <t>瑞信方正证券有限责任公司</t>
    <phoneticPr fontId="6" type="noConversion"/>
  </si>
  <si>
    <t>兴业证券股份有限公司</t>
    <phoneticPr fontId="4" type="noConversion"/>
  </si>
  <si>
    <t>东北证券股份有限公司</t>
    <phoneticPr fontId="6" type="noConversion"/>
  </si>
  <si>
    <t>三诺生物传感股份有限公司</t>
    <phoneticPr fontId="6" type="noConversion"/>
  </si>
  <si>
    <t>民生证券股份有限公司</t>
    <phoneticPr fontId="6" type="noConversion"/>
  </si>
  <si>
    <t>海通证券股份有限公司</t>
    <phoneticPr fontId="4" type="noConversion"/>
  </si>
  <si>
    <t>海通证券股份有限公司</t>
    <phoneticPr fontId="6" type="noConversion"/>
  </si>
  <si>
    <t>A+</t>
    <phoneticPr fontId="4" type="noConversion"/>
  </si>
  <si>
    <t>崇达技术股份有限公司</t>
    <phoneticPr fontId="6" type="noConversion"/>
  </si>
  <si>
    <t>塞力斯医疗科技集团股份有限公司</t>
    <phoneticPr fontId="6" type="noConversion"/>
  </si>
  <si>
    <t>上海银行股份有限公司</t>
    <phoneticPr fontId="6" type="noConversion"/>
  </si>
  <si>
    <t>江苏银行股份有限公司</t>
    <phoneticPr fontId="6" type="noConversion"/>
  </si>
  <si>
    <t>深圳市隆利科技股份有限公司</t>
    <phoneticPr fontId="6" type="noConversion"/>
  </si>
  <si>
    <t>中国化学工程集团有限公司</t>
    <phoneticPr fontId="6" type="noConversion"/>
  </si>
  <si>
    <t>华林证券股份有限公司</t>
    <phoneticPr fontId="6" type="noConversion"/>
  </si>
  <si>
    <t>江苏中天科技股份有限公司</t>
    <phoneticPr fontId="6" type="noConversion"/>
  </si>
  <si>
    <t>华创证券有限责任公司</t>
    <phoneticPr fontId="4" type="noConversion"/>
  </si>
  <si>
    <t>湖北凯龙化工集团股份有限公司</t>
    <phoneticPr fontId="6" type="noConversion"/>
  </si>
  <si>
    <t>第一创业证券承销保荐有限责任公司</t>
    <phoneticPr fontId="4" type="noConversion"/>
  </si>
  <si>
    <t>祥鑫科技股份有限公司</t>
    <phoneticPr fontId="6" type="noConversion"/>
  </si>
  <si>
    <t>广西博世科环保科技股份有限公司</t>
    <phoneticPr fontId="6" type="noConversion"/>
  </si>
  <si>
    <t>安徽开润股份有限公司</t>
    <phoneticPr fontId="6" type="noConversion"/>
  </si>
  <si>
    <t>汕头万顺新材集团股份有限公司</t>
    <phoneticPr fontId="6" type="noConversion"/>
  </si>
  <si>
    <t>深圳文科园林股份有限公司</t>
    <phoneticPr fontId="6" type="noConversion"/>
  </si>
  <si>
    <t>杭州电缆股份有限公司</t>
    <phoneticPr fontId="6" type="noConversion"/>
  </si>
  <si>
    <t>江苏江阴农村商业银行股份有限公司</t>
    <phoneticPr fontId="6" type="noConversion"/>
  </si>
  <si>
    <t>北京久其软件股份有限公司</t>
    <phoneticPr fontId="6" type="noConversion"/>
  </si>
  <si>
    <t>天风证券股份有限公司</t>
    <phoneticPr fontId="4" type="noConversion"/>
  </si>
  <si>
    <t>深圳市金新农科技股份有限公司</t>
    <phoneticPr fontId="6" type="noConversion"/>
  </si>
  <si>
    <t>广东长青(集团)股份有限公司</t>
    <phoneticPr fontId="6" type="noConversion"/>
  </si>
  <si>
    <t>嘉友国际物流股份有限公司</t>
    <phoneticPr fontId="6" type="noConversion"/>
  </si>
  <si>
    <t>浙江亚太药业股份有限公司</t>
    <phoneticPr fontId="6" type="noConversion"/>
  </si>
  <si>
    <t>朗新科技集团股份有限公司</t>
    <phoneticPr fontId="6" type="noConversion"/>
  </si>
  <si>
    <t>中国核工业建设股份有限公司</t>
    <phoneticPr fontId="6" type="noConversion"/>
  </si>
  <si>
    <t>体量</t>
    <phoneticPr fontId="4" type="noConversion"/>
  </si>
  <si>
    <t>盈利</t>
    <phoneticPr fontId="4" type="noConversion"/>
  </si>
  <si>
    <t>杠杆</t>
    <phoneticPr fontId="4" type="noConversion"/>
  </si>
  <si>
    <t>PE TTM</t>
    <phoneticPr fontId="4" type="noConversion"/>
  </si>
  <si>
    <t>PB MRQ</t>
    <phoneticPr fontId="4" type="noConversion"/>
  </si>
  <si>
    <t>估值</t>
    <phoneticPr fontId="4" type="noConversion"/>
  </si>
  <si>
    <t>中诚信国际信用评级有限责任公司</t>
    <phoneticPr fontId="4" type="noConversion"/>
  </si>
  <si>
    <t>山鹰国际控股股份公司</t>
    <phoneticPr fontId="6" type="noConversion"/>
  </si>
  <si>
    <t>江苏亨通光电股份有限公司</t>
    <phoneticPr fontId="6" type="noConversion"/>
  </si>
  <si>
    <t>芜湖长信科技股份有限公司</t>
    <phoneticPr fontId="6" type="noConversion"/>
  </si>
  <si>
    <t>光大证券股份有限公司</t>
    <phoneticPr fontId="6" type="noConversion"/>
  </si>
  <si>
    <t>常州星宇车灯股份有限公司</t>
    <phoneticPr fontId="6" type="noConversion"/>
  </si>
  <si>
    <t>铜陵精达特种电磁线股份有限公司</t>
    <phoneticPr fontId="6" type="noConversion"/>
  </si>
  <si>
    <t>浙江台华新材料股份有限公司</t>
    <phoneticPr fontId="6" type="noConversion"/>
  </si>
  <si>
    <t>中信证券股份有限公司</t>
    <phoneticPr fontId="6" type="noConversion"/>
  </si>
  <si>
    <t>家家悦集团股份有限公司</t>
    <phoneticPr fontId="6" type="noConversion"/>
  </si>
  <si>
    <t>上海全筑控股集团股份有限公司</t>
    <phoneticPr fontId="6" type="noConversion"/>
  </si>
  <si>
    <t>西部证券股份有限公司</t>
    <phoneticPr fontId="6" type="noConversion"/>
  </si>
  <si>
    <t>起步股份有限公司</t>
    <phoneticPr fontId="6" type="noConversion"/>
  </si>
  <si>
    <t>锦泓时装集团股份有限公司</t>
    <phoneticPr fontId="6" type="noConversion"/>
  </si>
  <si>
    <t>中国蓝星(集团)股份有限公司</t>
    <phoneticPr fontId="6" type="noConversion"/>
  </si>
  <si>
    <t>国泰君安证券股份有限公司,摩根士丹利华鑫证券有限责任公司,中信证券股份有限公司</t>
    <phoneticPr fontId="6" type="noConversion"/>
  </si>
  <si>
    <t>中国核能电力股份有限公司</t>
    <phoneticPr fontId="6" type="noConversion"/>
  </si>
  <si>
    <t>东方金诚国际信用评估有限公司</t>
    <phoneticPr fontId="4" type="noConversion"/>
  </si>
  <si>
    <t>广西柳州医药股份有限公司</t>
    <phoneticPr fontId="6" type="noConversion"/>
  </si>
  <si>
    <t>国都证券股份有限公司</t>
    <phoneticPr fontId="6" type="noConversion"/>
  </si>
  <si>
    <t>华菁证券有限公司</t>
    <phoneticPr fontId="6" type="noConversion"/>
  </si>
  <si>
    <t>浙江荣晟环保纸业股份有限公司</t>
    <phoneticPr fontId="6" type="noConversion"/>
  </si>
  <si>
    <t>华福证券有限责任公司</t>
    <phoneticPr fontId="6" type="noConversion"/>
  </si>
  <si>
    <t>环旭电子股份有限公司</t>
    <phoneticPr fontId="6" type="noConversion"/>
  </si>
  <si>
    <t>无锡宝通科技股份有限公司</t>
    <phoneticPr fontId="6" type="noConversion"/>
  </si>
  <si>
    <t>无锡智能自控工程股份有限公司</t>
    <phoneticPr fontId="6" type="noConversion"/>
  </si>
  <si>
    <t>广发证券股份有限公司</t>
    <phoneticPr fontId="4" type="noConversion"/>
  </si>
  <si>
    <t>奥佳华智能健康科技集团股份有限公司</t>
    <phoneticPr fontId="6" type="noConversion"/>
  </si>
  <si>
    <t>方正证券承销保荐有限责任公司</t>
    <phoneticPr fontId="6" type="noConversion"/>
  </si>
  <si>
    <t>中信建投证券股份有限公司,中银国际证券股份有限公司</t>
    <phoneticPr fontId="6" type="noConversion"/>
  </si>
  <si>
    <t>深圳市中金岭南有色金属股份有限公司</t>
    <phoneticPr fontId="6" type="noConversion"/>
  </si>
  <si>
    <t>华泰联合证券有限责任公司</t>
    <phoneticPr fontId="4" type="noConversion"/>
  </si>
  <si>
    <t>长江证券股份有限公司</t>
    <phoneticPr fontId="6" type="noConversion"/>
  </si>
  <si>
    <t>国泰君安证券股份有限公司,长江证券承销保荐有限公司</t>
    <phoneticPr fontId="6" type="noConversion"/>
  </si>
  <si>
    <t>河南明泰铝业股份有限公司</t>
    <phoneticPr fontId="6" type="noConversion"/>
  </si>
  <si>
    <t>湖北省广播电视信息网络股份有限公司</t>
    <phoneticPr fontId="6" type="noConversion"/>
  </si>
  <si>
    <t>中泰证券股份有限公司</t>
    <phoneticPr fontId="4" type="noConversion"/>
  </si>
  <si>
    <t>天水众兴菌业科技股份有限公司</t>
    <phoneticPr fontId="6" type="noConversion"/>
  </si>
  <si>
    <t>上海城地香江数据科技股份有限公司</t>
    <phoneticPr fontId="6" type="noConversion"/>
  </si>
  <si>
    <t>深圳市尚荣医疗股份有限公司</t>
    <phoneticPr fontId="6" type="noConversion"/>
  </si>
  <si>
    <t>高盛高华证券有限责任公司</t>
    <phoneticPr fontId="6" type="noConversion"/>
  </si>
  <si>
    <t>海南普利制药股份有限公司</t>
    <phoneticPr fontId="6" type="noConversion"/>
  </si>
  <si>
    <t>卫宁健康科技集团股份有限公司</t>
    <phoneticPr fontId="6" type="noConversion"/>
  </si>
  <si>
    <t>新希望六和股份有限公司</t>
    <phoneticPr fontId="6" type="noConversion"/>
  </si>
  <si>
    <t>招商证券股份有限公司,中信建投证券股份有限公司,华泰联合证券有限责任公司</t>
    <phoneticPr fontId="6" type="noConversion"/>
  </si>
  <si>
    <t>北京雪迪龙科技股份有限公司</t>
    <phoneticPr fontId="6" type="noConversion"/>
  </si>
  <si>
    <t>重庆小康工业集团股份有限公司</t>
    <phoneticPr fontId="6" type="noConversion"/>
  </si>
  <si>
    <t>无锡农村商业银行股份有限公司</t>
    <phoneticPr fontId="6" type="noConversion"/>
  </si>
  <si>
    <t>深圳市凯中精密技术股份有限公司</t>
    <phoneticPr fontId="6" type="noConversion"/>
  </si>
  <si>
    <t>深圳洪涛集团股份有限公司</t>
    <phoneticPr fontId="6" type="noConversion"/>
  </si>
  <si>
    <t>江苏长海复合材料股份有限公司</t>
    <phoneticPr fontId="6" type="noConversion"/>
  </si>
  <si>
    <t>浙江伟明环保股份有限公司</t>
    <phoneticPr fontId="6" type="noConversion"/>
  </si>
  <si>
    <t>国城矿业股份有限公司</t>
    <phoneticPr fontId="6" type="noConversion"/>
  </si>
  <si>
    <t>红塔证券股份有限公司</t>
    <phoneticPr fontId="6" type="noConversion"/>
  </si>
  <si>
    <t>洽洽食品股份有限公司</t>
    <phoneticPr fontId="6" type="noConversion"/>
  </si>
  <si>
    <t>森特士兴集团股份有限公司</t>
    <phoneticPr fontId="6" type="noConversion"/>
  </si>
  <si>
    <t>西藏天路股份有限公司</t>
    <phoneticPr fontId="4" type="noConversion"/>
  </si>
  <si>
    <t>华融证券股份有限公司</t>
    <phoneticPr fontId="4" type="noConversion"/>
  </si>
  <si>
    <t>哈尔滨九洲集团股份有限公司</t>
    <phoneticPr fontId="6" type="noConversion"/>
  </si>
  <si>
    <t>江苏紫金农村商业银行股份有限公司</t>
    <phoneticPr fontId="6" type="noConversion"/>
  </si>
  <si>
    <t>山西永东化工股份有限公司</t>
    <phoneticPr fontId="6" type="noConversion"/>
  </si>
  <si>
    <t>中国石油天然气集团有限公司</t>
    <phoneticPr fontId="6" type="noConversion"/>
  </si>
  <si>
    <t>西藏奇正藏药股份有限公司</t>
    <phoneticPr fontId="6" type="noConversion"/>
  </si>
  <si>
    <t>佛山市金银河智能装备股份有限公司</t>
    <phoneticPr fontId="6" type="noConversion"/>
  </si>
  <si>
    <t>浙江华统肉制品股份有限公司</t>
    <phoneticPr fontId="6" type="noConversion"/>
  </si>
  <si>
    <t>特一药业集团股份有限公司</t>
    <phoneticPr fontId="6" type="noConversion"/>
  </si>
  <si>
    <t>深圳市星源材质科技股份有限公司</t>
    <phoneticPr fontId="6" type="noConversion"/>
  </si>
  <si>
    <t>江苏张家港农村商业银行股份有限公司</t>
    <phoneticPr fontId="6" type="noConversion"/>
  </si>
  <si>
    <t>上海威派格智慧水务股份有限公司</t>
    <phoneticPr fontId="6" type="noConversion"/>
  </si>
  <si>
    <t>汕头万顺新材集团股份有限公司</t>
    <phoneticPr fontId="4" type="noConversion"/>
  </si>
  <si>
    <t>A</t>
    <phoneticPr fontId="4" type="noConversion"/>
  </si>
  <si>
    <t>陕西广电网络传媒(集团)股份有限公司</t>
    <phoneticPr fontId="6" type="noConversion"/>
  </si>
  <si>
    <t>广东翔鹭钨业股份有限公司</t>
    <phoneticPr fontId="6" type="noConversion"/>
  </si>
  <si>
    <t>中钢国际工程技术股份有限公司</t>
    <phoneticPr fontId="6" type="noConversion"/>
  </si>
  <si>
    <t>安徽省司尔特肥业股份有限公司</t>
    <phoneticPr fontId="6" type="noConversion"/>
  </si>
  <si>
    <t>安徽中鼎密封件股份有限公司</t>
    <phoneticPr fontId="6" type="noConversion"/>
  </si>
  <si>
    <t>东方国际创业股份有限公司</t>
    <phoneticPr fontId="6" type="noConversion"/>
  </si>
  <si>
    <t>大禹节水集团股份有限公司</t>
    <phoneticPr fontId="6" type="noConversion"/>
  </si>
  <si>
    <t>永安行科技股份有限公司</t>
    <phoneticPr fontId="6" type="noConversion"/>
  </si>
  <si>
    <t>深圳市新星轻合金材料股份有限公司</t>
    <phoneticPr fontId="6" type="noConversion"/>
  </si>
  <si>
    <t>东方时尚驾驶学校股份有限公司</t>
    <phoneticPr fontId="6" type="noConversion"/>
  </si>
  <si>
    <t>中国银河证券股份有限公司</t>
    <phoneticPr fontId="6" type="noConversion"/>
  </si>
  <si>
    <t>润建股份有限公司</t>
    <phoneticPr fontId="6" type="noConversion"/>
  </si>
  <si>
    <t>苏州科达科技股份有限公司</t>
    <phoneticPr fontId="6" type="noConversion"/>
  </si>
  <si>
    <t>国泰君安证券股份有限公司,中信建投证券股份有限公司</t>
    <phoneticPr fontId="6" type="noConversion"/>
  </si>
  <si>
    <t>上海国盛(集团)有限公司</t>
    <phoneticPr fontId="6" type="noConversion"/>
  </si>
  <si>
    <t>预期</t>
    <phoneticPr fontId="4" type="noConversion"/>
  </si>
  <si>
    <r>
      <t>PEG</t>
    </r>
    <r>
      <rPr>
        <b/>
        <sz val="8"/>
        <color rgb="FF000000"/>
        <rFont val="楷体"/>
        <family val="3"/>
        <charset val="134"/>
      </rPr>
      <t>未来</t>
    </r>
    <r>
      <rPr>
        <b/>
        <sz val="8"/>
        <color rgb="FF000000"/>
        <rFont val="Arial"/>
        <family val="2"/>
      </rPr>
      <t>2</t>
    </r>
    <r>
      <rPr>
        <b/>
        <sz val="8"/>
        <color rgb="FF000000"/>
        <rFont val="楷体"/>
        <family val="3"/>
        <charset val="134"/>
      </rPr>
      <t>年</t>
    </r>
    <phoneticPr fontId="4" type="noConversion"/>
  </si>
  <si>
    <r>
      <rPr>
        <b/>
        <sz val="8"/>
        <color rgb="FF000000"/>
        <rFont val="楷体"/>
        <family val="3"/>
        <charset val="134"/>
      </rPr>
      <t>最近</t>
    </r>
    <r>
      <rPr>
        <b/>
        <sz val="8"/>
        <color rgb="FF000000"/>
        <rFont val="Arial"/>
        <family val="2"/>
      </rPr>
      <t>4</t>
    </r>
    <r>
      <rPr>
        <b/>
        <sz val="8"/>
        <color rgb="FF000000"/>
        <rFont val="楷体"/>
        <family val="3"/>
        <charset val="134"/>
      </rPr>
      <t>周预期变化率</t>
    </r>
    <phoneticPr fontId="4" type="noConversion"/>
  </si>
  <si>
    <r>
      <t>PE E</t>
    </r>
    <r>
      <rPr>
        <b/>
        <sz val="8"/>
        <color rgb="FF000000"/>
        <rFont val="楷体"/>
        <family val="3"/>
        <charset val="134"/>
      </rPr>
      <t>未来</t>
    </r>
    <r>
      <rPr>
        <b/>
        <sz val="8"/>
        <color rgb="FF000000"/>
        <rFont val="Arial"/>
        <family val="2"/>
      </rPr>
      <t>2</t>
    </r>
    <r>
      <rPr>
        <b/>
        <sz val="8"/>
        <color rgb="FF000000"/>
        <rFont val="楷体"/>
        <family val="3"/>
        <charset val="134"/>
      </rPr>
      <t>年</t>
    </r>
    <phoneticPr fontId="4" type="noConversion"/>
  </si>
  <si>
    <t>技术</t>
    <phoneticPr fontId="4" type="noConversion"/>
  </si>
  <si>
    <t>基本</t>
    <phoneticPr fontId="4" type="noConversion"/>
  </si>
  <si>
    <r>
      <rPr>
        <b/>
        <sz val="8"/>
        <color rgb="FF000000"/>
        <rFont val="楷体"/>
        <family val="3"/>
        <charset val="134"/>
      </rPr>
      <t>总股本</t>
    </r>
    <phoneticPr fontId="4" type="noConversion"/>
  </si>
  <si>
    <r>
      <rPr>
        <sz val="8"/>
        <color rgb="FF000000"/>
        <rFont val="楷体"/>
        <family val="3"/>
        <charset val="134"/>
      </rPr>
      <t>（剔除预收）</t>
    </r>
    <phoneticPr fontId="4" type="noConversion"/>
  </si>
  <si>
    <r>
      <rPr>
        <b/>
        <sz val="8"/>
        <color rgb="FF000000"/>
        <rFont val="楷体"/>
        <family val="3"/>
        <charset val="134"/>
      </rPr>
      <t>长期资本合适率</t>
    </r>
    <phoneticPr fontId="4" type="noConversion"/>
  </si>
  <si>
    <r>
      <rPr>
        <b/>
        <sz val="8"/>
        <color rgb="FF000000"/>
        <rFont val="楷体"/>
        <family val="3"/>
        <charset val="134"/>
      </rPr>
      <t>带息负债占比</t>
    </r>
    <phoneticPr fontId="4" type="noConversion"/>
  </si>
  <si>
    <r>
      <t>PE</t>
    </r>
    <r>
      <rPr>
        <b/>
        <sz val="8"/>
        <color rgb="FF000000"/>
        <rFont val="楷体"/>
        <family val="3"/>
        <charset val="134"/>
      </rPr>
      <t>分位数</t>
    </r>
    <phoneticPr fontId="4" type="noConversion"/>
  </si>
  <si>
    <r>
      <rPr>
        <b/>
        <sz val="8"/>
        <color rgb="FF000000"/>
        <rFont val="楷体"/>
        <family val="3"/>
        <charset val="134"/>
      </rPr>
      <t>股息率</t>
    </r>
    <phoneticPr fontId="4" type="noConversion"/>
  </si>
  <si>
    <r>
      <t>PB</t>
    </r>
    <r>
      <rPr>
        <b/>
        <sz val="8"/>
        <color rgb="FF000000"/>
        <rFont val="楷体"/>
        <family val="3"/>
        <charset val="134"/>
      </rPr>
      <t>分位数</t>
    </r>
    <phoneticPr fontId="4" type="noConversion"/>
  </si>
  <si>
    <r>
      <t>100</t>
    </r>
    <r>
      <rPr>
        <b/>
        <sz val="8"/>
        <color rgb="FF000000"/>
        <rFont val="楷体"/>
        <family val="3"/>
        <charset val="134"/>
      </rPr>
      <t>周年化回报</t>
    </r>
    <phoneticPr fontId="4" type="noConversion"/>
  </si>
  <si>
    <r>
      <t>100</t>
    </r>
    <r>
      <rPr>
        <b/>
        <sz val="8"/>
        <color rgb="FF000000"/>
        <rFont val="楷体"/>
        <family val="3"/>
        <charset val="134"/>
      </rPr>
      <t>周年化波动</t>
    </r>
    <phoneticPr fontId="4" type="noConversion"/>
  </si>
  <si>
    <r>
      <rPr>
        <b/>
        <sz val="8"/>
        <color rgb="FF000000"/>
        <rFont val="楷体"/>
        <family val="3"/>
        <charset val="134"/>
      </rPr>
      <t>均线形态</t>
    </r>
    <phoneticPr fontId="4" type="noConversion"/>
  </si>
  <si>
    <r>
      <rPr>
        <b/>
        <sz val="8"/>
        <color rgb="FF000000"/>
        <rFont val="楷体"/>
        <family val="3"/>
        <charset val="134"/>
      </rPr>
      <t>预期净利润同比增速</t>
    </r>
    <phoneticPr fontId="4" type="noConversion"/>
  </si>
  <si>
    <r>
      <rPr>
        <b/>
        <sz val="8"/>
        <color rgb="FF000000"/>
        <rFont val="楷体"/>
        <family val="3"/>
        <charset val="134"/>
      </rPr>
      <t>净利润</t>
    </r>
    <r>
      <rPr>
        <b/>
        <sz val="8"/>
        <color rgb="FF000000"/>
        <rFont val="Arial"/>
        <family val="2"/>
      </rPr>
      <t>TTM</t>
    </r>
    <phoneticPr fontId="4" type="noConversion"/>
  </si>
  <si>
    <r>
      <rPr>
        <b/>
        <sz val="8"/>
        <color rgb="FF000000"/>
        <rFont val="楷体"/>
        <family val="3"/>
        <charset val="134"/>
      </rPr>
      <t>融资余额</t>
    </r>
    <phoneticPr fontId="4" type="noConversion"/>
  </si>
  <si>
    <r>
      <rPr>
        <b/>
        <sz val="8"/>
        <color rgb="FF000000"/>
        <rFont val="楷体"/>
        <family val="3"/>
        <charset val="134"/>
      </rPr>
      <t>毛利</t>
    </r>
    <r>
      <rPr>
        <b/>
        <sz val="8"/>
        <color rgb="FF000000"/>
        <rFont val="Arial"/>
        <family val="2"/>
      </rPr>
      <t>TTM</t>
    </r>
    <phoneticPr fontId="4" type="noConversion"/>
  </si>
  <si>
    <r>
      <t>ROIC</t>
    </r>
    <r>
      <rPr>
        <b/>
        <sz val="8"/>
        <color rgb="FF000000"/>
        <rFont val="楷体"/>
        <family val="3"/>
        <charset val="134"/>
      </rPr>
      <t>（</t>
    </r>
    <r>
      <rPr>
        <b/>
        <sz val="8"/>
        <color rgb="FF000000"/>
        <rFont val="Arial"/>
        <family val="2"/>
      </rPr>
      <t>%</t>
    </r>
    <r>
      <rPr>
        <b/>
        <sz val="8"/>
        <color rgb="FF000000"/>
        <rFont val="楷体"/>
        <family val="3"/>
        <charset val="134"/>
      </rPr>
      <t>）</t>
    </r>
    <phoneticPr fontId="4" type="noConversion"/>
  </si>
  <si>
    <r>
      <t>ROE</t>
    </r>
    <r>
      <rPr>
        <b/>
        <sz val="8"/>
        <color rgb="FF000000"/>
        <rFont val="楷体"/>
        <family val="3"/>
        <charset val="134"/>
      </rPr>
      <t>（</t>
    </r>
    <r>
      <rPr>
        <b/>
        <sz val="8"/>
        <color rgb="FF000000"/>
        <rFont val="Arial"/>
        <family val="2"/>
      </rPr>
      <t>%</t>
    </r>
    <r>
      <rPr>
        <b/>
        <sz val="8"/>
        <color rgb="FF000000"/>
        <rFont val="楷体"/>
        <family val="3"/>
        <charset val="134"/>
      </rPr>
      <t>）</t>
    </r>
    <phoneticPr fontId="4" type="noConversion"/>
  </si>
  <si>
    <r>
      <t>ROP</t>
    </r>
    <r>
      <rPr>
        <b/>
        <sz val="8"/>
        <color rgb="FF000000"/>
        <rFont val="楷体"/>
        <family val="3"/>
        <charset val="134"/>
      </rPr>
      <t>（</t>
    </r>
    <r>
      <rPr>
        <b/>
        <sz val="8"/>
        <color rgb="FF000000"/>
        <rFont val="Arial"/>
        <family val="2"/>
      </rPr>
      <t>%</t>
    </r>
    <r>
      <rPr>
        <b/>
        <sz val="8"/>
        <color rgb="FF000000"/>
        <rFont val="楷体"/>
        <family val="3"/>
        <charset val="134"/>
      </rPr>
      <t>）</t>
    </r>
    <phoneticPr fontId="4" type="noConversion"/>
  </si>
  <si>
    <r>
      <rPr>
        <b/>
        <sz val="8"/>
        <color rgb="FF000000"/>
        <rFont val="楷体"/>
        <family val="3"/>
        <charset val="134"/>
      </rPr>
      <t>毛利率（</t>
    </r>
    <r>
      <rPr>
        <b/>
        <sz val="8"/>
        <color rgb="FF000000"/>
        <rFont val="Arial"/>
        <family val="2"/>
      </rPr>
      <t>%</t>
    </r>
    <r>
      <rPr>
        <b/>
        <sz val="8"/>
        <color rgb="FF000000"/>
        <rFont val="楷体"/>
        <family val="3"/>
        <charset val="134"/>
      </rPr>
      <t>）</t>
    </r>
    <phoneticPr fontId="4" type="noConversion"/>
  </si>
  <si>
    <r>
      <t>ROA</t>
    </r>
    <r>
      <rPr>
        <b/>
        <sz val="8"/>
        <color rgb="FF000000"/>
        <rFont val="楷体"/>
        <family val="3"/>
        <charset val="134"/>
      </rPr>
      <t>（</t>
    </r>
    <r>
      <rPr>
        <b/>
        <sz val="8"/>
        <color rgb="FF000000"/>
        <rFont val="Arial"/>
        <family val="2"/>
      </rPr>
      <t>%</t>
    </r>
    <r>
      <rPr>
        <b/>
        <sz val="8"/>
        <color rgb="FF000000"/>
        <rFont val="楷体"/>
        <family val="3"/>
        <charset val="134"/>
      </rPr>
      <t>）</t>
    </r>
    <phoneticPr fontId="4" type="noConversion"/>
  </si>
  <si>
    <r>
      <rPr>
        <b/>
        <sz val="8"/>
        <color rgb="FF000000"/>
        <rFont val="楷体"/>
        <family val="3"/>
        <charset val="134"/>
      </rPr>
      <t>净利润占营收比重（</t>
    </r>
    <r>
      <rPr>
        <b/>
        <sz val="8"/>
        <color rgb="FF000000"/>
        <rFont val="Arial"/>
        <family val="2"/>
      </rPr>
      <t>%</t>
    </r>
    <r>
      <rPr>
        <b/>
        <sz val="8"/>
        <color rgb="FF000000"/>
        <rFont val="楷体"/>
        <family val="3"/>
        <charset val="134"/>
      </rPr>
      <t>）</t>
    </r>
    <phoneticPr fontId="4" type="noConversion"/>
  </si>
  <si>
    <r>
      <rPr>
        <b/>
        <sz val="8"/>
        <color rgb="FF000000"/>
        <rFont val="楷体"/>
        <family val="3"/>
        <charset val="134"/>
      </rPr>
      <t>资产负债率</t>
    </r>
    <phoneticPr fontId="4" type="noConversion"/>
  </si>
  <si>
    <r>
      <rPr>
        <b/>
        <sz val="8"/>
        <color rgb="FF000000"/>
        <rFont val="楷体"/>
        <family val="3"/>
        <charset val="134"/>
      </rPr>
      <t>长期资本负债率</t>
    </r>
    <phoneticPr fontId="4" type="noConversion"/>
  </si>
  <si>
    <r>
      <rPr>
        <b/>
        <sz val="8"/>
        <color rgb="FF000000"/>
        <rFont val="楷体"/>
        <family val="3"/>
        <charset val="134"/>
      </rPr>
      <t>权益乘数</t>
    </r>
    <phoneticPr fontId="4" type="noConversion"/>
  </si>
  <si>
    <r>
      <t>(</t>
    </r>
    <r>
      <rPr>
        <sz val="8"/>
        <color rgb="FF000000"/>
        <rFont val="楷体"/>
        <family val="3"/>
        <charset val="134"/>
      </rPr>
      <t>扣非</t>
    </r>
    <r>
      <rPr>
        <sz val="8"/>
        <color rgb="FF000000"/>
        <rFont val="Arial"/>
        <family val="2"/>
      </rPr>
      <t>)</t>
    </r>
    <phoneticPr fontId="4" type="noConversion"/>
  </si>
  <si>
    <r>
      <t>100</t>
    </r>
    <r>
      <rPr>
        <b/>
        <sz val="8"/>
        <color rgb="FF000000"/>
        <rFont val="楷体"/>
        <family val="3"/>
        <charset val="134"/>
      </rPr>
      <t>周</t>
    </r>
    <r>
      <rPr>
        <b/>
        <sz val="8"/>
        <color rgb="FF000000"/>
        <rFont val="Arial"/>
        <family val="2"/>
      </rPr>
      <t>Beta</t>
    </r>
    <phoneticPr fontId="4" type="noConversion"/>
  </si>
  <si>
    <r>
      <t>10</t>
    </r>
    <r>
      <rPr>
        <b/>
        <sz val="8"/>
        <color rgb="FF000000"/>
        <rFont val="楷体"/>
        <family val="3"/>
        <charset val="134"/>
      </rPr>
      <t>日内创历史新高</t>
    </r>
    <r>
      <rPr>
        <b/>
        <sz val="8"/>
        <color rgb="FF000000"/>
        <rFont val="Arial"/>
        <family val="2"/>
      </rPr>
      <t>/</t>
    </r>
    <r>
      <rPr>
        <b/>
        <sz val="8"/>
        <color rgb="FF000000"/>
        <rFont val="楷体"/>
        <family val="3"/>
        <charset val="134"/>
      </rPr>
      <t>低</t>
    </r>
    <phoneticPr fontId="4" type="noConversion"/>
  </si>
  <si>
    <r>
      <t>10</t>
    </r>
    <r>
      <rPr>
        <b/>
        <sz val="8"/>
        <color rgb="FF000000"/>
        <rFont val="楷体"/>
        <family val="3"/>
        <charset val="134"/>
      </rPr>
      <t>日内创</t>
    </r>
    <r>
      <rPr>
        <b/>
        <sz val="8"/>
        <color rgb="FF000000"/>
        <rFont val="Arial"/>
        <family val="2"/>
      </rPr>
      <t>1</t>
    </r>
    <r>
      <rPr>
        <b/>
        <sz val="8"/>
        <color rgb="FF000000"/>
        <rFont val="楷体"/>
        <family val="3"/>
        <charset val="134"/>
      </rPr>
      <t>年新高</t>
    </r>
    <r>
      <rPr>
        <b/>
        <sz val="8"/>
        <color rgb="FF000000"/>
        <rFont val="Arial"/>
        <family val="2"/>
      </rPr>
      <t>/</t>
    </r>
    <r>
      <rPr>
        <b/>
        <sz val="8"/>
        <color rgb="FF000000"/>
        <rFont val="楷体"/>
        <family val="3"/>
        <charset val="134"/>
      </rPr>
      <t>低</t>
    </r>
    <phoneticPr fontId="4" type="noConversion"/>
  </si>
  <si>
    <r>
      <t>PE E</t>
    </r>
    <r>
      <rPr>
        <b/>
        <sz val="8"/>
        <color rgb="FF000000"/>
        <rFont val="楷体"/>
        <family val="3"/>
        <charset val="134"/>
      </rPr>
      <t>未来</t>
    </r>
    <r>
      <rPr>
        <b/>
        <sz val="8"/>
        <color rgb="FF000000"/>
        <rFont val="Arial"/>
        <family val="2"/>
      </rPr>
      <t>1</t>
    </r>
    <r>
      <rPr>
        <b/>
        <sz val="8"/>
        <color rgb="FF000000"/>
        <rFont val="楷体"/>
        <family val="3"/>
        <charset val="134"/>
      </rPr>
      <t>年</t>
    </r>
    <phoneticPr fontId="4" type="noConversion"/>
  </si>
  <si>
    <r>
      <rPr>
        <b/>
        <sz val="8"/>
        <color rgb="FF000000"/>
        <rFont val="楷体"/>
        <family val="3"/>
        <charset val="134"/>
      </rPr>
      <t>正股名称</t>
    </r>
    <phoneticPr fontId="4" type="noConversion"/>
  </si>
  <si>
    <t>转债条款及基本信息</t>
    <phoneticPr fontId="6" type="noConversion"/>
  </si>
  <si>
    <r>
      <rPr>
        <b/>
        <sz val="8"/>
        <color theme="1"/>
        <rFont val="楷体"/>
        <family val="3"/>
        <charset val="134"/>
      </rPr>
      <t>平价</t>
    </r>
    <r>
      <rPr>
        <b/>
        <sz val="8"/>
        <color theme="1"/>
        <rFont val="Arial"/>
        <family val="2"/>
      </rPr>
      <t>VS</t>
    </r>
    <r>
      <rPr>
        <b/>
        <sz val="8"/>
        <color theme="1"/>
        <rFont val="楷体"/>
        <family val="3"/>
        <charset val="134"/>
      </rPr>
      <t>平价溢价率</t>
    </r>
    <phoneticPr fontId="6" type="noConversion"/>
  </si>
  <si>
    <r>
      <rPr>
        <b/>
        <sz val="8"/>
        <color theme="1"/>
        <rFont val="楷体"/>
        <family val="3"/>
        <charset val="134"/>
      </rPr>
      <t>隐含波动率</t>
    </r>
    <phoneticPr fontId="6" type="noConversion"/>
  </si>
  <si>
    <r>
      <rPr>
        <b/>
        <sz val="8"/>
        <color theme="1"/>
        <rFont val="楷体"/>
        <family val="3"/>
        <charset val="134"/>
      </rPr>
      <t>股债性</t>
    </r>
    <phoneticPr fontId="6" type="noConversion"/>
  </si>
  <si>
    <r>
      <rPr>
        <b/>
        <sz val="8"/>
        <color theme="1"/>
        <rFont val="楷体"/>
        <family val="3"/>
        <charset val="134"/>
      </rPr>
      <t>营收</t>
    </r>
    <r>
      <rPr>
        <b/>
        <sz val="8"/>
        <color theme="1"/>
        <rFont val="Arial"/>
        <family val="2"/>
      </rPr>
      <t>TTM</t>
    </r>
    <r>
      <rPr>
        <b/>
        <sz val="8"/>
        <color theme="1"/>
        <rFont val="楷体"/>
        <family val="3"/>
        <charset val="134"/>
      </rPr>
      <t>变化</t>
    </r>
    <phoneticPr fontId="6" type="noConversion"/>
  </si>
  <si>
    <r>
      <rPr>
        <b/>
        <sz val="8"/>
        <color theme="1"/>
        <rFont val="楷体"/>
        <family val="3"/>
        <charset val="134"/>
      </rPr>
      <t>净利润</t>
    </r>
    <r>
      <rPr>
        <b/>
        <sz val="8"/>
        <color theme="1"/>
        <rFont val="Arial"/>
        <family val="2"/>
      </rPr>
      <t>TTM</t>
    </r>
    <r>
      <rPr>
        <b/>
        <sz val="8"/>
        <color theme="1"/>
        <rFont val="楷体"/>
        <family val="3"/>
        <charset val="134"/>
      </rPr>
      <t>变化</t>
    </r>
    <phoneticPr fontId="4" type="noConversion"/>
  </si>
  <si>
    <r>
      <rPr>
        <b/>
        <sz val="8"/>
        <color theme="1"/>
        <rFont val="楷体"/>
        <family val="3"/>
        <charset val="134"/>
      </rPr>
      <t>价格区间</t>
    </r>
    <phoneticPr fontId="6" type="noConversion"/>
  </si>
  <si>
    <r>
      <t>Z</t>
    </r>
    <r>
      <rPr>
        <b/>
        <sz val="8"/>
        <color theme="1"/>
        <rFont val="楷体"/>
        <family val="3"/>
        <charset val="134"/>
      </rPr>
      <t>值</t>
    </r>
    <r>
      <rPr>
        <b/>
        <sz val="8"/>
        <color theme="1"/>
        <rFont val="Arial"/>
        <family val="2"/>
      </rPr>
      <t>—</t>
    </r>
    <r>
      <rPr>
        <b/>
        <sz val="8"/>
        <color theme="1"/>
        <rFont val="楷体"/>
        <family val="3"/>
        <charset val="134"/>
      </rPr>
      <t>衡量财务健康度</t>
    </r>
    <phoneticPr fontId="6" type="noConversion"/>
  </si>
  <si>
    <r>
      <t>FCFE-</t>
    </r>
    <r>
      <rPr>
        <b/>
        <sz val="8"/>
        <color theme="1"/>
        <rFont val="楷体"/>
        <family val="3"/>
        <charset val="134"/>
      </rPr>
      <t>股权自由现金流</t>
    </r>
    <phoneticPr fontId="6" type="noConversion"/>
  </si>
  <si>
    <t>整体介绍</t>
    <phoneticPr fontId="4" type="noConversion"/>
  </si>
  <si>
    <t>使用方法</t>
    <phoneticPr fontId="4" type="noConversion"/>
  </si>
  <si>
    <t>重要声明</t>
    <phoneticPr fontId="4" type="noConversion"/>
  </si>
  <si>
    <t xml:space="preserve">Copyright  2021 HTSC. All Rights Reserved.       </t>
    <phoneticPr fontId="4" type="noConversion"/>
  </si>
  <si>
    <r>
      <rPr>
        <b/>
        <sz val="8"/>
        <color rgb="FF000000"/>
        <rFont val="KaiTi"/>
        <family val="3"/>
        <charset val="134"/>
      </rPr>
      <t>卖方覆盖度</t>
    </r>
    <phoneticPr fontId="4" type="noConversion"/>
  </si>
  <si>
    <r>
      <rPr>
        <b/>
        <sz val="8"/>
        <color rgb="FF000000"/>
        <rFont val="KaiTi"/>
        <family val="3"/>
        <charset val="134"/>
      </rPr>
      <t>正股所处行业</t>
    </r>
    <phoneticPr fontId="4" type="noConversion"/>
  </si>
  <si>
    <r>
      <rPr>
        <sz val="11"/>
        <color theme="1"/>
        <rFont val="KaiTi"/>
        <family val="3"/>
        <charset val="134"/>
      </rPr>
      <t>本文件归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KaiTi"/>
        <family val="3"/>
        <charset val="134"/>
      </rPr>
      <t>华泰固收</t>
    </r>
    <r>
      <rPr>
        <sz val="11"/>
        <color theme="1"/>
        <rFont val="Arial"/>
        <family val="2"/>
      </rPr>
      <t>·</t>
    </r>
    <r>
      <rPr>
        <sz val="11"/>
        <color theme="1"/>
        <rFont val="KaiTi"/>
        <family val="3"/>
        <charset val="134"/>
      </rPr>
      <t>张继强团队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KaiTi"/>
        <family val="3"/>
        <charset val="134"/>
      </rPr>
      <t>版权所有，授权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KaiTi"/>
        <family val="3"/>
        <charset val="134"/>
      </rPr>
      <t>华泰证券签约及内部客户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KaiTi"/>
        <family val="3"/>
        <charset val="134"/>
      </rPr>
      <t>使用，其他人未经许可不得转发、抄袭。</t>
    </r>
    <r>
      <rPr>
        <sz val="11"/>
        <color theme="1"/>
        <rFont val="Arial"/>
        <family val="2"/>
      </rPr>
      <t xml:space="preserve">       </t>
    </r>
    <phoneticPr fontId="4" type="noConversion"/>
  </si>
  <si>
    <r>
      <rPr>
        <sz val="11"/>
        <color theme="1"/>
        <rFont val="KaiTi"/>
        <family val="3"/>
        <charset val="134"/>
      </rPr>
      <t>地址：北京市西城区太平桥大街丰盛胡同</t>
    </r>
    <r>
      <rPr>
        <sz val="11"/>
        <color theme="1"/>
        <rFont val="Arial"/>
        <family val="2"/>
      </rPr>
      <t>24</t>
    </r>
    <r>
      <rPr>
        <sz val="11"/>
        <color theme="1"/>
        <rFont val="KaiTi"/>
        <family val="3"/>
        <charset val="134"/>
      </rPr>
      <t>号太平洋保险大厦</t>
    </r>
    <r>
      <rPr>
        <sz val="11"/>
        <color theme="1"/>
        <rFont val="Arial"/>
        <family val="2"/>
      </rPr>
      <t>A</t>
    </r>
    <r>
      <rPr>
        <sz val="11"/>
        <color theme="1"/>
        <rFont val="KaiTi"/>
        <family val="3"/>
        <charset val="134"/>
      </rPr>
      <t>座</t>
    </r>
    <r>
      <rPr>
        <sz val="11"/>
        <color theme="1"/>
        <rFont val="Arial"/>
        <family val="2"/>
      </rPr>
      <t>9</t>
    </r>
    <r>
      <rPr>
        <sz val="11"/>
        <color theme="1"/>
        <rFont val="KaiTi"/>
        <family val="3"/>
        <charset val="134"/>
      </rPr>
      <t>层华泰证券研究所</t>
    </r>
    <r>
      <rPr>
        <sz val="11"/>
        <color theme="1"/>
        <rFont val="Arial"/>
        <family val="2"/>
      </rPr>
      <t xml:space="preserve">  </t>
    </r>
    <phoneticPr fontId="4" type="noConversion"/>
  </si>
  <si>
    <r>
      <rPr>
        <sz val="11"/>
        <color theme="1"/>
        <rFont val="KaiTi"/>
        <family val="3"/>
        <charset val="134"/>
      </rPr>
      <t>构架：该程序共分为四个部分，分别为转债基本信息监测、转债条款一览、转债正股信息和个券分析。</t>
    </r>
    <phoneticPr fontId="4" type="noConversion"/>
  </si>
  <si>
    <r>
      <rPr>
        <sz val="11"/>
        <color theme="1"/>
        <rFont val="KaiTi"/>
        <family val="3"/>
        <charset val="134"/>
      </rPr>
      <t>初始化</t>
    </r>
    <phoneticPr fontId="4" type="noConversion"/>
  </si>
  <si>
    <r>
      <rPr>
        <sz val="11"/>
        <color theme="1"/>
        <rFont val="KaiTi"/>
        <family val="3"/>
        <charset val="134"/>
      </rPr>
      <t>每个表在使用前请先单击初始化按键，以更新转债列表及基本信息。</t>
    </r>
    <phoneticPr fontId="4" type="noConversion"/>
  </si>
  <si>
    <r>
      <rPr>
        <sz val="11"/>
        <color theme="1"/>
        <rFont val="KaiTi"/>
        <family val="3"/>
        <charset val="134"/>
      </rPr>
      <t>刷新</t>
    </r>
    <phoneticPr fontId="4" type="noConversion"/>
  </si>
  <si>
    <r>
      <rPr>
        <sz val="11"/>
        <color theme="1"/>
        <rFont val="KaiTi"/>
        <family val="3"/>
        <charset val="134"/>
      </rPr>
      <t>初始化完成后，由于网速及</t>
    </r>
    <r>
      <rPr>
        <sz val="11"/>
        <color theme="1"/>
        <rFont val="Arial"/>
        <family val="2"/>
      </rPr>
      <t>Wind</t>
    </r>
    <r>
      <rPr>
        <sz val="11"/>
        <color theme="1"/>
        <rFont val="KaiTi"/>
        <family val="3"/>
        <charset val="134"/>
      </rPr>
      <t>服务器自身问题，可能存在部分数据未完成更新的现象，请再单击刷新进行更新。该键可重复多次，使用时可不断点击直到数据全部更新完成。</t>
    </r>
    <phoneticPr fontId="4" type="noConversion"/>
  </si>
  <si>
    <t>业绩分析</t>
    <phoneticPr fontId="6" type="noConversion"/>
  </si>
  <si>
    <t>机构持仓比例</t>
    <phoneticPr fontId="4" type="noConversion"/>
  </si>
  <si>
    <t>浙江大丰实业股份有限公司</t>
    <phoneticPr fontId="6" type="noConversion"/>
  </si>
  <si>
    <t>创维数字股份有限公司</t>
    <phoneticPr fontId="6" type="noConversion"/>
  </si>
  <si>
    <t>淮北矿业控股股份有限公司</t>
    <phoneticPr fontId="6" type="noConversion"/>
  </si>
  <si>
    <t>上海韦尔半导体股份有限公司</t>
    <phoneticPr fontId="6" type="noConversion"/>
  </si>
  <si>
    <t>浙江寿仙谷医药股份有限公司</t>
    <phoneticPr fontId="6" type="noConversion"/>
  </si>
  <si>
    <t>浙江五洲新春集团股份有限公司</t>
    <phoneticPr fontId="4" type="noConversion"/>
  </si>
  <si>
    <t>乐歌人体工学科技股份有限公司</t>
    <phoneticPr fontId="6" type="noConversion"/>
  </si>
  <si>
    <t>中天国富证券有限公司</t>
    <phoneticPr fontId="4" type="noConversion"/>
  </si>
  <si>
    <t>大参林医药集团股份有限公司</t>
    <phoneticPr fontId="6" type="noConversion"/>
  </si>
  <si>
    <t>紫金矿业集团股份有限公司</t>
    <phoneticPr fontId="6" type="noConversion"/>
  </si>
  <si>
    <t>浙江正裕工业股份有限公司</t>
    <phoneticPr fontId="6" type="noConversion"/>
  </si>
  <si>
    <t>金能科技股份有限公司</t>
    <phoneticPr fontId="4" type="noConversion"/>
  </si>
  <si>
    <t>搜于特集团股份有限公司</t>
    <phoneticPr fontId="6" type="noConversion"/>
  </si>
  <si>
    <t>华英证券有限责任公司</t>
    <phoneticPr fontId="6" type="noConversion"/>
  </si>
  <si>
    <t>蓝盾信息安全技术股份有限公司</t>
    <phoneticPr fontId="6" type="noConversion"/>
  </si>
  <si>
    <t>上海现代制药股份有限公司</t>
    <phoneticPr fontId="6" type="noConversion"/>
  </si>
  <si>
    <t>山东太阳纸业股份有限公司</t>
    <phoneticPr fontId="6" type="noConversion"/>
  </si>
  <si>
    <t>杭叉集团股份有限公司</t>
    <phoneticPr fontId="6" type="noConversion"/>
  </si>
  <si>
    <t>新疆伊力特实业股份有限公司</t>
    <phoneticPr fontId="6" type="noConversion"/>
  </si>
  <si>
    <t>中信银行股份有限公司</t>
    <phoneticPr fontId="6" type="noConversion"/>
  </si>
  <si>
    <t>中信证券股份有限公司,中国国际金融股份有限公司,中信建投证券股份有限公司,中银国际证券股份有限公司,瑞银证券有限责任公司,高盛高华证券有限责任公司</t>
    <phoneticPr fontId="6" type="noConversion"/>
  </si>
  <si>
    <t>宁波美诺华药业股份有限公司</t>
    <phoneticPr fontId="4" type="noConversion"/>
  </si>
  <si>
    <t>万联证券股份有限公司</t>
    <phoneticPr fontId="4" type="noConversion"/>
  </si>
  <si>
    <t>广东世运电路科技股份有限公司</t>
    <phoneticPr fontId="4" type="noConversion"/>
  </si>
  <si>
    <t>欣旺达电子股份有限公司</t>
    <phoneticPr fontId="6" type="noConversion"/>
  </si>
  <si>
    <t>东兴证券股份有限公司,高盛高华证券有限责任公司,中天国富证券有限公司</t>
    <phoneticPr fontId="6" type="noConversion"/>
  </si>
  <si>
    <t>广州好莱客创意家居股份有限公司</t>
    <phoneticPr fontId="6" type="noConversion"/>
  </si>
  <si>
    <t>中国民族证券有限责任公司</t>
    <phoneticPr fontId="4" type="noConversion"/>
  </si>
  <si>
    <t>重庆华森制药股份有限公司</t>
    <phoneticPr fontId="6" type="noConversion"/>
  </si>
  <si>
    <t>第一创业证券承销保荐有限责任公司</t>
    <phoneticPr fontId="6" type="noConversion"/>
  </si>
  <si>
    <t>江苏通光电子线缆股份有限公司</t>
    <phoneticPr fontId="6" type="noConversion"/>
  </si>
  <si>
    <t>广州高澜节能技术股份有限公司</t>
    <phoneticPr fontId="6" type="noConversion"/>
  </si>
  <si>
    <t>华金证券股份有限公司</t>
    <phoneticPr fontId="6" type="noConversion"/>
  </si>
  <si>
    <t>浙农集团股份有限公司</t>
    <phoneticPr fontId="6" type="noConversion"/>
  </si>
  <si>
    <t>光大证券股份有限公司</t>
    <phoneticPr fontId="4" type="noConversion"/>
  </si>
  <si>
    <t>立讯精密工业股份有限公司</t>
    <phoneticPr fontId="6" type="noConversion"/>
  </si>
  <si>
    <t>深圳市联得自动化装备股份有限公司</t>
    <phoneticPr fontId="6" type="noConversion"/>
  </si>
  <si>
    <t>苏州苏试试验集团股份有限公司</t>
    <phoneticPr fontId="6" type="noConversion"/>
  </si>
  <si>
    <t>东吴证券股份有限公司</t>
    <phoneticPr fontId="6" type="noConversion"/>
  </si>
  <si>
    <t>汕头东风印刷股份有限公司</t>
    <phoneticPr fontId="6" type="noConversion"/>
  </si>
  <si>
    <t>株洲飞鹿高新材料技术股份有限公司</t>
    <phoneticPr fontId="6" type="noConversion"/>
  </si>
  <si>
    <t>德邦证券股份有限公司</t>
    <phoneticPr fontId="6" type="noConversion"/>
  </si>
  <si>
    <t>新希望乳业股份有限公司</t>
    <phoneticPr fontId="6" type="noConversion"/>
  </si>
  <si>
    <t>海南钧达汽车饰件股份有限公司</t>
    <phoneticPr fontId="6" type="noConversion"/>
  </si>
  <si>
    <t>中国国际金融股份有限公司,中信建投证券股份有限公司,华泰联合证券有限责任公司,摩根士丹利华鑫证券有限责任公司</t>
    <phoneticPr fontId="6" type="noConversion"/>
  </si>
  <si>
    <t>江西赣锋锂业股份有限公司</t>
    <phoneticPr fontId="6" type="noConversion"/>
  </si>
  <si>
    <t>广东盛路通信科技股份有限公司</t>
    <phoneticPr fontId="6" type="noConversion"/>
  </si>
  <si>
    <t>江苏林洋能源股份有限公司</t>
    <phoneticPr fontId="4" type="noConversion"/>
  </si>
  <si>
    <t>武汉精测电子集团股份有限公司</t>
    <phoneticPr fontId="6" type="noConversion"/>
  </si>
  <si>
    <t>浙江长城电工科技股份有限公司</t>
    <phoneticPr fontId="6" type="noConversion"/>
  </si>
  <si>
    <t>天创时尚股份有限公司</t>
    <phoneticPr fontId="6" type="noConversion"/>
  </si>
  <si>
    <t>上海汉得信息技术股份有限公司</t>
    <phoneticPr fontId="6" type="noConversion"/>
  </si>
  <si>
    <t>国泰君安证券股份有限公司,兴业证券股份有限公司</t>
    <phoneticPr fontId="6" type="noConversion"/>
  </si>
  <si>
    <t>四川华体照明科技股份有限公司</t>
    <phoneticPr fontId="6" type="noConversion"/>
  </si>
  <si>
    <t>山东道恩高分子材料股份有限公司</t>
    <phoneticPr fontId="6" type="noConversion"/>
  </si>
  <si>
    <t>申港证券股份有限公司</t>
    <phoneticPr fontId="6" type="noConversion"/>
  </si>
  <si>
    <t>110079.SH</t>
  </si>
  <si>
    <t>杭银转债</t>
  </si>
  <si>
    <t>123095.SZ</t>
  </si>
  <si>
    <t>日升转债</t>
  </si>
  <si>
    <t>123107.SZ</t>
  </si>
  <si>
    <t>温氏转债</t>
  </si>
  <si>
    <t>123108.SZ</t>
  </si>
  <si>
    <t>乐普转2</t>
  </si>
  <si>
    <t>旺能环境股份有限公司</t>
    <phoneticPr fontId="4" type="noConversion"/>
  </si>
  <si>
    <t>福建海峡环保集团股份有限公司</t>
    <phoneticPr fontId="6" type="noConversion"/>
  </si>
  <si>
    <t>浙江三星新材股份有限公司</t>
    <phoneticPr fontId="6" type="noConversion"/>
  </si>
  <si>
    <t>中信证券股份有限公司,国泰君安证券股份有限公司</t>
    <phoneticPr fontId="4" type="noConversion"/>
  </si>
  <si>
    <t>浙江迪贝电气股份有限公司</t>
    <phoneticPr fontId="6" type="noConversion"/>
  </si>
  <si>
    <t>浙江美力科技股份有限公司</t>
    <phoneticPr fontId="6" type="noConversion"/>
  </si>
  <si>
    <t>中原证券股份有限公司</t>
    <phoneticPr fontId="6" type="noConversion"/>
  </si>
  <si>
    <t>杭州雷迪克节能科技股份有限公司</t>
    <phoneticPr fontId="6" type="noConversion"/>
  </si>
  <si>
    <t>奇精机械股份有限公司</t>
    <phoneticPr fontId="4" type="noConversion"/>
  </si>
  <si>
    <t>金诚信矿业管理股份有限公司</t>
    <phoneticPr fontId="6" type="noConversion"/>
  </si>
  <si>
    <t>中节能国祯环保科技股份有限公司</t>
    <phoneticPr fontId="6" type="noConversion"/>
  </si>
  <si>
    <t>中德证券有限责任公司</t>
    <phoneticPr fontId="4" type="noConversion"/>
  </si>
  <si>
    <t>苏州春秋电子科技股份有限公司</t>
    <phoneticPr fontId="6" type="noConversion"/>
  </si>
  <si>
    <t>淄博齐翔腾达化工股份有限公司</t>
    <phoneticPr fontId="4" type="noConversion"/>
  </si>
  <si>
    <t>光大证券股份有限公司,民生证券股份有限公司</t>
    <phoneticPr fontId="4" type="noConversion"/>
  </si>
  <si>
    <t>天风证券股份有限公司</t>
    <phoneticPr fontId="6" type="noConversion"/>
  </si>
  <si>
    <t>中国国际金融股份有限公司,瑞信方正证券有限责任公司,中信证券股份有限公司,高盛高华证券有限责任公司,广州证券股份有限公司</t>
    <phoneticPr fontId="4" type="noConversion"/>
  </si>
  <si>
    <t>深圳市景旺电子股份有限公司</t>
    <phoneticPr fontId="4" type="noConversion"/>
  </si>
  <si>
    <t>中银国际证券股份有限公司,华泰联合证券有限责任公司,中信证券股份有限公司,东方花旗证券有限公司</t>
    <phoneticPr fontId="6" type="noConversion"/>
  </si>
  <si>
    <t>山东大业股份有限公司</t>
    <phoneticPr fontId="6" type="noConversion"/>
  </si>
  <si>
    <t>江苏鼎胜新能源材料股份有限公司</t>
    <phoneticPr fontId="6" type="noConversion"/>
  </si>
  <si>
    <t>恒逸石化股份有限公司</t>
    <phoneticPr fontId="4" type="noConversion"/>
  </si>
  <si>
    <t>深圳市特发信息股份有限公司</t>
    <phoneticPr fontId="6" type="noConversion"/>
  </si>
  <si>
    <t>宁波金田铜业(集团)股份有限公司</t>
    <phoneticPr fontId="6" type="noConversion"/>
  </si>
  <si>
    <t>财通证券股份有限公司</t>
    <phoneticPr fontId="6" type="noConversion"/>
  </si>
  <si>
    <t>浙江华海药业股份有限公司</t>
    <phoneticPr fontId="6" type="noConversion"/>
  </si>
  <si>
    <t>杭州星帅尔电器股份有限公司</t>
    <phoneticPr fontId="6" type="noConversion"/>
  </si>
  <si>
    <t>中信建投证券股份有限公司,中国国际金融股份有限公司,高盛高华证券有限责任公司,招商证券股份有限公司,中信证券股份有限公司,中银国际证券有限责任公司</t>
    <phoneticPr fontId="6" type="noConversion"/>
  </si>
  <si>
    <t>江西万年青水泥股份有限公司</t>
    <phoneticPr fontId="6" type="noConversion"/>
  </si>
  <si>
    <t>福建龙净环保股份有限公司</t>
    <phoneticPr fontId="4" type="noConversion"/>
  </si>
  <si>
    <t>东亚前海证券有限责任公司</t>
    <phoneticPr fontId="4" type="noConversion"/>
  </si>
  <si>
    <t>安徽金禾实业股份有限公司</t>
    <phoneticPr fontId="6" type="noConversion"/>
  </si>
  <si>
    <t>中国光大银行股份有限公司</t>
    <phoneticPr fontId="6" type="noConversion"/>
  </si>
  <si>
    <t>中信证券股份有限公司,中国国际金融股份有限公司,瑞银证券有限责任公司,摩根士丹利华鑫证券有限责任公司,光大证券股份有限公司,高盛高华证券有限责任公司</t>
    <phoneticPr fontId="6" type="noConversion"/>
  </si>
  <si>
    <t>贵阳新天药业股份有限公司</t>
    <phoneticPr fontId="6" type="noConversion"/>
  </si>
  <si>
    <t>浙江嘉澳环保科技股份有限公司</t>
    <phoneticPr fontId="4" type="noConversion"/>
  </si>
  <si>
    <t>上海沪工焊接集团股份有限公司</t>
    <phoneticPr fontId="4" type="noConversion"/>
  </si>
  <si>
    <t>众信旅游集团股份有限公司</t>
    <phoneticPr fontId="6" type="noConversion"/>
  </si>
  <si>
    <t>A</t>
    <phoneticPr fontId="6" type="noConversion"/>
  </si>
  <si>
    <t>一品红药业股份有限公司</t>
    <phoneticPr fontId="6" type="noConversion"/>
  </si>
  <si>
    <t>北京思特奇信息技术股份有限公司</t>
    <phoneticPr fontId="4" type="noConversion"/>
  </si>
  <si>
    <t>广州鹏辉能源科技股份有限公司</t>
    <phoneticPr fontId="4" type="noConversion"/>
  </si>
  <si>
    <t>深圳市聚飞光电股份有限公司</t>
    <phoneticPr fontId="4" type="noConversion"/>
  </si>
  <si>
    <t>长江证券承销保荐有限公司</t>
    <phoneticPr fontId="4" type="noConversion"/>
  </si>
  <si>
    <t>深圳明阳电路科技股份有限公司</t>
    <phoneticPr fontId="4" type="noConversion"/>
  </si>
  <si>
    <t>广东美联新材料股份有限公司</t>
    <phoneticPr fontId="6" type="noConversion"/>
  </si>
  <si>
    <t>唐山冀东水泥股份有限公司</t>
    <phoneticPr fontId="6" type="noConversion"/>
  </si>
  <si>
    <t>中信证券股份有限公司,第一创业证券承销保荐有限责任公司</t>
    <phoneticPr fontId="6" type="noConversion"/>
  </si>
  <si>
    <t>德尔未来科技控股集团股份有限公司</t>
    <phoneticPr fontId="6" type="noConversion"/>
  </si>
  <si>
    <t>安徽鸿路钢结构(集团)股份有限公司</t>
    <phoneticPr fontId="4" type="noConversion"/>
  </si>
  <si>
    <t>湖北济川药业股份有限公司</t>
    <phoneticPr fontId="4" type="noConversion"/>
  </si>
  <si>
    <t>上海永冠众诚新材料科技(集团)股份有限公司</t>
    <phoneticPr fontId="4" type="noConversion"/>
  </si>
  <si>
    <t>山东新北洋信息技术股份有限公司</t>
    <phoneticPr fontId="6" type="noConversion"/>
  </si>
  <si>
    <t>江苏精研科技股份有限公司</t>
    <phoneticPr fontId="6" type="noConversion"/>
  </si>
  <si>
    <t>维尔利环保科技集团股份有限公司</t>
    <phoneticPr fontId="4" type="noConversion"/>
  </si>
  <si>
    <t>开源证券股份有限公司</t>
    <phoneticPr fontId="4" type="noConversion"/>
  </si>
  <si>
    <t>三力士股份有限公司</t>
    <phoneticPr fontId="6" type="noConversion"/>
  </si>
  <si>
    <t>江苏东方盛虹股份有限公司</t>
    <phoneticPr fontId="6" type="noConversion"/>
  </si>
  <si>
    <t>中信证券股份有限公司,华泰联合证券有限责任公司</t>
    <phoneticPr fontId="4" type="noConversion"/>
  </si>
  <si>
    <t>江西正邦科技股份有限公司</t>
    <phoneticPr fontId="4" type="noConversion"/>
  </si>
  <si>
    <t>海波重型工程科技股份有限公司</t>
    <phoneticPr fontId="6" type="noConversion"/>
  </si>
  <si>
    <t>无锡威唐工业技术股份有限公司</t>
    <phoneticPr fontId="4" type="noConversion"/>
  </si>
  <si>
    <t>西藏华钰矿业股份有限公司</t>
    <phoneticPr fontId="4" type="noConversion"/>
  </si>
  <si>
    <t>国开证券股份有限公司</t>
    <phoneticPr fontId="4" type="noConversion"/>
  </si>
  <si>
    <t>阜新德尔汽车部件股份有限公司</t>
    <phoneticPr fontId="6" type="noConversion"/>
  </si>
  <si>
    <t>浙江双环传动机械股份有限公司</t>
    <phoneticPr fontId="6" type="noConversion"/>
  </si>
  <si>
    <t>深圳市今天国际物流技术股份有限公司</t>
    <phoneticPr fontId="6" type="noConversion"/>
  </si>
  <si>
    <t>湖南艾华集团股份有限公司</t>
    <phoneticPr fontId="6" type="noConversion"/>
  </si>
  <si>
    <t>浙江景兴纸业股份有限公司</t>
    <phoneticPr fontId="4" type="noConversion"/>
  </si>
  <si>
    <t>东方日升新能源股份有限公司</t>
    <phoneticPr fontId="6" type="noConversion"/>
  </si>
  <si>
    <t>联创电子科技股份有限公司</t>
    <phoneticPr fontId="6" type="noConversion"/>
  </si>
  <si>
    <t>中信证券股份有限公司,中信建投证券股份有限公司</t>
    <phoneticPr fontId="6" type="noConversion"/>
  </si>
  <si>
    <t>兄弟科技股份有限公司</t>
    <phoneticPr fontId="6" type="noConversion"/>
  </si>
  <si>
    <t>法兰泰克重工股份有限公司</t>
    <phoneticPr fontId="6" type="noConversion"/>
  </si>
  <si>
    <t>广东华锋新能源科技股份有限公司</t>
    <phoneticPr fontId="6" type="noConversion"/>
  </si>
  <si>
    <t>深圳证券交易所</t>
    <phoneticPr fontId="4" type="noConversion"/>
  </si>
  <si>
    <t>安信证券股份有限公司,东兴证券股份有限公司</t>
    <phoneticPr fontId="4" type="noConversion"/>
  </si>
  <si>
    <t>江西同和药业股份有限公司</t>
    <phoneticPr fontId="6" type="noConversion"/>
  </si>
  <si>
    <t>乐普(北京)医疗器械股份有限公司</t>
    <phoneticPr fontId="4" type="noConversion"/>
  </si>
  <si>
    <t>三祥新材股份有限公司</t>
    <phoneticPr fontId="6" type="noConversion"/>
  </si>
  <si>
    <t>上海润达医疗科技股份有限公司</t>
    <phoneticPr fontId="6" type="noConversion"/>
  </si>
  <si>
    <t>中化岩土集团股份有限公司</t>
    <phoneticPr fontId="6" type="noConversion"/>
  </si>
  <si>
    <t>北京北陆药业股份有限公司</t>
    <phoneticPr fontId="6" type="noConversion"/>
  </si>
  <si>
    <t>常州强力电子新材料股份有限公司</t>
    <phoneticPr fontId="6" type="noConversion"/>
  </si>
  <si>
    <t>东方花旗证券有限公司</t>
    <phoneticPr fontId="4" type="noConversion"/>
  </si>
  <si>
    <t>北京海兰信数据科技股份有限公司</t>
    <phoneticPr fontId="6" type="noConversion"/>
  </si>
  <si>
    <t>浙江康隆达特种防护科技股份有限公司</t>
    <phoneticPr fontId="4" type="noConversion"/>
  </si>
  <si>
    <t>奥瑞金科技股份有限公司</t>
    <phoneticPr fontId="6" type="noConversion"/>
  </si>
  <si>
    <t>中信建投证券股份有限公司,华安证券股份有限公司</t>
    <phoneticPr fontId="6" type="noConversion"/>
  </si>
  <si>
    <t>华金证券股份有限公司,国金证券股份有限公司</t>
    <phoneticPr fontId="6" type="noConversion"/>
  </si>
  <si>
    <t>山西同德化工股份有限公司</t>
    <phoneticPr fontId="6" type="noConversion"/>
  </si>
  <si>
    <t>中信建投证券股份有限公司,高盛高华证券有限责任公司,中国国际金融股份有限公司,中国银河证券股份有限公司,招商证券股份有限公司,中信证券股份有限公司,中银国际证券股份有限公司</t>
    <phoneticPr fontId="6" type="noConversion"/>
  </si>
  <si>
    <t>浙江洁美电子科技股份有限公司</t>
    <phoneticPr fontId="6" type="noConversion"/>
  </si>
  <si>
    <t>远东资信评估有限公司</t>
    <phoneticPr fontId="4" type="noConversion"/>
  </si>
  <si>
    <t>花王生态工程股份有限公司</t>
    <phoneticPr fontId="4" type="noConversion"/>
  </si>
  <si>
    <t>浙江英特集团股份有限公司</t>
    <phoneticPr fontId="6" type="noConversion"/>
  </si>
  <si>
    <t>上海新时达电气股份有限公司</t>
    <phoneticPr fontId="6" type="noConversion"/>
  </si>
  <si>
    <t>浙江亚太机电股份有限公司</t>
    <phoneticPr fontId="4" type="noConversion"/>
  </si>
  <si>
    <t>安徽新华发行(集团)控股有限公司</t>
    <phoneticPr fontId="6" type="noConversion"/>
  </si>
  <si>
    <t>国泰君安证券股份有限公司,摩根士丹利华鑫证券有限责任公司</t>
    <phoneticPr fontId="6" type="noConversion"/>
  </si>
  <si>
    <t>浙报传媒控股集团有限公司</t>
    <phoneticPr fontId="6" type="noConversion"/>
  </si>
  <si>
    <t>山东龙大肉食品股份有限公司</t>
    <phoneticPr fontId="4" type="noConversion"/>
  </si>
  <si>
    <t>中信建投证券股份有限公司,中信证券股份有限公司</t>
    <phoneticPr fontId="4" type="noConversion"/>
  </si>
  <si>
    <t>浙江锋龙电气股份有限公司</t>
    <phoneticPr fontId="4" type="noConversion"/>
  </si>
  <si>
    <t>西南证券股份有限公司</t>
    <phoneticPr fontId="4" type="noConversion"/>
  </si>
  <si>
    <t>新余钢铁集团有限公司</t>
    <phoneticPr fontId="6" type="noConversion"/>
  </si>
  <si>
    <t>广东拓斯达科技股份有限公司</t>
    <phoneticPr fontId="4" type="noConversion"/>
  </si>
  <si>
    <t>华安证券股份有限公司,安信证券股份有限公司</t>
    <phoneticPr fontId="4" type="noConversion"/>
  </si>
  <si>
    <t>中原出版传媒投资控股集团有限公司</t>
    <phoneticPr fontId="4" type="noConversion"/>
  </si>
  <si>
    <t>中国长江三峡集团有限公司</t>
    <phoneticPr fontId="4" type="noConversion"/>
  </si>
  <si>
    <t>中信证券股份有限公司,华泰联合证券有限责任公司,中信建投证券股份有限公司,海通证券股份有限公司,光大证券股份有限公司,平安证券股份有限公司</t>
    <phoneticPr fontId="4" type="noConversion"/>
  </si>
  <si>
    <t>航天信息股份有限公司</t>
    <phoneticPr fontId="4" type="noConversion"/>
  </si>
  <si>
    <t>厦门国贸集团股份有限公司</t>
    <phoneticPr fontId="4" type="noConversion"/>
  </si>
  <si>
    <t>内蒙古蒙电华能热电股份有限公司</t>
    <phoneticPr fontId="6" type="noConversion"/>
  </si>
  <si>
    <t>招商证券股份有限公司,长城证券股份有限公司</t>
    <phoneticPr fontId="6" type="noConversion"/>
  </si>
  <si>
    <t>福建福能股份有限公司</t>
    <phoneticPr fontId="6" type="noConversion"/>
  </si>
  <si>
    <t>贵州省广播电视信息网络股份有限公司</t>
    <phoneticPr fontId="4" type="noConversion"/>
  </si>
  <si>
    <t>民生证券股份有限公司,中国民族证券有限责任公司</t>
    <phoneticPr fontId="6" type="noConversion"/>
  </si>
  <si>
    <t>江苏永鼎股份有限公司</t>
    <phoneticPr fontId="6" type="noConversion"/>
  </si>
  <si>
    <t>华西证券股份有限公司</t>
    <phoneticPr fontId="6" type="noConversion"/>
  </si>
  <si>
    <t>上海浦东发展银行股份有限公司</t>
    <phoneticPr fontId="6" type="noConversion"/>
  </si>
  <si>
    <t>中信证券股份有限公司,国泰君安证券股份有限公司,华泰联合证券有限责任公司,海通证券股份有限公司,中国国际金融股份有限公司</t>
    <phoneticPr fontId="6" type="noConversion"/>
  </si>
  <si>
    <t>重庆建工集团股份有限公司</t>
    <phoneticPr fontId="6" type="noConversion"/>
  </si>
  <si>
    <t>盛屯矿业集团股份有限公司</t>
    <phoneticPr fontId="4" type="noConversion"/>
  </si>
  <si>
    <t>瀚蓝环境股份有限公司</t>
    <phoneticPr fontId="4" type="noConversion"/>
  </si>
  <si>
    <t>凌源钢铁股份有限公司</t>
    <phoneticPr fontId="4" type="noConversion"/>
  </si>
  <si>
    <t>雪天盐业集团股份有限公司</t>
    <phoneticPr fontId="4" type="noConversion"/>
  </si>
  <si>
    <t>国投资本股份有限公司</t>
    <phoneticPr fontId="6" type="noConversion"/>
  </si>
  <si>
    <t>国泰君安证券股份有限公司,安信证券股份有限公司</t>
    <phoneticPr fontId="6" type="noConversion"/>
  </si>
  <si>
    <t>杭州银行股份有限公司</t>
    <phoneticPr fontId="6" type="noConversion"/>
  </si>
  <si>
    <t>广州汽车集团股份有限公司</t>
    <phoneticPr fontId="4" type="noConversion"/>
  </si>
  <si>
    <t>骆驼集团股份有限公司</t>
    <phoneticPr fontId="4" type="noConversion"/>
  </si>
  <si>
    <t>太平洋证券股份有限公司</t>
    <phoneticPr fontId="4" type="noConversion"/>
  </si>
  <si>
    <t>吉视传媒股份有限公司</t>
    <phoneticPr fontId="6" type="noConversion"/>
  </si>
  <si>
    <t>中原证券股份有限公司,中国民族证券有限责任公司</t>
    <phoneticPr fontId="4" type="noConversion"/>
  </si>
  <si>
    <t>中信证券股份有限公司,中国国际金融股份有限公司</t>
    <phoneticPr fontId="4" type="noConversion"/>
  </si>
  <si>
    <t>利群商业集团股份有限公司</t>
    <phoneticPr fontId="6" type="noConversion"/>
  </si>
  <si>
    <t>滨化集团股份有限公司</t>
    <phoneticPr fontId="6" type="noConversion"/>
  </si>
  <si>
    <t>东兴证券股份有限公司,东亚前海证券有限责任公司</t>
    <phoneticPr fontId="6" type="noConversion"/>
  </si>
  <si>
    <t>宁波建工股份有限公司</t>
    <phoneticPr fontId="6" type="noConversion"/>
  </si>
  <si>
    <t>中信建投证券股份有限公司,国盛证券有限责任公司</t>
    <phoneticPr fontId="6" type="noConversion"/>
  </si>
  <si>
    <t>隆基绿能科技股份有限公司</t>
    <phoneticPr fontId="6" type="noConversion"/>
  </si>
  <si>
    <t>宁夏嘉泽新能源股份有限公司</t>
    <phoneticPr fontId="4" type="noConversion"/>
  </si>
  <si>
    <t>大秦铁路股份有限公司</t>
    <phoneticPr fontId="6" type="noConversion"/>
  </si>
  <si>
    <t>海通证券股份有限公司,国泰君安证券股份有限公司</t>
    <phoneticPr fontId="4" type="noConversion"/>
  </si>
  <si>
    <t>新凤鸣集团股份有限公司</t>
    <phoneticPr fontId="4" type="noConversion"/>
  </si>
  <si>
    <t>江苏新泉汽车饰件股份有限公司</t>
    <phoneticPr fontId="6" type="noConversion"/>
  </si>
  <si>
    <t>江苏苏州农村商业银行股份有限公司</t>
    <phoneticPr fontId="6" type="noConversion"/>
  </si>
  <si>
    <t>华泰联合证券有限责任公司,中信建投证券股份有限公司</t>
    <phoneticPr fontId="6" type="noConversion"/>
  </si>
  <si>
    <t>广东联泰环保股份有限公司</t>
    <phoneticPr fontId="6" type="noConversion"/>
  </si>
  <si>
    <t>欧派家居集团股份有限公司</t>
    <phoneticPr fontId="4" type="noConversion"/>
  </si>
  <si>
    <t>广州白云电器设备股份有限公司</t>
    <phoneticPr fontId="4" type="noConversion"/>
  </si>
  <si>
    <t>杭州永创智能设备股份有限公司</t>
    <phoneticPr fontId="4" type="noConversion"/>
  </si>
  <si>
    <t>江苏天目湖旅游股份有限公司</t>
    <phoneticPr fontId="6" type="noConversion"/>
  </si>
  <si>
    <t>宏辉果蔬股份有限公司</t>
    <phoneticPr fontId="4" type="noConversion"/>
  </si>
  <si>
    <t>上海翔港包装科技股份有限公司</t>
    <phoneticPr fontId="4" type="noConversion"/>
  </si>
  <si>
    <t>君禾泵业股份有限公司</t>
    <phoneticPr fontId="4" type="noConversion"/>
  </si>
  <si>
    <t>浙江百达精工股份有限公司</t>
    <phoneticPr fontId="4" type="noConversion"/>
  </si>
  <si>
    <t>杭州纵横通信股份有限公司</t>
    <phoneticPr fontId="4" type="noConversion"/>
  </si>
  <si>
    <t>浙江寿仙谷投资管理有限公司</t>
    <phoneticPr fontId="4" type="noConversion"/>
  </si>
  <si>
    <t>浙江大胜达包装股份有限公司</t>
    <phoneticPr fontId="4" type="noConversion"/>
  </si>
  <si>
    <t>南京佳力图机房环境技术股份有限公司</t>
    <phoneticPr fontId="4" type="noConversion"/>
  </si>
  <si>
    <t>信达证券股份有限公司,中信证券股份有限公司</t>
    <phoneticPr fontId="6" type="noConversion"/>
  </si>
  <si>
    <t>多伦科技股份有限公司</t>
    <phoneticPr fontId="4" type="noConversion"/>
  </si>
  <si>
    <t>上海荣泰健康科技股份有限公司</t>
    <phoneticPr fontId="4" type="noConversion"/>
  </si>
  <si>
    <t>万和证券股份有限公司</t>
    <phoneticPr fontId="4" type="noConversion"/>
  </si>
  <si>
    <t>灵康药业集团股份有限公司</t>
    <phoneticPr fontId="4" type="noConversion"/>
  </si>
  <si>
    <t>中信证券股份有限公司,国都证券股份有限公司</t>
    <phoneticPr fontId="4" type="noConversion"/>
  </si>
  <si>
    <t>杭州福斯特应用材料股份有限公司</t>
    <phoneticPr fontId="6" type="noConversion"/>
  </si>
  <si>
    <t>财通证券股份有限公司,中信证券股份有限公司</t>
    <phoneticPr fontId="6" type="noConversion"/>
  </si>
  <si>
    <t>彤程新材料集团股份有限公司</t>
    <phoneticPr fontId="4" type="noConversion"/>
  </si>
  <si>
    <t>广东嘉元科技股份有限公司</t>
    <phoneticPr fontId="4" type="noConversion"/>
  </si>
  <si>
    <t>天津凯发电气股份有限公司</t>
    <phoneticPr fontId="4" type="noConversion"/>
  </si>
  <si>
    <t>广东溢多利生物科技股份有限公司</t>
    <phoneticPr fontId="6" type="noConversion"/>
  </si>
  <si>
    <t>长沙岱勒新材料科技股份有限公司</t>
    <phoneticPr fontId="4" type="noConversion"/>
  </si>
  <si>
    <t>西安蓝晓科技新材料股份有限公司</t>
    <phoneticPr fontId="6" type="noConversion"/>
  </si>
  <si>
    <t>中原证券股份有限公司</t>
    <phoneticPr fontId="4" type="noConversion"/>
  </si>
  <si>
    <t>英科医疗科技股份有限公司</t>
    <phoneticPr fontId="6" type="noConversion"/>
  </si>
  <si>
    <t>哈尔滨九洲集团股份有限公司</t>
    <phoneticPr fontId="4" type="noConversion"/>
  </si>
  <si>
    <t>江西金力永磁科技股份有限公司</t>
    <phoneticPr fontId="4" type="noConversion"/>
  </si>
  <si>
    <t>利亚德光电股份有限公司</t>
    <phoneticPr fontId="4" type="noConversion"/>
  </si>
  <si>
    <t>中信证券股份有限公司,平安证券股份有限公司</t>
    <phoneticPr fontId="4" type="noConversion"/>
  </si>
  <si>
    <t>浙江天铁实业股份有限公司</t>
    <phoneticPr fontId="4" type="noConversion"/>
  </si>
  <si>
    <t>中国船舶重工集团应急预警与救援装备股份有限公司</t>
    <phoneticPr fontId="4" type="noConversion"/>
  </si>
  <si>
    <t>上海雪榕生物科技股份有限公司</t>
    <phoneticPr fontId="6" type="noConversion"/>
  </si>
  <si>
    <t>北京银信长远科技股份有限公司</t>
    <phoneticPr fontId="6" type="noConversion"/>
  </si>
  <si>
    <t>广州航新航空科技股份有限公司</t>
    <phoneticPr fontId="6" type="noConversion"/>
  </si>
  <si>
    <t>南京三超新材料股份有限公司</t>
    <phoneticPr fontId="4" type="noConversion"/>
  </si>
  <si>
    <t>信达证券股份有限公司</t>
    <phoneticPr fontId="4" type="noConversion"/>
  </si>
  <si>
    <t>广州万孚生物技术股份有限公司</t>
    <phoneticPr fontId="6" type="noConversion"/>
  </si>
  <si>
    <t>广东宝莱特医用科技股份有限公司</t>
    <phoneticPr fontId="6" type="noConversion"/>
  </si>
  <si>
    <t>广州赛意信息科技股份有限公司</t>
    <phoneticPr fontId="4" type="noConversion"/>
  </si>
  <si>
    <t>苏州斯莱克精密设备股份有限公司</t>
    <phoneticPr fontId="6" type="noConversion"/>
  </si>
  <si>
    <t>厦门弘信电子科技集团股份有限公司</t>
    <phoneticPr fontId="6" type="noConversion"/>
  </si>
  <si>
    <t>国信证券股份有限公司,国开证券股份有限公司</t>
    <phoneticPr fontId="6" type="noConversion"/>
  </si>
  <si>
    <t>青岛天能重工股份有限公司</t>
    <phoneticPr fontId="4" type="noConversion"/>
  </si>
  <si>
    <t>无锡贝斯特精机股份有限公司</t>
    <phoneticPr fontId="6" type="noConversion"/>
  </si>
  <si>
    <t>渤海证券股份有限公司</t>
    <phoneticPr fontId="6" type="noConversion"/>
  </si>
  <si>
    <t>浙江运达风电股份有限公司</t>
    <phoneticPr fontId="4" type="noConversion"/>
  </si>
  <si>
    <t>财通证券股份有限公司</t>
    <phoneticPr fontId="4" type="noConversion"/>
  </si>
  <si>
    <t>江苏金陵体育器材股份有限公司</t>
    <phoneticPr fontId="6" type="noConversion"/>
  </si>
  <si>
    <t>深圳市朗科智能电气股份有限公司</t>
    <phoneticPr fontId="6" type="noConversion"/>
  </si>
  <si>
    <t>华自科技股份有限公司</t>
    <phoneticPr fontId="6" type="noConversion"/>
  </si>
  <si>
    <t>震安科技股份有限公司</t>
    <phoneticPr fontId="4" type="noConversion"/>
  </si>
  <si>
    <t>拓尔思信息技术股份有限公司</t>
    <phoneticPr fontId="6" type="noConversion"/>
  </si>
  <si>
    <t>温氏食品集团股份有限公司</t>
    <phoneticPr fontId="6" type="noConversion"/>
  </si>
  <si>
    <t>江南模塑科技股份有限公司</t>
    <phoneticPr fontId="4" type="noConversion"/>
  </si>
  <si>
    <t>吉林敖东药业集团股份有限公司</t>
    <phoneticPr fontId="4" type="noConversion"/>
  </si>
  <si>
    <t>招商局公路网络科技控股股份有限公司</t>
    <phoneticPr fontId="6" type="noConversion"/>
  </si>
  <si>
    <t>中国国际金融股份有限公司,招商证券股份有限公司</t>
    <phoneticPr fontId="6" type="noConversion"/>
  </si>
  <si>
    <t>北方国际合作股份有限公司</t>
    <phoneticPr fontId="4" type="noConversion"/>
  </si>
  <si>
    <t>本钢板材股份有限公司</t>
    <phoneticPr fontId="4" type="noConversion"/>
  </si>
  <si>
    <t>湖南华菱钢铁股份有限公司</t>
    <phoneticPr fontId="4" type="noConversion"/>
  </si>
  <si>
    <t>广东汕头超声电子股份有限公司</t>
    <phoneticPr fontId="4" type="noConversion"/>
  </si>
  <si>
    <t>甘肃靖远煤电股份有限公司</t>
    <phoneticPr fontId="4" type="noConversion"/>
  </si>
  <si>
    <t>新洋丰农业科技股份有限公司</t>
    <phoneticPr fontId="6" type="noConversion"/>
  </si>
  <si>
    <t>江苏辉丰生物农业股份有限公司</t>
    <phoneticPr fontId="6" type="noConversion"/>
  </si>
  <si>
    <t>中国中投证券有限责任公司</t>
    <phoneticPr fontId="6" type="noConversion"/>
  </si>
  <si>
    <t>华林证券股份有限公司</t>
    <phoneticPr fontId="4" type="noConversion"/>
  </si>
  <si>
    <t>平安证券股份有限公司,中德证券有限责任公司</t>
    <phoneticPr fontId="6" type="noConversion"/>
  </si>
  <si>
    <t>长城证券股份有限公司</t>
    <phoneticPr fontId="4" type="noConversion"/>
  </si>
  <si>
    <t>大族激光科技产业集团股份有限公司</t>
    <phoneticPr fontId="6" type="noConversion"/>
  </si>
  <si>
    <t>兴业证券股份有限公司,高盛高华证券有限责任公司</t>
    <phoneticPr fontId="6" type="noConversion"/>
  </si>
  <si>
    <t>岭南生态文旅股份有限公司</t>
    <phoneticPr fontId="4" type="noConversion"/>
  </si>
  <si>
    <t>华泰联合证券有限责任公司,东吴证券股份有限公司</t>
    <phoneticPr fontId="6" type="noConversion"/>
  </si>
  <si>
    <t>苏州华源控股股份有限公司</t>
    <phoneticPr fontId="4" type="noConversion"/>
  </si>
  <si>
    <t>广东光华科技股份有限公司</t>
    <phoneticPr fontId="4" type="noConversion"/>
  </si>
  <si>
    <t>浙江今飞凯达轮毂股份有限公司</t>
    <phoneticPr fontId="4" type="noConversion"/>
  </si>
  <si>
    <t>国元证券股份有限公司,中银国际证券股份有限公司</t>
    <phoneticPr fontId="4" type="noConversion"/>
  </si>
  <si>
    <t>深圳市郑中设计股份有限公司</t>
    <phoneticPr fontId="6" type="noConversion"/>
  </si>
  <si>
    <t>厦门合兴包装印刷股份有限公司</t>
    <phoneticPr fontId="4" type="noConversion"/>
  </si>
  <si>
    <t>浙江哈尔斯真空器皿股份有限公司</t>
    <phoneticPr fontId="6" type="noConversion"/>
  </si>
  <si>
    <t>游族网络股份有限公司</t>
    <phoneticPr fontId="4" type="noConversion"/>
  </si>
  <si>
    <t>许昌远东传动轴股份有限公司</t>
    <phoneticPr fontId="6" type="noConversion"/>
  </si>
  <si>
    <t>金轮蓝海股份有限公司</t>
    <phoneticPr fontId="4" type="noConversion"/>
  </si>
  <si>
    <t>太极计算机股份有限公司</t>
    <phoneticPr fontId="4" type="noConversion"/>
  </si>
  <si>
    <t>鸿达兴业股份有限公司</t>
    <phoneticPr fontId="6" type="noConversion"/>
  </si>
  <si>
    <t>孚日集团股份有限公司</t>
    <phoneticPr fontId="6" type="noConversion"/>
  </si>
  <si>
    <t>天津汽车模具股份有限公司</t>
    <phoneticPr fontId="6" type="noConversion"/>
  </si>
  <si>
    <t>江苏百川高科新材料股份有限公司</t>
    <phoneticPr fontId="4" type="noConversion"/>
  </si>
  <si>
    <t>云南恩捷新材料股份有限公司</t>
    <phoneticPr fontId="6" type="noConversion"/>
  </si>
  <si>
    <t>蓝帆医疗股份有限公司</t>
    <phoneticPr fontId="4" type="noConversion"/>
  </si>
  <si>
    <t>摩根士丹利华鑫证券有限责任公司,中信证券股份有限公司</t>
    <phoneticPr fontId="4" type="noConversion"/>
  </si>
  <si>
    <t>安徽楚江科技新材料股份有限公司</t>
    <phoneticPr fontId="6" type="noConversion"/>
  </si>
  <si>
    <t>比音勒芬服饰股份有限公司</t>
    <phoneticPr fontId="6" type="noConversion"/>
  </si>
  <si>
    <t>瑞达期货股份有限公司</t>
    <phoneticPr fontId="6" type="noConversion"/>
  </si>
  <si>
    <t>瀛通通讯股份有限公司</t>
    <phoneticPr fontId="6" type="noConversion"/>
  </si>
  <si>
    <t>广东宏川智慧物流股份有限公司</t>
    <phoneticPr fontId="6" type="noConversion"/>
  </si>
  <si>
    <t>深圳市兴森快捷电路科技股份有限公司</t>
    <phoneticPr fontId="6" type="noConversion"/>
  </si>
  <si>
    <t>四川国光农化股份有限公司</t>
    <phoneticPr fontId="6" type="noConversion"/>
  </si>
  <si>
    <t>上海科华生物工程股份有限公司</t>
    <phoneticPr fontId="6" type="noConversion"/>
  </si>
  <si>
    <t>青岛农村商业银行股份有限公司</t>
    <phoneticPr fontId="6" type="noConversion"/>
  </si>
  <si>
    <t>新疆交通建设集团股份有限公司</t>
    <phoneticPr fontId="4" type="noConversion"/>
  </si>
  <si>
    <t>侨银城市管理股份有限公司</t>
    <phoneticPr fontId="6" type="noConversion"/>
  </si>
  <si>
    <t>利民控股集团股份有限公司</t>
    <phoneticPr fontId="4" type="noConversion"/>
  </si>
  <si>
    <t>中国国际金融股份有限公司,国泰君安证券股份有限公司</t>
    <phoneticPr fontId="6" type="noConversion"/>
  </si>
  <si>
    <t>江苏凤凰出版传媒集团有限公司</t>
    <phoneticPr fontId="4" type="noConversion"/>
  </si>
  <si>
    <t>华泰联合证券有限责任公司,中国国际金融股份有限公司,中信证券股份有限公司</t>
    <phoneticPr fontId="4" type="noConversion"/>
  </si>
  <si>
    <t>山东高速集团有限公司</t>
    <phoneticPr fontId="4" type="noConversion"/>
  </si>
  <si>
    <t>中国国际金融股份有限公司,西部证券股份有限公司,广发证券股份有限公司</t>
    <phoneticPr fontId="4" type="noConversion"/>
  </si>
  <si>
    <t>中国电子信息产业集团有限公司</t>
    <phoneticPr fontId="6" type="noConversion"/>
  </si>
  <si>
    <t>宁波美诺华控股集团有限公司</t>
    <phoneticPr fontId="4" type="noConversion"/>
  </si>
  <si>
    <t>灵康控股集团有限公司</t>
    <phoneticPr fontId="4" type="noConversion"/>
  </si>
  <si>
    <t>南京楷得投资有限公司</t>
    <phoneticPr fontId="4" type="noConversion"/>
  </si>
  <si>
    <t>花王国际建设集团有限公司</t>
    <phoneticPr fontId="4" type="noConversion"/>
  </si>
  <si>
    <t>翠丽控股有限公司</t>
    <phoneticPr fontId="4" type="noConversion"/>
  </si>
  <si>
    <t>山东道恩钛业有限公司</t>
    <phoneticPr fontId="4" type="noConversion"/>
  </si>
  <si>
    <t>杭州新胜达投资有限公司</t>
    <phoneticPr fontId="4" type="noConversion"/>
  </si>
  <si>
    <t>本钢集团有限公司</t>
    <phoneticPr fontId="4" type="noConversion"/>
  </si>
  <si>
    <t>绍兴上虞东大针织有限公司</t>
    <phoneticPr fontId="4" type="noConversion"/>
  </si>
  <si>
    <t>华统集团有限公司</t>
    <phoneticPr fontId="4" type="noConversion"/>
  </si>
  <si>
    <t>日本永翔贸易株式会社,宁德市汇和投资有限公司</t>
    <phoneticPr fontId="4" type="noConversion"/>
  </si>
  <si>
    <t>百达控股集团有限公司</t>
    <phoneticPr fontId="4" type="noConversion"/>
  </si>
  <si>
    <t>广州市德议医疗科技有限公司</t>
    <phoneticPr fontId="4" type="noConversion"/>
  </si>
  <si>
    <t>浙江正裕投资有限公司</t>
    <phoneticPr fontId="4" type="noConversion"/>
  </si>
  <si>
    <t>富腾发展有限公司</t>
    <phoneticPr fontId="4" type="noConversion"/>
  </si>
  <si>
    <t>迪贝控股有限公司</t>
    <phoneticPr fontId="4" type="noConversion"/>
  </si>
  <si>
    <t>成都地方建筑机械化工程有限公司</t>
    <phoneticPr fontId="4" type="noConversion"/>
  </si>
  <si>
    <t>德清联创科技新城建设有限公司</t>
    <phoneticPr fontId="4" type="noConversion"/>
  </si>
  <si>
    <t>深圳市亚泰一兆投资有限公司</t>
    <phoneticPr fontId="4" type="noConversion"/>
  </si>
  <si>
    <t>福州市水务投资发展有限公司</t>
    <phoneticPr fontId="4" type="noConversion"/>
  </si>
  <si>
    <t>富源今飞房地产开发有限公司</t>
    <phoneticPr fontId="4" type="noConversion"/>
  </si>
  <si>
    <t>广东省联泰集团有限公司</t>
    <phoneticPr fontId="4" type="noConversion"/>
  </si>
  <si>
    <t>荆门市城市建设投资有限公司</t>
    <phoneticPr fontId="4" type="noConversion"/>
  </si>
  <si>
    <t>东方恒业控股有限公司</t>
    <phoneticPr fontId="4" type="noConversion"/>
  </si>
  <si>
    <t>江苏新泉志和投资有限公司</t>
    <phoneticPr fontId="4" type="noConversion"/>
  </si>
  <si>
    <t>桐乡市顺昌投资有限公司</t>
    <phoneticPr fontId="4" type="noConversion"/>
  </si>
  <si>
    <t>广州海印实业集团有限公司</t>
    <phoneticPr fontId="4" type="noConversion"/>
  </si>
  <si>
    <t>中国航天科工集团有限公司</t>
    <phoneticPr fontId="4" type="noConversion"/>
  </si>
  <si>
    <t>行业</t>
    <phoneticPr fontId="4" type="noConversion"/>
  </si>
  <si>
    <t>底价溢价率</t>
    <phoneticPr fontId="4" type="noConversion"/>
  </si>
  <si>
    <t>剩余比例</t>
    <phoneticPr fontId="4" type="noConversion"/>
  </si>
  <si>
    <t>一级行业</t>
    <phoneticPr fontId="4" type="noConversion"/>
  </si>
  <si>
    <t>二级行业</t>
    <phoneticPr fontId="4" type="noConversion"/>
  </si>
  <si>
    <t>三级行业</t>
    <phoneticPr fontId="4" type="noConversion"/>
  </si>
  <si>
    <t>转债涨幅</t>
    <phoneticPr fontId="4" type="noConversion"/>
  </si>
  <si>
    <t>正股涨幅</t>
    <phoneticPr fontId="4" type="noConversion"/>
  </si>
  <si>
    <t>转股/赎回期</t>
    <phoneticPr fontId="4" type="noConversion"/>
  </si>
  <si>
    <t>票息</t>
    <phoneticPr fontId="4" type="noConversion"/>
  </si>
  <si>
    <t>到期赎回价</t>
    <phoneticPr fontId="4" type="noConversion"/>
  </si>
  <si>
    <t>回售日</t>
    <phoneticPr fontId="6" type="noConversion"/>
  </si>
  <si>
    <t>回售价</t>
    <phoneticPr fontId="6" type="noConversion"/>
  </si>
  <si>
    <t>发行日期</t>
    <phoneticPr fontId="6" type="noConversion"/>
  </si>
  <si>
    <t>当年票息</t>
    <phoneticPr fontId="6" type="noConversion"/>
  </si>
  <si>
    <r>
      <rPr>
        <b/>
        <sz val="9"/>
        <color theme="0"/>
        <rFont val="KaiTi"/>
        <family val="3"/>
        <charset val="134"/>
      </rPr>
      <t>市场</t>
    </r>
    <phoneticPr fontId="4" type="noConversion"/>
  </si>
  <si>
    <r>
      <rPr>
        <b/>
        <sz val="9"/>
        <color theme="0"/>
        <rFont val="KaiTi"/>
        <family val="3"/>
        <charset val="134"/>
      </rPr>
      <t>转债代码</t>
    </r>
    <phoneticPr fontId="4" type="noConversion"/>
  </si>
  <si>
    <r>
      <rPr>
        <b/>
        <sz val="9"/>
        <color theme="0"/>
        <rFont val="KaiTi"/>
        <family val="3"/>
        <charset val="134"/>
      </rPr>
      <t>转债名称</t>
    </r>
    <phoneticPr fontId="4" type="noConversion"/>
  </si>
  <si>
    <r>
      <rPr>
        <b/>
        <sz val="9"/>
        <color theme="0"/>
        <rFont val="KaiTi"/>
        <family val="3"/>
        <charset val="134"/>
      </rPr>
      <t>正股代码</t>
    </r>
    <phoneticPr fontId="4" type="noConversion"/>
  </si>
  <si>
    <r>
      <rPr>
        <b/>
        <sz val="9"/>
        <color theme="0"/>
        <rFont val="KaiTi"/>
        <family val="3"/>
        <charset val="134"/>
      </rPr>
      <t>实时价格</t>
    </r>
    <phoneticPr fontId="6" type="noConversion"/>
  </si>
  <si>
    <r>
      <rPr>
        <b/>
        <sz val="9"/>
        <color theme="0"/>
        <rFont val="KaiTi"/>
        <family val="3"/>
        <charset val="134"/>
      </rPr>
      <t>剩余期限</t>
    </r>
    <phoneticPr fontId="6" type="noConversion"/>
  </si>
  <si>
    <r>
      <rPr>
        <b/>
        <sz val="9"/>
        <color theme="0"/>
        <rFont val="KaiTi"/>
        <family val="3"/>
        <charset val="134"/>
      </rPr>
      <t>成交额</t>
    </r>
    <phoneticPr fontId="4" type="noConversion"/>
  </si>
  <si>
    <r>
      <rPr>
        <b/>
        <sz val="9"/>
        <color theme="0"/>
        <rFont val="KaiTi"/>
        <family val="3"/>
        <charset val="134"/>
      </rPr>
      <t>转股价</t>
    </r>
    <phoneticPr fontId="4" type="noConversion"/>
  </si>
  <si>
    <r>
      <rPr>
        <b/>
        <sz val="9"/>
        <color theme="0"/>
        <rFont val="KaiTi"/>
        <family val="3"/>
        <charset val="134"/>
      </rPr>
      <t>转债平价</t>
    </r>
    <phoneticPr fontId="4" type="noConversion"/>
  </si>
  <si>
    <r>
      <rPr>
        <b/>
        <sz val="9"/>
        <color theme="0"/>
        <rFont val="KaiTi"/>
        <family val="3"/>
        <charset val="134"/>
      </rPr>
      <t>平价溢价率</t>
    </r>
    <phoneticPr fontId="4" type="noConversion"/>
  </si>
  <si>
    <r>
      <rPr>
        <b/>
        <sz val="9"/>
        <color theme="0"/>
        <rFont val="KaiTi"/>
        <family val="3"/>
        <charset val="134"/>
      </rPr>
      <t>底价</t>
    </r>
    <phoneticPr fontId="4" type="noConversion"/>
  </si>
  <si>
    <r>
      <rPr>
        <b/>
        <sz val="9"/>
        <color theme="0"/>
        <rFont val="KaiTi"/>
        <family val="3"/>
        <charset val="134"/>
      </rPr>
      <t>评级</t>
    </r>
    <phoneticPr fontId="4" type="noConversion"/>
  </si>
  <si>
    <r>
      <rPr>
        <b/>
        <sz val="9"/>
        <color theme="0"/>
        <rFont val="KaiTi"/>
        <family val="3"/>
        <charset val="134"/>
      </rPr>
      <t>余额</t>
    </r>
    <phoneticPr fontId="4" type="noConversion"/>
  </si>
  <si>
    <r>
      <rPr>
        <b/>
        <sz val="9"/>
        <color theme="0"/>
        <rFont val="KaiTi"/>
        <family val="3"/>
        <charset val="134"/>
      </rPr>
      <t>发行额</t>
    </r>
    <phoneticPr fontId="4" type="noConversion"/>
  </si>
  <si>
    <r>
      <rPr>
        <b/>
        <sz val="9"/>
        <color theme="0"/>
        <rFont val="KaiTi"/>
        <family val="3"/>
        <charset val="134"/>
      </rPr>
      <t>稀释率</t>
    </r>
    <phoneticPr fontId="6" type="noConversion"/>
  </si>
  <si>
    <r>
      <rPr>
        <b/>
        <sz val="9"/>
        <color theme="0"/>
        <rFont val="KaiTi"/>
        <family val="3"/>
        <charset val="134"/>
      </rPr>
      <t>上市日期</t>
    </r>
    <phoneticPr fontId="4" type="noConversion"/>
  </si>
  <si>
    <t>排序↓</t>
    <phoneticPr fontId="6" type="noConversion"/>
  </si>
  <si>
    <r>
      <rPr>
        <b/>
        <sz val="9"/>
        <color theme="0"/>
        <rFont val="KaiTi"/>
        <family val="3"/>
        <charset val="134"/>
      </rPr>
      <t>转债</t>
    </r>
    <phoneticPr fontId="6" type="noConversion"/>
  </si>
  <si>
    <r>
      <rPr>
        <b/>
        <sz val="9"/>
        <color theme="0"/>
        <rFont val="KaiTi"/>
        <family val="3"/>
        <charset val="134"/>
      </rPr>
      <t>正股</t>
    </r>
    <phoneticPr fontId="6" type="noConversion"/>
  </si>
  <si>
    <t>↓</t>
    <phoneticPr fontId="6" type="noConversion"/>
  </si>
  <si>
    <t>↓</t>
  </si>
  <si>
    <r>
      <rPr>
        <b/>
        <sz val="9"/>
        <color theme="0"/>
        <rFont val="KaiTi"/>
        <family val="3"/>
        <charset val="134"/>
      </rPr>
      <t>交易所</t>
    </r>
    <phoneticPr fontId="6" type="noConversion"/>
  </si>
  <si>
    <r>
      <rPr>
        <b/>
        <sz val="9"/>
        <color theme="0"/>
        <rFont val="KaiTi"/>
        <family val="3"/>
        <charset val="134"/>
      </rPr>
      <t>代码</t>
    </r>
    <phoneticPr fontId="6" type="noConversion"/>
  </si>
  <si>
    <r>
      <rPr>
        <b/>
        <sz val="9"/>
        <color theme="0"/>
        <rFont val="KaiTi"/>
        <family val="3"/>
        <charset val="134"/>
      </rPr>
      <t>名称</t>
    </r>
    <phoneticPr fontId="6" type="noConversion"/>
  </si>
  <si>
    <r>
      <rPr>
        <b/>
        <sz val="9"/>
        <color theme="0"/>
        <rFont val="KaiTi"/>
        <family val="3"/>
        <charset val="134"/>
      </rPr>
      <t>发行额</t>
    </r>
    <phoneticPr fontId="6" type="noConversion"/>
  </si>
  <si>
    <r>
      <rPr>
        <b/>
        <sz val="9"/>
        <color theme="0"/>
        <rFont val="KaiTi"/>
        <family val="3"/>
        <charset val="134"/>
      </rPr>
      <t>转股价</t>
    </r>
  </si>
  <si>
    <r>
      <rPr>
        <b/>
        <sz val="9"/>
        <color theme="0"/>
        <rFont val="KaiTi"/>
        <family val="3"/>
        <charset val="134"/>
      </rPr>
      <t>标准券折算比例</t>
    </r>
    <phoneticPr fontId="6" type="noConversion"/>
  </si>
  <si>
    <r>
      <rPr>
        <b/>
        <sz val="9"/>
        <color theme="0"/>
        <rFont val="KaiTi"/>
        <family val="3"/>
        <charset val="134"/>
      </rPr>
      <t>信用评级</t>
    </r>
    <phoneticPr fontId="6" type="noConversion"/>
  </si>
  <si>
    <r>
      <rPr>
        <b/>
        <sz val="9"/>
        <color theme="0"/>
        <rFont val="KaiTi"/>
        <family val="3"/>
        <charset val="134"/>
      </rPr>
      <t>评级机构</t>
    </r>
    <phoneticPr fontId="6" type="noConversion"/>
  </si>
  <si>
    <r>
      <rPr>
        <b/>
        <sz val="9"/>
        <color theme="0"/>
        <rFont val="KaiTi"/>
        <family val="3"/>
        <charset val="134"/>
      </rPr>
      <t>发行人</t>
    </r>
    <phoneticPr fontId="6" type="noConversion"/>
  </si>
  <si>
    <r>
      <rPr>
        <b/>
        <sz val="9"/>
        <color theme="0"/>
        <rFont val="KaiTi"/>
        <family val="3"/>
        <charset val="134"/>
      </rPr>
      <t>担保人</t>
    </r>
    <phoneticPr fontId="6" type="noConversion"/>
  </si>
  <si>
    <r>
      <rPr>
        <b/>
        <sz val="9"/>
        <color theme="0"/>
        <rFont val="KaiTi"/>
        <family val="3"/>
        <charset val="134"/>
      </rPr>
      <t>主承销商</t>
    </r>
    <phoneticPr fontId="6" type="noConversion"/>
  </si>
  <si>
    <r>
      <rPr>
        <b/>
        <sz val="9"/>
        <color theme="0"/>
        <rFont val="KaiTi"/>
        <family val="3"/>
        <charset val="134"/>
      </rPr>
      <t>修正</t>
    </r>
    <phoneticPr fontId="6" type="noConversion"/>
  </si>
  <si>
    <r>
      <rPr>
        <b/>
        <sz val="9"/>
        <color theme="0"/>
        <rFont val="KaiTi"/>
        <family val="3"/>
        <charset val="134"/>
      </rPr>
      <t>回售</t>
    </r>
    <phoneticPr fontId="6" type="noConversion"/>
  </si>
  <si>
    <r>
      <rPr>
        <b/>
        <sz val="9"/>
        <color theme="0"/>
        <rFont val="KaiTi"/>
        <family val="3"/>
        <charset val="134"/>
      </rPr>
      <t>赎回</t>
    </r>
    <phoneticPr fontId="6" type="noConversion"/>
  </si>
  <si>
    <r>
      <rPr>
        <b/>
        <sz val="9"/>
        <color theme="0"/>
        <rFont val="KaiTi"/>
        <family val="3"/>
        <charset val="134"/>
      </rPr>
      <t>到期赎回价</t>
    </r>
    <phoneticPr fontId="6" type="noConversion"/>
  </si>
  <si>
    <r>
      <rPr>
        <b/>
        <sz val="9"/>
        <color theme="0"/>
        <rFont val="KaiTi"/>
        <family val="3"/>
        <charset val="134"/>
      </rPr>
      <t>到期日</t>
    </r>
    <phoneticPr fontId="6" type="noConversion"/>
  </si>
  <si>
    <r>
      <rPr>
        <b/>
        <sz val="9"/>
        <color theme="0"/>
        <rFont val="KaiTi"/>
        <family val="3"/>
        <charset val="134"/>
      </rPr>
      <t>转股期</t>
    </r>
    <phoneticPr fontId="6" type="noConversion"/>
  </si>
  <si>
    <r>
      <rPr>
        <b/>
        <sz val="9"/>
        <color theme="0"/>
        <rFont val="KaiTi"/>
        <family val="3"/>
        <charset val="134"/>
      </rPr>
      <t>赎回期</t>
    </r>
    <phoneticPr fontId="6" type="noConversion"/>
  </si>
  <si>
    <r>
      <rPr>
        <b/>
        <sz val="9"/>
        <color theme="0"/>
        <rFont val="KaiTi"/>
        <family val="3"/>
        <charset val="134"/>
      </rPr>
      <t>正股名称</t>
    </r>
    <phoneticPr fontId="4" type="noConversion"/>
  </si>
  <si>
    <r>
      <rPr>
        <b/>
        <sz val="9"/>
        <color theme="0"/>
        <rFont val="KaiTi"/>
        <family val="3"/>
        <charset val="134"/>
      </rPr>
      <t>公司体量</t>
    </r>
    <phoneticPr fontId="4" type="noConversion"/>
  </si>
  <si>
    <r>
      <rPr>
        <b/>
        <sz val="9"/>
        <color theme="0"/>
        <rFont val="KaiTi"/>
        <family val="3"/>
        <charset val="134"/>
      </rPr>
      <t>估值</t>
    </r>
    <phoneticPr fontId="4" type="noConversion"/>
  </si>
  <si>
    <r>
      <rPr>
        <b/>
        <sz val="9"/>
        <color theme="0"/>
        <rFont val="KaiTi"/>
        <family val="3"/>
        <charset val="134"/>
      </rPr>
      <t>盈利</t>
    </r>
    <phoneticPr fontId="4" type="noConversion"/>
  </si>
  <si>
    <r>
      <rPr>
        <b/>
        <sz val="9"/>
        <color theme="0"/>
        <rFont val="KaiTi"/>
        <family val="3"/>
        <charset val="134"/>
      </rPr>
      <t>成长能力：</t>
    </r>
    <r>
      <rPr>
        <b/>
        <sz val="9"/>
        <color theme="0"/>
        <rFont val="Arial"/>
        <family val="2"/>
      </rPr>
      <t>3</t>
    </r>
    <r>
      <rPr>
        <b/>
        <sz val="9"/>
        <color theme="0"/>
        <rFont val="KaiTi"/>
        <family val="3"/>
        <charset val="134"/>
      </rPr>
      <t>年营收复合增长率</t>
    </r>
    <phoneticPr fontId="4" type="noConversion"/>
  </si>
  <si>
    <r>
      <rPr>
        <b/>
        <sz val="9"/>
        <color theme="0"/>
        <rFont val="KaiTi"/>
        <family val="3"/>
        <charset val="134"/>
      </rPr>
      <t>成长能力：</t>
    </r>
    <r>
      <rPr>
        <b/>
        <sz val="9"/>
        <color theme="0"/>
        <rFont val="Arial"/>
        <family val="2"/>
      </rPr>
      <t>3</t>
    </r>
    <r>
      <rPr>
        <b/>
        <sz val="9"/>
        <color theme="0"/>
        <rFont val="KaiTi"/>
        <family val="3"/>
        <charset val="134"/>
      </rPr>
      <t>年净利润复合增长率</t>
    </r>
    <phoneticPr fontId="4" type="noConversion"/>
  </si>
  <si>
    <r>
      <rPr>
        <b/>
        <sz val="9"/>
        <color theme="4" tint="-0.249977111117893"/>
        <rFont val="KaiTi"/>
        <family val="3"/>
        <charset val="134"/>
      </rPr>
      <t>总市值</t>
    </r>
    <phoneticPr fontId="4" type="noConversion"/>
  </si>
  <si>
    <r>
      <rPr>
        <b/>
        <sz val="9"/>
        <color theme="4" tint="-0.249977111117893"/>
        <rFont val="KaiTi"/>
        <family val="3"/>
        <charset val="134"/>
      </rPr>
      <t>总股本</t>
    </r>
    <phoneticPr fontId="4" type="noConversion"/>
  </si>
  <si>
    <r>
      <rPr>
        <b/>
        <sz val="9"/>
        <color theme="4" tint="-0.249977111117893"/>
        <rFont val="KaiTi"/>
        <family val="3"/>
        <charset val="134"/>
      </rPr>
      <t>流通</t>
    </r>
    <r>
      <rPr>
        <b/>
        <sz val="9"/>
        <color theme="4" tint="-0.249977111117893"/>
        <rFont val="Arial"/>
        <family val="2"/>
      </rPr>
      <t>A</t>
    </r>
    <r>
      <rPr>
        <b/>
        <sz val="9"/>
        <color theme="4" tint="-0.249977111117893"/>
        <rFont val="KaiTi"/>
        <family val="3"/>
        <charset val="134"/>
      </rPr>
      <t>股</t>
    </r>
    <phoneticPr fontId="4" type="noConversion"/>
  </si>
  <si>
    <r>
      <rPr>
        <b/>
        <sz val="9"/>
        <color theme="4" tint="-0.249977111117893"/>
        <rFont val="KaiTi"/>
        <family val="3"/>
        <charset val="134"/>
      </rPr>
      <t>营收</t>
    </r>
    <r>
      <rPr>
        <b/>
        <sz val="9"/>
        <color theme="4" tint="-0.249977111117893"/>
        <rFont val="Arial"/>
        <family val="2"/>
      </rPr>
      <t>TTM</t>
    </r>
    <phoneticPr fontId="4" type="noConversion"/>
  </si>
  <si>
    <r>
      <rPr>
        <b/>
        <sz val="9"/>
        <color theme="4" tint="-0.249977111117893"/>
        <rFont val="KaiTi"/>
        <family val="3"/>
        <charset val="134"/>
      </rPr>
      <t>净利润</t>
    </r>
    <r>
      <rPr>
        <b/>
        <sz val="9"/>
        <color theme="4" tint="-0.249977111117893"/>
        <rFont val="Arial"/>
        <family val="2"/>
      </rPr>
      <t>TTM</t>
    </r>
    <phoneticPr fontId="4" type="noConversion"/>
  </si>
  <si>
    <r>
      <t>5</t>
    </r>
    <r>
      <rPr>
        <b/>
        <sz val="9"/>
        <color theme="4" tint="-0.249977111117893"/>
        <rFont val="KaiTi"/>
        <family val="3"/>
        <charset val="134"/>
      </rPr>
      <t>年分位数</t>
    </r>
    <phoneticPr fontId="4" type="noConversion"/>
  </si>
  <si>
    <r>
      <rPr>
        <b/>
        <sz val="9"/>
        <color theme="4" tint="-0.249977111117893"/>
        <rFont val="KaiTi"/>
        <family val="3"/>
        <charset val="134"/>
      </rPr>
      <t>行业</t>
    </r>
    <r>
      <rPr>
        <b/>
        <sz val="9"/>
        <color theme="4" tint="-0.249977111117893"/>
        <rFont val="Arial"/>
        <family val="2"/>
      </rPr>
      <t>PE</t>
    </r>
    <phoneticPr fontId="4" type="noConversion"/>
  </si>
  <si>
    <r>
      <rPr>
        <b/>
        <sz val="9"/>
        <color theme="4" tint="-0.249977111117893"/>
        <rFont val="KaiTi"/>
        <family val="3"/>
        <charset val="134"/>
      </rPr>
      <t>毛利率</t>
    </r>
    <phoneticPr fontId="4" type="noConversion"/>
  </si>
  <si>
    <r>
      <rPr>
        <b/>
        <sz val="9"/>
        <color theme="4" tint="-0.249977111117893"/>
        <rFont val="KaiTi"/>
        <family val="3"/>
        <charset val="134"/>
      </rPr>
      <t>净利率</t>
    </r>
    <phoneticPr fontId="4" type="noConversion"/>
  </si>
  <si>
    <r>
      <rPr>
        <b/>
        <sz val="9"/>
        <color theme="4" tint="-0.249977111117893"/>
        <rFont val="KaiTi"/>
        <family val="3"/>
        <charset val="134"/>
      </rPr>
      <t>收现比</t>
    </r>
    <phoneticPr fontId="4" type="noConversion"/>
  </si>
  <si>
    <r>
      <rPr>
        <b/>
        <sz val="9"/>
        <color theme="4" tint="-0.249977111117893"/>
        <rFont val="KaiTi"/>
        <family val="3"/>
        <charset val="134"/>
      </rPr>
      <t>周转率</t>
    </r>
    <phoneticPr fontId="4" type="noConversion"/>
  </si>
  <si>
    <r>
      <rPr>
        <b/>
        <sz val="9"/>
        <color theme="4" tint="-0.249977111117893"/>
        <rFont val="KaiTi"/>
        <family val="3"/>
        <charset val="134"/>
      </rPr>
      <t>权益乘数</t>
    </r>
    <phoneticPr fontId="4" type="noConversion"/>
  </si>
  <si>
    <r>
      <rPr>
        <b/>
        <sz val="8"/>
        <color theme="0"/>
        <rFont val="KaiTi"/>
        <family val="3"/>
        <charset val="134"/>
      </rPr>
      <t>最近五个季度</t>
    </r>
    <phoneticPr fontId="4" type="noConversion"/>
  </si>
  <si>
    <r>
      <rPr>
        <b/>
        <sz val="8"/>
        <color theme="0"/>
        <rFont val="KaiTi"/>
        <family val="3"/>
        <charset val="134"/>
      </rPr>
      <t xml:space="preserve">市值：
</t>
    </r>
    <r>
      <rPr>
        <b/>
        <sz val="8"/>
        <color theme="0"/>
        <rFont val="Arial"/>
        <family val="2"/>
      </rPr>
      <t>100</t>
    </r>
    <r>
      <rPr>
        <b/>
        <sz val="8"/>
        <color theme="0"/>
        <rFont val="KaiTi"/>
        <family val="3"/>
        <charset val="134"/>
      </rPr>
      <t>亿以下</t>
    </r>
    <phoneticPr fontId="4" type="noConversion"/>
  </si>
  <si>
    <r>
      <rPr>
        <b/>
        <sz val="8"/>
        <color theme="0"/>
        <rFont val="KaiTi"/>
        <family val="3"/>
        <charset val="134"/>
      </rPr>
      <t xml:space="preserve">市值：
</t>
    </r>
    <r>
      <rPr>
        <b/>
        <sz val="8"/>
        <color theme="0"/>
        <rFont val="Arial"/>
        <family val="2"/>
      </rPr>
      <t>100-500</t>
    </r>
    <r>
      <rPr>
        <b/>
        <sz val="8"/>
        <color theme="0"/>
        <rFont val="KaiTi"/>
        <family val="3"/>
        <charset val="134"/>
      </rPr>
      <t>亿</t>
    </r>
    <phoneticPr fontId="4" type="noConversion"/>
  </si>
  <si>
    <r>
      <rPr>
        <b/>
        <sz val="8"/>
        <color theme="0"/>
        <rFont val="KaiTi"/>
        <family val="3"/>
        <charset val="134"/>
      </rPr>
      <t xml:space="preserve">市值：
</t>
    </r>
    <r>
      <rPr>
        <b/>
        <sz val="8"/>
        <color theme="0"/>
        <rFont val="Arial"/>
        <family val="2"/>
      </rPr>
      <t>500</t>
    </r>
    <r>
      <rPr>
        <b/>
        <sz val="8"/>
        <color theme="0"/>
        <rFont val="KaiTi"/>
        <family val="3"/>
        <charset val="134"/>
      </rPr>
      <t>亿以上</t>
    </r>
    <phoneticPr fontId="4" type="noConversion"/>
  </si>
  <si>
    <r>
      <rPr>
        <sz val="8"/>
        <color rgb="FF000000"/>
        <rFont val="KaiTi"/>
        <family val="3"/>
        <charset val="134"/>
      </rPr>
      <t>（</t>
    </r>
    <r>
      <rPr>
        <sz val="8"/>
        <color rgb="FF000000"/>
        <rFont val="Arial"/>
        <family val="2"/>
      </rPr>
      <t>2</t>
    </r>
    <r>
      <rPr>
        <sz val="8"/>
        <color rgb="FF000000"/>
        <rFont val="KaiTi"/>
        <family val="3"/>
        <charset val="134"/>
      </rPr>
      <t>）附加回售条款：当投资项目的实施情况出现重大变化，且证监会认定为改变募集资金用途。</t>
    </r>
    <phoneticPr fontId="6" type="noConversion"/>
  </si>
  <si>
    <t>股权激励（净利润）</t>
    <phoneticPr fontId="4" type="noConversion"/>
  </si>
  <si>
    <r>
      <t>6</t>
    </r>
    <r>
      <rPr>
        <sz val="8"/>
        <color rgb="FF000000"/>
        <rFont val="KaiTi"/>
        <family val="3"/>
        <charset val="134"/>
      </rPr>
      <t>个月</t>
    </r>
    <phoneticPr fontId="6" type="noConversion"/>
  </si>
  <si>
    <r>
      <rPr>
        <b/>
        <sz val="9"/>
        <color rgb="FF000000"/>
        <rFont val="KaiTi"/>
        <family val="3"/>
        <charset val="134"/>
      </rPr>
      <t>转债名称</t>
    </r>
  </si>
  <si>
    <r>
      <rPr>
        <b/>
        <sz val="9"/>
        <color rgb="FF000000"/>
        <rFont val="KaiTi"/>
        <family val="3"/>
        <charset val="134"/>
      </rPr>
      <t>债券代码</t>
    </r>
  </si>
  <si>
    <r>
      <rPr>
        <b/>
        <sz val="9"/>
        <color rgb="FF000000"/>
        <rFont val="KaiTi"/>
        <family val="3"/>
        <charset val="134"/>
      </rPr>
      <t>发行规模</t>
    </r>
  </si>
  <si>
    <r>
      <rPr>
        <b/>
        <sz val="9"/>
        <color rgb="FF000000"/>
        <rFont val="KaiTi"/>
        <family val="3"/>
        <charset val="134"/>
      </rPr>
      <t>债项评级</t>
    </r>
  </si>
  <si>
    <r>
      <rPr>
        <b/>
        <sz val="9"/>
        <color rgb="FF000000"/>
        <rFont val="KaiTi"/>
        <family val="3"/>
        <charset val="134"/>
      </rPr>
      <t>存续期</t>
    </r>
  </si>
  <si>
    <r>
      <rPr>
        <b/>
        <sz val="9"/>
        <color rgb="FF000000"/>
        <rFont val="KaiTi"/>
        <family val="3"/>
        <charset val="134"/>
      </rPr>
      <t>票面利率</t>
    </r>
  </si>
  <si>
    <r>
      <rPr>
        <b/>
        <sz val="9"/>
        <color rgb="FF000000"/>
        <rFont val="KaiTi"/>
        <family val="3"/>
        <charset val="134"/>
      </rPr>
      <t>转股价格</t>
    </r>
  </si>
  <si>
    <r>
      <rPr>
        <b/>
        <sz val="9"/>
        <color rgb="FF000000"/>
        <rFont val="KaiTi"/>
        <family val="3"/>
        <charset val="134"/>
      </rPr>
      <t>转股期</t>
    </r>
  </si>
  <si>
    <r>
      <rPr>
        <b/>
        <sz val="9"/>
        <color rgb="FF000000"/>
        <rFont val="KaiTi"/>
        <family val="3"/>
        <charset val="134"/>
      </rPr>
      <t>存续时间</t>
    </r>
  </si>
  <si>
    <r>
      <rPr>
        <b/>
        <sz val="9"/>
        <color rgb="FF000000"/>
        <rFont val="KaiTi"/>
        <family val="3"/>
        <charset val="134"/>
      </rPr>
      <t>下修条款</t>
    </r>
  </si>
  <si>
    <r>
      <rPr>
        <b/>
        <sz val="9"/>
        <color rgb="FF000000"/>
        <rFont val="KaiTi"/>
        <family val="3"/>
        <charset val="134"/>
      </rPr>
      <t>赎回条款</t>
    </r>
  </si>
  <si>
    <r>
      <rPr>
        <b/>
        <sz val="9"/>
        <color rgb="FF000000"/>
        <rFont val="KaiTi"/>
        <family val="3"/>
        <charset val="134"/>
      </rPr>
      <t>回售条款</t>
    </r>
  </si>
  <si>
    <r>
      <rPr>
        <sz val="26"/>
        <color theme="1"/>
        <rFont val="楷体"/>
        <family val="3"/>
        <charset val="134"/>
      </rPr>
      <t>【华泰固收】转债</t>
    </r>
    <r>
      <rPr>
        <sz val="26"/>
        <color theme="1"/>
        <rFont val="Arial"/>
        <family val="2"/>
      </rPr>
      <t>Montitor(Versrion2021-03-30</t>
    </r>
    <r>
      <rPr>
        <sz val="26"/>
        <color theme="1"/>
        <rFont val="楷体"/>
        <family val="3"/>
        <charset val="134"/>
      </rPr>
      <t>版</t>
    </r>
    <r>
      <rPr>
        <sz val="26"/>
        <color theme="1"/>
        <rFont val="Arial"/>
        <family val="2"/>
      </rPr>
      <t xml:space="preserve">) </t>
    </r>
    <r>
      <rPr>
        <sz val="26"/>
        <color theme="1"/>
        <rFont val="楷体"/>
        <family val="3"/>
        <charset val="134"/>
      </rPr>
      <t>使用说明</t>
    </r>
    <phoneticPr fontId="4" type="noConversion"/>
  </si>
  <si>
    <r>
      <rPr>
        <sz val="11"/>
        <color theme="1"/>
        <rFont val="KaiTi"/>
        <family val="3"/>
        <charset val="134"/>
      </rPr>
      <t>使用前准备：</t>
    </r>
    <r>
      <rPr>
        <sz val="11"/>
        <color theme="1"/>
        <rFont val="Arial"/>
        <family val="2"/>
      </rPr>
      <t>1</t>
    </r>
    <r>
      <rPr>
        <sz val="11"/>
        <color theme="1"/>
        <rFont val="KaiTi"/>
        <family val="3"/>
        <charset val="134"/>
      </rPr>
      <t>）请检查本机</t>
    </r>
    <r>
      <rPr>
        <sz val="11"/>
        <color theme="1"/>
        <rFont val="Arial"/>
        <family val="2"/>
      </rPr>
      <t>Wind</t>
    </r>
    <r>
      <rPr>
        <sz val="11"/>
        <color theme="1"/>
        <rFont val="KaiTi"/>
        <family val="3"/>
        <charset val="134"/>
      </rPr>
      <t>的</t>
    </r>
    <r>
      <rPr>
        <sz val="11"/>
        <color theme="1"/>
        <rFont val="Arial"/>
        <family val="2"/>
      </rPr>
      <t>VBA</t>
    </r>
    <r>
      <rPr>
        <sz val="11"/>
        <color theme="1"/>
        <rFont val="KaiTi"/>
        <family val="3"/>
        <charset val="134"/>
      </rPr>
      <t>与</t>
    </r>
    <r>
      <rPr>
        <sz val="11"/>
        <color theme="1"/>
        <rFont val="Arial"/>
        <family val="2"/>
      </rPr>
      <t>EXCEL</t>
    </r>
    <r>
      <rPr>
        <sz val="11"/>
        <color theme="1"/>
        <rFont val="KaiTi"/>
        <family val="3"/>
        <charset val="134"/>
      </rPr>
      <t>插件是否可用、网络是否正常连接</t>
    </r>
    <r>
      <rPr>
        <sz val="11"/>
        <color theme="1"/>
        <rFont val="宋体"/>
        <family val="2"/>
        <charset val="134"/>
      </rPr>
      <t>；</t>
    </r>
    <r>
      <rPr>
        <sz val="11"/>
        <color theme="1"/>
        <rFont val="Arial"/>
        <family val="2"/>
      </rPr>
      <t>2</t>
    </r>
    <r>
      <rPr>
        <sz val="11"/>
        <color theme="1"/>
        <rFont val="宋体"/>
        <family val="2"/>
        <charset val="134"/>
      </rPr>
      <t>）</t>
    </r>
    <r>
      <rPr>
        <sz val="11"/>
        <color theme="1"/>
        <rFont val="KaiTi"/>
        <family val="3"/>
        <charset val="134"/>
      </rPr>
      <t>如有【</t>
    </r>
    <r>
      <rPr>
        <sz val="11"/>
        <color rgb="FFFF0000"/>
        <rFont val="KaiTi"/>
        <family val="3"/>
        <charset val="134"/>
      </rPr>
      <t>找不到模块</t>
    </r>
    <r>
      <rPr>
        <sz val="11"/>
        <color theme="1"/>
        <rFont val="KaiTi"/>
        <family val="3"/>
        <charset val="134"/>
      </rPr>
      <t>】等问题，请点击</t>
    </r>
    <r>
      <rPr>
        <sz val="11"/>
        <color theme="1"/>
        <rFont val="Arial"/>
        <family val="2"/>
      </rPr>
      <t>Wind</t>
    </r>
    <r>
      <rPr>
        <sz val="11"/>
        <color theme="1"/>
        <rFont val="KaiTi"/>
        <family val="3"/>
        <charset val="134"/>
      </rPr>
      <t>进行修复，步骤如下：</t>
    </r>
    <phoneticPr fontId="4" type="noConversion"/>
  </si>
  <si>
    <t>市场表现</t>
    <phoneticPr fontId="6" type="noConversion"/>
  </si>
  <si>
    <t>转债指标</t>
    <phoneticPr fontId="6" type="noConversion"/>
  </si>
  <si>
    <t>涨幅前五</t>
    <phoneticPr fontId="6" type="noConversion"/>
  </si>
  <si>
    <t>成交前五</t>
    <phoneticPr fontId="6" type="noConversion"/>
  </si>
  <si>
    <r>
      <rPr>
        <b/>
        <sz val="8"/>
        <color indexed="8"/>
        <rFont val="楷体"/>
        <family val="3"/>
        <charset val="134"/>
      </rPr>
      <t>成交额</t>
    </r>
    <phoneticPr fontId="12" type="noConversion"/>
  </si>
  <si>
    <t>平均平价溢价率</t>
    <phoneticPr fontId="6" type="noConversion"/>
  </si>
  <si>
    <t>6年</t>
    <phoneticPr fontId="6" type="noConversion"/>
  </si>
  <si>
    <t>（2）提前赎回：转股期内，15/30，130%（含130%）；未转股余额不足3000万元</t>
    <phoneticPr fontId="6" type="noConversion"/>
  </si>
  <si>
    <t>123109.SZ</t>
  </si>
  <si>
    <t>昌红转债</t>
  </si>
  <si>
    <t>123110.SZ</t>
  </si>
  <si>
    <t>九典转债</t>
  </si>
  <si>
    <t>110080.SH</t>
  </si>
  <si>
    <t>东湖转债</t>
  </si>
  <si>
    <t>110081.SH</t>
  </si>
  <si>
    <t>闻泰转债</t>
  </si>
  <si>
    <t>111000.SH</t>
  </si>
  <si>
    <t>起帆转债</t>
  </si>
  <si>
    <t>113047.SH</t>
  </si>
  <si>
    <t>旗滨转债</t>
  </si>
  <si>
    <t>113048.SH</t>
  </si>
  <si>
    <t>晶科转债</t>
  </si>
  <si>
    <t>113049.SH</t>
  </si>
  <si>
    <t>长汽转债</t>
  </si>
  <si>
    <t>113050.SH</t>
  </si>
  <si>
    <t>南银转债</t>
  </si>
  <si>
    <t>113051.SH</t>
  </si>
  <si>
    <t>节能转债</t>
  </si>
  <si>
    <t>113623.SH</t>
  </si>
  <si>
    <t>凤21转债</t>
  </si>
  <si>
    <t>113624.SH</t>
  </si>
  <si>
    <t>正川转债</t>
  </si>
  <si>
    <t>113625.SH</t>
  </si>
  <si>
    <t>江山转债</t>
  </si>
  <si>
    <t>113626.SH</t>
  </si>
  <si>
    <t>伯特转债</t>
  </si>
  <si>
    <t>113627.SH</t>
  </si>
  <si>
    <t>太平转债</t>
  </si>
  <si>
    <t>113628.SH</t>
  </si>
  <si>
    <t>晨丰转债</t>
  </si>
  <si>
    <t>118001.SH</t>
  </si>
  <si>
    <t>金博转债</t>
  </si>
  <si>
    <t>118002.SH</t>
  </si>
  <si>
    <t>天合转债</t>
  </si>
  <si>
    <t>123111.SZ</t>
  </si>
  <si>
    <t>东财转3</t>
  </si>
  <si>
    <t>123112.SZ</t>
  </si>
  <si>
    <t>万讯转债</t>
  </si>
  <si>
    <t>123113.SZ</t>
  </si>
  <si>
    <t>仙乐转债</t>
  </si>
  <si>
    <t>123114.SZ</t>
  </si>
  <si>
    <t>三角转债</t>
  </si>
  <si>
    <t>123115.SZ</t>
  </si>
  <si>
    <t>捷捷转债</t>
  </si>
  <si>
    <t>123116.SZ</t>
  </si>
  <si>
    <t>万兴转债</t>
  </si>
  <si>
    <t>123117.SZ</t>
  </si>
  <si>
    <t>健帆转债</t>
  </si>
  <si>
    <t>123118.SZ</t>
  </si>
  <si>
    <t>惠城转债</t>
  </si>
  <si>
    <t>123119.SZ</t>
  </si>
  <si>
    <t>康泰转2</t>
  </si>
  <si>
    <t>123120.SZ</t>
  </si>
  <si>
    <t>隆华转债</t>
  </si>
  <si>
    <t>123121.SZ</t>
  </si>
  <si>
    <t>帝尔转债</t>
  </si>
  <si>
    <t>123122.SZ</t>
  </si>
  <si>
    <t>富瀚转债</t>
  </si>
  <si>
    <t>123123.SZ</t>
  </si>
  <si>
    <t>江丰转债</t>
  </si>
  <si>
    <t>123124.SZ</t>
  </si>
  <si>
    <t>N晶瑞转</t>
  </si>
  <si>
    <t>123125.SZ</t>
  </si>
  <si>
    <t>元力转债</t>
  </si>
  <si>
    <t>127032.SZ</t>
  </si>
  <si>
    <t>苏行转债</t>
  </si>
  <si>
    <t>127033.SZ</t>
  </si>
  <si>
    <t>中装转2</t>
  </si>
  <si>
    <t>127034.SZ</t>
  </si>
  <si>
    <t>绿茵转债</t>
  </si>
  <si>
    <t>127035.SZ</t>
  </si>
  <si>
    <t>濮耐转债</t>
  </si>
  <si>
    <t>127036.SZ</t>
  </si>
  <si>
    <t>三花转债</t>
  </si>
  <si>
    <t>127037.SZ</t>
  </si>
  <si>
    <t>银轮转债</t>
  </si>
  <si>
    <t>127038.SZ</t>
  </si>
  <si>
    <t>国微转债</t>
  </si>
  <si>
    <t>127039.SZ</t>
  </si>
  <si>
    <t>北港转债</t>
  </si>
  <si>
    <t>127040.SZ</t>
  </si>
  <si>
    <t>国泰转债</t>
  </si>
  <si>
    <t>127041.SZ</t>
  </si>
  <si>
    <t>弘亚转债</t>
  </si>
  <si>
    <t>127042.SZ</t>
  </si>
  <si>
    <t>嘉美转债</t>
  </si>
  <si>
    <t>127043.SZ</t>
  </si>
  <si>
    <t>川恒转债</t>
  </si>
  <si>
    <t>127044.SZ</t>
  </si>
  <si>
    <t>蒙娜转债</t>
  </si>
  <si>
    <t>127045.SZ</t>
  </si>
  <si>
    <t>牧原转债</t>
  </si>
  <si>
    <t>惠誉国际信用评级有限公司</t>
    <phoneticPr fontId="6" type="noConversion"/>
  </si>
  <si>
    <t>中国证券监督管理委员会</t>
    <phoneticPr fontId="6" type="noConversion"/>
  </si>
  <si>
    <t>上海飞凯材料科技股份有限公司</t>
    <phoneticPr fontId="6" type="noConversion"/>
  </si>
  <si>
    <t>BBB+</t>
    <phoneticPr fontId="4" type="noConversion"/>
  </si>
  <si>
    <t>B</t>
    <phoneticPr fontId="4" type="noConversion"/>
  </si>
  <si>
    <t>晶瑞电子材料股份有限公司</t>
    <phoneticPr fontId="6" type="noConversion"/>
  </si>
  <si>
    <t>文灿集团股份有限公司</t>
    <phoneticPr fontId="4" type="noConversion"/>
  </si>
  <si>
    <t>BB</t>
    <phoneticPr fontId="6" type="noConversion"/>
  </si>
  <si>
    <t>海南锦迪科技投资有限公司</t>
    <phoneticPr fontId="4" type="noConversion"/>
  </si>
  <si>
    <t>BBB-</t>
    <phoneticPr fontId="6" type="noConversion"/>
  </si>
  <si>
    <t>宁波横河精密工业股份有限公司</t>
    <phoneticPr fontId="6" type="noConversion"/>
  </si>
  <si>
    <t>海澜之家集团股份有限公司</t>
    <phoneticPr fontId="4" type="noConversion"/>
  </si>
  <si>
    <t>惠誉国际信用评级有限公司</t>
    <phoneticPr fontId="4" type="noConversion"/>
  </si>
  <si>
    <t>中节能铁汉生态环境股份有限公司</t>
    <phoneticPr fontId="4" type="noConversion"/>
  </si>
  <si>
    <t>穆迪公司</t>
    <phoneticPr fontId="6" type="noConversion"/>
  </si>
  <si>
    <t>A-</t>
    <phoneticPr fontId="6" type="noConversion"/>
  </si>
  <si>
    <t>128035.SZ</t>
    <phoneticPr fontId="6" type="noConversion"/>
  </si>
  <si>
    <t>大族转债</t>
    <phoneticPr fontId="6" type="noConversion"/>
  </si>
  <si>
    <t>002008.SZ</t>
    <phoneticPr fontId="6" type="noConversion"/>
  </si>
  <si>
    <t>大族激光</t>
    <phoneticPr fontId="6" type="noConversion"/>
  </si>
  <si>
    <t>23亿元</t>
    <phoneticPr fontId="6" type="noConversion"/>
  </si>
  <si>
    <t>105元（含最后一年利息）</t>
    <phoneticPr fontId="6" type="noConversion"/>
  </si>
  <si>
    <t>52.3元</t>
    <phoneticPr fontId="6" type="noConversion"/>
  </si>
  <si>
    <t>存续期内，20/30，80%</t>
    <phoneticPr fontId="6" type="noConversion"/>
  </si>
  <si>
    <t>其他电子Ⅱ</t>
    <phoneticPr fontId="6" type="noConversion"/>
  </si>
  <si>
    <t>0.2%，0.4%，0.6%，0.8%，1.6%</t>
    <phoneticPr fontId="6" type="noConversion"/>
  </si>
  <si>
    <t>2018/2/6至2024/2/6</t>
    <phoneticPr fontId="6" type="noConversion"/>
  </si>
  <si>
    <t>（1）到期赎回：期满后五个交易日内，按债券面值的105%（含最后一期利息）赎回</t>
    <phoneticPr fontId="6" type="noConversion"/>
  </si>
  <si>
    <t>86.22元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</si>
</sst>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176" formatCode="0.00_);[Red]\(0.00\)"/>
    <numFmt numFmtId="177" formatCode="0.00_ ;[Red]\-0.00\ "/>
    <numFmt numFmtId="178" formatCode="0.0_ "/>
    <numFmt numFmtId="179" formatCode="[$-F800]dddd\,\ mmmm\ dd\,\ yyyy"/>
    <numFmt numFmtId="180" formatCode="#,##0.000_ ;[Red]\-#,##0.000\ "/>
    <numFmt numFmtId="181" formatCode="yyyy\-mm\-dd"/>
    <numFmt numFmtId="182" formatCode="0.00_ "/>
    <numFmt numFmtId="183" formatCode="0_ "/>
    <numFmt numFmtId="184" formatCode="yy/mm/dd"/>
    <numFmt numFmtId="185" formatCode="aaaa"/>
    <numFmt numFmtId="186" formatCode="###,###,##0.0000"/>
    <numFmt numFmtId="187" formatCode="#,##0.0_ "/>
    <numFmt numFmtId="188" formatCode="#,##0.00_ "/>
    <numFmt numFmtId="189" formatCode="#,##0.000_ "/>
    <numFmt numFmtId="190" formatCode="0.0_);[Red]\(0.0\)"/>
    <numFmt numFmtId="191" formatCode="0.000%"/>
    <numFmt numFmtId="192" formatCode="yyyy\-mm\-dd;@"/>
    <numFmt numFmtId="193" formatCode="0_);[Red]\(0\)"/>
    <numFmt numFmtId="194" formatCode="0_ ;[Red]\-0\ "/>
    <numFmt numFmtId="195" formatCode="yyyy&quot;年&quot;m&quot;月&quot;;@"/>
    <numFmt numFmtId="196" formatCode="yyyy&quot;年&quot;m&quot;月&quot;d&quot;日&quot;;@"/>
    <numFmt numFmtId="197" formatCode="###,###,##0"/>
    <numFmt numFmtId="198" formatCode="#,##0.00_ ;[Red]\-#,##0.00\ "/>
    <numFmt numFmtId="199" formatCode="yyyy/mm/dd\(aaa\)"/>
  </numFmts>
  <fonts count="87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KaiTi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Arial"/>
      <family val="2"/>
    </font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b/>
      <sz val="8"/>
      <color indexed="8"/>
      <name val="宋体"/>
      <family val="3"/>
      <charset val="134"/>
    </font>
    <font>
      <sz val="9"/>
      <name val="宋体"/>
      <family val="3"/>
      <charset val="134"/>
    </font>
    <font>
      <b/>
      <sz val="8"/>
      <color indexed="8"/>
      <name val="Arial"/>
      <family val="2"/>
    </font>
    <font>
      <b/>
      <sz val="9"/>
      <color indexed="8"/>
      <name val="Arial"/>
      <family val="2"/>
    </font>
    <font>
      <b/>
      <sz val="8.5"/>
      <color indexed="8"/>
      <name val="Arial"/>
      <family val="2"/>
    </font>
    <font>
      <b/>
      <sz val="8.5"/>
      <color indexed="8"/>
      <name val="楷体"/>
      <family val="3"/>
      <charset val="134"/>
    </font>
    <font>
      <b/>
      <sz val="8"/>
      <color indexed="8"/>
      <name val="楷体"/>
      <family val="3"/>
      <charset val="134"/>
    </font>
    <font>
      <sz val="12"/>
      <name val="Arial"/>
      <family val="2"/>
    </font>
    <font>
      <sz val="12"/>
      <color indexed="8"/>
      <name val="Arial"/>
      <family val="2"/>
    </font>
    <font>
      <sz val="8"/>
      <color indexed="8"/>
      <name val="Arial"/>
      <family val="2"/>
    </font>
    <font>
      <b/>
      <sz val="10"/>
      <color theme="0"/>
      <name val="Arial"/>
      <family val="2"/>
    </font>
    <font>
      <b/>
      <sz val="10"/>
      <color theme="0"/>
      <name val="楷体"/>
      <family val="3"/>
      <charset val="134"/>
    </font>
    <font>
      <b/>
      <sz val="10"/>
      <color indexed="8"/>
      <name val="Arial"/>
      <family val="2"/>
    </font>
    <font>
      <b/>
      <sz val="10"/>
      <color indexed="8"/>
      <name val="楷体"/>
      <family val="3"/>
      <charset val="134"/>
    </font>
    <font>
      <sz val="8"/>
      <color theme="1"/>
      <name val="KaiTi"/>
      <family val="3"/>
      <charset val="134"/>
    </font>
    <font>
      <sz val="8"/>
      <name val="Arial"/>
      <family val="2"/>
    </font>
    <font>
      <sz val="11"/>
      <color theme="0" tint="-0.499984740745262"/>
      <name val="等线"/>
      <family val="2"/>
      <scheme val="minor"/>
    </font>
    <font>
      <b/>
      <sz val="8"/>
      <color theme="0" tint="-0.499984740745262"/>
      <name val="KaiTi"/>
      <family val="3"/>
      <charset val="134"/>
    </font>
    <font>
      <b/>
      <sz val="8"/>
      <color rgb="FF000000"/>
      <name val="楷体"/>
      <family val="3"/>
      <charset val="134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8"/>
      <color rgb="FF000000"/>
      <name val="KaiTi"/>
      <family val="3"/>
      <charset val="134"/>
    </font>
    <font>
      <sz val="8"/>
      <color rgb="FF000000"/>
      <name val="KaiTi"/>
      <family val="3"/>
      <charset val="134"/>
    </font>
    <font>
      <sz val="11"/>
      <color theme="1"/>
      <name val="等线"/>
      <family val="3"/>
      <charset val="134"/>
      <scheme val="minor"/>
    </font>
    <font>
      <sz val="8"/>
      <color theme="1"/>
      <name val="Arial"/>
      <family val="2"/>
    </font>
    <font>
      <sz val="8"/>
      <color theme="1"/>
      <name val="等线"/>
      <family val="2"/>
      <scheme val="minor"/>
    </font>
    <font>
      <sz val="8"/>
      <color theme="1"/>
      <name val="等线"/>
      <family val="3"/>
      <charset val="134"/>
    </font>
    <font>
      <b/>
      <sz val="8"/>
      <color theme="1"/>
      <name val="KaiTi"/>
      <family val="3"/>
      <charset val="134"/>
    </font>
    <font>
      <b/>
      <sz val="8"/>
      <color theme="1"/>
      <name val="Arial"/>
      <family val="2"/>
    </font>
    <font>
      <sz val="8"/>
      <color theme="0"/>
      <name val="KaiTi"/>
      <family val="3"/>
      <charset val="134"/>
    </font>
    <font>
      <sz val="8"/>
      <name val="KaiTi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9"/>
      <color rgb="FF000000"/>
      <name val="KaiTi"/>
      <family val="3"/>
      <charset val="134"/>
    </font>
    <font>
      <sz val="8"/>
      <color rgb="FF000000"/>
      <name val="楷体"/>
      <family val="3"/>
      <charset val="134"/>
    </font>
    <font>
      <b/>
      <sz val="8"/>
      <color theme="1"/>
      <name val="楷体"/>
      <family val="3"/>
      <charset val="134"/>
    </font>
    <font>
      <b/>
      <sz val="20"/>
      <color rgb="FF002060"/>
      <name val="楷体"/>
      <family val="3"/>
      <charset val="134"/>
    </font>
    <font>
      <sz val="26"/>
      <color theme="1"/>
      <name val="楷体"/>
      <family val="3"/>
      <charset val="134"/>
    </font>
    <font>
      <sz val="26"/>
      <color theme="1"/>
      <name val="Arial"/>
      <family val="2"/>
    </font>
    <font>
      <sz val="26"/>
      <color theme="1"/>
      <name val="Arial"/>
      <family val="3"/>
      <charset val="134"/>
    </font>
    <font>
      <sz val="11"/>
      <color theme="1"/>
      <name val="宋体"/>
      <family val="2"/>
      <charset val="134"/>
    </font>
    <font>
      <b/>
      <sz val="14"/>
      <color rgb="FF000000"/>
      <name val="KaiTi"/>
      <family val="3"/>
      <charset val="134"/>
    </font>
    <font>
      <b/>
      <sz val="10"/>
      <color theme="1"/>
      <name val="Arial"/>
      <family val="2"/>
    </font>
    <font>
      <sz val="9"/>
      <color rgb="FF000000"/>
      <name val="KaiTi"/>
      <family val="3"/>
      <charset val="134"/>
    </font>
    <font>
      <b/>
      <sz val="9"/>
      <color theme="0"/>
      <name val="Arial"/>
      <family val="2"/>
    </font>
    <font>
      <b/>
      <sz val="9"/>
      <color theme="0"/>
      <name val="KaiTi"/>
      <family val="3"/>
      <charset val="134"/>
    </font>
    <font>
      <b/>
      <sz val="9"/>
      <color theme="0"/>
      <name val="楷体"/>
      <family val="3"/>
      <charset val="134"/>
    </font>
    <font>
      <sz val="9"/>
      <color theme="1"/>
      <name val="等线"/>
      <family val="2"/>
      <scheme val="minor"/>
    </font>
    <font>
      <b/>
      <sz val="8"/>
      <color theme="4" tint="-0.249977111117893"/>
      <name val="楷体"/>
      <family val="3"/>
      <charset val="134"/>
    </font>
    <font>
      <b/>
      <sz val="8"/>
      <color theme="4" tint="-0.499984740745262"/>
      <name val="KaiTi"/>
      <family val="3"/>
      <charset val="134"/>
    </font>
    <font>
      <sz val="8"/>
      <color theme="4" tint="-0.249977111117893"/>
      <name val="楷体"/>
      <family val="3"/>
      <charset val="134"/>
    </font>
    <font>
      <b/>
      <sz val="9"/>
      <color rgb="FF000000"/>
      <name val="楷体"/>
      <family val="3"/>
      <charset val="134"/>
    </font>
    <font>
      <b/>
      <sz val="9"/>
      <color theme="1"/>
      <name val="KaiTi"/>
      <family val="3"/>
      <charset val="134"/>
    </font>
    <font>
      <b/>
      <sz val="9"/>
      <color rgb="FFFF0000"/>
      <name val="Arial"/>
      <family val="2"/>
    </font>
    <font>
      <b/>
      <sz val="9"/>
      <name val="KaiTi"/>
      <family val="3"/>
      <charset val="134"/>
    </font>
    <font>
      <b/>
      <sz val="9"/>
      <color theme="1"/>
      <name val="等线"/>
      <family val="3"/>
      <charset val="134"/>
    </font>
    <font>
      <b/>
      <sz val="8"/>
      <color theme="0"/>
      <name val="Arial"/>
      <family val="2"/>
    </font>
    <font>
      <sz val="10"/>
      <color theme="1"/>
      <name val="Arial"/>
      <family val="2"/>
    </font>
    <font>
      <sz val="9"/>
      <color theme="0"/>
      <name val="Arial"/>
      <family val="2"/>
    </font>
    <font>
      <sz val="9"/>
      <color theme="4" tint="-0.249977111117893"/>
      <name val="楷体"/>
      <family val="3"/>
      <charset val="134"/>
    </font>
    <font>
      <b/>
      <sz val="9"/>
      <color theme="4" tint="-0.249977111117893"/>
      <name val="Arial"/>
      <family val="2"/>
    </font>
    <font>
      <b/>
      <sz val="9"/>
      <color theme="4" tint="-0.249977111117893"/>
      <name val="KaiTi"/>
      <family val="3"/>
      <charset val="134"/>
    </font>
    <font>
      <b/>
      <sz val="9"/>
      <color theme="1"/>
      <name val="Arial"/>
      <family val="2"/>
    </font>
    <font>
      <b/>
      <sz val="8"/>
      <color theme="0"/>
      <name val="KaiTi"/>
      <family val="3"/>
      <charset val="134"/>
    </font>
    <font>
      <b/>
      <sz val="11"/>
      <color theme="0"/>
      <name val="KaiTi"/>
      <family val="3"/>
      <charset val="134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b/>
      <sz val="11"/>
      <color theme="1"/>
      <name val="楷体"/>
      <family val="3"/>
      <charset val="134"/>
    </font>
    <font>
      <sz val="11"/>
      <color rgb="FF000000"/>
      <name val="Arial"/>
      <family val="2"/>
    </font>
    <font>
      <b/>
      <sz val="9"/>
      <color theme="1"/>
      <name val="Arial"/>
      <family val="3"/>
      <charset val="134"/>
    </font>
    <font>
      <b/>
      <sz val="11"/>
      <color theme="1"/>
      <name val="KaiTi"/>
      <family val="3"/>
      <charset val="134"/>
    </font>
    <font>
      <b/>
      <sz val="18"/>
      <color theme="0"/>
      <name val="KaiTi"/>
      <family val="3"/>
      <charset val="134"/>
    </font>
    <font>
      <b/>
      <sz val="10"/>
      <color rgb="FF000000"/>
      <name val="KaiTi"/>
      <family val="3"/>
      <charset val="134"/>
    </font>
    <font>
      <sz val="11"/>
      <color theme="1"/>
      <name val="Arial"/>
      <family val="3"/>
      <charset val="134"/>
    </font>
    <font>
      <sz val="11"/>
      <color rgb="FFFF0000"/>
      <name val="KaiTi"/>
      <family val="3"/>
      <charset val="134"/>
    </font>
    <font>
      <b/>
      <sz val="10"/>
      <color theme="1"/>
      <name val="楷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59999389629810485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5" tint="-0.499984740745262"/>
      </top>
      <bottom/>
      <diagonal/>
    </border>
    <border>
      <left/>
      <right/>
      <top/>
      <bottom style="thin">
        <color theme="5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5" tint="-0.499984740745262"/>
      </left>
      <right/>
      <top style="thin">
        <color theme="5" tint="-0.499984740745262"/>
      </top>
      <bottom/>
      <diagonal/>
    </border>
    <border>
      <left style="thin">
        <color theme="5" tint="-0.499984740745262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/>
      <right/>
      <top style="thin">
        <color theme="5" tint="-0.499984740745262"/>
      </top>
      <bottom style="dashed">
        <color theme="5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theme="5" tint="-0.499984740745262"/>
      </bottom>
      <diagonal/>
    </border>
    <border>
      <left style="thin">
        <color indexed="64"/>
      </left>
      <right/>
      <top/>
      <bottom style="thin">
        <color theme="5" tint="-0.499984740745262"/>
      </bottom>
      <diagonal/>
    </border>
    <border>
      <left/>
      <right/>
      <top style="thin">
        <color theme="5" tint="-0.499984740745262"/>
      </top>
      <bottom style="thin">
        <color theme="5" tint="-0.499984740745262"/>
      </bottom>
      <diagonal/>
    </border>
    <border>
      <left/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/>
      <right style="thin">
        <color indexed="64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/>
      <right/>
      <top/>
      <bottom style="thin">
        <color theme="4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theme="0"/>
      </bottom>
      <diagonal/>
    </border>
    <border>
      <left style="thin">
        <color theme="5" tint="-0.499984740745262"/>
      </left>
      <right style="thin">
        <color theme="5" tint="-0.499984740745262"/>
      </right>
      <top style="medium">
        <color theme="0"/>
      </top>
      <bottom style="medium">
        <color theme="0"/>
      </bottom>
      <diagonal/>
    </border>
    <border>
      <left style="thin">
        <color theme="5" tint="-0.499984740745262"/>
      </left>
      <right style="thin">
        <color theme="5" tint="-0.499984740745262"/>
      </right>
      <top style="medium">
        <color theme="0"/>
      </top>
      <bottom style="thin">
        <color theme="5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/>
      <right style="thin">
        <color theme="0"/>
      </right>
      <top style="medium">
        <color theme="4" tint="-0.499984740745262"/>
      </top>
      <bottom/>
      <diagonal/>
    </border>
    <border>
      <left style="thin">
        <color theme="0"/>
      </left>
      <right/>
      <top style="medium">
        <color theme="4" tint="-0.499984740745262"/>
      </top>
      <bottom style="thin">
        <color theme="0"/>
      </bottom>
      <diagonal/>
    </border>
    <border>
      <left/>
      <right/>
      <top style="medium">
        <color theme="4" tint="-0.499984740745262"/>
      </top>
      <bottom style="thin">
        <color theme="0"/>
      </bottom>
      <diagonal/>
    </border>
    <border>
      <left/>
      <right style="thin">
        <color theme="0"/>
      </right>
      <top style="medium">
        <color theme="4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4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4" tint="-0.499984740745262"/>
      </top>
      <bottom/>
      <diagonal/>
    </border>
    <border>
      <left style="thin">
        <color theme="0"/>
      </left>
      <right/>
      <top style="medium">
        <color theme="4" tint="-0.499984740745262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2060"/>
      </bottom>
      <diagonal/>
    </border>
    <border>
      <left/>
      <right style="thin">
        <color theme="0"/>
      </right>
      <top/>
      <bottom style="thin">
        <color rgb="FF00206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2060"/>
      </bottom>
      <diagonal/>
    </border>
    <border>
      <left style="thin">
        <color theme="0"/>
      </left>
      <right style="thin">
        <color theme="0"/>
      </right>
      <top/>
      <bottom style="thin">
        <color rgb="FF002060"/>
      </bottom>
      <diagonal/>
    </border>
    <border>
      <left style="thin">
        <color theme="0"/>
      </left>
      <right/>
      <top/>
      <bottom style="thin">
        <color rgb="FF002060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 style="thin">
        <color indexed="64"/>
      </left>
      <right style="medium">
        <color theme="4" tint="-0.499984740745262"/>
      </right>
      <top style="thin">
        <color indexed="64"/>
      </top>
      <bottom/>
      <diagonal/>
    </border>
    <border>
      <left style="medium">
        <color theme="4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4" tint="-0.499984740745262"/>
      </right>
      <top/>
      <bottom style="thin">
        <color indexed="64"/>
      </bottom>
      <diagonal/>
    </border>
    <border>
      <left style="medium">
        <color theme="4" tint="-0.499984740745262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theme="4" tint="-0.499984740745262"/>
      </bottom>
      <diagonal/>
    </border>
    <border>
      <left style="thin">
        <color theme="0"/>
      </left>
      <right style="thin">
        <color theme="0"/>
      </right>
      <top/>
      <bottom style="thin">
        <color theme="4" tint="-0.499984740745262"/>
      </bottom>
      <diagonal/>
    </border>
    <border>
      <left style="thin">
        <color theme="0"/>
      </left>
      <right style="thin">
        <color theme="0"/>
      </right>
      <top/>
      <bottom style="medium">
        <color theme="4" tint="-0.499984740745262"/>
      </bottom>
      <diagonal/>
    </border>
    <border>
      <left style="thin">
        <color theme="0"/>
      </left>
      <right/>
      <top/>
      <bottom style="thin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/>
      <top style="thin">
        <color theme="4" tint="-0.499984740745262"/>
      </top>
      <bottom/>
      <diagonal/>
    </border>
    <border>
      <left style="thin">
        <color theme="0"/>
      </left>
      <right style="thin">
        <color theme="0"/>
      </right>
      <top style="thin">
        <color theme="4" tint="-0.499984740745262"/>
      </top>
      <bottom/>
      <diagonal/>
    </border>
    <border>
      <left style="thin">
        <color theme="0"/>
      </left>
      <right/>
      <top style="thin">
        <color theme="4" tint="-0.499984740745262"/>
      </top>
      <bottom/>
      <diagonal/>
    </border>
    <border>
      <left/>
      <right style="thin">
        <color theme="0"/>
      </right>
      <top style="thin">
        <color theme="4" tint="-0.499984740745262"/>
      </top>
      <bottom/>
      <diagonal/>
    </border>
    <border>
      <left style="medium">
        <color theme="1"/>
      </left>
      <right/>
      <top style="thin">
        <color indexed="64"/>
      </top>
      <bottom/>
      <diagonal/>
    </border>
    <border>
      <left/>
      <right style="medium">
        <color theme="0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/>
      <bottom style="thin">
        <color indexed="6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1"/>
      </left>
      <right/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5" tint="-0.499984740745262"/>
      </right>
      <top/>
      <bottom/>
      <diagonal/>
    </border>
    <border>
      <left/>
      <right style="thin">
        <color indexed="64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theme="4" tint="-0.499984740745262"/>
      </top>
      <bottom/>
      <diagonal/>
    </border>
    <border>
      <left style="thin">
        <color indexed="64"/>
      </left>
      <right/>
      <top/>
      <bottom style="thin">
        <color theme="4" tint="-0.499984740745262"/>
      </bottom>
      <diagonal/>
    </border>
    <border>
      <left/>
      <right style="thin">
        <color indexed="64"/>
      </right>
      <top/>
      <bottom style="thin">
        <color theme="4" tint="-0.499984740745262"/>
      </bottom>
      <diagonal/>
    </border>
    <border>
      <left style="thin">
        <color indexed="64"/>
      </left>
      <right/>
      <top style="thin">
        <color theme="4" tint="-0.499984740745262"/>
      </top>
      <bottom/>
      <diagonal/>
    </border>
    <border>
      <left/>
      <right style="thin">
        <color theme="5" tint="-0.499984740745262"/>
      </right>
      <top style="thin">
        <color theme="5" tint="-0.499984740745262"/>
      </top>
      <bottom/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/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indexed="64"/>
      </left>
      <right/>
      <top style="thin">
        <color theme="4" tint="-0.499984740745262"/>
      </top>
      <bottom style="thin">
        <color theme="4" tint="-0.499984740745262"/>
      </bottom>
      <diagonal/>
    </border>
  </borders>
  <cellStyleXfs count="5">
    <xf numFmtId="182" fontId="0" fillId="0" borderId="0">
      <alignment vertical="center"/>
    </xf>
    <xf numFmtId="179" fontId="3" fillId="0" borderId="0"/>
    <xf numFmtId="9" fontId="9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14" fontId="1" fillId="0" borderId="0" applyNumberFormat="0" applyProtection="0"/>
  </cellStyleXfs>
  <cellXfs count="527">
    <xf numFmtId="182" fontId="0" fillId="0" borderId="0" xfId="0">
      <alignment vertical="center"/>
    </xf>
    <xf numFmtId="179" fontId="5" fillId="0" borderId="0" xfId="1" applyFont="1" applyAlignment="1">
      <alignment horizontal="center" vertical="center"/>
    </xf>
    <xf numFmtId="179" fontId="3" fillId="0" borderId="0" xfId="1" applyAlignment="1">
      <alignment horizontal="center" vertical="center"/>
    </xf>
    <xf numFmtId="176" fontId="3" fillId="0" borderId="0" xfId="1" applyNumberFormat="1"/>
    <xf numFmtId="179" fontId="3" fillId="0" borderId="0" xfId="1"/>
    <xf numFmtId="179" fontId="7" fillId="0" borderId="0" xfId="1" applyNumberFormat="1" applyFont="1" applyBorder="1" applyAlignment="1">
      <alignment horizontal="center" vertical="center"/>
    </xf>
    <xf numFmtId="179" fontId="3" fillId="0" borderId="0" xfId="1" applyFill="1" applyAlignment="1">
      <alignment horizontal="center" vertical="center"/>
    </xf>
    <xf numFmtId="179" fontId="5" fillId="0" borderId="0" xfId="1" applyFont="1" applyFill="1" applyBorder="1" applyAlignment="1">
      <alignment horizontal="center" vertical="center"/>
    </xf>
    <xf numFmtId="179" fontId="7" fillId="0" borderId="0" xfId="1" applyNumberFormat="1" applyFont="1" applyFill="1" applyBorder="1" applyAlignment="1">
      <alignment horizontal="center" vertical="center"/>
    </xf>
    <xf numFmtId="176" fontId="3" fillId="0" borderId="0" xfId="1" applyNumberFormat="1" applyBorder="1"/>
    <xf numFmtId="179" fontId="11" fillId="0" borderId="8" xfId="1" applyFont="1" applyBorder="1" applyAlignment="1">
      <alignment horizontal="left"/>
    </xf>
    <xf numFmtId="179" fontId="11" fillId="0" borderId="9" xfId="1" applyFont="1" applyBorder="1" applyAlignment="1">
      <alignment horizontal="left"/>
    </xf>
    <xf numFmtId="179" fontId="13" fillId="0" borderId="9" xfId="1" applyFont="1" applyBorder="1" applyAlignment="1">
      <alignment horizontal="left"/>
    </xf>
    <xf numFmtId="179" fontId="13" fillId="0" borderId="10" xfId="1" applyFont="1" applyBorder="1" applyAlignment="1">
      <alignment horizontal="left"/>
    </xf>
    <xf numFmtId="176" fontId="13" fillId="0" borderId="11" xfId="1" applyNumberFormat="1" applyFont="1" applyBorder="1" applyAlignment="1">
      <alignment horizontal="left"/>
    </xf>
    <xf numFmtId="179" fontId="14" fillId="0" borderId="0" xfId="1" applyFont="1" applyAlignment="1">
      <alignment horizontal="left"/>
    </xf>
    <xf numFmtId="176" fontId="15" fillId="0" borderId="12" xfId="1" applyNumberFormat="1" applyFont="1" applyBorder="1" applyAlignment="1">
      <alignment horizontal="left"/>
    </xf>
    <xf numFmtId="176" fontId="15" fillId="0" borderId="13" xfId="1" applyNumberFormat="1" applyFont="1" applyBorder="1" applyAlignment="1">
      <alignment horizontal="left"/>
    </xf>
    <xf numFmtId="176" fontId="15" fillId="0" borderId="0" xfId="1" applyNumberFormat="1" applyFont="1" applyAlignment="1">
      <alignment horizontal="left"/>
    </xf>
    <xf numFmtId="182" fontId="15" fillId="0" borderId="14" xfId="1" applyNumberFormat="1" applyFont="1" applyBorder="1" applyAlignment="1">
      <alignment horizontal="center"/>
    </xf>
    <xf numFmtId="176" fontId="15" fillId="0" borderId="14" xfId="1" applyNumberFormat="1" applyFont="1" applyBorder="1" applyAlignment="1">
      <alignment horizontal="left"/>
    </xf>
    <xf numFmtId="176" fontId="15" fillId="0" borderId="14" xfId="1" applyNumberFormat="1" applyFont="1" applyBorder="1" applyAlignment="1">
      <alignment horizontal="center"/>
    </xf>
    <xf numFmtId="14" fontId="13" fillId="0" borderId="0" xfId="1" applyNumberFormat="1" applyFont="1" applyAlignment="1">
      <alignment vertical="center"/>
    </xf>
    <xf numFmtId="183" fontId="13" fillId="0" borderId="8" xfId="1" applyNumberFormat="1" applyFont="1" applyBorder="1" applyAlignment="1">
      <alignment horizontal="center"/>
    </xf>
    <xf numFmtId="10" fontId="13" fillId="0" borderId="8" xfId="1" applyNumberFormat="1" applyFont="1" applyBorder="1" applyAlignment="1">
      <alignment horizontal="center"/>
    </xf>
    <xf numFmtId="179" fontId="18" fillId="0" borderId="0" xfId="1" applyFont="1" applyAlignment="1">
      <alignment vertical="center"/>
    </xf>
    <xf numFmtId="179" fontId="19" fillId="0" borderId="0" xfId="1" applyFont="1" applyAlignment="1">
      <alignment vertical="center"/>
    </xf>
    <xf numFmtId="179" fontId="19" fillId="0" borderId="13" xfId="1" applyFont="1" applyBorder="1" applyAlignment="1">
      <alignment vertical="center"/>
    </xf>
    <xf numFmtId="179" fontId="19" fillId="0" borderId="12" xfId="1" applyFont="1" applyBorder="1" applyAlignment="1">
      <alignment vertical="center"/>
    </xf>
    <xf numFmtId="184" fontId="19" fillId="0" borderId="0" xfId="1" applyNumberFormat="1" applyFont="1" applyAlignment="1">
      <alignment vertical="center"/>
    </xf>
    <xf numFmtId="179" fontId="19" fillId="0" borderId="0" xfId="1" applyFont="1" applyAlignment="1">
      <alignment horizontal="center" vertical="center"/>
    </xf>
    <xf numFmtId="185" fontId="20" fillId="0" borderId="0" xfId="1" applyNumberFormat="1" applyFont="1" applyAlignment="1">
      <alignment horizontal="left"/>
    </xf>
    <xf numFmtId="14" fontId="20" fillId="0" borderId="15" xfId="1" applyNumberFormat="1" applyFont="1" applyBorder="1" applyAlignment="1">
      <alignment horizontal="left"/>
    </xf>
    <xf numFmtId="182" fontId="14" fillId="0" borderId="0" xfId="1" applyNumberFormat="1" applyFont="1" applyAlignment="1">
      <alignment horizontal="center" vertical="center"/>
    </xf>
    <xf numFmtId="10" fontId="15" fillId="0" borderId="12" xfId="1" applyNumberFormat="1" applyFont="1" applyBorder="1" applyAlignment="1">
      <alignment horizontal="left"/>
    </xf>
    <xf numFmtId="14" fontId="15" fillId="0" borderId="13" xfId="1" applyNumberFormat="1" applyFont="1" applyBorder="1" applyAlignment="1">
      <alignment horizontal="left"/>
    </xf>
    <xf numFmtId="186" fontId="15" fillId="0" borderId="14" xfId="1" applyNumberFormat="1" applyFont="1" applyBorder="1" applyAlignment="1">
      <alignment horizontal="center"/>
    </xf>
    <xf numFmtId="187" fontId="20" fillId="0" borderId="0" xfId="1" applyNumberFormat="1" applyFont="1" applyAlignment="1">
      <alignment vertical="center"/>
    </xf>
    <xf numFmtId="188" fontId="20" fillId="0" borderId="0" xfId="1" applyNumberFormat="1" applyFont="1" applyAlignment="1">
      <alignment vertical="center"/>
    </xf>
    <xf numFmtId="187" fontId="20" fillId="0" borderId="0" xfId="1" applyNumberFormat="1" applyFont="1" applyAlignment="1">
      <alignment horizontal="center" vertical="center"/>
    </xf>
    <xf numFmtId="189" fontId="20" fillId="0" borderId="0" xfId="1" applyNumberFormat="1" applyFont="1" applyAlignment="1">
      <alignment vertical="center"/>
    </xf>
    <xf numFmtId="185" fontId="21" fillId="6" borderId="16" xfId="1" applyNumberFormat="1" applyFont="1" applyFill="1" applyBorder="1" applyAlignment="1">
      <alignment horizontal="left"/>
    </xf>
    <xf numFmtId="179" fontId="19" fillId="0" borderId="17" xfId="1" applyFont="1" applyBorder="1" applyAlignment="1">
      <alignment vertical="center"/>
    </xf>
    <xf numFmtId="179" fontId="19" fillId="0" borderId="17" xfId="1" applyFont="1" applyBorder="1" applyAlignment="1">
      <alignment horizontal="center" vertical="center"/>
    </xf>
    <xf numFmtId="179" fontId="13" fillId="10" borderId="8" xfId="1" applyFont="1" applyFill="1" applyBorder="1" applyAlignment="1">
      <alignment horizontal="center"/>
    </xf>
    <xf numFmtId="179" fontId="13" fillId="10" borderId="8" xfId="1" applyFont="1" applyFill="1" applyBorder="1" applyAlignment="1">
      <alignment horizontal="center" vertical="center"/>
    </xf>
    <xf numFmtId="176" fontId="13" fillId="10" borderId="8" xfId="1" applyNumberFormat="1" applyFont="1" applyFill="1" applyBorder="1" applyAlignment="1">
      <alignment horizontal="center"/>
    </xf>
    <xf numFmtId="190" fontId="13" fillId="10" borderId="8" xfId="1" applyNumberFormat="1" applyFont="1" applyFill="1" applyBorder="1" applyAlignment="1">
      <alignment horizontal="center"/>
    </xf>
    <xf numFmtId="182" fontId="13" fillId="10" borderId="8" xfId="1" applyNumberFormat="1" applyFont="1" applyFill="1" applyBorder="1" applyAlignment="1">
      <alignment horizontal="center"/>
    </xf>
    <xf numFmtId="182" fontId="13" fillId="10" borderId="21" xfId="1" applyNumberFormat="1" applyFont="1" applyFill="1" applyBorder="1" applyAlignment="1">
      <alignment horizontal="center"/>
    </xf>
    <xf numFmtId="10" fontId="13" fillId="10" borderId="8" xfId="1" applyNumberFormat="1" applyFont="1" applyFill="1" applyBorder="1" applyAlignment="1">
      <alignment horizontal="center"/>
    </xf>
    <xf numFmtId="182" fontId="13" fillId="10" borderId="22" xfId="1" applyNumberFormat="1" applyFont="1" applyFill="1" applyBorder="1" applyAlignment="1">
      <alignment horizontal="center"/>
    </xf>
    <xf numFmtId="14" fontId="13" fillId="10" borderId="8" xfId="1" applyNumberFormat="1" applyFont="1" applyFill="1" applyBorder="1" applyAlignment="1">
      <alignment horizontal="center"/>
    </xf>
    <xf numFmtId="179" fontId="13" fillId="10" borderId="21" xfId="1" applyFont="1" applyFill="1" applyBorder="1" applyAlignment="1">
      <alignment horizontal="center" vertical="center"/>
    </xf>
    <xf numFmtId="190" fontId="13" fillId="10" borderId="22" xfId="1" applyNumberFormat="1" applyFont="1" applyFill="1" applyBorder="1" applyAlignment="1">
      <alignment horizontal="center"/>
    </xf>
    <xf numFmtId="191" fontId="13" fillId="10" borderId="8" xfId="3" applyNumberFormat="1" applyFont="1" applyFill="1" applyBorder="1" applyAlignment="1">
      <alignment horizontal="center"/>
    </xf>
    <xf numFmtId="179" fontId="13" fillId="10" borderId="24" xfId="1" applyFont="1" applyFill="1" applyBorder="1" applyAlignment="1">
      <alignment horizontal="center"/>
    </xf>
    <xf numFmtId="14" fontId="13" fillId="10" borderId="24" xfId="1" applyNumberFormat="1" applyFont="1" applyFill="1" applyBorder="1" applyAlignment="1">
      <alignment horizontal="center"/>
    </xf>
    <xf numFmtId="176" fontId="13" fillId="10" borderId="24" xfId="1" applyNumberFormat="1" applyFont="1" applyFill="1" applyBorder="1" applyAlignment="1">
      <alignment horizontal="center"/>
    </xf>
    <xf numFmtId="190" fontId="13" fillId="10" borderId="24" xfId="1" applyNumberFormat="1" applyFont="1" applyFill="1" applyBorder="1" applyAlignment="1">
      <alignment horizontal="center"/>
    </xf>
    <xf numFmtId="10" fontId="13" fillId="10" borderId="24" xfId="1" applyNumberFormat="1" applyFont="1" applyFill="1" applyBorder="1" applyAlignment="1">
      <alignment horizontal="center"/>
    </xf>
    <xf numFmtId="182" fontId="13" fillId="10" borderId="25" xfId="1" applyNumberFormat="1" applyFont="1" applyFill="1" applyBorder="1" applyAlignment="1">
      <alignment horizontal="center"/>
    </xf>
    <xf numFmtId="182" fontId="13" fillId="10" borderId="26" xfId="1" applyNumberFormat="1" applyFont="1" applyFill="1" applyBorder="1" applyAlignment="1">
      <alignment horizontal="center"/>
    </xf>
    <xf numFmtId="182" fontId="13" fillId="10" borderId="24" xfId="1" applyNumberFormat="1" applyFont="1" applyFill="1" applyBorder="1" applyAlignment="1">
      <alignment horizontal="center"/>
    </xf>
    <xf numFmtId="184" fontId="13" fillId="10" borderId="24" xfId="1" applyNumberFormat="1" applyFont="1" applyFill="1" applyBorder="1" applyAlignment="1">
      <alignment horizontal="center" vertical="center"/>
    </xf>
    <xf numFmtId="190" fontId="13" fillId="10" borderId="26" xfId="1" applyNumberFormat="1" applyFont="1" applyFill="1" applyBorder="1" applyAlignment="1">
      <alignment horizontal="center"/>
    </xf>
    <xf numFmtId="179" fontId="13" fillId="10" borderId="24" xfId="1" applyFont="1" applyFill="1" applyBorder="1" applyAlignment="1">
      <alignment horizontal="center" vertical="center"/>
    </xf>
    <xf numFmtId="191" fontId="13" fillId="10" borderId="24" xfId="3" applyNumberFormat="1" applyFont="1" applyFill="1" applyBorder="1" applyAlignment="1">
      <alignment horizontal="center"/>
    </xf>
    <xf numFmtId="184" fontId="13" fillId="10" borderId="8" xfId="1" applyNumberFormat="1" applyFont="1" applyFill="1" applyBorder="1" applyAlignment="1">
      <alignment horizontal="center"/>
    </xf>
    <xf numFmtId="179" fontId="17" fillId="10" borderId="8" xfId="1" applyFont="1" applyFill="1" applyBorder="1" applyAlignment="1">
      <alignment horizontal="center" vertical="center"/>
    </xf>
    <xf numFmtId="179" fontId="11" fillId="10" borderId="8" xfId="1" applyFont="1" applyFill="1" applyBorder="1" applyAlignment="1">
      <alignment horizontal="center" vertical="center"/>
    </xf>
    <xf numFmtId="191" fontId="13" fillId="10" borderId="0" xfId="3" applyNumberFormat="1" applyFont="1" applyFill="1" applyAlignment="1">
      <alignment horizontal="center"/>
    </xf>
    <xf numFmtId="9" fontId="13" fillId="10" borderId="24" xfId="1" quotePrefix="1" applyNumberFormat="1" applyFont="1" applyFill="1" applyBorder="1" applyAlignment="1">
      <alignment horizontal="center" vertical="center"/>
    </xf>
    <xf numFmtId="179" fontId="13" fillId="4" borderId="20" xfId="1" applyFont="1" applyFill="1" applyBorder="1" applyAlignment="1">
      <alignment horizontal="center"/>
    </xf>
    <xf numFmtId="179" fontId="13" fillId="4" borderId="8" xfId="1" applyFont="1" applyFill="1" applyBorder="1" applyAlignment="1">
      <alignment horizontal="center"/>
    </xf>
    <xf numFmtId="179" fontId="13" fillId="4" borderId="8" xfId="1" applyFont="1" applyFill="1" applyBorder="1" applyAlignment="1">
      <alignment horizontal="center" vertical="center"/>
    </xf>
    <xf numFmtId="176" fontId="13" fillId="4" borderId="8" xfId="1" applyNumberFormat="1" applyFont="1" applyFill="1" applyBorder="1" applyAlignment="1">
      <alignment horizontal="center"/>
    </xf>
    <xf numFmtId="190" fontId="13" fillId="4" borderId="8" xfId="1" applyNumberFormat="1" applyFont="1" applyFill="1" applyBorder="1" applyAlignment="1">
      <alignment horizontal="center"/>
    </xf>
    <xf numFmtId="182" fontId="13" fillId="4" borderId="8" xfId="1" applyNumberFormat="1" applyFont="1" applyFill="1" applyBorder="1" applyAlignment="1">
      <alignment horizontal="center"/>
    </xf>
    <xf numFmtId="182" fontId="13" fillId="4" borderId="21" xfId="1" applyNumberFormat="1" applyFont="1" applyFill="1" applyBorder="1" applyAlignment="1">
      <alignment horizontal="center"/>
    </xf>
    <xf numFmtId="179" fontId="13" fillId="4" borderId="23" xfId="1" applyFont="1" applyFill="1" applyBorder="1" applyAlignment="1">
      <alignment horizontal="center"/>
    </xf>
    <xf numFmtId="179" fontId="13" fillId="4" borderId="24" xfId="1" applyFont="1" applyFill="1" applyBorder="1" applyAlignment="1">
      <alignment horizontal="center"/>
    </xf>
    <xf numFmtId="14" fontId="13" fillId="4" borderId="24" xfId="1" applyNumberFormat="1" applyFont="1" applyFill="1" applyBorder="1" applyAlignment="1">
      <alignment horizontal="center"/>
    </xf>
    <xf numFmtId="14" fontId="13" fillId="4" borderId="24" xfId="1" applyNumberFormat="1" applyFont="1" applyFill="1" applyBorder="1" applyAlignment="1">
      <alignment horizontal="center" vertical="center"/>
    </xf>
    <xf numFmtId="176" fontId="13" fillId="4" borderId="24" xfId="1" applyNumberFormat="1" applyFont="1" applyFill="1" applyBorder="1" applyAlignment="1">
      <alignment horizontal="center"/>
    </xf>
    <xf numFmtId="190" fontId="13" fillId="4" borderId="24" xfId="1" applyNumberFormat="1" applyFont="1" applyFill="1" applyBorder="1" applyAlignment="1">
      <alignment horizontal="center"/>
    </xf>
    <xf numFmtId="10" fontId="13" fillId="4" borderId="24" xfId="1" applyNumberFormat="1" applyFont="1" applyFill="1" applyBorder="1" applyAlignment="1">
      <alignment horizontal="center"/>
    </xf>
    <xf numFmtId="10" fontId="13" fillId="4" borderId="25" xfId="1" applyNumberFormat="1" applyFont="1" applyFill="1" applyBorder="1" applyAlignment="1">
      <alignment horizontal="center"/>
    </xf>
    <xf numFmtId="176" fontId="17" fillId="4" borderId="8" xfId="1" applyNumberFormat="1" applyFont="1" applyFill="1" applyBorder="1" applyAlignment="1">
      <alignment horizontal="center"/>
    </xf>
    <xf numFmtId="176" fontId="17" fillId="4" borderId="24" xfId="1" applyNumberFormat="1" applyFont="1" applyFill="1" applyBorder="1" applyAlignment="1">
      <alignment horizontal="center"/>
    </xf>
    <xf numFmtId="10" fontId="13" fillId="4" borderId="8" xfId="1" applyNumberFormat="1" applyFont="1" applyFill="1" applyBorder="1" applyAlignment="1">
      <alignment horizontal="center"/>
    </xf>
    <xf numFmtId="181" fontId="3" fillId="0" borderId="0" xfId="1" applyNumberFormat="1" applyAlignment="1">
      <alignment horizontal="right" vertical="center"/>
    </xf>
    <xf numFmtId="179" fontId="5" fillId="3" borderId="0" xfId="1" applyFont="1" applyFill="1" applyBorder="1" applyAlignment="1">
      <alignment vertical="center"/>
    </xf>
    <xf numFmtId="14" fontId="5" fillId="0" borderId="0" xfId="4" applyFont="1" applyAlignment="1">
      <alignment horizontal="center" vertical="center"/>
    </xf>
    <xf numFmtId="14" fontId="1" fillId="0" borderId="0" xfId="4" applyAlignment="1">
      <alignment horizontal="center" vertical="center"/>
    </xf>
    <xf numFmtId="182" fontId="1" fillId="0" borderId="0" xfId="4" applyNumberFormat="1" applyAlignment="1">
      <alignment horizontal="center" vertical="center"/>
    </xf>
    <xf numFmtId="193" fontId="1" fillId="0" borderId="0" xfId="4" applyNumberFormat="1" applyAlignment="1">
      <alignment horizontal="center" vertical="center"/>
    </xf>
    <xf numFmtId="193" fontId="5" fillId="0" borderId="0" xfId="4" applyNumberFormat="1" applyFont="1" applyAlignment="1">
      <alignment horizontal="center" vertical="center"/>
    </xf>
    <xf numFmtId="176" fontId="5" fillId="0" borderId="0" xfId="4" applyNumberFormat="1" applyFont="1" applyAlignment="1">
      <alignment horizontal="center" vertical="center"/>
    </xf>
    <xf numFmtId="176" fontId="1" fillId="0" borderId="0" xfId="4" applyNumberFormat="1"/>
    <xf numFmtId="14" fontId="1" fillId="0" borderId="0" xfId="4"/>
    <xf numFmtId="177" fontId="26" fillId="0" borderId="0" xfId="4" applyNumberFormat="1" applyFont="1" applyAlignment="1">
      <alignment horizontal="right" vertical="center"/>
    </xf>
    <xf numFmtId="194" fontId="26" fillId="0" borderId="0" xfId="4" applyNumberFormat="1" applyFont="1" applyAlignment="1">
      <alignment horizontal="right" vertical="center"/>
    </xf>
    <xf numFmtId="14" fontId="27" fillId="0" borderId="0" xfId="4" applyFont="1" applyAlignment="1">
      <alignment vertical="center"/>
    </xf>
    <xf numFmtId="193" fontId="27" fillId="0" borderId="0" xfId="4" applyNumberFormat="1" applyFont="1" applyAlignment="1">
      <alignment vertical="center"/>
    </xf>
    <xf numFmtId="176" fontId="27" fillId="0" borderId="0" xfId="4" applyNumberFormat="1" applyFont="1" applyAlignment="1">
      <alignment vertical="center"/>
    </xf>
    <xf numFmtId="14" fontId="1" fillId="0" borderId="32" xfId="4" applyBorder="1" applyAlignment="1">
      <alignment horizontal="center" vertical="center"/>
    </xf>
    <xf numFmtId="14" fontId="1" fillId="0" borderId="32" xfId="4" applyBorder="1"/>
    <xf numFmtId="176" fontId="8" fillId="0" borderId="0" xfId="4" applyNumberFormat="1" applyFont="1"/>
    <xf numFmtId="14" fontId="8" fillId="0" borderId="0" xfId="4" applyFont="1"/>
    <xf numFmtId="176" fontId="8" fillId="0" borderId="34" xfId="4" applyNumberFormat="1" applyFont="1" applyBorder="1"/>
    <xf numFmtId="14" fontId="8" fillId="0" borderId="34" xfId="4" applyFont="1" applyBorder="1"/>
    <xf numFmtId="176" fontId="8" fillId="0" borderId="6" xfId="4" applyNumberFormat="1" applyFont="1" applyBorder="1"/>
    <xf numFmtId="14" fontId="8" fillId="0" borderId="6" xfId="4" applyFont="1" applyBorder="1"/>
    <xf numFmtId="176" fontId="34" fillId="0" borderId="0" xfId="4" applyNumberFormat="1" applyFont="1"/>
    <xf numFmtId="179" fontId="35" fillId="3" borderId="0" xfId="1" applyFont="1" applyFill="1" applyAlignment="1">
      <alignment horizontal="center" vertical="center"/>
    </xf>
    <xf numFmtId="180" fontId="35" fillId="3" borderId="0" xfId="2" applyNumberFormat="1" applyFont="1" applyFill="1" applyAlignment="1">
      <alignment horizontal="center" vertical="center"/>
    </xf>
    <xf numFmtId="178" fontId="35" fillId="3" borderId="0" xfId="1" applyNumberFormat="1" applyFont="1" applyFill="1" applyAlignment="1">
      <alignment horizontal="center" vertical="center"/>
    </xf>
    <xf numFmtId="176" fontId="35" fillId="3" borderId="0" xfId="1" applyNumberFormat="1" applyFont="1" applyFill="1" applyAlignment="1">
      <alignment horizontal="right" vertical="center"/>
    </xf>
    <xf numFmtId="177" fontId="35" fillId="3" borderId="0" xfId="1" applyNumberFormat="1" applyFont="1" applyFill="1" applyAlignment="1">
      <alignment horizontal="right" vertical="center"/>
    </xf>
    <xf numFmtId="176" fontId="35" fillId="3" borderId="0" xfId="1" applyNumberFormat="1" applyFont="1" applyFill="1" applyAlignment="1">
      <alignment vertical="center"/>
    </xf>
    <xf numFmtId="179" fontId="35" fillId="4" borderId="0" xfId="1" applyFont="1" applyFill="1" applyAlignment="1">
      <alignment horizontal="center" vertical="center"/>
    </xf>
    <xf numFmtId="180" fontId="35" fillId="4" borderId="0" xfId="2" applyNumberFormat="1" applyFont="1" applyFill="1" applyAlignment="1">
      <alignment horizontal="center" vertical="center"/>
    </xf>
    <xf numFmtId="178" fontId="35" fillId="4" borderId="0" xfId="1" applyNumberFormat="1" applyFont="1" applyFill="1" applyAlignment="1">
      <alignment horizontal="center" vertical="center"/>
    </xf>
    <xf numFmtId="182" fontId="35" fillId="4" borderId="0" xfId="2" applyNumberFormat="1" applyFont="1" applyFill="1" applyAlignment="1">
      <alignment horizontal="right" vertical="center"/>
    </xf>
    <xf numFmtId="176" fontId="35" fillId="4" borderId="0" xfId="1" applyNumberFormat="1" applyFont="1" applyFill="1" applyAlignment="1">
      <alignment horizontal="right" vertical="center"/>
    </xf>
    <xf numFmtId="177" fontId="35" fillId="4" borderId="0" xfId="1" applyNumberFormat="1" applyFont="1" applyFill="1" applyAlignment="1">
      <alignment horizontal="right" vertical="center"/>
    </xf>
    <xf numFmtId="178" fontId="35" fillId="4" borderId="0" xfId="1" applyNumberFormat="1" applyFont="1" applyFill="1" applyAlignment="1">
      <alignment horizontal="right" vertical="center"/>
    </xf>
    <xf numFmtId="176" fontId="35" fillId="4" borderId="0" xfId="1" applyNumberFormat="1" applyFont="1" applyFill="1" applyBorder="1" applyAlignment="1">
      <alignment horizontal="right" vertical="center"/>
    </xf>
    <xf numFmtId="176" fontId="35" fillId="4" borderId="0" xfId="1" applyNumberFormat="1" applyFont="1" applyFill="1" applyAlignment="1">
      <alignment vertical="center"/>
    </xf>
    <xf numFmtId="179" fontId="35" fillId="4" borderId="0" xfId="1" applyFont="1" applyFill="1" applyAlignment="1">
      <alignment vertical="center"/>
    </xf>
    <xf numFmtId="176" fontId="35" fillId="3" borderId="0" xfId="1" applyNumberFormat="1" applyFont="1" applyFill="1" applyBorder="1" applyAlignment="1">
      <alignment horizontal="right" vertical="center"/>
    </xf>
    <xf numFmtId="14" fontId="35" fillId="4" borderId="0" xfId="4" applyFont="1" applyFill="1" applyAlignment="1">
      <alignment horizontal="center" vertical="center"/>
    </xf>
    <xf numFmtId="178" fontId="35" fillId="4" borderId="0" xfId="4" applyNumberFormat="1" applyFont="1" applyFill="1" applyAlignment="1">
      <alignment horizontal="center" vertical="center"/>
    </xf>
    <xf numFmtId="182" fontId="35" fillId="4" borderId="0" xfId="4" applyNumberFormat="1" applyFont="1" applyFill="1" applyAlignment="1">
      <alignment horizontal="center" vertical="center"/>
    </xf>
    <xf numFmtId="193" fontId="35" fillId="4" borderId="0" xfId="4" applyNumberFormat="1" applyFont="1" applyFill="1" applyAlignment="1">
      <alignment horizontal="center" vertical="center"/>
    </xf>
    <xf numFmtId="176" fontId="35" fillId="4" borderId="0" xfId="4" applyNumberFormat="1" applyFont="1" applyFill="1" applyAlignment="1">
      <alignment horizontal="center" vertical="center"/>
    </xf>
    <xf numFmtId="14" fontId="35" fillId="4" borderId="31" xfId="4" applyNumberFormat="1" applyFont="1" applyFill="1" applyBorder="1" applyAlignment="1">
      <alignment horizontal="center"/>
    </xf>
    <xf numFmtId="14" fontId="35" fillId="4" borderId="0" xfId="4" applyNumberFormat="1" applyFont="1" applyFill="1" applyAlignment="1">
      <alignment horizontal="center"/>
    </xf>
    <xf numFmtId="178" fontId="35" fillId="4" borderId="0" xfId="4" applyNumberFormat="1" applyFont="1" applyFill="1" applyAlignment="1">
      <alignment horizontal="center"/>
    </xf>
    <xf numFmtId="176" fontId="35" fillId="4" borderId="0" xfId="4" applyNumberFormat="1" applyFont="1" applyFill="1"/>
    <xf numFmtId="14" fontId="35" fillId="4" borderId="0" xfId="4" applyFont="1" applyFill="1"/>
    <xf numFmtId="14" fontId="25" fillId="3" borderId="0" xfId="4" applyFont="1" applyFill="1" applyAlignment="1">
      <alignment horizontal="center" vertical="center"/>
    </xf>
    <xf numFmtId="178" fontId="25" fillId="3" borderId="0" xfId="4" applyNumberFormat="1" applyFont="1" applyFill="1" applyAlignment="1">
      <alignment horizontal="center" vertical="center"/>
    </xf>
    <xf numFmtId="182" fontId="25" fillId="3" borderId="0" xfId="4" applyNumberFormat="1" applyFont="1" applyFill="1" applyAlignment="1">
      <alignment horizontal="center" vertical="center"/>
    </xf>
    <xf numFmtId="193" fontId="25" fillId="3" borderId="0" xfId="4" applyNumberFormat="1" applyFont="1" applyFill="1" applyAlignment="1">
      <alignment horizontal="center" vertical="center"/>
    </xf>
    <xf numFmtId="176" fontId="25" fillId="3" borderId="0" xfId="4" applyNumberFormat="1" applyFont="1" applyFill="1" applyAlignment="1">
      <alignment horizontal="center" vertical="center"/>
    </xf>
    <xf numFmtId="178" fontId="25" fillId="3" borderId="31" xfId="4" applyNumberFormat="1" applyFont="1" applyFill="1" applyBorder="1" applyAlignment="1">
      <alignment horizontal="center"/>
    </xf>
    <xf numFmtId="178" fontId="25" fillId="3" borderId="0" xfId="4" applyNumberFormat="1" applyFont="1" applyFill="1" applyAlignment="1">
      <alignment horizontal="center"/>
    </xf>
    <xf numFmtId="176" fontId="36" fillId="3" borderId="0" xfId="4" applyNumberFormat="1" applyFont="1" applyFill="1"/>
    <xf numFmtId="14" fontId="36" fillId="3" borderId="0" xfId="4" applyFont="1" applyFill="1"/>
    <xf numFmtId="14" fontId="36" fillId="3" borderId="0" xfId="4" applyFont="1" applyFill="1" applyAlignment="1">
      <alignment horizontal="center" vertical="center"/>
    </xf>
    <xf numFmtId="182" fontId="36" fillId="3" borderId="0" xfId="4" applyNumberFormat="1" applyFont="1" applyFill="1" applyAlignment="1">
      <alignment horizontal="center" vertical="center"/>
    </xf>
    <xf numFmtId="193" fontId="36" fillId="3" borderId="0" xfId="4" applyNumberFormat="1" applyFont="1" applyFill="1" applyAlignment="1">
      <alignment horizontal="center" vertical="center"/>
    </xf>
    <xf numFmtId="180" fontId="35" fillId="3" borderId="0" xfId="2" applyNumberFormat="1" applyFont="1" applyFill="1" applyAlignment="1">
      <alignment horizontal="right" vertical="center"/>
    </xf>
    <xf numFmtId="176" fontId="35" fillId="3" borderId="0" xfId="2" applyNumberFormat="1" applyFont="1" applyFill="1" applyAlignment="1">
      <alignment horizontal="right" vertical="center"/>
    </xf>
    <xf numFmtId="180" fontId="35" fillId="4" borderId="0" xfId="2" applyNumberFormat="1" applyFont="1" applyFill="1" applyAlignment="1">
      <alignment horizontal="right" vertical="center"/>
    </xf>
    <xf numFmtId="176" fontId="35" fillId="4" borderId="0" xfId="2" applyNumberFormat="1" applyFont="1" applyFill="1" applyAlignment="1">
      <alignment horizontal="right" vertical="center"/>
    </xf>
    <xf numFmtId="176" fontId="35" fillId="4" borderId="0" xfId="1" applyNumberFormat="1" applyFont="1" applyFill="1"/>
    <xf numFmtId="179" fontId="35" fillId="4" borderId="0" xfId="1" applyFont="1" applyFill="1"/>
    <xf numFmtId="176" fontId="35" fillId="3" borderId="0" xfId="1" applyNumberFormat="1" applyFont="1" applyFill="1"/>
    <xf numFmtId="179" fontId="35" fillId="3" borderId="0" xfId="1" applyFont="1" applyFill="1"/>
    <xf numFmtId="14" fontId="35" fillId="3" borderId="0" xfId="1" applyNumberFormat="1" applyFont="1" applyFill="1" applyAlignment="1">
      <alignment horizontal="center" vertical="center"/>
    </xf>
    <xf numFmtId="178" fontId="35" fillId="3" borderId="0" xfId="1" applyNumberFormat="1" applyFont="1" applyFill="1" applyBorder="1" applyAlignment="1">
      <alignment horizontal="center"/>
    </xf>
    <xf numFmtId="178" fontId="35" fillId="3" borderId="0" xfId="1" applyNumberFormat="1" applyFont="1" applyFill="1" applyAlignment="1">
      <alignment horizontal="center"/>
    </xf>
    <xf numFmtId="176" fontId="35" fillId="3" borderId="12" xfId="1" applyNumberFormat="1" applyFont="1" applyFill="1" applyBorder="1"/>
    <xf numFmtId="176" fontId="35" fillId="3" borderId="0" xfId="1" applyNumberFormat="1" applyFont="1" applyFill="1" applyBorder="1"/>
    <xf numFmtId="177" fontId="35" fillId="3" borderId="12" xfId="1" applyNumberFormat="1" applyFont="1" applyFill="1" applyBorder="1" applyAlignment="1">
      <alignment horizontal="right" vertical="center"/>
    </xf>
    <xf numFmtId="177" fontId="35" fillId="3" borderId="0" xfId="1" applyNumberFormat="1" applyFont="1" applyFill="1" applyBorder="1" applyAlignment="1">
      <alignment horizontal="right" vertical="center"/>
    </xf>
    <xf numFmtId="177" fontId="35" fillId="4" borderId="12" xfId="1" applyNumberFormat="1" applyFont="1" applyFill="1" applyBorder="1" applyAlignment="1">
      <alignment horizontal="right" vertical="center"/>
    </xf>
    <xf numFmtId="14" fontId="35" fillId="11" borderId="0" xfId="4" applyFont="1" applyFill="1" applyAlignment="1">
      <alignment horizontal="center" vertical="center"/>
    </xf>
    <xf numFmtId="178" fontId="35" fillId="11" borderId="0" xfId="4" applyNumberFormat="1" applyFont="1" applyFill="1" applyAlignment="1">
      <alignment horizontal="center" vertical="center"/>
    </xf>
    <xf numFmtId="182" fontId="35" fillId="11" borderId="0" xfId="4" applyNumberFormat="1" applyFont="1" applyFill="1" applyAlignment="1">
      <alignment horizontal="center" vertical="center"/>
    </xf>
    <xf numFmtId="193" fontId="35" fillId="11" borderId="0" xfId="4" applyNumberFormat="1" applyFont="1" applyFill="1" applyAlignment="1">
      <alignment horizontal="center" vertical="center"/>
    </xf>
    <xf numFmtId="176" fontId="35" fillId="11" borderId="0" xfId="4" applyNumberFormat="1" applyFont="1" applyFill="1" applyAlignment="1">
      <alignment horizontal="center" vertical="center"/>
    </xf>
    <xf numFmtId="14" fontId="35" fillId="11" borderId="0" xfId="4" applyNumberFormat="1" applyFont="1" applyFill="1" applyAlignment="1">
      <alignment horizontal="center"/>
    </xf>
    <xf numFmtId="197" fontId="35" fillId="11" borderId="0" xfId="4" applyNumberFormat="1" applyFont="1" applyFill="1" applyAlignment="1">
      <alignment horizontal="center"/>
    </xf>
    <xf numFmtId="178" fontId="35" fillId="11" borderId="0" xfId="4" applyNumberFormat="1" applyFont="1" applyFill="1" applyAlignment="1">
      <alignment horizontal="center"/>
    </xf>
    <xf numFmtId="176" fontId="35" fillId="11" borderId="0" xfId="4" applyNumberFormat="1" applyFont="1" applyFill="1"/>
    <xf numFmtId="14" fontId="35" fillId="11" borderId="0" xfId="4" applyFont="1" applyFill="1"/>
    <xf numFmtId="14" fontId="35" fillId="11" borderId="31" xfId="4" applyNumberFormat="1" applyFont="1" applyFill="1" applyBorder="1" applyAlignment="1">
      <alignment horizontal="center"/>
    </xf>
    <xf numFmtId="197" fontId="35" fillId="4" borderId="0" xfId="4" applyNumberFormat="1" applyFont="1" applyFill="1" applyAlignment="1">
      <alignment horizontal="center"/>
    </xf>
    <xf numFmtId="179" fontId="35" fillId="11" borderId="0" xfId="1" applyFont="1" applyFill="1" applyAlignment="1">
      <alignment horizontal="center" vertical="center"/>
    </xf>
    <xf numFmtId="180" fontId="35" fillId="11" borderId="0" xfId="2" applyNumberFormat="1" applyFont="1" applyFill="1" applyAlignment="1">
      <alignment horizontal="center" vertical="center"/>
    </xf>
    <xf numFmtId="178" fontId="35" fillId="11" borderId="0" xfId="1" applyNumberFormat="1" applyFont="1" applyFill="1" applyAlignment="1">
      <alignment horizontal="center" vertical="center"/>
    </xf>
    <xf numFmtId="182" fontId="35" fillId="11" borderId="0" xfId="2" applyNumberFormat="1" applyFont="1" applyFill="1" applyAlignment="1">
      <alignment horizontal="right" vertical="center"/>
    </xf>
    <xf numFmtId="176" fontId="35" fillId="11" borderId="0" xfId="1" applyNumberFormat="1" applyFont="1" applyFill="1" applyAlignment="1">
      <alignment horizontal="right" vertical="center"/>
    </xf>
    <xf numFmtId="177" fontId="35" fillId="11" borderId="0" xfId="1" applyNumberFormat="1" applyFont="1" applyFill="1" applyAlignment="1">
      <alignment horizontal="right" vertical="center"/>
    </xf>
    <xf numFmtId="178" fontId="35" fillId="11" borderId="0" xfId="1" applyNumberFormat="1" applyFont="1" applyFill="1" applyAlignment="1">
      <alignment horizontal="right" vertical="center"/>
    </xf>
    <xf numFmtId="176" fontId="35" fillId="11" borderId="0" xfId="1" applyNumberFormat="1" applyFont="1" applyFill="1" applyAlignment="1">
      <alignment vertical="center"/>
    </xf>
    <xf numFmtId="14" fontId="35" fillId="11" borderId="0" xfId="1" applyNumberFormat="1" applyFont="1" applyFill="1" applyAlignment="1">
      <alignment vertical="center"/>
    </xf>
    <xf numFmtId="179" fontId="35" fillId="11" borderId="0" xfId="1" applyFont="1" applyFill="1" applyAlignment="1">
      <alignment vertical="center"/>
    </xf>
    <xf numFmtId="180" fontId="35" fillId="11" borderId="0" xfId="2" applyNumberFormat="1" applyFont="1" applyFill="1" applyAlignment="1">
      <alignment horizontal="right" vertical="center"/>
    </xf>
    <xf numFmtId="176" fontId="35" fillId="11" borderId="0" xfId="2" applyNumberFormat="1" applyFont="1" applyFill="1" applyAlignment="1">
      <alignment horizontal="right" vertical="center"/>
    </xf>
    <xf numFmtId="177" fontId="35" fillId="11" borderId="12" xfId="1" applyNumberFormat="1" applyFont="1" applyFill="1" applyBorder="1" applyAlignment="1">
      <alignment horizontal="right" vertical="center"/>
    </xf>
    <xf numFmtId="179" fontId="3" fillId="0" borderId="36" xfId="1" applyBorder="1"/>
    <xf numFmtId="176" fontId="42" fillId="0" borderId="32" xfId="4" applyNumberFormat="1" applyFont="1" applyBorder="1"/>
    <xf numFmtId="14" fontId="2" fillId="0" borderId="0" xfId="4" applyFont="1"/>
    <xf numFmtId="14" fontId="5" fillId="0" borderId="32" xfId="4" applyFont="1" applyBorder="1" applyAlignment="1">
      <alignment horizontal="center" vertical="center"/>
    </xf>
    <xf numFmtId="14" fontId="35" fillId="11" borderId="30" xfId="4" applyNumberFormat="1" applyFont="1" applyFill="1" applyBorder="1" applyAlignment="1">
      <alignment horizontal="center"/>
    </xf>
    <xf numFmtId="14" fontId="35" fillId="11" borderId="0" xfId="4" applyNumberFormat="1" applyFont="1" applyFill="1"/>
    <xf numFmtId="186" fontId="35" fillId="11" borderId="0" xfId="1" applyNumberFormat="1" applyFont="1" applyFill="1" applyAlignment="1">
      <alignment vertical="center"/>
    </xf>
    <xf numFmtId="198" fontId="35" fillId="11" borderId="0" xfId="1" applyNumberFormat="1" applyFont="1" applyFill="1" applyAlignment="1">
      <alignment vertical="center"/>
    </xf>
    <xf numFmtId="198" fontId="35" fillId="4" borderId="0" xfId="1" applyNumberFormat="1" applyFont="1" applyFill="1" applyAlignment="1">
      <alignment vertical="center"/>
    </xf>
    <xf numFmtId="176" fontId="35" fillId="4" borderId="0" xfId="1" applyNumberFormat="1" applyFont="1" applyFill="1" applyBorder="1"/>
    <xf numFmtId="179" fontId="36" fillId="3" borderId="0" xfId="1" applyFont="1" applyFill="1" applyBorder="1" applyAlignment="1">
      <alignment horizontal="center" vertical="center"/>
    </xf>
    <xf numFmtId="176" fontId="8" fillId="0" borderId="0" xfId="4" applyNumberFormat="1" applyFont="1" applyBorder="1"/>
    <xf numFmtId="179" fontId="25" fillId="3" borderId="0" xfId="1" applyFont="1" applyFill="1" applyBorder="1" applyAlignment="1">
      <alignment vertical="center" wrapText="1"/>
    </xf>
    <xf numFmtId="14" fontId="1" fillId="0" borderId="0" xfId="4" applyBorder="1"/>
    <xf numFmtId="182" fontId="0" fillId="3" borderId="0" xfId="0" applyFill="1">
      <alignment vertical="center"/>
    </xf>
    <xf numFmtId="182" fontId="0" fillId="0" borderId="32" xfId="0" applyBorder="1">
      <alignment vertical="center"/>
    </xf>
    <xf numFmtId="182" fontId="0" fillId="0" borderId="44" xfId="0" applyBorder="1">
      <alignment vertical="center"/>
    </xf>
    <xf numFmtId="182" fontId="8" fillId="0" borderId="0" xfId="0" applyFont="1">
      <alignment vertical="center"/>
    </xf>
    <xf numFmtId="182" fontId="8" fillId="3" borderId="0" xfId="0" applyFont="1" applyFill="1">
      <alignment vertical="center"/>
    </xf>
    <xf numFmtId="182" fontId="8" fillId="0" borderId="7" xfId="0" applyFont="1" applyBorder="1" applyAlignment="1">
      <alignment horizontal="center" vertical="center"/>
    </xf>
    <xf numFmtId="182" fontId="8" fillId="0" borderId="3" xfId="0" applyFont="1" applyBorder="1">
      <alignment vertical="center"/>
    </xf>
    <xf numFmtId="182" fontId="8" fillId="0" borderId="32" xfId="0" applyFont="1" applyBorder="1">
      <alignment vertical="center"/>
    </xf>
    <xf numFmtId="182" fontId="8" fillId="3" borderId="0" xfId="0" applyFont="1" applyFill="1" applyAlignment="1">
      <alignment horizontal="center" vertical="center"/>
    </xf>
    <xf numFmtId="182" fontId="1" fillId="0" borderId="0" xfId="4" applyNumberFormat="1"/>
    <xf numFmtId="182" fontId="26" fillId="0" borderId="0" xfId="4" applyNumberFormat="1" applyFont="1" applyAlignment="1">
      <alignment horizontal="left" vertical="center"/>
    </xf>
    <xf numFmtId="199" fontId="3" fillId="0" borderId="0" xfId="1" applyNumberFormat="1"/>
    <xf numFmtId="199" fontId="0" fillId="0" borderId="0" xfId="0" applyNumberFormat="1">
      <alignment vertical="center"/>
    </xf>
    <xf numFmtId="2" fontId="0" fillId="0" borderId="0" xfId="0" applyNumberFormat="1">
      <alignment vertical="center"/>
    </xf>
    <xf numFmtId="2" fontId="1" fillId="0" borderId="0" xfId="4" applyNumberFormat="1"/>
    <xf numFmtId="2" fontId="34" fillId="0" borderId="0" xfId="4" applyNumberFormat="1" applyFont="1"/>
    <xf numFmtId="10" fontId="35" fillId="11" borderId="0" xfId="2" applyNumberFormat="1" applyFont="1" applyFill="1" applyAlignment="1">
      <alignment horizontal="right" vertical="center"/>
    </xf>
    <xf numFmtId="10" fontId="35" fillId="4" borderId="0" xfId="2" applyNumberFormat="1" applyFont="1" applyFill="1" applyAlignment="1">
      <alignment horizontal="right" vertical="center"/>
    </xf>
    <xf numFmtId="176" fontId="35" fillId="3" borderId="0" xfId="1" applyNumberFormat="1" applyFont="1" applyFill="1" applyAlignment="1">
      <alignment horizontal="center" vertical="center"/>
    </xf>
    <xf numFmtId="176" fontId="35" fillId="3" borderId="0" xfId="1" applyNumberFormat="1" applyFont="1" applyFill="1" applyBorder="1" applyAlignment="1">
      <alignment horizontal="center"/>
    </xf>
    <xf numFmtId="176" fontId="35" fillId="3" borderId="0" xfId="1" applyNumberFormat="1" applyFont="1" applyFill="1" applyAlignment="1">
      <alignment horizontal="center"/>
    </xf>
    <xf numFmtId="176" fontId="35" fillId="4" borderId="0" xfId="1" applyNumberFormat="1" applyFont="1" applyFill="1" applyAlignment="1">
      <alignment horizontal="center" vertical="center"/>
    </xf>
    <xf numFmtId="176" fontId="35" fillId="4" borderId="0" xfId="1" applyNumberFormat="1" applyFont="1" applyFill="1" applyBorder="1" applyAlignment="1">
      <alignment horizontal="center"/>
    </xf>
    <xf numFmtId="176" fontId="35" fillId="4" borderId="0" xfId="1" applyNumberFormat="1" applyFont="1" applyFill="1" applyAlignment="1">
      <alignment horizontal="center"/>
    </xf>
    <xf numFmtId="178" fontId="35" fillId="4" borderId="0" xfId="1" applyNumberFormat="1" applyFont="1" applyFill="1" applyAlignment="1">
      <alignment horizontal="center"/>
    </xf>
    <xf numFmtId="182" fontId="50" fillId="0" borderId="32" xfId="0" applyFont="1" applyBorder="1">
      <alignment vertical="center"/>
    </xf>
    <xf numFmtId="0" fontId="35" fillId="11" borderId="0" xfId="1" applyNumberFormat="1" applyFont="1" applyFill="1" applyAlignment="1">
      <alignment horizontal="center" vertical="center"/>
    </xf>
    <xf numFmtId="0" fontId="35" fillId="4" borderId="0" xfId="1" applyNumberFormat="1" applyFont="1" applyFill="1" applyAlignment="1">
      <alignment horizontal="center" vertical="center"/>
    </xf>
    <xf numFmtId="180" fontId="35" fillId="11" borderId="0" xfId="1" applyNumberFormat="1" applyFont="1" applyFill="1" applyAlignment="1">
      <alignment vertical="center"/>
    </xf>
    <xf numFmtId="180" fontId="35" fillId="4" borderId="0" xfId="1" applyNumberFormat="1" applyFont="1" applyFill="1" applyAlignment="1">
      <alignment vertical="center"/>
    </xf>
    <xf numFmtId="176" fontId="3" fillId="0" borderId="0" xfId="1" applyNumberFormat="1" applyAlignment="1">
      <alignment horizontal="center"/>
    </xf>
    <xf numFmtId="176" fontId="35" fillId="11" borderId="0" xfId="1" applyNumberFormat="1" applyFont="1" applyFill="1" applyAlignment="1">
      <alignment horizontal="center" vertical="center"/>
    </xf>
    <xf numFmtId="19" fontId="35" fillId="11" borderId="31" xfId="4" applyNumberFormat="1" applyFont="1" applyFill="1" applyBorder="1" applyAlignment="1">
      <alignment horizontal="center"/>
    </xf>
    <xf numFmtId="14" fontId="35" fillId="4" borderId="0" xfId="1" applyNumberFormat="1" applyFont="1" applyFill="1" applyAlignment="1">
      <alignment vertical="center"/>
    </xf>
    <xf numFmtId="176" fontId="8" fillId="0" borderId="0" xfId="4" applyNumberFormat="1" applyFont="1" applyProtection="1"/>
    <xf numFmtId="176" fontId="8" fillId="0" borderId="12" xfId="4" applyNumberFormat="1" applyFont="1" applyBorder="1" applyProtection="1"/>
    <xf numFmtId="14" fontId="35" fillId="0" borderId="31" xfId="4" applyNumberFormat="1" applyFont="1" applyBorder="1" applyProtection="1"/>
    <xf numFmtId="14" fontId="35" fillId="0" borderId="31" xfId="4" applyNumberFormat="1" applyFont="1" applyBorder="1" applyAlignment="1" applyProtection="1">
      <alignment horizontal="right"/>
    </xf>
    <xf numFmtId="181" fontId="35" fillId="0" borderId="31" xfId="4" applyNumberFormat="1" applyFont="1" applyBorder="1" applyAlignment="1" applyProtection="1">
      <alignment horizontal="right"/>
    </xf>
    <xf numFmtId="176" fontId="8" fillId="0" borderId="6" xfId="4" applyNumberFormat="1" applyFont="1" applyBorder="1" applyProtection="1"/>
    <xf numFmtId="176" fontId="8" fillId="0" borderId="37" xfId="4" applyNumberFormat="1" applyFont="1" applyBorder="1" applyProtection="1"/>
    <xf numFmtId="176" fontId="8" fillId="0" borderId="40" xfId="4" applyNumberFormat="1" applyFont="1" applyBorder="1" applyProtection="1"/>
    <xf numFmtId="186" fontId="35" fillId="0" borderId="0" xfId="4" applyNumberFormat="1" applyFont="1" applyBorder="1" applyProtection="1"/>
    <xf numFmtId="176" fontId="8" fillId="0" borderId="0" xfId="4" applyNumberFormat="1" applyFont="1" applyBorder="1" applyProtection="1"/>
    <xf numFmtId="176" fontId="35" fillId="0" borderId="0" xfId="4" applyNumberFormat="1" applyFont="1" applyBorder="1" applyProtection="1"/>
    <xf numFmtId="176" fontId="35" fillId="0" borderId="13" xfId="4" applyNumberFormat="1" applyFont="1" applyBorder="1" applyProtection="1"/>
    <xf numFmtId="176" fontId="35" fillId="0" borderId="0" xfId="4" applyNumberFormat="1" applyFont="1" applyBorder="1" applyAlignment="1" applyProtection="1">
      <alignment horizontal="right"/>
    </xf>
    <xf numFmtId="176" fontId="35" fillId="0" borderId="42" xfId="4" applyNumberFormat="1" applyFont="1" applyBorder="1" applyAlignment="1" applyProtection="1">
      <alignment horizontal="right"/>
    </xf>
    <xf numFmtId="176" fontId="35" fillId="0" borderId="13" xfId="4" applyNumberFormat="1" applyFont="1" applyBorder="1" applyAlignment="1" applyProtection="1">
      <alignment horizontal="right"/>
    </xf>
    <xf numFmtId="176" fontId="3" fillId="0" borderId="0" xfId="1" applyNumberFormat="1" applyAlignment="1">
      <alignment horizontal="right"/>
    </xf>
    <xf numFmtId="176" fontId="35" fillId="3" borderId="0" xfId="1" applyNumberFormat="1" applyFont="1" applyFill="1" applyAlignment="1">
      <alignment horizontal="right"/>
    </xf>
    <xf numFmtId="176" fontId="35" fillId="4" borderId="0" xfId="1" applyNumberFormat="1" applyFont="1" applyFill="1" applyAlignment="1">
      <alignment horizontal="right"/>
    </xf>
    <xf numFmtId="176" fontId="3" fillId="0" borderId="0" xfId="1" applyNumberFormat="1" applyAlignment="1">
      <alignment horizontal="left"/>
    </xf>
    <xf numFmtId="176" fontId="35" fillId="11" borderId="0" xfId="1" applyNumberFormat="1" applyFont="1" applyFill="1" applyAlignment="1">
      <alignment horizontal="left" vertical="center"/>
    </xf>
    <xf numFmtId="176" fontId="35" fillId="4" borderId="0" xfId="1" applyNumberFormat="1" applyFont="1" applyFill="1" applyAlignment="1">
      <alignment horizontal="left" vertical="center"/>
    </xf>
    <xf numFmtId="176" fontId="35" fillId="3" borderId="0" xfId="1" applyNumberFormat="1" applyFont="1" applyFill="1" applyAlignment="1">
      <alignment horizontal="left"/>
    </xf>
    <xf numFmtId="176" fontId="35" fillId="4" borderId="0" xfId="1" applyNumberFormat="1" applyFont="1" applyFill="1" applyAlignment="1">
      <alignment horizontal="left"/>
    </xf>
    <xf numFmtId="179" fontId="56" fillId="14" borderId="48" xfId="1" applyFont="1" applyFill="1" applyBorder="1" applyAlignment="1">
      <alignment horizontal="center" vertical="center" wrapText="1"/>
    </xf>
    <xf numFmtId="179" fontId="54" fillId="14" borderId="53" xfId="1" applyFont="1" applyFill="1" applyBorder="1" applyAlignment="1">
      <alignment horizontal="center" vertical="center" wrapText="1"/>
    </xf>
    <xf numFmtId="179" fontId="55" fillId="14" borderId="53" xfId="1" applyFont="1" applyFill="1" applyBorder="1" applyAlignment="1">
      <alignment horizontal="center" vertical="center" wrapText="1"/>
    </xf>
    <xf numFmtId="49" fontId="56" fillId="14" borderId="53" xfId="1" applyNumberFormat="1" applyFont="1" applyFill="1" applyBorder="1" applyAlignment="1">
      <alignment horizontal="center" vertical="center" wrapText="1"/>
    </xf>
    <xf numFmtId="176" fontId="56" fillId="14" borderId="53" xfId="1" applyNumberFormat="1" applyFont="1" applyFill="1" applyBorder="1" applyAlignment="1">
      <alignment horizontal="center" vertical="center" wrapText="1"/>
    </xf>
    <xf numFmtId="176" fontId="57" fillId="14" borderId="55" xfId="1" applyNumberFormat="1" applyFont="1" applyFill="1" applyBorder="1"/>
    <xf numFmtId="176" fontId="57" fillId="14" borderId="48" xfId="1" applyNumberFormat="1" applyFont="1" applyFill="1" applyBorder="1"/>
    <xf numFmtId="179" fontId="57" fillId="14" borderId="48" xfId="1" applyFont="1" applyFill="1" applyBorder="1"/>
    <xf numFmtId="179" fontId="58" fillId="15" borderId="57" xfId="1" applyFont="1" applyFill="1" applyBorder="1" applyAlignment="1">
      <alignment horizontal="center" vertical="center" wrapText="1"/>
    </xf>
    <xf numFmtId="179" fontId="54" fillId="14" borderId="59" xfId="1" applyFont="1" applyFill="1" applyBorder="1" applyAlignment="1">
      <alignment horizontal="center" vertical="center" wrapText="1"/>
    </xf>
    <xf numFmtId="179" fontId="59" fillId="15" borderId="59" xfId="1" applyFont="1" applyFill="1" applyBorder="1" applyAlignment="1">
      <alignment horizontal="center" vertical="center" wrapText="1"/>
    </xf>
    <xf numFmtId="179" fontId="60" fillId="15" borderId="59" xfId="1" applyFont="1" applyFill="1" applyBorder="1" applyAlignment="1">
      <alignment horizontal="center" vertical="center" wrapText="1"/>
    </xf>
    <xf numFmtId="176" fontId="60" fillId="15" borderId="59" xfId="1" applyNumberFormat="1" applyFont="1" applyFill="1" applyBorder="1" applyAlignment="1">
      <alignment horizontal="center" vertical="center" wrapText="1"/>
    </xf>
    <xf numFmtId="176" fontId="3" fillId="14" borderId="61" xfId="1" applyNumberFormat="1" applyFill="1" applyBorder="1"/>
    <xf numFmtId="176" fontId="3" fillId="14" borderId="56" xfId="1" applyNumberFormat="1" applyFill="1" applyBorder="1"/>
    <xf numFmtId="179" fontId="3" fillId="14" borderId="56" xfId="1" applyFill="1" applyBorder="1"/>
    <xf numFmtId="176" fontId="14" fillId="15" borderId="7" xfId="1" applyNumberFormat="1" applyFont="1" applyFill="1" applyBorder="1" applyAlignment="1">
      <alignment horizontal="center" vertical="center"/>
    </xf>
    <xf numFmtId="182" fontId="14" fillId="15" borderId="7" xfId="1" applyNumberFormat="1" applyFont="1" applyFill="1" applyBorder="1" applyAlignment="1">
      <alignment horizontal="center" vertical="center"/>
    </xf>
    <xf numFmtId="177" fontId="14" fillId="0" borderId="7" xfId="1" applyNumberFormat="1" applyFont="1" applyBorder="1" applyAlignment="1">
      <alignment horizontal="center" vertical="center"/>
    </xf>
    <xf numFmtId="176" fontId="14" fillId="0" borderId="7" xfId="1" applyNumberFormat="1" applyFont="1" applyBorder="1" applyAlignment="1">
      <alignment horizontal="center" vertical="center"/>
    </xf>
    <xf numFmtId="182" fontId="14" fillId="0" borderId="7" xfId="1" applyNumberFormat="1" applyFont="1" applyBorder="1" applyAlignment="1">
      <alignment horizontal="center" vertical="center"/>
    </xf>
    <xf numFmtId="10" fontId="63" fillId="15" borderId="35" xfId="2" applyNumberFormat="1" applyFont="1" applyFill="1" applyBorder="1" applyAlignment="1">
      <alignment horizontal="center" vertical="center"/>
    </xf>
    <xf numFmtId="181" fontId="37" fillId="0" borderId="0" xfId="1" applyNumberFormat="1" applyFont="1" applyBorder="1" applyAlignment="1">
      <alignment horizontal="right" vertical="center"/>
    </xf>
    <xf numFmtId="179" fontId="25" fillId="0" borderId="0" xfId="1" applyFont="1" applyFill="1" applyBorder="1" applyAlignment="1">
      <alignment horizontal="center" vertical="center"/>
    </xf>
    <xf numFmtId="181" fontId="37" fillId="0" borderId="0" xfId="1" applyNumberFormat="1" applyFont="1" applyFill="1" applyBorder="1" applyAlignment="1">
      <alignment horizontal="right" vertical="center"/>
    </xf>
    <xf numFmtId="179" fontId="41" fillId="3" borderId="0" xfId="1" applyFont="1" applyFill="1" applyBorder="1" applyAlignment="1">
      <alignment vertical="center"/>
    </xf>
    <xf numFmtId="179" fontId="64" fillId="15" borderId="63" xfId="1" applyFont="1" applyFill="1" applyBorder="1" applyAlignment="1">
      <alignment horizontal="center" vertical="center"/>
    </xf>
    <xf numFmtId="179" fontId="64" fillId="15" borderId="64" xfId="1" applyFont="1" applyFill="1" applyBorder="1" applyAlignment="1">
      <alignment horizontal="center" vertical="center"/>
    </xf>
    <xf numFmtId="179" fontId="65" fillId="15" borderId="65" xfId="1" applyFont="1" applyFill="1" applyBorder="1" applyAlignment="1">
      <alignment horizontal="center" vertical="center"/>
    </xf>
    <xf numFmtId="182" fontId="54" fillId="14" borderId="54" xfId="4" applyNumberFormat="1" applyFont="1" applyFill="1" applyBorder="1" applyAlignment="1">
      <alignment horizontal="center" vertical="center"/>
    </xf>
    <xf numFmtId="14" fontId="55" fillId="14" borderId="54" xfId="4" applyFont="1" applyFill="1" applyBorder="1" applyAlignment="1">
      <alignment horizontal="center" vertical="center"/>
    </xf>
    <xf numFmtId="14" fontId="54" fillId="14" borderId="54" xfId="4" applyFont="1" applyFill="1" applyBorder="1" applyAlignment="1">
      <alignment horizontal="center" vertical="center"/>
    </xf>
    <xf numFmtId="193" fontId="54" fillId="14" borderId="54" xfId="4" applyNumberFormat="1" applyFont="1" applyFill="1" applyBorder="1" applyAlignment="1">
      <alignment horizontal="center" vertical="center"/>
    </xf>
    <xf numFmtId="176" fontId="54" fillId="14" borderId="54" xfId="4" applyNumberFormat="1" applyFont="1" applyFill="1" applyBorder="1" applyAlignment="1">
      <alignment horizontal="center" vertical="center"/>
    </xf>
    <xf numFmtId="14" fontId="56" fillId="14" borderId="55" xfId="4" applyFont="1" applyFill="1" applyBorder="1" applyAlignment="1">
      <alignment horizontal="center" vertical="center"/>
    </xf>
    <xf numFmtId="176" fontId="66" fillId="14" borderId="48" xfId="4" applyNumberFormat="1" applyFont="1" applyFill="1" applyBorder="1" applyAlignment="1">
      <alignment vertical="center"/>
    </xf>
    <xf numFmtId="176" fontId="66" fillId="14" borderId="48" xfId="4" applyNumberFormat="1" applyFont="1" applyFill="1" applyBorder="1"/>
    <xf numFmtId="14" fontId="66" fillId="14" borderId="48" xfId="4" applyFont="1" applyFill="1" applyBorder="1"/>
    <xf numFmtId="179" fontId="60" fillId="15" borderId="68" xfId="1" applyFont="1" applyFill="1" applyBorder="1" applyAlignment="1">
      <alignment horizontal="center" vertical="center" wrapText="1"/>
    </xf>
    <xf numFmtId="179" fontId="60" fillId="15" borderId="70" xfId="1" applyFont="1" applyFill="1" applyBorder="1" applyAlignment="1">
      <alignment horizontal="center" vertical="center" wrapText="1"/>
    </xf>
    <xf numFmtId="176" fontId="66" fillId="14" borderId="43" xfId="4" applyNumberFormat="1" applyFont="1" applyFill="1" applyBorder="1" applyAlignment="1">
      <alignment vertical="center"/>
    </xf>
    <xf numFmtId="176" fontId="66" fillId="14" borderId="43" xfId="4" applyNumberFormat="1" applyFont="1" applyFill="1" applyBorder="1"/>
    <xf numFmtId="14" fontId="66" fillId="14" borderId="43" xfId="4" applyFont="1" applyFill="1" applyBorder="1"/>
    <xf numFmtId="14" fontId="1" fillId="0" borderId="0" xfId="4" applyAlignment="1">
      <alignment horizontal="left" vertical="center"/>
    </xf>
    <xf numFmtId="14" fontId="27" fillId="0" borderId="0" xfId="4" applyFont="1" applyAlignment="1">
      <alignment horizontal="left" vertical="center"/>
    </xf>
    <xf numFmtId="195" fontId="35" fillId="11" borderId="0" xfId="4" applyNumberFormat="1" applyFont="1" applyFill="1" applyAlignment="1">
      <alignment horizontal="left" vertical="center"/>
    </xf>
    <xf numFmtId="195" fontId="35" fillId="4" borderId="0" xfId="4" applyNumberFormat="1" applyFont="1" applyFill="1" applyAlignment="1">
      <alignment horizontal="left" vertical="center"/>
    </xf>
    <xf numFmtId="14" fontId="35" fillId="4" borderId="0" xfId="4" applyNumberFormat="1" applyFont="1" applyFill="1" applyAlignment="1">
      <alignment horizontal="left" vertical="center"/>
    </xf>
    <xf numFmtId="14" fontId="35" fillId="11" borderId="0" xfId="4" applyNumberFormat="1" applyFont="1" applyFill="1" applyAlignment="1">
      <alignment horizontal="left" vertical="center"/>
    </xf>
    <xf numFmtId="14" fontId="25" fillId="3" borderId="0" xfId="4" applyNumberFormat="1" applyFont="1" applyFill="1" applyAlignment="1">
      <alignment horizontal="left" vertical="center"/>
    </xf>
    <xf numFmtId="14" fontId="36" fillId="3" borderId="0" xfId="4" applyFont="1" applyFill="1" applyAlignment="1">
      <alignment horizontal="left" vertical="center"/>
    </xf>
    <xf numFmtId="178" fontId="35" fillId="11" borderId="0" xfId="4" applyNumberFormat="1" applyFont="1" applyFill="1" applyAlignment="1">
      <alignment horizontal="left" vertical="center"/>
    </xf>
    <xf numFmtId="178" fontId="35" fillId="4" borderId="0" xfId="4" applyNumberFormat="1" applyFont="1" applyFill="1" applyAlignment="1">
      <alignment horizontal="left" vertical="center"/>
    </xf>
    <xf numFmtId="178" fontId="25" fillId="3" borderId="0" xfId="4" applyNumberFormat="1" applyFont="1" applyFill="1" applyAlignment="1">
      <alignment horizontal="left" vertical="center"/>
    </xf>
    <xf numFmtId="179" fontId="55" fillId="14" borderId="75" xfId="1" applyFont="1" applyFill="1" applyBorder="1" applyAlignment="1">
      <alignment horizontal="center" vertical="center"/>
    </xf>
    <xf numFmtId="179" fontId="54" fillId="14" borderId="74" xfId="1" applyFont="1" applyFill="1" applyBorder="1" applyAlignment="1">
      <alignment vertical="center"/>
    </xf>
    <xf numFmtId="179" fontId="54" fillId="14" borderId="76" xfId="1" applyFont="1" applyFill="1" applyBorder="1" applyAlignment="1">
      <alignment horizontal="center" vertical="center"/>
    </xf>
    <xf numFmtId="176" fontId="68" fillId="14" borderId="74" xfId="1" applyNumberFormat="1" applyFont="1" applyFill="1" applyBorder="1"/>
    <xf numFmtId="179" fontId="68" fillId="14" borderId="74" xfId="1" applyFont="1" applyFill="1" applyBorder="1"/>
    <xf numFmtId="179" fontId="69" fillId="15" borderId="68" xfId="1" applyFont="1" applyFill="1" applyBorder="1" applyAlignment="1">
      <alignment horizontal="center" vertical="center" wrapText="1"/>
    </xf>
    <xf numFmtId="179" fontId="70" fillId="15" borderId="68" xfId="1" applyFont="1" applyFill="1" applyBorder="1" applyAlignment="1">
      <alignment horizontal="center" vertical="center"/>
    </xf>
    <xf numFmtId="179" fontId="54" fillId="14" borderId="43" xfId="1" applyFont="1" applyFill="1" applyBorder="1" applyAlignment="1">
      <alignment horizontal="center" vertical="center"/>
    </xf>
    <xf numFmtId="179" fontId="54" fillId="14" borderId="70" xfId="1" applyFont="1" applyFill="1" applyBorder="1" applyAlignment="1">
      <alignment horizontal="center" vertical="center"/>
    </xf>
    <xf numFmtId="0" fontId="70" fillId="15" borderId="68" xfId="1" applyNumberFormat="1" applyFont="1" applyFill="1" applyBorder="1" applyAlignment="1">
      <alignment horizontal="center" vertical="center"/>
    </xf>
    <xf numFmtId="0" fontId="54" fillId="14" borderId="43" xfId="1" applyNumberFormat="1" applyFont="1" applyFill="1" applyBorder="1" applyAlignment="1">
      <alignment vertical="center"/>
    </xf>
    <xf numFmtId="176" fontId="68" fillId="14" borderId="43" xfId="1" applyNumberFormat="1" applyFont="1" applyFill="1" applyBorder="1"/>
    <xf numFmtId="179" fontId="68" fillId="14" borderId="43" xfId="1" applyFont="1" applyFill="1" applyBorder="1"/>
    <xf numFmtId="179" fontId="54" fillId="14" borderId="1" xfId="1" applyFont="1" applyFill="1" applyBorder="1" applyAlignment="1">
      <alignment horizontal="center" vertical="center"/>
    </xf>
    <xf numFmtId="179" fontId="54" fillId="14" borderId="29" xfId="1" applyFont="1" applyFill="1" applyBorder="1" applyAlignment="1">
      <alignment horizontal="center" vertical="center"/>
    </xf>
    <xf numFmtId="193" fontId="72" fillId="15" borderId="79" xfId="1" applyNumberFormat="1" applyFont="1" applyFill="1" applyBorder="1" applyAlignment="1">
      <alignment horizontal="right" vertical="center"/>
    </xf>
    <xf numFmtId="193" fontId="72" fillId="15" borderId="28" xfId="1" applyNumberFormat="1" applyFont="1" applyFill="1" applyBorder="1" applyAlignment="1">
      <alignment horizontal="right" vertical="center"/>
    </xf>
    <xf numFmtId="179" fontId="35" fillId="3" borderId="29" xfId="1" applyFont="1" applyFill="1" applyBorder="1" applyAlignment="1">
      <alignment horizontal="center" vertical="center"/>
    </xf>
    <xf numFmtId="10" fontId="72" fillId="3" borderId="79" xfId="2" applyNumberFormat="1" applyFont="1" applyFill="1" applyBorder="1" applyAlignment="1">
      <alignment horizontal="right" vertical="center"/>
    </xf>
    <xf numFmtId="10" fontId="72" fillId="3" borderId="28" xfId="2" applyNumberFormat="1" applyFont="1" applyFill="1" applyBorder="1" applyAlignment="1">
      <alignment horizontal="right" vertical="center"/>
    </xf>
    <xf numFmtId="179" fontId="62" fillId="15" borderId="81" xfId="1" applyFont="1" applyFill="1" applyBorder="1" applyAlignment="1">
      <alignment horizontal="center" vertical="center"/>
    </xf>
    <xf numFmtId="192" fontId="35" fillId="3" borderId="82" xfId="1" applyNumberFormat="1" applyFont="1" applyFill="1" applyBorder="1" applyAlignment="1">
      <alignment horizontal="center" vertical="center"/>
    </xf>
    <xf numFmtId="176" fontId="35" fillId="11" borderId="83" xfId="1" applyNumberFormat="1" applyFont="1" applyFill="1" applyBorder="1" applyAlignment="1">
      <alignment horizontal="right" vertical="center"/>
    </xf>
    <xf numFmtId="176" fontId="35" fillId="4" borderId="83" xfId="1" applyNumberFormat="1" applyFont="1" applyFill="1" applyBorder="1" applyAlignment="1">
      <alignment horizontal="right" vertical="center"/>
    </xf>
    <xf numFmtId="14" fontId="8" fillId="3" borderId="0" xfId="4" applyFont="1" applyFill="1"/>
    <xf numFmtId="14" fontId="75" fillId="15" borderId="84" xfId="4" applyFont="1" applyFill="1" applyBorder="1" applyAlignment="1">
      <alignment horizontal="justify" vertical="center"/>
    </xf>
    <xf numFmtId="14" fontId="76" fillId="3" borderId="84" xfId="4" applyFont="1" applyFill="1" applyBorder="1" applyAlignment="1">
      <alignment horizontal="left" vertical="center"/>
    </xf>
    <xf numFmtId="14" fontId="76" fillId="3" borderId="85" xfId="4" applyFont="1" applyFill="1" applyBorder="1" applyAlignment="1">
      <alignment horizontal="left" vertical="center"/>
    </xf>
    <xf numFmtId="14" fontId="8" fillId="3" borderId="86" xfId="4" applyFont="1" applyFill="1" applyBorder="1"/>
    <xf numFmtId="14" fontId="76" fillId="4" borderId="84" xfId="4" applyFont="1" applyFill="1" applyBorder="1" applyAlignment="1">
      <alignment horizontal="left" vertical="center"/>
    </xf>
    <xf numFmtId="14" fontId="76" fillId="4" borderId="85" xfId="4" applyFont="1" applyFill="1" applyBorder="1" applyAlignment="1">
      <alignment horizontal="left" vertical="center"/>
    </xf>
    <xf numFmtId="14" fontId="8" fillId="4" borderId="86" xfId="4" applyFont="1" applyFill="1" applyBorder="1"/>
    <xf numFmtId="176" fontId="8" fillId="3" borderId="0" xfId="4" applyNumberFormat="1" applyFont="1" applyFill="1"/>
    <xf numFmtId="14" fontId="76" fillId="4" borderId="87" xfId="4" applyFont="1" applyFill="1" applyBorder="1" applyAlignment="1">
      <alignment horizontal="left" vertical="center"/>
    </xf>
    <xf numFmtId="14" fontId="75" fillId="15" borderId="87" xfId="4" applyFont="1" applyFill="1" applyBorder="1" applyAlignment="1">
      <alignment horizontal="justify" vertical="center"/>
    </xf>
    <xf numFmtId="14" fontId="76" fillId="4" borderId="88" xfId="4" applyFont="1" applyFill="1" applyBorder="1" applyAlignment="1">
      <alignment horizontal="left" vertical="center"/>
    </xf>
    <xf numFmtId="14" fontId="8" fillId="4" borderId="89" xfId="4" applyFont="1" applyFill="1" applyBorder="1"/>
    <xf numFmtId="14" fontId="75" fillId="15" borderId="90" xfId="4" applyFont="1" applyFill="1" applyBorder="1" applyAlignment="1">
      <alignment horizontal="justify" vertical="center"/>
    </xf>
    <xf numFmtId="176" fontId="77" fillId="3" borderId="28" xfId="4" applyNumberFormat="1" applyFont="1" applyFill="1" applyBorder="1"/>
    <xf numFmtId="176" fontId="8" fillId="3" borderId="91" xfId="4" applyNumberFormat="1" applyFont="1" applyFill="1" applyBorder="1"/>
    <xf numFmtId="176" fontId="77" fillId="4" borderId="28" xfId="4" applyNumberFormat="1" applyFont="1" applyFill="1" applyBorder="1"/>
    <xf numFmtId="14" fontId="30" fillId="3" borderId="91" xfId="4" applyFont="1" applyFill="1" applyBorder="1" applyAlignment="1">
      <alignment vertical="center" wrapText="1"/>
    </xf>
    <xf numFmtId="14" fontId="75" fillId="12" borderId="41" xfId="4" applyFont="1" applyFill="1" applyBorder="1" applyAlignment="1">
      <alignment horizontal="justify" vertical="center"/>
    </xf>
    <xf numFmtId="14" fontId="53" fillId="12" borderId="39" xfId="4" applyFont="1" applyFill="1" applyBorder="1" applyAlignment="1">
      <alignment horizontal="right" vertical="center"/>
    </xf>
    <xf numFmtId="14" fontId="75" fillId="12" borderId="41" xfId="4" applyFont="1" applyFill="1" applyBorder="1" applyAlignment="1">
      <alignment horizontal="left" vertical="center"/>
    </xf>
    <xf numFmtId="179" fontId="53" fillId="12" borderId="39" xfId="4" applyNumberFormat="1" applyFont="1" applyFill="1" applyBorder="1" applyAlignment="1">
      <alignment horizontal="right" vertical="center"/>
    </xf>
    <xf numFmtId="186" fontId="76" fillId="12" borderId="39" xfId="4" applyNumberFormat="1" applyFont="1" applyFill="1" applyBorder="1" applyAlignment="1">
      <alignment horizontal="right" vertical="center"/>
    </xf>
    <xf numFmtId="177" fontId="61" fillId="12" borderId="41" xfId="4" applyNumberFormat="1" applyFont="1" applyFill="1" applyBorder="1" applyAlignment="1">
      <alignment horizontal="left" vertical="center"/>
    </xf>
    <xf numFmtId="177" fontId="76" fillId="12" borderId="39" xfId="4" applyNumberFormat="1" applyFont="1" applyFill="1" applyBorder="1" applyAlignment="1">
      <alignment horizontal="right" vertical="center"/>
    </xf>
    <xf numFmtId="177" fontId="75" fillId="12" borderId="41" xfId="4" applyNumberFormat="1" applyFont="1" applyFill="1" applyBorder="1" applyAlignment="1">
      <alignment horizontal="left" vertical="center"/>
    </xf>
    <xf numFmtId="14" fontId="75" fillId="3" borderId="41" xfId="4" applyFont="1" applyFill="1" applyBorder="1" applyAlignment="1">
      <alignment horizontal="justify" vertical="center"/>
    </xf>
    <xf numFmtId="177" fontId="76" fillId="3" borderId="39" xfId="4" applyNumberFormat="1" applyFont="1" applyFill="1" applyBorder="1" applyAlignment="1">
      <alignment horizontal="right" vertical="center"/>
    </xf>
    <xf numFmtId="177" fontId="75" fillId="3" borderId="41" xfId="4" applyNumberFormat="1" applyFont="1" applyFill="1" applyBorder="1" applyAlignment="1">
      <alignment horizontal="left" vertical="center"/>
    </xf>
    <xf numFmtId="177" fontId="75" fillId="3" borderId="41" xfId="4" applyNumberFormat="1" applyFont="1" applyFill="1" applyBorder="1" applyAlignment="1">
      <alignment horizontal="justify" vertical="center"/>
    </xf>
    <xf numFmtId="177" fontId="76" fillId="12" borderId="39" xfId="4" applyNumberFormat="1" applyFont="1" applyFill="1" applyBorder="1" applyAlignment="1">
      <alignment horizontal="right" vertical="center" wrapText="1"/>
    </xf>
    <xf numFmtId="177" fontId="75" fillId="12" borderId="41" xfId="4" applyNumberFormat="1" applyFont="1" applyFill="1" applyBorder="1" applyAlignment="1">
      <alignment horizontal="left" vertical="center" wrapText="1"/>
    </xf>
    <xf numFmtId="14" fontId="76" fillId="3" borderId="41" xfId="4" applyFont="1" applyFill="1" applyBorder="1" applyAlignment="1">
      <alignment horizontal="right" vertical="center"/>
    </xf>
    <xf numFmtId="177" fontId="76" fillId="12" borderId="39" xfId="4" applyNumberFormat="1" applyFont="1" applyFill="1" applyBorder="1" applyAlignment="1">
      <alignment vertical="center"/>
    </xf>
    <xf numFmtId="177" fontId="75" fillId="12" borderId="41" xfId="4" applyNumberFormat="1" applyFont="1" applyFill="1" applyBorder="1" applyAlignment="1">
      <alignment vertical="center"/>
    </xf>
    <xf numFmtId="14" fontId="76" fillId="12" borderId="41" xfId="4" applyFont="1" applyFill="1" applyBorder="1" applyAlignment="1">
      <alignment horizontal="right" vertical="center"/>
    </xf>
    <xf numFmtId="177" fontId="76" fillId="3" borderId="39" xfId="4" applyNumberFormat="1" applyFont="1" applyFill="1" applyBorder="1" applyAlignment="1">
      <alignment vertical="center"/>
    </xf>
    <xf numFmtId="177" fontId="75" fillId="3" borderId="41" xfId="4" applyNumberFormat="1" applyFont="1" applyFill="1" applyBorder="1" applyAlignment="1">
      <alignment vertical="center"/>
    </xf>
    <xf numFmtId="177" fontId="43" fillId="3" borderId="39" xfId="4" applyNumberFormat="1" applyFont="1" applyFill="1" applyBorder="1" applyAlignment="1">
      <alignment horizontal="right" vertical="center"/>
    </xf>
    <xf numFmtId="177" fontId="75" fillId="12" borderId="41" xfId="4" applyNumberFormat="1" applyFont="1" applyFill="1" applyBorder="1" applyAlignment="1">
      <alignment horizontal="justify" vertical="center"/>
    </xf>
    <xf numFmtId="186" fontId="75" fillId="12" borderId="41" xfId="4" applyNumberFormat="1" applyFont="1" applyFill="1" applyBorder="1" applyAlignment="1">
      <alignment horizontal="justify" vertical="center"/>
    </xf>
    <xf numFmtId="14" fontId="79" fillId="3" borderId="0" xfId="4" applyFont="1" applyFill="1" applyAlignment="1">
      <alignment vertical="center" wrapText="1"/>
    </xf>
    <xf numFmtId="14" fontId="72" fillId="3" borderId="0" xfId="4" applyFont="1" applyFill="1" applyAlignment="1" applyProtection="1">
      <alignment vertical="center" wrapText="1"/>
    </xf>
    <xf numFmtId="14" fontId="72" fillId="3" borderId="91" xfId="4" applyFont="1" applyFill="1" applyBorder="1" applyAlignment="1" applyProtection="1">
      <alignment vertical="center" wrapText="1"/>
    </xf>
    <xf numFmtId="14" fontId="28" fillId="0" borderId="93" xfId="4" applyFont="1" applyBorder="1" applyAlignment="1" applyProtection="1">
      <alignment vertical="center" wrapText="1"/>
    </xf>
    <xf numFmtId="14" fontId="28" fillId="0" borderId="0" xfId="4" applyFont="1" applyAlignment="1" applyProtection="1">
      <alignment vertical="center" wrapText="1"/>
    </xf>
    <xf numFmtId="14" fontId="28" fillId="3" borderId="0" xfId="4" applyFont="1" applyFill="1" applyAlignment="1" applyProtection="1">
      <alignment vertical="center" wrapText="1"/>
    </xf>
    <xf numFmtId="14" fontId="38" fillId="0" borderId="0" xfId="4" applyFont="1" applyAlignment="1" applyProtection="1">
      <alignment vertical="center" wrapText="1"/>
    </xf>
    <xf numFmtId="14" fontId="52" fillId="0" borderId="0" xfId="4" applyFont="1" applyAlignment="1" applyProtection="1">
      <alignment horizontal="center" vertical="center"/>
    </xf>
    <xf numFmtId="14" fontId="29" fillId="12" borderId="41" xfId="4" applyFont="1" applyFill="1" applyBorder="1" applyAlignment="1">
      <alignment horizontal="justify" vertical="center"/>
    </xf>
    <xf numFmtId="14" fontId="81" fillId="15" borderId="27" xfId="4" applyFont="1" applyFill="1" applyBorder="1" applyAlignment="1">
      <alignment horizontal="center" vertical="center"/>
    </xf>
    <xf numFmtId="14" fontId="8" fillId="0" borderId="28" xfId="4" applyFont="1" applyBorder="1" applyAlignment="1">
      <alignment horizontal="center" vertical="center"/>
    </xf>
    <xf numFmtId="14" fontId="81" fillId="15" borderId="3" xfId="4" applyFont="1" applyFill="1" applyBorder="1" applyAlignment="1">
      <alignment horizontal="center" vertical="center"/>
    </xf>
    <xf numFmtId="14" fontId="8" fillId="0" borderId="4" xfId="4" applyNumberFormat="1" applyFont="1" applyBorder="1" applyAlignment="1">
      <alignment horizontal="center" vertical="center"/>
    </xf>
    <xf numFmtId="196" fontId="8" fillId="0" borderId="28" xfId="4" applyNumberFormat="1" applyFont="1" applyBorder="1" applyAlignment="1">
      <alignment horizontal="center" vertical="center"/>
    </xf>
    <xf numFmtId="182" fontId="84" fillId="0" borderId="0" xfId="0" applyFont="1">
      <alignment vertical="center"/>
    </xf>
    <xf numFmtId="176" fontId="61" fillId="15" borderId="7" xfId="1" applyNumberFormat="1" applyFont="1" applyFill="1" applyBorder="1" applyAlignment="1">
      <alignment horizontal="center" vertical="center"/>
    </xf>
    <xf numFmtId="181" fontId="65" fillId="15" borderId="66" xfId="1" applyNumberFormat="1" applyFont="1" applyFill="1" applyBorder="1" applyAlignment="1">
      <alignment horizontal="right" vertical="center"/>
    </xf>
    <xf numFmtId="176" fontId="61" fillId="20" borderId="7" xfId="1" applyNumberFormat="1" applyFont="1" applyFill="1" applyBorder="1" applyAlignment="1">
      <alignment horizontal="center" vertical="center"/>
    </xf>
    <xf numFmtId="176" fontId="14" fillId="20" borderId="7" xfId="1" applyNumberFormat="1" applyFont="1" applyFill="1" applyBorder="1" applyAlignment="1">
      <alignment horizontal="center" vertical="center"/>
    </xf>
    <xf numFmtId="179" fontId="62" fillId="2" borderId="29" xfId="1" applyFont="1" applyFill="1" applyBorder="1" applyAlignment="1">
      <alignment horizontal="center" vertical="center"/>
    </xf>
    <xf numFmtId="179" fontId="62" fillId="9" borderId="29" xfId="1" applyFont="1" applyFill="1" applyBorder="1" applyAlignment="1">
      <alignment horizontal="center" vertical="center"/>
    </xf>
    <xf numFmtId="178" fontId="63" fillId="4" borderId="35" xfId="2" applyNumberFormat="1" applyFont="1" applyFill="1" applyBorder="1" applyAlignment="1">
      <alignment horizontal="center" vertical="center"/>
    </xf>
    <xf numFmtId="181" fontId="35" fillId="3" borderId="29" xfId="1" applyNumberFormat="1" applyFont="1" applyFill="1" applyBorder="1" applyAlignment="1">
      <alignment horizontal="right" vertical="center"/>
    </xf>
    <xf numFmtId="181" fontId="35" fillId="15" borderId="7" xfId="1" applyNumberFormat="1" applyFont="1" applyFill="1" applyBorder="1" applyAlignment="1">
      <alignment horizontal="right" vertical="center"/>
    </xf>
    <xf numFmtId="181" fontId="35" fillId="15" borderId="27" xfId="1" applyNumberFormat="1" applyFont="1" applyFill="1" applyBorder="1" applyAlignment="1">
      <alignment horizontal="right" vertical="center"/>
    </xf>
    <xf numFmtId="2" fontId="42" fillId="0" borderId="0" xfId="4" applyNumberFormat="1" applyFont="1" applyBorder="1"/>
    <xf numFmtId="2" fontId="1" fillId="0" borderId="32" xfId="4" applyNumberFormat="1" applyBorder="1"/>
    <xf numFmtId="2" fontId="0" fillId="0" borderId="0" xfId="0" applyNumberFormat="1" applyBorder="1">
      <alignment vertical="center"/>
    </xf>
    <xf numFmtId="182" fontId="49" fillId="0" borderId="0" xfId="0" applyFont="1" applyFill="1" applyBorder="1" applyAlignment="1">
      <alignment horizontal="center" vertical="center"/>
    </xf>
    <xf numFmtId="182" fontId="48" fillId="0" borderId="0" xfId="0" applyFont="1" applyFill="1" applyBorder="1" applyAlignment="1">
      <alignment horizontal="center" vertical="center"/>
    </xf>
    <xf numFmtId="182" fontId="48" fillId="0" borderId="43" xfId="0" applyFont="1" applyFill="1" applyBorder="1" applyAlignment="1">
      <alignment horizontal="center" vertical="center"/>
    </xf>
    <xf numFmtId="182" fontId="46" fillId="13" borderId="0" xfId="0" applyFont="1" applyFill="1" applyAlignment="1">
      <alignment horizontal="left" vertical="center"/>
    </xf>
    <xf numFmtId="179" fontId="86" fillId="16" borderId="32" xfId="1" applyFont="1" applyFill="1" applyBorder="1" applyAlignment="1">
      <alignment horizontal="center" vertical="center"/>
    </xf>
    <xf numFmtId="179" fontId="86" fillId="16" borderId="4" xfId="1" applyFont="1" applyFill="1" applyBorder="1" applyAlignment="1">
      <alignment horizontal="center" vertical="center"/>
    </xf>
    <xf numFmtId="179" fontId="86" fillId="17" borderId="3" xfId="1" applyFont="1" applyFill="1" applyBorder="1" applyAlignment="1">
      <alignment horizontal="center" vertical="center"/>
    </xf>
    <xf numFmtId="179" fontId="86" fillId="17" borderId="32" xfId="1" applyFont="1" applyFill="1" applyBorder="1" applyAlignment="1">
      <alignment horizontal="center" vertical="center"/>
    </xf>
    <xf numFmtId="179" fontId="86" fillId="17" borderId="4" xfId="1" applyFont="1" applyFill="1" applyBorder="1" applyAlignment="1">
      <alignment horizontal="center" vertical="center"/>
    </xf>
    <xf numFmtId="179" fontId="22" fillId="18" borderId="3" xfId="1" applyFont="1" applyFill="1" applyBorder="1" applyAlignment="1">
      <alignment horizontal="center"/>
    </xf>
    <xf numFmtId="179" fontId="22" fillId="18" borderId="32" xfId="1" applyFont="1" applyFill="1" applyBorder="1" applyAlignment="1">
      <alignment horizontal="center"/>
    </xf>
    <xf numFmtId="179" fontId="22" fillId="18" borderId="4" xfId="1" applyFont="1" applyFill="1" applyBorder="1" applyAlignment="1">
      <alignment horizontal="center"/>
    </xf>
    <xf numFmtId="176" fontId="22" fillId="19" borderId="3" xfId="1" applyNumberFormat="1" applyFont="1" applyFill="1" applyBorder="1" applyAlignment="1">
      <alignment horizontal="center"/>
    </xf>
    <xf numFmtId="176" fontId="22" fillId="19" borderId="32" xfId="1" applyNumberFormat="1" applyFont="1" applyFill="1" applyBorder="1" applyAlignment="1">
      <alignment horizontal="center"/>
    </xf>
    <xf numFmtId="176" fontId="22" fillId="19" borderId="4" xfId="1" applyNumberFormat="1" applyFont="1" applyFill="1" applyBorder="1" applyAlignment="1">
      <alignment horizontal="center"/>
    </xf>
    <xf numFmtId="176" fontId="61" fillId="20" borderId="27" xfId="1" applyNumberFormat="1" applyFont="1" applyFill="1" applyBorder="1" applyAlignment="1">
      <alignment horizontal="center" vertical="center"/>
    </xf>
    <xf numFmtId="176" fontId="61" fillId="20" borderId="28" xfId="1" applyNumberFormat="1" applyFont="1" applyFill="1" applyBorder="1" applyAlignment="1">
      <alignment horizontal="center" vertical="center"/>
    </xf>
    <xf numFmtId="177" fontId="14" fillId="0" borderId="27" xfId="1" applyNumberFormat="1" applyFont="1" applyBorder="1" applyAlignment="1">
      <alignment horizontal="center" vertical="center"/>
    </xf>
    <xf numFmtId="177" fontId="14" fillId="0" borderId="28" xfId="1" applyNumberFormat="1" applyFont="1" applyBorder="1" applyAlignment="1">
      <alignment horizontal="center" vertical="center"/>
    </xf>
    <xf numFmtId="49" fontId="56" fillId="14" borderId="54" xfId="1" applyNumberFormat="1" applyFont="1" applyFill="1" applyBorder="1" applyAlignment="1">
      <alignment horizontal="center" vertical="center" wrapText="1"/>
    </xf>
    <xf numFmtId="49" fontId="56" fillId="14" borderId="60" xfId="1" applyNumberFormat="1" applyFont="1" applyFill="1" applyBorder="1" applyAlignment="1">
      <alignment horizontal="center" vertical="center" wrapText="1"/>
    </xf>
    <xf numFmtId="179" fontId="54" fillId="14" borderId="48" xfId="1" applyFont="1" applyFill="1" applyBorder="1" applyAlignment="1">
      <alignment horizontal="center" vertical="center" wrapText="1"/>
    </xf>
    <xf numFmtId="179" fontId="54" fillId="14" borderId="56" xfId="1" applyFont="1" applyFill="1" applyBorder="1" applyAlignment="1">
      <alignment horizontal="center" vertical="center" wrapText="1"/>
    </xf>
    <xf numFmtId="179" fontId="54" fillId="14" borderId="49" xfId="1" applyFont="1" applyFill="1" applyBorder="1" applyAlignment="1">
      <alignment horizontal="center" vertical="center" wrapText="1"/>
    </xf>
    <xf numFmtId="179" fontId="54" fillId="14" borderId="58" xfId="1" applyFont="1" applyFill="1" applyBorder="1" applyAlignment="1">
      <alignment horizontal="center" vertical="center" wrapText="1"/>
    </xf>
    <xf numFmtId="179" fontId="54" fillId="14" borderId="50" xfId="1" applyFont="1" applyFill="1" applyBorder="1" applyAlignment="1">
      <alignment horizontal="center" vertical="center" wrapText="1"/>
    </xf>
    <xf numFmtId="179" fontId="54" fillId="14" borderId="51" xfId="1" applyFont="1" applyFill="1" applyBorder="1" applyAlignment="1">
      <alignment horizontal="center" vertical="center" wrapText="1"/>
    </xf>
    <xf numFmtId="179" fontId="54" fillId="14" borderId="52" xfId="1" applyFont="1" applyFill="1" applyBorder="1" applyAlignment="1">
      <alignment horizontal="center" vertical="center" wrapText="1"/>
    </xf>
    <xf numFmtId="14" fontId="25" fillId="0" borderId="0" xfId="4" applyFont="1" applyAlignment="1">
      <alignment horizontal="left" vertical="center"/>
    </xf>
    <xf numFmtId="14" fontId="38" fillId="15" borderId="62" xfId="4" applyFont="1" applyFill="1" applyBorder="1" applyAlignment="1">
      <alignment horizontal="center" vertical="center" wrapText="1"/>
    </xf>
    <xf numFmtId="14" fontId="38" fillId="15" borderId="72" xfId="4" applyFont="1" applyFill="1" applyBorder="1" applyAlignment="1">
      <alignment horizontal="center" vertical="center" wrapText="1"/>
    </xf>
    <xf numFmtId="14" fontId="54" fillId="14" borderId="54" xfId="4" applyFont="1" applyFill="1" applyBorder="1" applyAlignment="1">
      <alignment horizontal="center" vertical="center"/>
    </xf>
    <xf numFmtId="14" fontId="54" fillId="14" borderId="69" xfId="4" applyFont="1" applyFill="1" applyBorder="1" applyAlignment="1">
      <alignment horizontal="center" vertical="center"/>
    </xf>
    <xf numFmtId="14" fontId="54" fillId="14" borderId="48" xfId="4" applyFont="1" applyFill="1" applyBorder="1" applyAlignment="1">
      <alignment horizontal="center" vertical="center"/>
    </xf>
    <xf numFmtId="14" fontId="54" fillId="14" borderId="67" xfId="4" applyFont="1" applyFill="1" applyBorder="1" applyAlignment="1">
      <alignment horizontal="center" vertical="center"/>
    </xf>
    <xf numFmtId="179" fontId="67" fillId="0" borderId="48" xfId="4" applyNumberFormat="1" applyFont="1" applyBorder="1" applyAlignment="1">
      <alignment horizontal="center" vertical="center"/>
    </xf>
    <xf numFmtId="179" fontId="67" fillId="0" borderId="71" xfId="4" applyNumberFormat="1" applyFont="1" applyBorder="1" applyAlignment="1">
      <alignment horizontal="center" vertical="center"/>
    </xf>
    <xf numFmtId="179" fontId="67" fillId="0" borderId="67" xfId="4" applyNumberFormat="1" applyFont="1" applyBorder="1" applyAlignment="1">
      <alignment horizontal="center" vertical="center"/>
    </xf>
    <xf numFmtId="179" fontId="67" fillId="0" borderId="73" xfId="4" applyNumberFormat="1" applyFont="1" applyBorder="1" applyAlignment="1">
      <alignment horizontal="center" vertical="center"/>
    </xf>
    <xf numFmtId="181" fontId="54" fillId="14" borderId="78" xfId="1" applyNumberFormat="1" applyFont="1" applyFill="1" applyBorder="1" applyAlignment="1">
      <alignment horizontal="center" vertical="center" wrapText="1"/>
    </xf>
    <xf numFmtId="181" fontId="54" fillId="14" borderId="80" xfId="1" applyNumberFormat="1" applyFont="1" applyFill="1" applyBorder="1" applyAlignment="1">
      <alignment horizontal="center" vertical="center"/>
    </xf>
    <xf numFmtId="179" fontId="54" fillId="14" borderId="12" xfId="1" applyFont="1" applyFill="1" applyBorder="1" applyAlignment="1">
      <alignment horizontal="center" vertical="center"/>
    </xf>
    <xf numFmtId="179" fontId="54" fillId="14" borderId="0" xfId="1" applyFont="1" applyFill="1" applyAlignment="1">
      <alignment horizontal="center" vertical="center"/>
    </xf>
    <xf numFmtId="179" fontId="55" fillId="14" borderId="74" xfId="1" applyFont="1" applyFill="1" applyBorder="1" applyAlignment="1">
      <alignment horizontal="center" vertical="center" wrapText="1"/>
    </xf>
    <xf numFmtId="179" fontId="54" fillId="14" borderId="43" xfId="1" applyFont="1" applyFill="1" applyBorder="1" applyAlignment="1">
      <alignment horizontal="center" vertical="center" wrapText="1"/>
    </xf>
    <xf numFmtId="179" fontId="54" fillId="14" borderId="74" xfId="1" applyFont="1" applyFill="1" applyBorder="1" applyAlignment="1">
      <alignment horizontal="center" vertical="center"/>
    </xf>
    <xf numFmtId="179" fontId="54" fillId="14" borderId="43" xfId="1" applyFont="1" applyFill="1" applyBorder="1" applyAlignment="1">
      <alignment horizontal="center" vertical="center"/>
    </xf>
    <xf numFmtId="179" fontId="56" fillId="14" borderId="75" xfId="1" applyFont="1" applyFill="1" applyBorder="1" applyAlignment="1">
      <alignment horizontal="center" vertical="center"/>
    </xf>
    <xf numFmtId="179" fontId="54" fillId="14" borderId="77" xfId="1" applyFont="1" applyFill="1" applyBorder="1" applyAlignment="1">
      <alignment horizontal="center" vertical="center"/>
    </xf>
    <xf numFmtId="179" fontId="54" fillId="14" borderId="75" xfId="1" applyFont="1" applyFill="1" applyBorder="1" applyAlignment="1">
      <alignment horizontal="center" vertical="center"/>
    </xf>
    <xf numFmtId="14" fontId="82" fillId="14" borderId="1" xfId="4" applyFont="1" applyFill="1" applyBorder="1" applyAlignment="1">
      <alignment horizontal="center" vertical="center"/>
    </xf>
    <xf numFmtId="14" fontId="82" fillId="14" borderId="2" xfId="4" applyFont="1" applyFill="1" applyBorder="1" applyAlignment="1">
      <alignment horizontal="center" vertical="center"/>
    </xf>
    <xf numFmtId="14" fontId="82" fillId="14" borderId="12" xfId="4" applyFont="1" applyFill="1" applyBorder="1" applyAlignment="1">
      <alignment horizontal="center" vertical="center"/>
    </xf>
    <xf numFmtId="14" fontId="82" fillId="14" borderId="13" xfId="4" applyFont="1" applyFill="1" applyBorder="1" applyAlignment="1">
      <alignment horizontal="center" vertical="center"/>
    </xf>
    <xf numFmtId="14" fontId="82" fillId="14" borderId="3" xfId="4" applyFont="1" applyFill="1" applyBorder="1" applyAlignment="1">
      <alignment horizontal="center" vertical="center"/>
    </xf>
    <xf numFmtId="14" fontId="82" fillId="14" borderId="4" xfId="4" applyFont="1" applyFill="1" applyBorder="1" applyAlignment="1">
      <alignment horizontal="center" vertical="center"/>
    </xf>
    <xf numFmtId="14" fontId="74" fillId="5" borderId="1" xfId="4" applyFont="1" applyFill="1" applyBorder="1" applyAlignment="1">
      <alignment horizontal="center" vertical="center" wrapText="1"/>
    </xf>
    <xf numFmtId="14" fontId="74" fillId="5" borderId="93" xfId="4" applyFont="1" applyFill="1" applyBorder="1" applyAlignment="1">
      <alignment horizontal="center" vertical="center" wrapText="1"/>
    </xf>
    <xf numFmtId="14" fontId="74" fillId="5" borderId="2" xfId="4" applyFont="1" applyFill="1" applyBorder="1" applyAlignment="1">
      <alignment horizontal="center" vertical="center" wrapText="1"/>
    </xf>
    <xf numFmtId="14" fontId="74" fillId="5" borderId="30" xfId="4" applyFont="1" applyFill="1" applyBorder="1" applyAlignment="1" applyProtection="1">
      <alignment horizontal="center" vertical="center" wrapText="1"/>
    </xf>
    <xf numFmtId="14" fontId="74" fillId="5" borderId="5" xfId="4" applyFont="1" applyFill="1" applyBorder="1" applyAlignment="1" applyProtection="1">
      <alignment horizontal="center" vertical="center" wrapText="1"/>
    </xf>
    <xf numFmtId="14" fontId="74" fillId="5" borderId="98" xfId="4" applyFont="1" applyFill="1" applyBorder="1" applyAlignment="1" applyProtection="1">
      <alignment horizontal="center" vertical="center" wrapText="1"/>
    </xf>
    <xf numFmtId="179" fontId="76" fillId="3" borderId="27" xfId="4" applyNumberFormat="1" applyFont="1" applyFill="1" applyBorder="1" applyAlignment="1">
      <alignment horizontal="left" vertical="center"/>
    </xf>
    <xf numFmtId="14" fontId="76" fillId="3" borderId="44" xfId="4" applyFont="1" applyFill="1" applyBorder="1" applyAlignment="1">
      <alignment horizontal="left" vertical="center"/>
    </xf>
    <xf numFmtId="14" fontId="76" fillId="4" borderId="27" xfId="4" applyFont="1" applyFill="1" applyBorder="1" applyAlignment="1">
      <alignment horizontal="left" vertical="center"/>
    </xf>
    <xf numFmtId="14" fontId="76" fillId="4" borderId="44" xfId="4" applyFont="1" applyFill="1" applyBorder="1" applyAlignment="1">
      <alignment horizontal="left" vertical="center"/>
    </xf>
    <xf numFmtId="14" fontId="74" fillId="14" borderId="74" xfId="4" applyFont="1" applyFill="1" applyBorder="1" applyAlignment="1" applyProtection="1">
      <alignment horizontal="center" vertical="center" wrapText="1"/>
    </xf>
    <xf numFmtId="14" fontId="74" fillId="14" borderId="89" xfId="4" applyFont="1" applyFill="1" applyBorder="1" applyAlignment="1" applyProtection="1">
      <alignment horizontal="center" vertical="center" wrapText="1"/>
    </xf>
    <xf numFmtId="14" fontId="72" fillId="15" borderId="100" xfId="4" applyFont="1" applyFill="1" applyBorder="1" applyAlignment="1" applyProtection="1">
      <alignment horizontal="center" vertical="center" wrapText="1"/>
    </xf>
    <xf numFmtId="14" fontId="75" fillId="15" borderId="92" xfId="4" applyFont="1" applyFill="1" applyBorder="1" applyAlignment="1">
      <alignment horizontal="justify" vertical="center"/>
    </xf>
    <xf numFmtId="14" fontId="75" fillId="15" borderId="94" xfId="4" applyFont="1" applyFill="1" applyBorder="1" applyAlignment="1">
      <alignment horizontal="justify" vertical="center"/>
    </xf>
    <xf numFmtId="14" fontId="74" fillId="14" borderId="0" xfId="4" applyFont="1" applyFill="1" applyAlignment="1">
      <alignment horizontal="center" vertical="center" wrapText="1"/>
    </xf>
    <xf numFmtId="14" fontId="76" fillId="3" borderId="1" xfId="4" applyFont="1" applyFill="1" applyBorder="1" applyAlignment="1">
      <alignment horizontal="left" vertical="center" wrapText="1"/>
    </xf>
    <xf numFmtId="14" fontId="76" fillId="3" borderId="93" xfId="4" applyFont="1" applyFill="1" applyBorder="1" applyAlignment="1">
      <alignment horizontal="left" vertical="center" wrapText="1"/>
    </xf>
    <xf numFmtId="14" fontId="76" fillId="3" borderId="2" xfId="4" applyFont="1" applyFill="1" applyBorder="1" applyAlignment="1">
      <alignment horizontal="left" vertical="center" wrapText="1"/>
    </xf>
    <xf numFmtId="14" fontId="76" fillId="3" borderId="95" xfId="4" applyFont="1" applyFill="1" applyBorder="1" applyAlignment="1">
      <alignment horizontal="left" vertical="center" wrapText="1"/>
    </xf>
    <xf numFmtId="14" fontId="76" fillId="3" borderId="43" xfId="4" applyFont="1" applyFill="1" applyBorder="1" applyAlignment="1">
      <alignment horizontal="left" vertical="center" wrapText="1"/>
    </xf>
    <xf numFmtId="14" fontId="76" fillId="3" borderId="96" xfId="4" applyFont="1" applyFill="1" applyBorder="1" applyAlignment="1">
      <alignment horizontal="left" vertical="center" wrapText="1"/>
    </xf>
    <xf numFmtId="14" fontId="76" fillId="4" borderId="97" xfId="4" applyFont="1" applyFill="1" applyBorder="1" applyAlignment="1">
      <alignment horizontal="left" vertical="center" wrapText="1"/>
    </xf>
    <xf numFmtId="14" fontId="76" fillId="4" borderId="74" xfId="4" applyFont="1" applyFill="1" applyBorder="1" applyAlignment="1">
      <alignment horizontal="left" vertical="center" wrapText="1"/>
    </xf>
    <xf numFmtId="14" fontId="76" fillId="4" borderId="94" xfId="4" applyFont="1" applyFill="1" applyBorder="1" applyAlignment="1">
      <alignment horizontal="left" vertical="center" wrapText="1"/>
    </xf>
    <xf numFmtId="14" fontId="76" fillId="4" borderId="95" xfId="4" applyFont="1" applyFill="1" applyBorder="1" applyAlignment="1">
      <alignment horizontal="left" vertical="center" wrapText="1"/>
    </xf>
    <xf numFmtId="14" fontId="76" fillId="4" borderId="43" xfId="4" applyFont="1" applyFill="1" applyBorder="1" applyAlignment="1">
      <alignment horizontal="left" vertical="center" wrapText="1"/>
    </xf>
    <xf numFmtId="14" fontId="76" fillId="4" borderId="96" xfId="4" applyFont="1" applyFill="1" applyBorder="1" applyAlignment="1">
      <alignment horizontal="left" vertical="center" wrapText="1"/>
    </xf>
    <xf numFmtId="14" fontId="72" fillId="15" borderId="102" xfId="4" applyFont="1" applyFill="1" applyBorder="1" applyAlignment="1" applyProtection="1">
      <alignment horizontal="center" vertical="center" wrapText="1"/>
    </xf>
    <xf numFmtId="14" fontId="72" fillId="15" borderId="90" xfId="4" applyFont="1" applyFill="1" applyBorder="1" applyAlignment="1" applyProtection="1">
      <alignment horizontal="center" vertical="center" wrapText="1"/>
    </xf>
    <xf numFmtId="14" fontId="72" fillId="15" borderId="86" xfId="4" applyFont="1" applyFill="1" applyBorder="1" applyAlignment="1" applyProtection="1">
      <alignment horizontal="center" vertical="center" wrapText="1"/>
    </xf>
    <xf numFmtId="14" fontId="72" fillId="2" borderId="38" xfId="4" applyFont="1" applyFill="1" applyBorder="1" applyAlignment="1" applyProtection="1">
      <alignment horizontal="center" vertical="center" wrapText="1"/>
    </xf>
    <xf numFmtId="14" fontId="72" fillId="2" borderId="39" xfId="4" applyFont="1" applyFill="1" applyBorder="1" applyAlignment="1" applyProtection="1">
      <alignment horizontal="center" vertical="center" wrapText="1"/>
    </xf>
    <xf numFmtId="14" fontId="38" fillId="0" borderId="0" xfId="4" applyFont="1" applyAlignment="1">
      <alignment horizontal="left" vertical="center" wrapText="1"/>
    </xf>
    <xf numFmtId="14" fontId="38" fillId="0" borderId="6" xfId="4" applyFont="1" applyBorder="1" applyAlignment="1">
      <alignment horizontal="left" vertical="center" wrapText="1"/>
    </xf>
    <xf numFmtId="14" fontId="72" fillId="15" borderId="85" xfId="4" applyFont="1" applyFill="1" applyBorder="1" applyAlignment="1" applyProtection="1">
      <alignment horizontal="center" vertical="center" wrapText="1"/>
    </xf>
    <xf numFmtId="14" fontId="72" fillId="15" borderId="92" xfId="4" applyFont="1" applyFill="1" applyBorder="1" applyAlignment="1" applyProtection="1">
      <alignment horizontal="center" vertical="center" wrapText="1"/>
    </xf>
    <xf numFmtId="14" fontId="72" fillId="15" borderId="99" xfId="4" applyFont="1" applyFill="1" applyBorder="1" applyAlignment="1" applyProtection="1">
      <alignment horizontal="center" vertical="center" wrapText="1"/>
    </xf>
    <xf numFmtId="176" fontId="78" fillId="2" borderId="46" xfId="4" applyNumberFormat="1" applyFont="1" applyFill="1" applyBorder="1" applyAlignment="1">
      <alignment horizontal="center" vertical="center"/>
    </xf>
    <xf numFmtId="14" fontId="78" fillId="2" borderId="45" xfId="4" applyFont="1" applyFill="1" applyBorder="1" applyAlignment="1">
      <alignment horizontal="center" vertical="center"/>
    </xf>
    <xf numFmtId="14" fontId="78" fillId="2" borderId="46" xfId="4" applyFont="1" applyFill="1" applyBorder="1" applyAlignment="1">
      <alignment horizontal="center" vertical="center"/>
    </xf>
    <xf numFmtId="176" fontId="78" fillId="2" borderId="47" xfId="4" applyNumberFormat="1" applyFont="1" applyFill="1" applyBorder="1" applyAlignment="1">
      <alignment horizontal="center" vertical="center"/>
    </xf>
    <xf numFmtId="14" fontId="72" fillId="2" borderId="6" xfId="4" applyFont="1" applyFill="1" applyBorder="1" applyAlignment="1" applyProtection="1">
      <alignment horizontal="center" vertical="center" wrapText="1"/>
    </xf>
    <xf numFmtId="14" fontId="72" fillId="2" borderId="101" xfId="4" applyFont="1" applyFill="1" applyBorder="1" applyAlignment="1" applyProtection="1">
      <alignment horizontal="center" vertical="center" wrapText="1"/>
    </xf>
    <xf numFmtId="14" fontId="80" fillId="2" borderId="33" xfId="4" applyFont="1" applyFill="1" applyBorder="1" applyAlignment="1" applyProtection="1">
      <alignment horizontal="center" vertical="center" wrapText="1"/>
    </xf>
    <xf numFmtId="14" fontId="72" fillId="2" borderId="41" xfId="4" applyFont="1" applyFill="1" applyBorder="1" applyAlignment="1" applyProtection="1">
      <alignment horizontal="center" vertical="center" wrapText="1"/>
    </xf>
    <xf numFmtId="179" fontId="23" fillId="9" borderId="19" xfId="1" applyFont="1" applyFill="1" applyBorder="1" applyAlignment="1">
      <alignment horizontal="center" vertical="center"/>
    </xf>
    <xf numFmtId="179" fontId="23" fillId="9" borderId="17" xfId="1" applyFont="1" applyFill="1" applyBorder="1" applyAlignment="1">
      <alignment horizontal="center" vertical="center"/>
    </xf>
    <xf numFmtId="179" fontId="13" fillId="10" borderId="8" xfId="1" applyFont="1" applyFill="1" applyBorder="1" applyAlignment="1">
      <alignment horizontal="center"/>
    </xf>
    <xf numFmtId="179" fontId="23" fillId="8" borderId="19" xfId="1" applyFont="1" applyFill="1" applyBorder="1" applyAlignment="1">
      <alignment horizontal="center" vertical="center"/>
    </xf>
    <xf numFmtId="179" fontId="23" fillId="8" borderId="17" xfId="1" applyFont="1" applyFill="1" applyBorder="1" applyAlignment="1">
      <alignment horizontal="center" vertical="center"/>
    </xf>
    <xf numFmtId="179" fontId="23" fillId="8" borderId="18" xfId="1" applyFont="1" applyFill="1" applyBorder="1" applyAlignment="1">
      <alignment horizontal="center" vertical="center"/>
    </xf>
    <xf numFmtId="14" fontId="22" fillId="6" borderId="17" xfId="1" applyNumberFormat="1" applyFont="1" applyFill="1" applyBorder="1" applyAlignment="1">
      <alignment horizontal="center"/>
    </xf>
    <xf numFmtId="14" fontId="21" fillId="6" borderId="17" xfId="1" applyNumberFormat="1" applyFont="1" applyFill="1" applyBorder="1" applyAlignment="1">
      <alignment horizontal="center"/>
    </xf>
    <xf numFmtId="14" fontId="21" fillId="6" borderId="18" xfId="1" applyNumberFormat="1" applyFont="1" applyFill="1" applyBorder="1" applyAlignment="1">
      <alignment horizontal="center"/>
    </xf>
    <xf numFmtId="176" fontId="23" fillId="7" borderId="19" xfId="1" applyNumberFormat="1" applyFont="1" applyFill="1" applyBorder="1" applyAlignment="1">
      <alignment horizontal="center"/>
    </xf>
    <xf numFmtId="176" fontId="23" fillId="7" borderId="17" xfId="1" applyNumberFormat="1" applyFont="1" applyFill="1" applyBorder="1" applyAlignment="1">
      <alignment horizontal="center"/>
    </xf>
    <xf numFmtId="176" fontId="23" fillId="7" borderId="18" xfId="1" applyNumberFormat="1" applyFont="1" applyFill="1" applyBorder="1" applyAlignment="1">
      <alignment horizontal="center"/>
    </xf>
  </cellXfs>
  <cellStyles count="5">
    <cellStyle name="百分比" xfId="2" builtinId="5"/>
    <cellStyle name="百分比 2" xfId="3" xr:uid="{00000000-0005-0000-0000-000001000000}"/>
    <cellStyle name="常规" xfId="0" builtinId="0" customBuiltin="1"/>
    <cellStyle name="常规 2" xfId="1" xr:uid="{00000000-0005-0000-0000-000003000000}"/>
    <cellStyle name="常规 3" xfId="4" xr:uid="{00000000-0005-0000-0000-000004000000}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114.17500000000001</v>
        <stp/>
        <stp>123059.SZ</stp>
        <stp>LastPrice</stp>
        <stp>Dirty_Price</stp>
        <tr r="F206" s="2"/>
      </tp>
      <tp>
        <v>111.857</v>
        <stp/>
        <stp>128056.SZ</stp>
        <stp>LastPrice</stp>
        <stp>Dirty_Price</stp>
        <tr r="F133" s="2"/>
      </tp>
      <tp>
        <v>104.95</v>
        <stp/>
        <stp>123056.SZ</stp>
        <stp>LastPrice</stp>
        <stp>Dirty_Price</stp>
        <tr r="F146" s="2"/>
      </tp>
      <tp>
        <v>130</v>
        <stp/>
        <stp>128057.SZ</stp>
        <stp>LastPrice</stp>
        <stp>Dirty_Price</stp>
        <tr r="F207" s="2"/>
      </tp>
      <tp>
        <v>125.944</v>
        <stp/>
        <stp>123057.SZ</stp>
        <stp>LastPrice</stp>
        <stp>Dirty_Price</stp>
        <tr r="F254" s="2"/>
      </tp>
      <tp>
        <v>149.5</v>
        <stp/>
        <stp>123054.SZ</stp>
        <stp>LastPrice</stp>
        <stp>Dirty_Price</stp>
        <tr r="F211" s="2"/>
      </tp>
      <tp>
        <v>156.1</v>
        <stp/>
        <stp>123052.SZ</stp>
        <stp>LastPrice</stp>
        <stp>Dirty_Price</stp>
        <tr r="F270" s="2"/>
      </tp>
      <tp>
        <v>132.30000000000001</v>
        <stp/>
        <stp>128053.SZ</stp>
        <stp>LastPrice</stp>
        <stp>Dirty_Price</stp>
        <tr r="F68" s="2"/>
      </tp>
      <tp>
        <v>130.18</v>
        <stp/>
        <stp>123053.SZ</stp>
        <stp>LastPrice</stp>
        <stp>Dirty_Price</stp>
        <tr r="F372" s="2"/>
      </tp>
      <tp>
        <v>194.149</v>
        <stp/>
        <stp>128050.SZ</stp>
        <stp>LastPrice</stp>
        <stp>Dirty_Price</stp>
        <tr r="F140" s="2"/>
      </tp>
      <tp>
        <v>136.38</v>
        <stp/>
        <stp>123050.SZ</stp>
        <stp>LastPrice</stp>
        <stp>Dirty_Price</stp>
        <tr r="F328" s="2"/>
      </tp>
      <tp>
        <v>0</v>
        <stp/>
        <stp>128051.SZ</stp>
        <stp>LastPrice</stp>
        <stp>Dirty_Price</stp>
        <tr r="F273" s="2"/>
      </tp>
      <tp>
        <v>113.80000000000001</v>
        <stp/>
        <stp>123051.SZ</stp>
        <stp>LastPrice</stp>
        <stp>Dirty_Price</stp>
        <tr r="F210" s="2"/>
      </tp>
      <tp>
        <v>118</v>
        <stp/>
        <stp>128048.SZ</stp>
        <stp>LastPrice</stp>
        <stp>Dirty_Price</stp>
        <tr r="F29" s="2"/>
      </tp>
      <tp>
        <v>130.529</v>
        <stp/>
        <stp>123048.SZ</stp>
        <stp>LastPrice</stp>
        <stp>Dirty_Price</stp>
        <tr r="F278" s="2"/>
      </tp>
      <tp>
        <v>105.873</v>
        <stp/>
        <stp>128049.SZ</stp>
        <stp>LastPrice</stp>
        <stp>Dirty_Price</stp>
        <tr r="F108" s="2"/>
      </tp>
      <tp>
        <v>115.05000000000001</v>
        <stp/>
        <stp>123049.SZ</stp>
        <stp>LastPrice</stp>
        <stp>Dirty_Price</stp>
        <tr r="F287" s="2"/>
      </tp>
      <tp>
        <v>184.12900000000002</v>
        <stp/>
        <stp>128046.SZ</stp>
        <stp>LastPrice</stp>
        <stp>Dirty_Price</stp>
        <tr r="F238" s="2"/>
      </tp>
      <tp>
        <v>362.44100000000003</v>
        <stp/>
        <stp>123046.SZ</stp>
        <stp>LastPrice</stp>
        <stp>Dirty_Price</stp>
        <tr r="F272" s="2"/>
      </tp>
      <tp>
        <v>246.11</v>
        <stp/>
        <stp>123047.SZ</stp>
        <stp>LastPrice</stp>
        <stp>Dirty_Price</stp>
        <tr r="F289" s="2"/>
      </tp>
      <tp>
        <v>99.286000000000001</v>
        <stp/>
        <stp>128044.SZ</stp>
        <stp>LastPrice</stp>
        <stp>Dirty_Price</stp>
        <tr r="F167" s="2"/>
      </tp>
      <tp>
        <v>112.015</v>
        <stp/>
        <stp>123044.SZ</stp>
        <stp>LastPrice</stp>
        <stp>Dirty_Price</stp>
        <tr r="F363" s="2"/>
      </tp>
      <tp>
        <v>118.16000000000001</v>
        <stp/>
        <stp>127044.SZ</stp>
        <stp>LastPrice</stp>
        <stp>Dirty_Price</stp>
        <tr r="F186" s="2"/>
      </tp>
      <tp>
        <v>116.05000000000001</v>
        <stp/>
        <stp>123045.SZ</stp>
        <stp>LastPrice</stp>
        <stp>Dirty_Price</stp>
        <tr r="F139" s="2"/>
      </tp>
      <tp>
        <v>127.12100000000001</v>
        <stp/>
        <stp>127045.SZ</stp>
        <stp>LastPrice</stp>
        <stp>Dirty_Price</stp>
        <tr r="F148" s="2"/>
      </tp>
      <tp>
        <v>109.15</v>
        <stp/>
        <stp>128042.SZ</stp>
        <stp>LastPrice</stp>
        <stp>Dirty_Price</stp>
        <tr r="F365" s="2"/>
      </tp>
      <tp>
        <v>232.61</v>
        <stp/>
        <stp>123042.SZ</stp>
        <stp>LastPrice</stp>
        <stp>Dirty_Price</stp>
        <tr r="F214" s="2"/>
      </tp>
      <tp>
        <v>120.95100000000001</v>
        <stp/>
        <stp>127042.SZ</stp>
        <stp>LastPrice</stp>
        <stp>Dirty_Price</stp>
        <tr r="F113" s="2"/>
      </tp>
      <tp>
        <v>152.57</v>
        <stp/>
        <stp>123043.SZ</stp>
        <stp>LastPrice</stp>
        <stp>Dirty_Price</stp>
        <tr r="F209" s="2"/>
      </tp>
      <tp>
        <v>179.16</v>
        <stp/>
        <stp>127043.SZ</stp>
        <stp>LastPrice</stp>
        <stp>Dirty_Price</stp>
        <tr r="F266" s="2"/>
      </tp>
      <tp>
        <v>116.39400000000001</v>
        <stp/>
        <stp>128040.SZ</stp>
        <stp>LastPrice</stp>
        <stp>Dirty_Price</stp>
        <tr r="F53" s="2"/>
      </tp>
      <tp>
        <v>160.5</v>
        <stp/>
        <stp>127040.SZ</stp>
        <stp>LastPrice</stp>
        <stp>Dirty_Price</stp>
        <tr r="F95" s="2"/>
      </tp>
      <tp>
        <v>281.11099999999999</v>
        <stp/>
        <stp>128041.SZ</stp>
        <stp>LastPrice</stp>
        <stp>Dirty_Price</stp>
        <tr r="F79" s="2"/>
      </tp>
      <tp>
        <v>125.86</v>
        <stp/>
        <stp>127041.SZ</stp>
        <stp>LastPrice</stp>
        <stp>Dirty_Price</stp>
        <tr r="F227" s="2"/>
      </tp>
      <tp>
        <v>133.99700000000001</v>
        <stp/>
        <stp>128078.SZ</stp>
        <stp>LastPrice</stp>
        <stp>Dirty_Price</stp>
        <tr r="F196" s="2"/>
      </tp>
      <tp>
        <v>129.28</v>
        <stp/>
        <stp>123078.SZ</stp>
        <stp>LastPrice</stp>
        <stp>Dirty_Price</stp>
        <tr r="F267" s="2"/>
      </tp>
      <tp>
        <v>122.188</v>
        <stp/>
        <stp>128079.SZ</stp>
        <stp>LastPrice</stp>
        <stp>Dirty_Price</stp>
        <tr r="F111" s="2"/>
      </tp>
      <tp>
        <v>0</v>
        <stp/>
        <stp>123079.SZ</stp>
        <stp>LastPrice</stp>
        <stp>Dirty_Price</stp>
        <tr r="F371" s="2"/>
      </tp>
      <tp>
        <v>113.64700000000001</v>
        <stp/>
        <stp>128076.SZ</stp>
        <stp>LastPrice</stp>
        <stp>Dirty_Price</stp>
        <tr r="F229" s="2"/>
      </tp>
      <tp>
        <v>104.539</v>
        <stp/>
        <stp>123076.SZ</stp>
        <stp>LastPrice</stp>
        <stp>Dirty_Price</stp>
        <tr r="F260" s="2"/>
      </tp>
      <tp>
        <v>108.7</v>
        <stp/>
        <stp>123077.SZ</stp>
        <stp>LastPrice</stp>
        <stp>Dirty_Price</stp>
        <tr r="F205" s="2"/>
      </tp>
      <tp>
        <v>107.29900000000001</v>
        <stp/>
        <stp>128074.SZ</stp>
        <stp>LastPrice</stp>
        <stp>Dirty_Price</stp>
        <tr r="F373" s="2"/>
      </tp>
      <tp>
        <v>139.9</v>
        <stp/>
        <stp>123074.SZ</stp>
        <stp>LastPrice</stp>
        <stp>Dirty_Price</stp>
        <tr r="F347" s="2"/>
      </tp>
      <tp>
        <v>125.80000000000001</v>
        <stp/>
        <stp>128075.SZ</stp>
        <stp>LastPrice</stp>
        <stp>Dirty_Price</stp>
        <tr r="F126" s="2"/>
      </tp>
      <tp>
        <v>115.29100000000001</v>
        <stp/>
        <stp>123075.SZ</stp>
        <stp>LastPrice</stp>
        <stp>Dirty_Price</stp>
        <tr r="F137" s="2"/>
      </tp>
      <tp>
        <v>110.99900000000001</v>
        <stp/>
        <stp>128072.SZ</stp>
        <stp>LastPrice</stp>
        <stp>Dirty_Price</stp>
        <tr r="F19" s="2"/>
      </tp>
      <tp>
        <v>120.32900000000001</v>
        <stp/>
        <stp>123072.SZ</stp>
        <stp>LastPrice</stp>
        <stp>Dirty_Price</stp>
        <tr r="F99" s="2"/>
      </tp>
      <tp>
        <v>113.989</v>
        <stp/>
        <stp>128073.SZ</stp>
        <stp>LastPrice</stp>
        <stp>Dirty_Price</stp>
        <tr r="F105" s="2"/>
      </tp>
      <tp>
        <v>119.88000000000001</v>
        <stp/>
        <stp>123073.SZ</stp>
        <stp>LastPrice</stp>
        <stp>Dirty_Price</stp>
        <tr r="F39" s="2"/>
      </tp>
      <tp>
        <v>111.83</v>
        <stp/>
        <stp>128070.SZ</stp>
        <stp>LastPrice</stp>
        <stp>Dirty_Price</stp>
        <tr r="F222" s="2"/>
      </tp>
      <tp>
        <v>155.4</v>
        <stp/>
        <stp>123070.SZ</stp>
        <stp>LastPrice</stp>
        <stp>Dirty_Price</stp>
        <tr r="F354" s="2"/>
      </tp>
      <tp>
        <v>111.435</v>
        <stp/>
        <stp>128071.SZ</stp>
        <stp>LastPrice</stp>
        <stp>Dirty_Price</stp>
        <tr r="F109" s="2"/>
      </tp>
      <tp>
        <v>161.232</v>
        <stp/>
        <stp>123071.SZ</stp>
        <stp>LastPrice</stp>
        <stp>Dirty_Price</stp>
        <tr r="F362" s="2"/>
      </tp>
      <tp>
        <v>107.60000000000001</v>
        <stp/>
        <stp>123068.SZ</stp>
        <stp>LastPrice</stp>
        <stp>Dirty_Price</stp>
        <tr r="F327" s="2"/>
      </tp>
      <tp>
        <v>107.60000000000001</v>
        <stp/>
        <stp>128069.SZ</stp>
        <stp>LastPrice</stp>
        <stp>Dirty_Price</stp>
        <tr r="F51" s="2"/>
      </tp>
      <tp>
        <v>227.79000000000002</v>
        <stp/>
        <stp>123069.SZ</stp>
        <stp>LastPrice</stp>
        <stp>Dirty_Price</stp>
        <tr r="F237" s="2"/>
      </tp>
      <tp>
        <v>104.866</v>
        <stp/>
        <stp>128066.SZ</stp>
        <stp>LastPrice</stp>
        <stp>Dirty_Price</stp>
        <tr r="F177" s="2"/>
      </tp>
      <tp>
        <v>321</v>
        <stp/>
        <stp>123067.SZ</stp>
        <stp>LastPrice</stp>
        <stp>Dirty_Price</stp>
        <tr r="F212" s="2"/>
      </tp>
      <tp>
        <v>110.589</v>
        <stp/>
        <stp>123064.SZ</stp>
        <stp>LastPrice</stp>
        <stp>Dirty_Price</stp>
        <tr r="F61" s="2"/>
      </tp>
      <tp>
        <v>110.9</v>
        <stp/>
        <stp>123065.SZ</stp>
        <stp>LastPrice</stp>
        <stp>Dirty_Price</stp>
        <tr r="F75" s="2"/>
      </tp>
      <tp>
        <v>91.34</v>
        <stp/>
        <stp>128062.SZ</stp>
        <stp>LastPrice</stp>
        <stp>Dirty_Price</stp>
        <tr r="F47" s="2"/>
      </tp>
      <tp>
        <v>117.62</v>
        <stp/>
        <stp>123062.SZ</stp>
        <stp>LastPrice</stp>
        <stp>Dirty_Price</stp>
        <tr r="F224" s="2"/>
      </tp>
      <tp>
        <v>115.30000000000001</v>
        <stp/>
        <stp>128063.SZ</stp>
        <stp>LastPrice</stp>
        <stp>Dirty_Price</stp>
        <tr r="F107" s="2"/>
      </tp>
      <tp>
        <v>123.5</v>
        <stp/>
        <stp>123063.SZ</stp>
        <stp>LastPrice</stp>
        <stp>Dirty_Price</stp>
        <tr r="F147" s="2"/>
      </tp>
      <tp>
        <v>141</v>
        <stp/>
        <stp>123060.SZ</stp>
        <stp>LastPrice</stp>
        <stp>Dirty_Price</stp>
        <tr r="F221" s="2"/>
      </tp>
      <tp>
        <v>126.06</v>
        <stp/>
        <stp>123061.SZ</stp>
        <stp>LastPrice</stp>
        <stp>Dirty_Price</stp>
        <tr r="F276" s="2"/>
      </tp>
      <tp>
        <v>104.94000000000001</v>
        <stp/>
        <stp>128118.SZ</stp>
        <stp>LastPrice</stp>
        <stp>Dirty_Price</stp>
        <tr r="F330" s="2"/>
      </tp>
      <tp>
        <v>112.69000000000001</v>
        <stp/>
        <stp>128018.SZ</stp>
        <stp>LastPrice</stp>
        <stp>Dirty_Price</stp>
        <tr r="F360" s="2"/>
      </tp>
      <tp>
        <v>124.60000000000001</v>
        <stp/>
        <stp>123118.SZ</stp>
        <stp>LastPrice</stp>
        <stp>Dirty_Price</stp>
        <tr r="F295" s="2"/>
      </tp>
      <tp>
        <v>199.44300000000001</v>
        <stp/>
        <stp>123018.SZ</stp>
        <stp>LastPrice</stp>
        <stp>Dirty_Price</stp>
        <tr r="F69" s="2"/>
      </tp>
      <tp>
        <v>123.5</v>
        <stp/>
        <stp>127018.SZ</stp>
        <stp>LastPrice</stp>
        <stp>Dirty_Price</stp>
        <tr r="F302" s="2"/>
      </tp>
      <tp>
        <v>125.9</v>
        <stp/>
        <stp>128119.SZ</stp>
        <stp>LastPrice</stp>
        <stp>Dirty_Price</stp>
        <tr r="F88" s="2"/>
      </tp>
      <tp>
        <v>121.09</v>
        <stp/>
        <stp>123119.SZ</stp>
        <stp>LastPrice</stp>
        <stp>Dirty_Price</stp>
        <tr r="F59" s="2"/>
      </tp>
      <tp>
        <v>102.208</v>
        <stp/>
        <stp>127019.SZ</stp>
        <stp>LastPrice</stp>
        <stp>Dirty_Price</stp>
        <tr r="F13" s="2"/>
      </tp>
      <tp>
        <v>117</v>
        <stp/>
        <stp>128116.SZ</stp>
        <stp>LastPrice</stp>
        <stp>Dirty_Price</stp>
        <tr r="F304" s="2"/>
      </tp>
      <tp>
        <v>130.70000000000002</v>
        <stp/>
        <stp>123116.SZ</stp>
        <stp>LastPrice</stp>
        <stp>Dirty_Price</stp>
        <tr r="F204" s="2"/>
      </tp>
      <tp>
        <v>104.167</v>
        <stp/>
        <stp>127016.SZ</stp>
        <stp>LastPrice</stp>
        <stp>Dirty_Price</stp>
        <tr r="F316" s="2"/>
      </tp>
      <tp>
        <v>105</v>
        <stp/>
        <stp>128117.SZ</stp>
        <stp>LastPrice</stp>
        <stp>Dirty_Price</stp>
        <tr r="F252" s="2"/>
      </tp>
      <tp>
        <v>218</v>
        <stp/>
        <stp>128017.SZ</stp>
        <stp>LastPrice</stp>
        <stp>Dirty_Price</stp>
        <tr r="F85" s="2"/>
      </tp>
      <tp>
        <v>115.95100000000001</v>
        <stp/>
        <stp>123117.SZ</stp>
        <stp>LastPrice</stp>
        <stp>Dirty_Price</stp>
        <tr r="F58" s="2"/>
      </tp>
      <tp>
        <v>134.5</v>
        <stp/>
        <stp>127017.SZ</stp>
        <stp>LastPrice</stp>
        <stp>Dirty_Price</stp>
        <tr r="F182" s="2"/>
      </tp>
      <tp>
        <v>107.2</v>
        <stp/>
        <stp>128114.SZ</stp>
        <stp>LastPrice</stp>
        <stp>Dirty_Price</stp>
        <tr r="F141" s="2"/>
      </tp>
      <tp>
        <v>118.58000000000001</v>
        <stp/>
        <stp>128014.SZ</stp>
        <stp>LastPrice</stp>
        <stp>Dirty_Price</stp>
        <tr r="F246" s="2"/>
      </tp>
      <tp>
        <v>170</v>
        <stp/>
        <stp>123114.SZ</stp>
        <stp>LastPrice</stp>
        <stp>Dirty_Price</stp>
        <tr r="F277" s="2"/>
      </tp>
      <tp>
        <v>131</v>
        <stp/>
        <stp>123014.SZ</stp>
        <stp>LastPrice</stp>
        <stp>Dirty_Price</stp>
        <tr r="F364" s="2"/>
      </tp>
      <tp>
        <v>120.89800000000001</v>
        <stp/>
        <stp>127014.SZ</stp>
        <stp>LastPrice</stp>
        <stp>Dirty_Price</stp>
        <tr r="F174" s="2"/>
      </tp>
      <tp>
        <v>103.23</v>
        <stp/>
        <stp>128015.SZ</stp>
        <stp>LastPrice</stp>
        <stp>Dirty_Price</stp>
        <tr r="F198" s="2"/>
      </tp>
      <tp>
        <v>139.30000000000001</v>
        <stp/>
        <stp>123115.SZ</stp>
        <stp>LastPrice</stp>
        <stp>Dirty_Price</stp>
        <tr r="F338" s="2"/>
      </tp>
      <tp>
        <v>241</v>
        <stp/>
        <stp>123015.SZ</stp>
        <stp>LastPrice</stp>
        <stp>Dirty_Price</stp>
        <tr r="F199" s="2"/>
      </tp>
      <tp>
        <v>110.80000000000001</v>
        <stp/>
        <stp>127015.SZ</stp>
        <stp>LastPrice</stp>
        <stp>Dirty_Price</stp>
        <tr r="F142" s="2"/>
      </tp>
      <tp>
        <v>124.56</v>
        <stp/>
        <stp>123112.SZ</stp>
        <stp>LastPrice</stp>
        <stp>Dirty_Price</stp>
        <tr r="F225" s="2"/>
      </tp>
      <tp>
        <v>160</v>
        <stp/>
        <stp>123012.SZ</stp>
        <stp>LastPrice</stp>
        <stp>Dirty_Price</stp>
        <tr r="F97" s="2"/>
      </tp>
      <tp>
        <v>113.60000000000001</v>
        <stp/>
        <stp>127012.SZ</stp>
        <stp>LastPrice</stp>
        <stp>Dirty_Price</stp>
        <tr r="F154" s="2"/>
      </tp>
      <tp>
        <v>184.124</v>
        <stp/>
        <stp>128113.SZ</stp>
        <stp>LastPrice</stp>
        <stp>Dirty_Price</stp>
        <tr r="F317" s="2"/>
      </tp>
      <tp>
        <v>113.23</v>
        <stp/>
        <stp>128013.SZ</stp>
        <stp>LastPrice</stp>
        <stp>Dirty_Price</stp>
        <tr r="F170" s="2"/>
      </tp>
      <tp>
        <v>115</v>
        <stp/>
        <stp>123113.SZ</stp>
        <stp>LastPrice</stp>
        <stp>Dirty_Price</stp>
        <tr r="F90" s="2"/>
      </tp>
      <tp>
        <v>327.3</v>
        <stp/>
        <stp>123013.SZ</stp>
        <stp>LastPrice</stp>
        <stp>Dirty_Price</stp>
        <tr r="F255" s="2"/>
      </tp>
      <tp>
        <v>108.19800000000001</v>
        <stp/>
        <stp>127013.SZ</stp>
        <stp>LastPrice</stp>
        <stp>Dirty_Price</stp>
        <tr r="F191" s="2"/>
      </tp>
      <tp>
        <v>122.721</v>
        <stp/>
        <stp>123110.SZ</stp>
        <stp>LastPrice</stp>
        <stp>Dirty_Price</stp>
        <tr r="F44" s="2"/>
      </tp>
      <tp>
        <v>108</v>
        <stp/>
        <stp>123010.SZ</stp>
        <stp>LastPrice</stp>
        <stp>Dirty_Price</stp>
        <tr r="F286" s="2"/>
      </tp>
      <tp>
        <v>426.78000000000003</v>
        <stp/>
        <stp>128111.SZ</stp>
        <stp>LastPrice</stp>
        <stp>Dirty_Price</stp>
        <tr r="F15" s="2"/>
      </tp>
      <tp>
        <v>161.47800000000001</v>
        <stp/>
        <stp>123111.SZ</stp>
        <stp>LastPrice</stp>
        <stp>Dirty_Price</stp>
        <tr r="F310" s="2"/>
      </tp>
      <tp>
        <v>110.2</v>
        <stp/>
        <stp>123011.SZ</stp>
        <stp>LastPrice</stp>
        <stp>Dirty_Price</stp>
        <tr r="F130" s="2"/>
      </tp>
      <tp>
        <v>154.30000000000001</v>
        <stp/>
        <stp>127011.SZ</stp>
        <stp>LastPrice</stp>
        <stp>Dirty_Price</stp>
        <tr r="F121" s="2"/>
      </tp>
      <tp>
        <v>118.10000000000001</v>
        <stp/>
        <stp>128108.SZ</stp>
        <stp>LastPrice</stp>
        <stp>Dirty_Price</stp>
        <tr r="F60" s="2"/>
      </tp>
      <tp>
        <v>122.19000000000001</v>
        <stp/>
        <stp>123108.SZ</stp>
        <stp>LastPrice</stp>
        <stp>Dirty_Price</stp>
        <tr r="F76" s="2"/>
      </tp>
      <tp>
        <v>140.33500000000001</v>
        <stp/>
        <stp>128109.SZ</stp>
        <stp>LastPrice</stp>
        <stp>Dirty_Price</stp>
        <tr r="F12" s="2"/>
      </tp>
      <tp>
        <v>121.00500000000001</v>
        <stp/>
        <stp>123109.SZ</stp>
        <stp>LastPrice</stp>
        <stp>Dirty_Price</stp>
        <tr r="F218" s="2"/>
      </tp>
      <tp>
        <v>122.60000000000001</v>
        <stp/>
        <stp>128106.SZ</stp>
        <stp>LastPrice</stp>
        <stp>Dirty_Price</stp>
        <tr r="F89" s="2"/>
      </tp>
      <tp>
        <v>123.506</v>
        <stp/>
        <stp>123106.SZ</stp>
        <stp>LastPrice</stp>
        <stp>Dirty_Price</stp>
        <tr r="F257" s="2"/>
      </tp>
      <tp>
        <v>115.96000000000001</v>
        <stp/>
        <stp>127006.SZ</stp>
        <stp>LastPrice</stp>
        <stp>Dirty_Price</stp>
        <tr r="F41" s="2"/>
      </tp>
      <tp>
        <v>116.80300000000001</v>
        <stp/>
        <stp>128107.SZ</stp>
        <stp>LastPrice</stp>
        <stp>Dirty_Price</stp>
        <tr r="F168" s="2"/>
      </tp>
      <tp>
        <v>111.438</v>
        <stp/>
        <stp>123107.SZ</stp>
        <stp>LastPrice</stp>
        <stp>Dirty_Price</stp>
        <tr r="F144" s="2"/>
      </tp>
      <tp>
        <v>102.80000000000001</v>
        <stp/>
        <stp>127007.SZ</stp>
        <stp>LastPrice</stp>
        <stp>Dirty_Price</stp>
        <tr r="F376" s="2"/>
      </tp>
      <tp>
        <v>120.786</v>
        <stp/>
        <stp>123104.SZ</stp>
        <stp>LastPrice</stp>
        <stp>Dirty_Price</stp>
        <tr r="F200" s="2"/>
      </tp>
      <tp>
        <v>104.759</v>
        <stp/>
        <stp>123004.SZ</stp>
        <stp>LastPrice</stp>
        <stp>Dirty_Price</stp>
        <tr r="F171" s="2"/>
      </tp>
      <tp>
        <v>161.56900000000002</v>
        <stp/>
        <stp>127004.SZ</stp>
        <stp>LastPrice</stp>
        <stp>Dirty_Price</stp>
        <tr r="F122" s="2"/>
      </tp>
      <tp>
        <v>109.512</v>
        <stp/>
        <stp>128105.SZ</stp>
        <stp>LastPrice</stp>
        <stp>Dirty_Price</stp>
        <tr r="F290" s="2"/>
      </tp>
      <tp>
        <v>125.68</v>
        <stp/>
        <stp>123105.SZ</stp>
        <stp>LastPrice</stp>
        <stp>Dirty_Price</stp>
        <tr r="F208" s="2"/>
      </tp>
      <tp>
        <v>129.5</v>
        <stp/>
        <stp>127005.SZ</stp>
        <stp>LastPrice</stp>
        <stp>Dirty_Price</stp>
        <tr r="F309" s="2"/>
      </tp>
      <tp>
        <v>229.79900000000001</v>
        <stp/>
        <stp>123102.SZ</stp>
        <stp>LastPrice</stp>
        <stp>Dirty_Price</stp>
        <tr r="F356" s="2"/>
      </tp>
      <tp>
        <v>117.49300000000001</v>
        <stp/>
        <stp>123002.SZ</stp>
        <stp>LastPrice</stp>
        <stp>Dirty_Price</stp>
        <tr r="F294" s="2"/>
      </tp>
      <tp>
        <v>175.76600000000002</v>
        <stp/>
        <stp>128103.SZ</stp>
        <stp>LastPrice</stp>
        <stp>Dirty_Price</stp>
        <tr r="F250" s="2"/>
      </tp>
      <tp>
        <v>203.37</v>
        <stp/>
        <stp>123103.SZ</stp>
        <stp>LastPrice</stp>
        <stp>Dirty_Price</stp>
        <tr r="F249" s="2"/>
      </tp>
      <tp>
        <v>108</v>
        <stp/>
        <stp>127003.SZ</stp>
        <stp>LastPrice</stp>
        <stp>Dirty_Price</stp>
        <tr r="F94" s="2"/>
      </tp>
      <tp>
        <v>105.54</v>
        <stp/>
        <stp>128100.SZ</stp>
        <stp>LastPrice</stp>
        <stp>Dirty_Price</stp>
        <tr r="F312" s="2"/>
      </tp>
      <tp>
        <v>128.5</v>
        <stp/>
        <stp>123100.SZ</stp>
        <stp>LastPrice</stp>
        <stp>Dirty_Price</stp>
        <tr r="F324" s="2"/>
      </tp>
      <tp>
        <v>152.20000000000002</v>
        <stp/>
        <stp>128101.SZ</stp>
        <stp>LastPrice</stp>
        <stp>Dirty_Price</stp>
        <tr r="F326" s="2"/>
      </tp>
      <tp>
        <v>115.25</v>
        <stp/>
        <stp>123101.SZ</stp>
        <stp>LastPrice</stp>
        <stp>Dirty_Price</stp>
        <tr r="F231" s="2"/>
      </tp>
      <tp>
        <v>121.96000000000001</v>
        <stp/>
        <stp>123038.SZ</stp>
        <stp>LastPrice</stp>
        <stp>Dirty_Price</stp>
        <tr r="F348" s="2"/>
      </tp>
      <tp>
        <v>189.3</v>
        <stp/>
        <stp>127038.SZ</stp>
        <stp>LastPrice</stp>
        <stp>Dirty_Price</stp>
        <tr r="F341" s="2"/>
      </tp>
      <tp>
        <v>112.467</v>
        <stp/>
        <stp>128039.SZ</stp>
        <stp>LastPrice</stp>
        <stp>Dirty_Price</stp>
        <tr r="F259" s="2"/>
      </tp>
      <tp>
        <v>109.58</v>
        <stp/>
        <stp>123039.SZ</stp>
        <stp>LastPrice</stp>
        <stp>Dirty_Price</stp>
        <tr r="F320" s="2"/>
      </tp>
      <tp>
        <v>119</v>
        <stp/>
        <stp>127039.SZ</stp>
        <stp>LastPrice</stp>
        <stp>Dirty_Price</stp>
        <tr r="F157" s="2"/>
      </tp>
      <tp>
        <v>114.01</v>
        <stp/>
        <stp>128136.SZ</stp>
        <stp>LastPrice</stp>
        <stp>Dirty_Price</stp>
        <tr r="F334" s="2"/>
      </tp>
      <tp>
        <v>117.33300000000001</v>
        <stp/>
        <stp>128036.SZ</stp>
        <stp>LastPrice</stp>
        <stp>Dirty_Price</stp>
        <tr r="F150" s="2"/>
      </tp>
      <tp>
        <v>135.41</v>
        <stp/>
        <stp>127036.SZ</stp>
        <stp>LastPrice</stp>
        <stp>Dirty_Price</stp>
        <tr r="F192" s="2"/>
      </tp>
      <tp>
        <v>114.08200000000001</v>
        <stp/>
        <stp>128037.SZ</stp>
        <stp>LastPrice</stp>
        <stp>Dirty_Price</stp>
        <tr r="F165" s="2"/>
      </tp>
      <tp>
        <v>131.999</v>
        <stp/>
        <stp>127037.SZ</stp>
        <stp>LastPrice</stp>
        <stp>Dirty_Price</stp>
        <tr r="F136" s="2"/>
      </tp>
      <tp>
        <v>127.30000000000001</v>
        <stp/>
        <stp>128134.SZ</stp>
        <stp>LastPrice</stp>
        <stp>Dirty_Price</stp>
        <tr r="F164" s="2"/>
      </tp>
      <tp>
        <v>107.95</v>
        <stp/>
        <stp>128034.SZ</stp>
        <stp>LastPrice</stp>
        <stp>Dirty_Price</stp>
        <tr r="F28" s="2"/>
      </tp>
      <tp>
        <v>226.3</v>
        <stp/>
        <stp>123034.SZ</stp>
        <stp>LastPrice</stp>
        <stp>Dirty_Price</stp>
        <tr r="F361" s="2"/>
      </tp>
      <tp>
        <v>105.45</v>
        <stp/>
        <stp>127034.SZ</stp>
        <stp>LastPrice</stp>
        <stp>Dirty_Price</stp>
        <tr r="F297" s="2"/>
      </tp>
      <tp>
        <v>117.60000000000001</v>
        <stp/>
        <stp>128135.SZ</stp>
        <stp>LastPrice</stp>
        <stp>Dirty_Price</stp>
        <tr r="F87" s="2"/>
      </tp>
      <tp>
        <v>116.801</v>
        <stp/>
        <stp>128035.SZ</stp>
        <stp>LastPrice</stp>
        <stp>Dirty_Price</stp>
        <tr r="F342" s="2"/>
      </tp>
      <tp>
        <v>158.39000000000001</v>
        <stp/>
        <stp>123035.SZ</stp>
        <stp>LastPrice</stp>
        <stp>Dirty_Price</stp>
        <tr r="F329" s="2"/>
      </tp>
      <tp>
        <v>130.65</v>
        <stp/>
        <stp>127035.SZ</stp>
        <stp>LastPrice</stp>
        <stp>Dirty_Price</stp>
        <tr r="F185" s="2"/>
      </tp>
      <tp>
        <v>103.07300000000001</v>
        <stp/>
        <stp>128132.SZ</stp>
        <stp>LastPrice</stp>
        <stp>Dirty_Price</stp>
        <tr r="F169" s="2"/>
      </tp>
      <tp>
        <v>110.5</v>
        <stp/>
        <stp>127032.SZ</stp>
        <stp>LastPrice</stp>
        <stp>Dirty_Price</stp>
        <tr r="F36" s="2"/>
      </tp>
      <tp>
        <v>123.26100000000001</v>
        <stp/>
        <stp>128133.SZ</stp>
        <stp>LastPrice</stp>
        <stp>Dirty_Price</stp>
        <tr r="F43" s="2"/>
      </tp>
      <tp>
        <v>126.191</v>
        <stp/>
        <stp>128033.SZ</stp>
        <stp>LastPrice</stp>
        <stp>Dirty_Price</stp>
        <tr r="F298" s="2"/>
      </tp>
      <tp>
        <v>0</v>
        <stp/>
        <stp>123033.SZ</stp>
        <stp>LastPrice</stp>
        <stp>Dirty_Price</stp>
        <tr r="F24" s="2"/>
      </tp>
      <tp>
        <v>112.001</v>
        <stp/>
        <stp>127033.SZ</stp>
        <stp>LastPrice</stp>
        <stp>Dirty_Price</stp>
        <tr r="F176" s="2"/>
      </tp>
      <tp>
        <v>132.15</v>
        <stp/>
        <stp>128130.SZ</stp>
        <stp>LastPrice</stp>
        <stp>Dirty_Price</stp>
        <tr r="F103" s="2"/>
      </tp>
      <tp>
        <v>224.20000000000002</v>
        <stp/>
        <stp>128030.SZ</stp>
        <stp>LastPrice</stp>
        <stp>Dirty_Price</stp>
        <tr r="F143" s="2"/>
      </tp>
      <tp>
        <v>234.5</v>
        <stp/>
        <stp>123030.SZ</stp>
        <stp>LastPrice</stp>
        <stp>Dirty_Price</stp>
        <tr r="F368" s="2"/>
      </tp>
      <tp>
        <v>234</v>
        <stp/>
        <stp>127030.SZ</stp>
        <stp>LastPrice</stp>
        <stp>Dirty_Price</stp>
        <tr r="F242" s="2"/>
      </tp>
      <tp>
        <v>105.9</v>
        <stp/>
        <stp>128131.SZ</stp>
        <stp>LastPrice</stp>
        <stp>Dirty_Price</stp>
        <tr r="F346" s="2"/>
      </tp>
      <tp>
        <v>479.95500000000004</v>
        <stp/>
        <stp>123031.SZ</stp>
        <stp>LastPrice</stp>
        <stp>Dirty_Price</stp>
        <tr r="F269" s="2"/>
      </tp>
      <tp>
        <v>129.19800000000001</v>
        <stp/>
        <stp>127031.SZ</stp>
        <stp>LastPrice</stp>
        <stp>Dirty_Price</stp>
        <tr r="F258" s="2"/>
      </tp>
      <tp>
        <v>246</v>
        <stp/>
        <stp>128128.SZ</stp>
        <stp>LastPrice</stp>
        <stp>Dirty_Price</stp>
        <tr r="F240" s="2"/>
      </tp>
      <tp>
        <v>210</v>
        <stp/>
        <stp>123028.SZ</stp>
        <stp>LastPrice</stp>
        <stp>Dirty_Price</stp>
        <tr r="F251" s="2"/>
      </tp>
      <tp>
        <v>108</v>
        <stp/>
        <stp>127028.SZ</stp>
        <stp>LastPrice</stp>
        <stp>Dirty_Price</stp>
        <tr r="F54" s="2"/>
      </tp>
      <tp>
        <v>108.23</v>
        <stp/>
        <stp>128129.SZ</stp>
        <stp>LastPrice</stp>
        <stp>Dirty_Price</stp>
        <tr r="F38" s="2"/>
      </tp>
      <tp>
        <v>176.70000000000002</v>
        <stp/>
        <stp>128029.SZ</stp>
        <stp>LastPrice</stp>
        <stp>Dirty_Price</stp>
        <tr r="F98" s="2"/>
      </tp>
      <tp>
        <v>1380</v>
        <stp/>
        <stp>123029.SZ</stp>
        <stp>LastPrice</stp>
        <stp>Dirty_Price</stp>
        <tr r="F57" s="2"/>
      </tp>
      <tp>
        <v>171.8</v>
        <stp/>
        <stp>127029.SZ</stp>
        <stp>LastPrice</stp>
        <stp>Dirty_Price</stp>
        <tr r="F159" s="2"/>
      </tp>
      <tp>
        <v>116.63000000000001</v>
        <stp/>
        <stp>128026.SZ</stp>
        <stp>LastPrice</stp>
        <stp>Dirty_Price</stp>
        <tr r="F151" s="2"/>
      </tp>
      <tp>
        <v>111.599</v>
        <stp/>
        <stp>127026.SZ</stp>
        <stp>LastPrice</stp>
        <stp>Dirty_Price</stp>
        <tr r="F335" s="2"/>
      </tp>
      <tp>
        <v>98.856000000000009</v>
        <stp/>
        <stp>128127.SZ</stp>
        <stp>LastPrice</stp>
        <stp>Dirty_Price</stp>
        <tr r="F160" s="2"/>
      </tp>
      <tp>
        <v>315.97000000000003</v>
        <stp/>
        <stp>123027.SZ</stp>
        <stp>LastPrice</stp>
        <stp>Dirty_Price</stp>
        <tr r="F253" s="2"/>
      </tp>
      <tp>
        <v>120.41200000000001</v>
        <stp/>
        <stp>127027.SZ</stp>
        <stp>LastPrice</stp>
        <stp>Dirty_Price</stp>
        <tr r="F380" s="2"/>
      </tp>
      <tp>
        <v>104.02800000000001</v>
        <stp/>
        <stp>128124.SZ</stp>
        <stp>LastPrice</stp>
        <stp>Dirty_Price</stp>
        <tr r="F45" s="2"/>
      </tp>
      <tp>
        <v>129.86799999999999</v>
        <stp/>
        <stp>123124.SZ</stp>
        <stp>LastPrice</stp>
        <stp>Dirty_Price</stp>
        <tr r="F264" s="2"/>
      </tp>
      <tp>
        <v>116.04</v>
        <stp/>
        <stp>123024.SZ</stp>
        <stp>LastPrice</stp>
        <stp>Dirty_Price</stp>
        <tr r="F233" s="2"/>
      </tp>
      <tp>
        <v>115</v>
        <stp/>
        <stp>127024.SZ</stp>
        <stp>LastPrice</stp>
        <stp>Dirty_Price</stp>
        <tr r="F288" s="2"/>
      </tp>
      <tp>
        <v>103.49900000000001</v>
        <stp/>
        <stp>128125.SZ</stp>
        <stp>LastPrice</stp>
        <stp>Dirty_Price</stp>
        <tr r="F173" s="2"/>
      </tp>
      <tp>
        <v>117.44900000000001</v>
        <stp/>
        <stp>128025.SZ</stp>
        <stp>LastPrice</stp>
        <stp>Dirty_Price</stp>
        <tr r="F50" s="2"/>
      </tp>
      <tp>
        <v>0</v>
        <stp/>
        <stp>123125.SZ</stp>
        <stp>LastPrice</stp>
        <stp>Dirty_Price</stp>
        <tr r="F265" s="2"/>
      </tp>
      <tp>
        <v>137.928</v>
        <stp/>
        <stp>123025.SZ</stp>
        <stp>LastPrice</stp>
        <stp>Dirty_Price</stp>
        <tr r="F232" s="2"/>
      </tp>
      <tp>
        <v>119.227</v>
        <stp/>
        <stp>127025.SZ</stp>
        <stp>LastPrice</stp>
        <stp>Dirty_Price</stp>
        <tr r="F183" s="2"/>
      </tp>
      <tp>
        <v>122.956</v>
        <stp/>
        <stp>128122.SZ</stp>
        <stp>LastPrice</stp>
        <stp>Dirty_Price</stp>
        <tr r="F350" s="2"/>
      </tp>
      <tp>
        <v>103.98</v>
        <stp/>
        <stp>128022.SZ</stp>
        <stp>LastPrice</stp>
        <stp>Dirty_Price</stp>
        <tr r="F77" s="2"/>
      </tp>
      <tp>
        <v>136</v>
        <stp/>
        <stp>123122.SZ</stp>
        <stp>LastPrice</stp>
        <stp>Dirty_Price</stp>
        <tr r="F339" s="2"/>
      </tp>
      <tp>
        <v>150.43</v>
        <stp/>
        <stp>123022.SZ</stp>
        <stp>LastPrice</stp>
        <stp>Dirty_Price</stp>
        <tr r="F344" s="2"/>
      </tp>
      <tp>
        <v>125.98</v>
        <stp/>
        <stp>127022.SZ</stp>
        <stp>LastPrice</stp>
        <stp>Dirty_Price</stp>
        <tr r="F245" s="2"/>
      </tp>
      <tp>
        <v>108.03</v>
        <stp/>
        <stp>128123.SZ</stp>
        <stp>LastPrice</stp>
        <stp>Dirty_Price</stp>
        <tr r="F268" s="2"/>
      </tp>
      <tp>
        <v>109.99900000000001</v>
        <stp/>
        <stp>128023.SZ</stp>
        <stp>LastPrice</stp>
        <stp>Dirty_Price</stp>
        <tr r="F127" s="2"/>
      </tp>
      <tp>
        <v>120.89</v>
        <stp/>
        <stp>123123.SZ</stp>
        <stp>LastPrice</stp>
        <stp>Dirty_Price</stp>
        <tr r="F340" s="2"/>
      </tp>
      <tp>
        <v>112.9</v>
        <stp/>
        <stp>123023.SZ</stp>
        <stp>LastPrice</stp>
        <stp>Dirty_Price</stp>
        <tr r="F291" s="2"/>
      </tp>
      <tp>
        <v>111.90900000000001</v>
        <stp/>
        <stp>128120.SZ</stp>
        <stp>LastPrice</stp>
        <stp>Dirty_Price</stp>
        <tr r="F124" s="2"/>
      </tp>
      <tp>
        <v>163.59700000000001</v>
        <stp/>
        <stp>123120.SZ</stp>
        <stp>LastPrice</stp>
        <stp>Dirty_Price</stp>
        <tr r="F296" s="2"/>
      </tp>
      <tp>
        <v>124</v>
        <stp/>
        <stp>127020.SZ</stp>
        <stp>LastPrice</stp>
        <stp>Dirty_Price</stp>
        <tr r="F14" s="2"/>
      </tp>
      <tp>
        <v>118.49900000000001</v>
        <stp/>
        <stp>128121.SZ</stp>
        <stp>LastPrice</stp>
        <stp>Dirty_Price</stp>
        <tr r="F158" s="2"/>
      </tp>
      <tp>
        <v>110.88800000000001</v>
        <stp/>
        <stp>128021.SZ</stp>
        <stp>LastPrice</stp>
        <stp>Dirty_Price</stp>
        <tr r="F256" s="2"/>
      </tp>
      <tp>
        <v>123.80000000000001</v>
        <stp/>
        <stp>123121.SZ</stp>
        <stp>LastPrice</stp>
        <stp>Dirty_Price</stp>
        <tr r="F226" s="2"/>
      </tp>
      <tp>
        <v>106</v>
        <stp/>
        <stp>127021.SZ</stp>
        <stp>LastPrice</stp>
        <stp>Dirty_Price</stp>
        <tr r="F83" s="2"/>
      </tp>
      <tp>
        <v>128.5</v>
        <stp/>
        <stp>123098.SZ</stp>
        <stp>LastPrice</stp>
        <stp>Dirty_Price</stp>
        <tr r="F74" s="2"/>
      </tp>
      <tp>
        <v>121.60000000000001</v>
        <stp/>
        <stp>123099.SZ</stp>
        <stp>LastPrice</stp>
        <stp>Dirty_Price</stp>
        <tr r="F71" s="2"/>
      </tp>
      <tp>
        <v>136.6</v>
        <stp/>
        <stp>128096.SZ</stp>
        <stp>LastPrice</stp>
        <stp>Dirty_Price</stp>
        <tr r="F115" s="2"/>
      </tp>
      <tp>
        <v>109.10000000000001</v>
        <stp/>
        <stp>123096.SZ</stp>
        <stp>LastPrice</stp>
        <stp>Dirty_Price</stp>
        <tr r="F195" s="2"/>
      </tp>
      <tp>
        <v>151.096</v>
        <stp/>
        <stp>128097.SZ</stp>
        <stp>LastPrice</stp>
        <stp>Dirty_Price</stp>
        <tr r="F187" s="2"/>
      </tp>
      <tp>
        <v>119.2</v>
        <stp/>
        <stp>123097.SZ</stp>
        <stp>LastPrice</stp>
        <stp>Dirty_Price</stp>
        <tr r="F128" s="2"/>
      </tp>
      <tp>
        <v>136.1</v>
        <stp/>
        <stp>128094.SZ</stp>
        <stp>LastPrice</stp>
        <stp>Dirty_Price</stp>
        <tr r="F189" s="2"/>
      </tp>
      <tp>
        <v>0</v>
        <stp/>
        <stp>123094.SZ</stp>
        <stp>LastPrice</stp>
        <stp>Dirty_Price</stp>
        <tr r="F263" s="2"/>
      </tp>
      <tp>
        <v>520</v>
        <stp/>
        <stp>128095.SZ</stp>
        <stp>LastPrice</stp>
        <stp>Dirty_Price</stp>
        <tr r="F243" s="2"/>
      </tp>
      <tp>
        <v>0</v>
        <stp/>
        <stp>123095.SZ</stp>
        <stp>LastPrice</stp>
        <stp>Dirty_Price</stp>
        <tr r="F381" s="2"/>
      </tp>
      <tp>
        <v>188.05</v>
        <stp/>
        <stp>123092.SZ</stp>
        <stp>LastPrice</stp>
        <stp>Dirty_Price</stp>
        <tr r="F279" s="2"/>
      </tp>
      <tp>
        <v>318.83199999999999</v>
        <stp/>
        <stp>128093.SZ</stp>
        <stp>LastPrice</stp>
        <stp>Dirty_Price</stp>
        <tr r="F261" s="2"/>
      </tp>
      <tp>
        <v>116.85000000000001</v>
        <stp/>
        <stp>123093.SZ</stp>
        <stp>LastPrice</stp>
        <stp>Dirty_Price</stp>
        <tr r="F106" s="2"/>
      </tp>
      <tp>
        <v>118.149</v>
        <stp/>
        <stp>128090.SZ</stp>
        <stp>LastPrice</stp>
        <stp>Dirty_Price</stp>
        <tr r="F138" s="2"/>
      </tp>
      <tp>
        <v>114.94900000000001</v>
        <stp/>
        <stp>123090.SZ</stp>
        <stp>LastPrice</stp>
        <stp>Dirty_Price</stp>
        <tr r="F73" s="2"/>
      </tp>
      <tp>
        <v>125</v>
        <stp/>
        <stp>128091.SZ</stp>
        <stp>LastPrice</stp>
        <stp>Dirty_Price</stp>
        <tr r="F70" s="2"/>
      </tp>
      <tp>
        <v>134.30000000000001</v>
        <stp/>
        <stp>123091.SZ</stp>
        <stp>LastPrice</stp>
        <stp>Dirty_Price</stp>
        <tr r="F236" s="2"/>
      </tp>
      <tp>
        <v>109.00500000000001</v>
        <stp/>
        <stp>123088.SZ</stp>
        <stp>LastPrice</stp>
        <stp>Dirty_Price</stp>
        <tr r="F125" s="2"/>
      </tp>
      <tp>
        <v>217.001</v>
        <stp/>
        <stp>123089.SZ</stp>
        <stp>LastPrice</stp>
        <stp>Dirty_Price</stp>
        <tr r="F357" s="2"/>
      </tp>
      <tp>
        <v>144</v>
        <stp/>
        <stp>123086.SZ</stp>
        <stp>LastPrice</stp>
        <stp>Dirty_Price</stp>
        <tr r="F274" s="2"/>
      </tp>
      <tp>
        <v>106.06200000000001</v>
        <stp/>
        <stp>128087.SZ</stp>
        <stp>LastPrice</stp>
        <stp>Dirty_Price</stp>
        <tr r="F314" s="2"/>
      </tp>
      <tp>
        <v>118</v>
        <stp/>
        <stp>123087.SZ</stp>
        <stp>LastPrice</stp>
        <stp>Dirty_Price</stp>
        <tr r="F349" s="2"/>
      </tp>
      <tp>
        <v>159.67400000000001</v>
        <stp/>
        <stp>123084.SZ</stp>
        <stp>LastPrice</stp>
        <stp>Dirty_Price</stp>
        <tr r="F234" s="2"/>
      </tp>
      <tp>
        <v>156.554</v>
        <stp/>
        <stp>128085.SZ</stp>
        <stp>LastPrice</stp>
        <stp>Dirty_Price</stp>
        <tr r="F239" s="2"/>
      </tp>
      <tp>
        <v>137.65</v>
        <stp/>
        <stp>123085.SZ</stp>
        <stp>LastPrice</stp>
        <stp>Dirty_Price</stp>
        <tr r="F114" s="2"/>
      </tp>
      <tp>
        <v>161.249</v>
        <stp/>
        <stp>128082.SZ</stp>
        <stp>LastPrice</stp>
        <stp>Dirty_Price</stp>
        <tr r="F21" s="2"/>
      </tp>
      <tp>
        <v>120.001</v>
        <stp/>
        <stp>123082.SZ</stp>
        <stp>LastPrice</stp>
        <stp>Dirty_Price</stp>
        <tr r="F64" s="2"/>
      </tp>
      <tp>
        <v>105.498</v>
        <stp/>
        <stp>128083.SZ</stp>
        <stp>LastPrice</stp>
        <stp>Dirty_Price</stp>
        <tr r="F203" s="2"/>
      </tp>
      <tp>
        <v>170.37</v>
        <stp/>
        <stp>123083.SZ</stp>
        <stp>LastPrice</stp>
        <stp>Dirty_Price</stp>
        <tr r="F194" s="2"/>
      </tp>
      <tp>
        <v>119.41000000000001</v>
        <stp/>
        <stp>123080.SZ</stp>
        <stp>LastPrice</stp>
        <stp>Dirty_Price</stp>
        <tr r="F180" s="2"/>
      </tp>
      <tp>
        <v>127.798</v>
        <stp/>
        <stp>128081.SZ</stp>
        <stp>LastPrice</stp>
        <stp>Dirty_Price</stp>
        <tr r="F16" s="2"/>
      </tp>
      <tp>
        <v>117.35000000000001</v>
        <stp/>
        <stp>123081.SZ</stp>
        <stp>LastPrice</stp>
        <stp>Dirty_Price</stp>
        <tr r="F351" s="2"/>
      </tp>
      <tp>
        <v>124.23</v>
        <stp/>
        <stp>110079.SH</stp>
        <stp>LastPrice</stp>
        <stp>Dirty_Price</stp>
        <tr r="F25" s="2"/>
      </tp>
      <tp>
        <v>125.79</v>
        <stp/>
        <stp>113579.SH</stp>
        <stp>LastPrice</stp>
        <stp>Dirty_Price</stp>
        <tr r="F52" s="2"/>
      </tp>
      <tp>
        <v>99.13000000000001</v>
        <stp/>
        <stp>113578.SH</stp>
        <stp>LastPrice</stp>
        <stp>Dirty_Price</stp>
        <tr r="F166" s="2"/>
      </tp>
      <tp>
        <v>121.71000000000001</v>
        <stp/>
        <stp>110075.SH</stp>
        <stp>LastPrice</stp>
        <stp>Dirty_Price</stp>
        <tr r="F153" s="2"/>
      </tp>
      <tp>
        <v>122.30000000000001</v>
        <stp/>
        <stp>113575.SH</stp>
        <stp>LastPrice</stp>
        <stp>Dirty_Price</stp>
        <tr r="F132" s="2"/>
      </tp>
      <tp>
        <v>197.32000000000002</v>
        <stp/>
        <stp>110074.SH</stp>
        <stp>LastPrice</stp>
        <stp>Dirty_Price</stp>
        <tr r="F352" s="2"/>
      </tp>
      <tp>
        <v>109.25</v>
        <stp/>
        <stp>113574.SH</stp>
        <stp>LastPrice</stp>
        <stp>Dirty_Price</stp>
        <tr r="F333" s="2"/>
      </tp>
      <tp>
        <v>133.5</v>
        <stp/>
        <stp>110077.SH</stp>
        <stp>LastPrice</stp>
        <stp>Dirty_Price</stp>
        <tr r="F285" s="2"/>
      </tp>
      <tp>
        <v>124.55000000000001</v>
        <stp/>
        <stp>113577.SH</stp>
        <stp>LastPrice</stp>
        <stp>Dirty_Price</stp>
        <tr r="F343" s="2"/>
      </tp>
      <tp>
        <v>107.35000000000001</v>
        <stp/>
        <stp>110076.SH</stp>
        <stp>LastPrice</stp>
        <stp>Dirty_Price</stp>
        <tr r="F49" s="2"/>
      </tp>
      <tp>
        <v>95.43</v>
        <stp/>
        <stp>113576.SH</stp>
        <stp>LastPrice</stp>
        <stp>Dirty_Price</stp>
        <tr r="F315" s="2"/>
      </tp>
      <tp>
        <v>135.34</v>
        <stp/>
        <stp>110071.SH</stp>
        <stp>LastPrice</stp>
        <stp>Dirty_Price</stp>
        <tr r="F248" s="2"/>
      </tp>
      <tp>
        <v>134.77000000000001</v>
        <stp/>
        <stp>110070.SH</stp>
        <stp>LastPrice</stp>
        <stp>Dirty_Price</stp>
        <tr r="F303" s="2"/>
      </tp>
      <tp>
        <v>117.93</v>
        <stp/>
        <stp>113570.SH</stp>
        <stp>LastPrice</stp>
        <stp>Dirty_Price</stp>
        <tr r="F230" s="2"/>
      </tp>
      <tp>
        <v>117.30000000000001</v>
        <stp/>
        <stp>110073.SH</stp>
        <stp>LastPrice</stp>
        <stp>Dirty_Price</stp>
        <tr r="F305" s="2"/>
      </tp>
      <tp>
        <v>106.21000000000001</v>
        <stp/>
        <stp>113573.SH</stp>
        <stp>LastPrice</stp>
        <stp>Dirty_Price</stp>
        <tr r="F84" s="2"/>
      </tp>
      <tp>
        <v>100.51</v>
        <stp/>
        <stp>110072.SH</stp>
        <stp>LastPrice</stp>
        <stp>Dirty_Price</stp>
        <tr r="F120" s="2"/>
      </tp>
      <tp>
        <v>155.39000000000001</v>
        <stp/>
        <stp>113572.SH</stp>
        <stp>LastPrice</stp>
        <stp>Dirty_Price</stp>
        <tr r="F18" s="2"/>
      </tp>
      <tp>
        <v>101.60000000000001</v>
        <stp/>
        <stp>113569.SH</stp>
        <stp>LastPrice</stp>
        <stp>Dirty_Price</stp>
        <tr r="F197" s="2"/>
      </tp>
      <tp>
        <v>113.30000000000001</v>
        <stp/>
        <stp>110068.SH</stp>
        <stp>LastPrice</stp>
        <stp>Dirty_Price</stp>
        <tr r="F219" s="2"/>
      </tp>
      <tp>
        <v>218.78</v>
        <stp/>
        <stp>113568.SH</stp>
        <stp>LastPrice</stp>
        <stp>Dirty_Price</stp>
        <tr r="F235" s="2"/>
      </tp>
      <tp>
        <v>110.5</v>
        <stp/>
        <stp>113565.SH</stp>
        <stp>LastPrice</stp>
        <stp>Dirty_Price</stp>
        <tr r="F145" s="2"/>
      </tp>
      <tp>
        <v>107.16000000000001</v>
        <stp/>
        <stp>110064.SH</stp>
        <stp>LastPrice</stp>
        <stp>Dirty_Price</stp>
        <tr r="F172" s="2"/>
      </tp>
      <tp>
        <v>113.51</v>
        <stp/>
        <stp>110067.SH</stp>
        <stp>LastPrice</stp>
        <stp>Dirty_Price</stp>
        <tr r="F306" s="2"/>
      </tp>
      <tp>
        <v>111.18</v>
        <stp/>
        <stp>113567.SH</stp>
        <stp>LastPrice</stp>
        <stp>Dirty_Price</stp>
        <tr r="F220" s="2"/>
      </tp>
      <tp>
        <v>289.66000000000003</v>
        <stp/>
        <stp>110066.SH</stp>
        <stp>LastPrice</stp>
        <stp>Dirty_Price</stp>
        <tr r="F7" s="2"/>
      </tp>
      <tp>
        <v>108.86</v>
        <stp/>
        <stp>113566.SH</stp>
        <stp>LastPrice</stp>
        <stp>Dirty_Price</stp>
        <tr r="F104" s="2"/>
      </tp>
      <tp>
        <v>151.39000000000001</v>
        <stp/>
        <stp>110061.SH</stp>
        <stp>LastPrice</stp>
        <stp>Dirty_Price</stp>
        <tr r="F283" s="2"/>
      </tp>
      <tp>
        <v>109.54</v>
        <stp/>
        <stp>113561.SH</stp>
        <stp>LastPrice</stp>
        <stp>Dirty_Price</stp>
        <tr r="F131" s="2"/>
      </tp>
      <tp>
        <v>121.57000000000001</v>
        <stp/>
        <stp>110060.SH</stp>
        <stp>LastPrice</stp>
        <stp>Dirty_Price</stp>
        <tr r="F181" s="2"/>
      </tp>
      <tp>
        <v>124.12</v>
        <stp/>
        <stp>110063.SH</stp>
        <stp>LastPrice</stp>
        <stp>Dirty_Price</stp>
        <tr r="F100" s="2"/>
      </tp>
      <tp>
        <v>105.22</v>
        <stp/>
        <stp>113563.SH</stp>
        <stp>LastPrice</stp>
        <stp>Dirty_Price</stp>
        <tr r="F63" s="2"/>
      </tp>
      <tp>
        <v>111.46000000000001</v>
        <stp/>
        <stp>110062.SH</stp>
        <stp>LastPrice</stp>
        <stp>Dirty_Price</stp>
        <tr r="F82" s="2"/>
      </tp>
      <tp>
        <v>104.52000000000001</v>
        <stp/>
        <stp>110059.SH</stp>
        <stp>LastPrice</stp>
        <stp>Dirty_Price</stp>
        <tr r="F37" s="2"/>
      </tp>
      <tp>
        <v>107.85000000000001</v>
        <stp/>
        <stp>110058.SH</stp>
        <stp>LastPrice</stp>
        <stp>Dirty_Price</stp>
        <tr r="F80" s="2"/>
      </tp>
      <tp>
        <v>190.45000000000002</v>
        <stp/>
        <stp>110055.SH</stp>
        <stp>LastPrice</stp>
        <stp>Dirty_Price</stp>
        <tr r="F86" s="2"/>
      </tp>
      <tp>
        <v>117</v>
        <stp/>
        <stp>110057.SH</stp>
        <stp>LastPrice</stp>
        <stp>Dirty_Price</stp>
        <tr r="F42" s="2"/>
      </tp>
      <tp>
        <v>117.29</v>
        <stp/>
        <stp>110056.SH</stp>
        <stp>LastPrice</stp>
        <stp>Dirty_Price</stp>
        <tr r="F78" s="2"/>
      </tp>
      <tp>
        <v>115.36</v>
        <stp/>
        <stp>110051.SH</stp>
        <stp>LastPrice</stp>
        <stp>Dirty_Price</stp>
        <tr r="F81" s="2"/>
      </tp>
      <tp>
        <v>166.95000000000002</v>
        <stp/>
        <stp>113051.SH</stp>
        <stp>LastPrice</stp>
        <stp>Dirty_Price</stp>
        <tr r="F293" s="2"/>
      </tp>
      <tp>
        <v>115.13000000000001</v>
        <stp/>
        <stp>113050.SH</stp>
        <stp>LastPrice</stp>
        <stp>Dirty_Price</stp>
        <tr r="F35" s="2"/>
      </tp>
      <tp>
        <v>152.49</v>
        <stp/>
        <stp>113550.SH</stp>
        <stp>LastPrice</stp>
        <stp>Dirty_Price</stp>
        <tr r="F119" s="2"/>
      </tp>
      <tp>
        <v>116.4</v>
        <stp/>
        <stp>110053.SH</stp>
        <stp>LastPrice</stp>
        <stp>Dirty_Price</stp>
        <tr r="F33" s="2"/>
      </tp>
      <tp>
        <v>105</v>
        <stp/>
        <stp>110052.SH</stp>
        <stp>LastPrice</stp>
        <stp>Dirty_Price</stp>
        <tr r="F375" s="2"/>
      </tp>
      <tp>
        <v>181.08</v>
        <stp/>
        <stp>113049.SH</stp>
        <stp>LastPrice</stp>
        <stp>Dirty_Price</stp>
        <tr r="F134" s="2"/>
      </tp>
      <tp>
        <v>141.05000000000001</v>
        <stp/>
        <stp>113549.SH</stp>
        <stp>LastPrice</stp>
        <stp>Dirty_Price</stp>
        <tr r="F358" s="2"/>
      </tp>
      <tp>
        <v>227.63000000000002</v>
        <stp/>
        <stp>110048.SH</stp>
        <stp>LastPrice</stp>
        <stp>Dirty_Price</stp>
        <tr r="F284" s="2"/>
      </tp>
      <tp>
        <v>178.46</v>
        <stp/>
        <stp>113048.SH</stp>
        <stp>LastPrice</stp>
        <stp>Dirty_Price</stp>
        <tr r="F292" s="2"/>
      </tp>
      <tp>
        <v>300.73</v>
        <stp/>
        <stp>113548.SH</stp>
        <stp>LastPrice</stp>
        <stp>Dirty_Price</stp>
        <tr r="F22" s="2"/>
      </tp>
      <tp>
        <v>119.94000000000001</v>
        <stp/>
        <stp>110045.SH</stp>
        <stp>LastPrice</stp>
        <stp>Dirty_Price</stp>
        <tr r="F313" s="2"/>
      </tp>
      <tp>
        <v>114</v>
        <stp/>
        <stp>113045.SH</stp>
        <stp>LastPrice</stp>
        <stp>Dirty_Price</stp>
        <tr r="F332" s="2"/>
      </tp>
      <tp>
        <v>186.27</v>
        <stp/>
        <stp>113545.SH</stp>
        <stp>LastPrice</stp>
        <stp>Dirty_Price</stp>
        <tr r="F378" s="2"/>
      </tp>
      <tp>
        <v>210.9</v>
        <stp/>
        <stp>110044.SH</stp>
        <stp>LastPrice</stp>
        <stp>Dirty_Price</stp>
        <tr r="F374" s="2"/>
      </tp>
      <tp>
        <v>105.53</v>
        <stp/>
        <stp>113044.SH</stp>
        <stp>LastPrice</stp>
        <stp>Dirty_Price</stp>
        <tr r="F152" s="2"/>
      </tp>
      <tp>
        <v>122.80000000000001</v>
        <stp/>
        <stp>110047.SH</stp>
        <stp>LastPrice</stp>
        <stp>Dirty_Price</stp>
        <tr r="F101" s="2"/>
      </tp>
      <tp>
        <v>162.66</v>
        <stp/>
        <stp>113047.SH</stp>
        <stp>LastPrice</stp>
        <stp>Dirty_Price</stp>
        <tr r="F184" s="2"/>
      </tp>
      <tp>
        <v>113.97</v>
        <stp/>
        <stp>113046.SH</stp>
        <stp>LastPrice</stp>
        <stp>Dirty_Price</stp>
        <tr r="F10" s="2"/>
      </tp>
      <tp>
        <v>117.08000000000001</v>
        <stp/>
        <stp>113546.SH</stp>
        <stp>LastPrice</stp>
        <stp>Dirty_Price</stp>
        <tr r="F369" s="2"/>
      </tp>
      <tp>
        <v>164.81</v>
        <stp/>
        <stp>110041.SH</stp>
        <stp>LastPrice</stp>
        <stp>Dirty_Price</stp>
        <tr r="F281" s="2"/>
      </tp>
      <tp>
        <v>134.44</v>
        <stp/>
        <stp>113541.SH</stp>
        <stp>LastPrice</stp>
        <stp>Dirty_Price</stp>
        <tr r="F102" s="2"/>
      </tp>
      <tp>
        <v>119.66000000000001</v>
        <stp/>
        <stp>110043.SH</stp>
        <stp>LastPrice</stp>
        <stp>Dirty_Price</stp>
        <tr r="F30" s="2"/>
      </tp>
      <tp>
        <v>113.51</v>
        <stp/>
        <stp>113043.SH</stp>
        <stp>LastPrice</stp>
        <stp>Dirty_Price</stp>
        <tr r="F307" s="2"/>
      </tp>
      <tp>
        <v>103.97</v>
        <stp/>
        <stp>113042.SH</stp>
        <stp>LastPrice</stp>
        <stp>Dirty_Price</stp>
        <tr r="F32" s="2"/>
      </tp>
      <tp>
        <v>109.94000000000001</v>
        <stp/>
        <stp>113542.SH</stp>
        <stp>LastPrice</stp>
        <stp>Dirty_Price</stp>
        <tr r="F110" s="2"/>
      </tp>
      <tp>
        <v>177.69</v>
        <stp/>
        <stp>113039.SH</stp>
        <stp>LastPrice</stp>
        <stp>Dirty_Price</stp>
        <tr r="F282" s="2"/>
      </tp>
      <tp>
        <v>108.39</v>
        <stp/>
        <stp>110038.SH</stp>
        <stp>LastPrice</stp>
        <stp>Dirty_Price</stp>
        <tr r="F62" s="2"/>
      </tp>
      <tp>
        <v>108.7</v>
        <stp/>
        <stp>113535.SH</stp>
        <stp>LastPrice</stp>
        <stp>Dirty_Price</stp>
        <tr r="F215" s="2"/>
      </tp>
      <tp>
        <v>111.95</v>
        <stp/>
        <stp>110034.SH</stp>
        <stp>LastPrice</stp>
        <stp>Dirty_Price</stp>
        <tr r="F72" s="2"/>
      </tp>
      <tp>
        <v>285.53000000000003</v>
        <stp/>
        <stp>113034.SH</stp>
        <stp>LastPrice</stp>
        <stp>Dirty_Price</stp>
        <tr r="F247" s="2"/>
      </tp>
      <tp>
        <v>329.94</v>
        <stp/>
        <stp>113534.SH</stp>
        <stp>LastPrice</stp>
        <stp>Dirty_Price</stp>
        <tr r="F17" s="2"/>
      </tp>
      <tp>
        <v>104.77000000000001</v>
        <stp/>
        <stp>113037.SH</stp>
        <stp>LastPrice</stp>
        <stp>Dirty_Price</stp>
        <tr r="F31" s="2"/>
      </tp>
      <tp>
        <v>174.81</v>
        <stp/>
        <stp>113537.SH</stp>
        <stp>LastPrice</stp>
        <stp>Dirty_Price</stp>
        <tr r="F123" s="2"/>
      </tp>
      <tp>
        <v>108.27000000000001</v>
        <stp/>
        <stp>113036.SH</stp>
        <stp>LastPrice</stp>
        <stp>Dirty_Price</stp>
        <tr r="F161" s="2"/>
      </tp>
      <tp>
        <v>122.96000000000001</v>
        <stp/>
        <stp>113536.SH</stp>
        <stp>LastPrice</stp>
        <stp>Dirty_Price</stp>
        <tr r="F188" s="2"/>
      </tp>
      <tp>
        <v>134.22</v>
        <stp/>
        <stp>113030.SH</stp>
        <stp>LastPrice</stp>
        <stp>Dirty_Price</stp>
        <tr r="F96" s="2"/>
      </tp>
      <tp>
        <v>108.9</v>
        <stp/>
        <stp>113530.SH</stp>
        <stp>LastPrice</stp>
        <stp>Dirty_Price</stp>
        <tr r="F178" s="2"/>
      </tp>
      <tp>
        <v>129.1</v>
        <stp/>
        <stp>110033.SH</stp>
        <stp>LastPrice</stp>
        <stp>Dirty_Price</stp>
        <tr r="F91" s="2"/>
      </tp>
      <tp>
        <v>104.5</v>
        <stp/>
        <stp>113033.SH</stp>
        <stp>LastPrice</stp>
        <stp>Dirty_Price</stp>
        <tr r="F93" s="2"/>
      </tp>
      <tp>
        <v>105.89</v>
        <stp/>
        <stp>113532.SH</stp>
        <stp>LastPrice</stp>
        <stp>Dirty_Price</stp>
        <tr r="F299" s="2"/>
      </tp>
      <tp>
        <v>201.02</v>
        <stp/>
        <stp>113528.SH</stp>
        <stp>LastPrice</stp>
        <stp>Dirty_Price</stp>
        <tr r="F353" s="2"/>
      </tp>
      <tp>
        <v>108.41000000000001</v>
        <stp/>
        <stp>113628.SH</stp>
        <stp>LastPrice</stp>
        <stp>Dirty_Price</stp>
        <tr r="F337" s="2"/>
      </tp>
      <tp>
        <v>322.01</v>
        <stp/>
        <stp>113025.SH</stp>
        <stp>LastPrice</stp>
        <stp>Dirty_Price</stp>
        <tr r="F9" s="2"/>
      </tp>
      <tp>
        <v>209.76000000000002</v>
        <stp/>
        <stp>113525.SH</stp>
        <stp>LastPrice</stp>
        <stp>Dirty_Price</stp>
        <tr r="F322" s="2"/>
      </tp>
      <tp>
        <v>111.95</v>
        <stp/>
        <stp>113625.SH</stp>
        <stp>LastPrice</stp>
        <stp>Dirty_Price</stp>
        <tr r="F112" s="2"/>
      </tp>
      <tp>
        <v>124.45</v>
        <stp/>
        <stp>113024.SH</stp>
        <stp>LastPrice</stp>
        <stp>Dirty_Price</stp>
        <tr r="F179" s="2"/>
      </tp>
      <tp>
        <v>108.94000000000001</v>
        <stp/>
        <stp>113524.SH</stp>
        <stp>LastPrice</stp>
        <stp>Dirty_Price</stp>
        <tr r="F193" s="2"/>
      </tp>
      <tp>
        <v>104.21000000000001</v>
        <stp/>
        <stp>113624.SH</stp>
        <stp>LastPrice</stp>
        <stp>Dirty_Price</stp>
        <tr r="F56" s="2"/>
      </tp>
      <tp>
        <v>145.47</v>
        <stp/>
        <stp>113027.SH</stp>
        <stp>LastPrice</stp>
        <stp>Dirty_Price</stp>
        <tr r="F11" s="2"/>
      </tp>
      <tp>
        <v>165.24</v>
        <stp/>
        <stp>113527.SH</stp>
        <stp>LastPrice</stp>
        <stp>Dirty_Price</stp>
        <tr r="F321" s="2"/>
      </tp>
      <tp>
        <v>121.13000000000001</v>
        <stp/>
        <stp>113627.SH</stp>
        <stp>LastPrice</stp>
        <stp>Dirty_Price</stp>
        <tr r="F318" s="2"/>
      </tp>
      <tp>
        <v>133.17000000000002</v>
        <stp/>
        <stp>113026.SH</stp>
        <stp>LastPrice</stp>
        <stp>Dirty_Price</stp>
        <tr r="F300" s="2"/>
      </tp>
      <tp>
        <v>282.14</v>
        <stp/>
        <stp>113526.SH</stp>
        <stp>LastPrice</stp>
        <stp>Dirty_Price</stp>
        <tr r="F280" s="2"/>
      </tp>
      <tp>
        <v>152.4</v>
        <stp/>
        <stp>113626.SH</stp>
        <stp>LastPrice</stp>
        <stp>Dirty_Price</stp>
        <tr r="F135" s="2"/>
      </tp>
      <tp>
        <v>107.47</v>
        <stp/>
        <stp>113021.SH</stp>
        <stp>LastPrice</stp>
        <stp>Dirty_Price</stp>
        <tr r="F34" s="2"/>
      </tp>
      <tp>
        <v>174.89000000000001</v>
        <stp/>
        <stp>113621.SH</stp>
        <stp>LastPrice</stp>
        <stp>Dirty_Price</stp>
        <tr r="F244" s="2"/>
      </tp>
      <tp>
        <v>105.78</v>
        <stp/>
        <stp>113620.SH</stp>
        <stp>LastPrice</stp>
        <stp>Dirty_Price</stp>
        <tr r="F149" s="2"/>
      </tp>
      <tp>
        <v>139.82</v>
        <stp/>
        <stp>113623.SH</stp>
        <stp>LastPrice</stp>
        <stp>Dirty_Price</stp>
        <tr r="F262" s="2"/>
      </tp>
      <tp>
        <v>113.9</v>
        <stp/>
        <stp>113622.SH</stp>
        <stp>LastPrice</stp>
        <stp>Dirty_Price</stp>
        <tr r="F228" s="2"/>
      </tp>
      <tp>
        <v>107</v>
        <stp/>
        <stp>113519.SH</stp>
        <stp>LastPrice</stp>
        <stp>Dirty_Price</stp>
        <tr r="F155" s="2"/>
      </tp>
      <tp>
        <v>108.27000000000001</v>
        <stp/>
        <stp>113619.SH</stp>
        <stp>LastPrice</stp>
        <stp>Dirty_Price</stp>
        <tr r="F325" s="2"/>
      </tp>
      <tp>
        <v>123.35000000000001</v>
        <stp/>
        <stp>113618.SH</stp>
        <stp>LastPrice</stp>
        <stp>Dirty_Price</stp>
        <tr r="F55" s="2"/>
      </tp>
      <tp>
        <v>191.14000000000001</v>
        <stp/>
        <stp>113615.SH</stp>
        <stp>LastPrice</stp>
        <stp>Dirty_Price</stp>
        <tr r="F379" s="2"/>
      </tp>
      <tp>
        <v>152.41</v>
        <stp/>
        <stp>113014.SH</stp>
        <stp>LastPrice</stp>
        <stp>Dirty_Price</stp>
        <tr r="F370" s="2"/>
      </tp>
      <tp>
        <v>129.48000000000002</v>
        <stp/>
        <stp>113614.SH</stp>
        <stp>LastPrice</stp>
        <stp>Dirty_Price</stp>
        <tr r="F46" s="2"/>
      </tp>
      <tp>
        <v>101.56</v>
        <stp/>
        <stp>113017.SH</stp>
        <stp>LastPrice</stp>
        <stp>Dirty_Price</stp>
        <tr r="F377" s="2"/>
      </tp>
      <tp>
        <v>411.22</v>
        <stp/>
        <stp>113016.SH</stp>
        <stp>LastPrice</stp>
        <stp>Dirty_Price</stp>
        <tr r="F117" s="2"/>
      </tp>
      <tp>
        <v>116.03</v>
        <stp/>
        <stp>113516.SH</stp>
        <stp>LastPrice</stp>
        <stp>Dirty_Price</stp>
        <tr r="F27" s="2"/>
      </tp>
      <tp>
        <v>144.69</v>
        <stp/>
        <stp>113616.SH</stp>
        <stp>LastPrice</stp>
        <stp>Dirty_Price</stp>
        <tr r="F345" s="2"/>
      </tp>
      <tp>
        <v>114.68</v>
        <stp/>
        <stp>113011.SH</stp>
        <stp>LastPrice</stp>
        <stp>Dirty_Price</stp>
        <tr r="F26" s="2"/>
      </tp>
      <tp>
        <v>112.44000000000001</v>
        <stp/>
        <stp>113610.SH</stp>
        <stp>LastPrice</stp>
        <stp>Dirty_Price</stp>
        <tr r="F67" s="2"/>
      </tp>
      <tp>
        <v>123.54</v>
        <stp/>
        <stp>113013.SH</stp>
        <stp>LastPrice</stp>
        <stp>Dirty_Price</stp>
        <tr r="F308" s="2"/>
      </tp>
      <tp>
        <v>0</v>
        <stp/>
        <stp>113612.SH</stp>
        <stp>LastPrice</stp>
        <stp>Dirty_Price</stp>
        <tr r="F241" s="2"/>
      </tp>
      <tp>
        <v>127.65</v>
        <stp/>
        <stp>113009.SH</stp>
        <stp>LastPrice</stp>
        <stp>Dirty_Price</stp>
        <tr r="F118" s="2"/>
      </tp>
      <tp>
        <v>113.55000000000001</v>
        <stp/>
        <stp>113609.SH</stp>
        <stp>LastPrice</stp>
        <stp>Dirty_Price</stp>
        <tr r="F129" s="2"/>
      </tp>
      <tp>
        <v>116.80000000000001</v>
        <stp/>
        <stp>113608.SH</stp>
        <stp>LastPrice</stp>
        <stp>Dirty_Price</stp>
        <tr r="F213" s="2"/>
      </tp>
      <tp>
        <v>117.48</v>
        <stp/>
        <stp>113505.SH</stp>
        <stp>LastPrice</stp>
        <stp>Dirty_Price</stp>
        <tr r="F359" s="2"/>
      </tp>
      <tp>
        <v>112.84</v>
        <stp/>
        <stp>113605.SH</stp>
        <stp>LastPrice</stp>
        <stp>Dirty_Price</stp>
        <tr r="F40" s="2"/>
      </tp>
      <tp>
        <v>156.89000000000001</v>
        <stp/>
        <stp>113504.SH</stp>
        <stp>LastPrice</stp>
        <stp>Dirty_Price</stp>
        <tr r="F323" s="2"/>
      </tp>
      <tp>
        <v>104.88000000000001</v>
        <stp/>
        <stp>113604.SH</stp>
        <stp>LastPrice</stp>
        <stp>Dirty_Price</stp>
        <tr r="F201" s="2"/>
      </tp>
      <tp>
        <v>132.58000000000001</v>
        <stp/>
        <stp>113607.SH</stp>
        <stp>LastPrice</stp>
        <stp>Dirty_Price</stp>
        <tr r="F301" s="2"/>
      </tp>
      <tp>
        <v>115.22</v>
        <stp/>
        <stp>113606.SH</stp>
        <stp>LastPrice</stp>
        <stp>Dirty_Price</stp>
        <tr r="F190" s="2"/>
      </tp>
      <tp>
        <v>159.27000000000001</v>
        <stp/>
        <stp>118001.SH</stp>
        <stp>LastPrice</stp>
        <stp>Dirty_Price</stp>
        <tr r="F23" s="2"/>
      </tp>
      <tp>
        <v>102.99000000000001</v>
        <stp/>
        <stp>113601.SH</stp>
        <stp>LastPrice</stp>
        <stp>Dirty_Price</stp>
        <tr r="F66" s="2"/>
      </tp>
      <tp>
        <v>174.43</v>
        <stp/>
        <stp>118000.SH</stp>
        <stp>LastPrice</stp>
        <stp>Dirty_Price</stp>
        <tr r="F8" s="2"/>
      </tp>
      <tp>
        <v>123.43</v>
        <stp/>
        <stp>111000.SH</stp>
        <stp>LastPrice</stp>
        <stp>Dirty_Price</stp>
        <tr r="F366" s="2"/>
      </tp>
      <tp>
        <v>125.16000000000001</v>
        <stp/>
        <stp>113600.SH</stp>
        <stp>LastPrice</stp>
        <stp>Dirty_Price</stp>
        <tr r="F20" s="2"/>
      </tp>
      <tp>
        <v>147.77000000000001</v>
        <stp/>
        <stp>113603.SH</stp>
        <stp>LastPrice</stp>
        <stp>Dirty_Price</stp>
        <tr r="F355" s="2"/>
      </tp>
      <tp>
        <v>136.91</v>
        <stp/>
        <stp>118002.SH</stp>
        <stp>LastPrice</stp>
        <stp>Dirty_Price</stp>
        <tr r="F367" s="2"/>
      </tp>
      <tp>
        <v>137.91</v>
        <stp/>
        <stp>113502.SH</stp>
        <stp>LastPrice</stp>
        <stp>Dirty_Price</stp>
        <tr r="F271" s="2"/>
      </tp>
      <tp>
        <v>120.62</v>
        <stp/>
        <stp>113602.SH</stp>
        <stp>LastPrice</stp>
        <stp>Dirty_Price</stp>
        <tr r="F331" s="2"/>
      </tp>
      <tp>
        <v>114.99000000000001</v>
        <stp/>
        <stp>113599.SH</stp>
        <stp>LastPrice</stp>
        <stp>Dirty_Price</stp>
        <tr r="F156" s="2"/>
      </tp>
      <tp>
        <v>113.10000000000001</v>
        <stp/>
        <stp>113598.SH</stp>
        <stp>LastPrice</stp>
        <stp>Dirty_Price</stp>
        <tr r="F223" s="2"/>
      </tp>
      <tp>
        <v>91.43</v>
        <stp/>
        <stp>113595.SH</stp>
        <stp>LastPrice</stp>
        <stp>Dirty_Price</stp>
        <tr r="F163" s="2"/>
      </tp>
      <tp>
        <v>109.67</v>
        <stp/>
        <stp>113594.SH</stp>
        <stp>LastPrice</stp>
        <stp>Dirty_Price</stp>
        <tr r="F202" s="2"/>
      </tp>
      <tp>
        <v>112.42</v>
        <stp/>
        <stp>113597.SH</stp>
        <stp>LastPrice</stp>
        <stp>Dirty_Price</stp>
        <tr r="F216" s="2"/>
      </tp>
      <tp>
        <v>94.58</v>
        <stp/>
        <stp>113596.SH</stp>
        <stp>LastPrice</stp>
        <stp>Dirty_Price</stp>
        <tr r="F162" s="2"/>
      </tp>
      <tp>
        <v>117.42</v>
        <stp/>
        <stp>113591.SH</stp>
        <stp>LastPrice</stp>
        <stp>Dirty_Price</stp>
        <tr r="F116" s="2"/>
      </tp>
      <tp>
        <v>124.01</v>
        <stp/>
        <stp>113593.SH</stp>
        <stp>LastPrice</stp>
        <stp>Dirty_Price</stp>
        <tr r="F217" s="2"/>
      </tp>
      <tp>
        <v>96.320000000000007</v>
        <stp/>
        <stp>113589.SH</stp>
        <stp>LastPrice</stp>
        <stp>Dirty_Price</stp>
        <tr r="F319" s="2"/>
      </tp>
      <tp>
        <v>108.83</v>
        <stp/>
        <stp>113588.SH</stp>
        <stp>LastPrice</stp>
        <stp>Dirty_Price</stp>
        <tr r="F48" s="2"/>
      </tp>
      <tp>
        <v>142.43</v>
        <stp/>
        <stp>113585.SH</stp>
        <stp>LastPrice</stp>
        <stp>Dirty_Price</stp>
        <tr r="F65" s="2"/>
      </tp>
      <tp>
        <v>101.14</v>
        <stp/>
        <stp>113584.SH</stp>
        <stp>LastPrice</stp>
        <stp>Dirty_Price</stp>
        <tr r="F92" s="2"/>
      </tp>
      <tp>
        <v>132.98000000000002</v>
        <stp/>
        <stp>110081.SH</stp>
        <stp>LastPrice</stp>
        <stp>Dirty_Price</stp>
        <tr r="F336" s="2"/>
      </tp>
      <tp>
        <v>109.87</v>
        <stp/>
        <stp>110080.SH</stp>
        <stp>LastPrice</stp>
        <stp>Dirty_Price</stp>
        <tr r="F175" s="2"/>
      </tp>
      <tp>
        <v>251.34</v>
        <stp/>
        <stp>113580.SH</stp>
        <stp>LastPrice</stp>
        <stp>Dirty_Price</stp>
        <tr r="F311" s="2"/>
      </tp>
      <tp>
        <v>339.22</v>
        <stp/>
        <stp>113582.SH</stp>
        <stp>LastPrice</stp>
        <stp>Dirty_Price</stp>
        <tr r="F275" s="2"/>
      </tp>
      <tp>
        <v>14857466</v>
        <stp/>
        <stp>128132.SZ</stp>
        <stp>Amount</stp>
        <stp>Dirty_Price</stp>
        <tr r="K169" s="2"/>
      </tp>
      <tp>
        <v>9077958</v>
        <stp/>
        <stp>128122.SZ</stp>
        <stp>Amount</stp>
        <stp>Dirty_Price</stp>
        <tr r="K350" s="2"/>
      </tp>
      <tp>
        <v>201189902</v>
        <stp/>
        <stp>128082.SZ</stp>
        <stp>Amount</stp>
        <stp>Dirty_Price</stp>
        <tr r="K21" s="2"/>
      </tp>
      <tp>
        <v>7426678</v>
        <stp/>
        <stp>128022.SZ</stp>
        <stp>Amount</stp>
        <stp>Dirty_Price</stp>
        <tr r="K77" s="2"/>
      </tp>
      <tp>
        <v>5921752</v>
        <stp/>
        <stp>128042.SZ</stp>
        <stp>Amount</stp>
        <stp>Dirty_Price</stp>
        <tr r="K365" s="2"/>
      </tp>
      <tp>
        <v>3952203</v>
        <stp/>
        <stp>128072.SZ</stp>
        <stp>Amount</stp>
        <stp>Dirty_Price</stp>
        <tr r="K19" s="2"/>
      </tp>
      <tp>
        <v>16132785</v>
        <stp/>
        <stp>128062.SZ</stp>
        <stp>Amount</stp>
        <stp>Dirty_Price</stp>
        <tr r="K47" s="2"/>
      </tp>
      <tp>
        <v>234448689</v>
        <stp/>
        <stp>118001.SH</stp>
        <stp>Amount</stp>
        <stp>Dirty_Price</stp>
        <tr r="K23" s="2"/>
      </tp>
      <tp>
        <v>4757931</v>
        <stp/>
        <stp>127012.SZ</stp>
        <stp>Amount</stp>
        <stp>Dirty_Price</stp>
        <tr r="K154" s="2"/>
      </tp>
      <tp>
        <v>25259750</v>
        <stp/>
        <stp>127032.SZ</stp>
        <stp>Amount</stp>
        <stp>Dirty_Price</stp>
        <tr r="K36" s="2"/>
      </tp>
      <tp>
        <v>51002012</v>
        <stp/>
        <stp>127022.SZ</stp>
        <stp>Amount</stp>
        <stp>Dirty_Price</stp>
        <tr r="K245" s="2"/>
      </tp>
      <tp>
        <v>74920859</v>
        <stp/>
        <stp>127042.SZ</stp>
        <stp>Amount</stp>
        <stp>Dirty_Price</stp>
        <tr r="K113" s="2"/>
      </tp>
      <tp>
        <v>249132739</v>
        <stp/>
        <stp>110081.SH</stp>
        <stp>Amount</stp>
        <stp>Dirty_Price</stp>
        <tr r="K336" s="2"/>
      </tp>
      <tp>
        <v>33781732</v>
        <stp/>
        <stp>110071.SH</stp>
        <stp>Amount</stp>
        <stp>Dirty_Price</stp>
        <tr r="K248" s="2"/>
      </tp>
      <tp>
        <v>334523371</v>
        <stp/>
        <stp>110061.SH</stp>
        <stp>Amount</stp>
        <stp>Dirty_Price</stp>
        <tr r="K283" s="2"/>
      </tp>
      <tp>
        <v>28439103</v>
        <stp/>
        <stp>110051.SH</stp>
        <stp>Amount</stp>
        <stp>Dirty_Price</stp>
        <tr r="K81" s="2"/>
      </tp>
      <tp>
        <v>4336496444</v>
        <stp/>
        <stp>110041.SH</stp>
        <stp>Amount</stp>
        <stp>Dirty_Price</stp>
        <tr r="K281" s="2"/>
      </tp>
      <tp>
        <v>34286174</v>
        <stp/>
        <stp>123112.SZ</stp>
        <stp>Amount</stp>
        <stp>Dirty_Price</stp>
        <tr r="K225" s="2"/>
      </tp>
      <tp>
        <v>1092733314</v>
        <stp/>
        <stp>123102.SZ</stp>
        <stp>Amount</stp>
        <stp>Dirty_Price</stp>
        <tr r="K356" s="2"/>
      </tp>
      <tp>
        <v>33632504</v>
        <stp/>
        <stp>123122.SZ</stp>
        <stp>Amount</stp>
        <stp>Dirty_Price</stp>
        <tr r="K339" s="2"/>
      </tp>
      <tp>
        <v>105097766</v>
        <stp/>
        <stp>123092.SZ</stp>
        <stp>Amount</stp>
        <stp>Dirty_Price</stp>
        <tr r="K279" s="2"/>
      </tp>
      <tp>
        <v>19451146</v>
        <stp/>
        <stp>123082.SZ</stp>
        <stp>Amount</stp>
        <stp>Dirty_Price</stp>
        <tr r="K64" s="2"/>
      </tp>
      <tp>
        <v>164558527</v>
        <stp/>
        <stp>123012.SZ</stp>
        <stp>Amount</stp>
        <stp>Dirty_Price</stp>
        <tr r="K97" s="2"/>
      </tp>
      <tp>
        <v>25937681</v>
        <stp/>
        <stp>123002.SZ</stp>
        <stp>Amount</stp>
        <stp>Dirty_Price</stp>
        <tr r="K294" s="2"/>
      </tp>
      <tp>
        <v>90941633</v>
        <stp/>
        <stp>123022.SZ</stp>
        <stp>Amount</stp>
        <stp>Dirty_Price</stp>
        <tr r="K344" s="2"/>
      </tp>
      <tp>
        <v>291662698</v>
        <stp/>
        <stp>123052.SZ</stp>
        <stp>Amount</stp>
        <stp>Dirty_Price</stp>
        <tr r="K270" s="2"/>
      </tp>
      <tp>
        <v>1069242974</v>
        <stp/>
        <stp>123042.SZ</stp>
        <stp>Amount</stp>
        <stp>Dirty_Price</stp>
        <tr r="K214" s="2"/>
      </tp>
      <tp>
        <v>20182540</v>
        <stp/>
        <stp>123072.SZ</stp>
        <stp>Amount</stp>
        <stp>Dirty_Price</stp>
        <tr r="K99" s="2"/>
      </tp>
      <tp>
        <v>63537780</v>
        <stp/>
        <stp>123062.SZ</stp>
        <stp>Amount</stp>
        <stp>Dirty_Price</stp>
        <tr r="K224" s="2"/>
      </tp>
      <tp>
        <v>25655825</v>
        <stp/>
        <stp>113021.SH</stp>
        <stp>Amount</stp>
        <stp>Dirty_Price</stp>
        <tr r="K34" s="2"/>
      </tp>
      <tp>
        <v>154058334</v>
        <stp/>
        <stp>113011.SH</stp>
        <stp>Amount</stp>
        <stp>Dirty_Price</stp>
        <tr r="K26" s="2"/>
      </tp>
      <tp>
        <v>1379536927</v>
        <stp/>
        <stp>113051.SH</stp>
        <stp>Amount</stp>
        <stp>Dirty_Price</stp>
        <tr r="K293" s="2"/>
      </tp>
      <tp>
        <v>42971551</v>
        <stp/>
        <stp>113591.SH</stp>
        <stp>Amount</stp>
        <stp>Dirty_Price</stp>
        <tr r="K116" s="2"/>
      </tp>
      <tp>
        <v>1466237</v>
        <stp/>
        <stp>113561.SH</stp>
        <stp>Amount</stp>
        <stp>Dirty_Price</stp>
        <tr r="K131" s="2"/>
      </tp>
      <tp>
        <v>351779519</v>
        <stp/>
        <stp>113541.SH</stp>
        <stp>Amount</stp>
        <stp>Dirty_Price</stp>
        <tr r="K102" s="2"/>
      </tp>
      <tp>
        <v>146539783</v>
        <stp/>
        <stp>113621.SH</stp>
        <stp>Amount</stp>
        <stp>Dirty_Price</stp>
        <tr r="K244" s="2"/>
      </tp>
      <tp>
        <v>5656677</v>
        <stp/>
        <stp>113601.SH</stp>
        <stp>Amount</stp>
        <stp>Dirty_Price</stp>
        <tr r="K66" s="2"/>
      </tp>
      <tp>
        <v>28133692</v>
        <stp/>
        <stp>128113.SZ</stp>
        <stp>Amount</stp>
        <stp>Dirty_Price</stp>
        <tr r="K317" s="2"/>
      </tp>
      <tp>
        <v>163755067</v>
        <stp/>
        <stp>128103.SZ</stp>
        <stp>Amount</stp>
        <stp>Dirty_Price</stp>
        <tr r="K250" s="2"/>
      </tp>
      <tp>
        <v>128179489</v>
        <stp/>
        <stp>128133.SZ</stp>
        <stp>Amount</stp>
        <stp>Dirty_Price</stp>
        <tr r="K43" s="2"/>
      </tp>
      <tp>
        <v>2279142</v>
        <stp/>
        <stp>128123.SZ</stp>
        <stp>Amount</stp>
        <stp>Dirty_Price</stp>
        <tr r="K268" s="2"/>
      </tp>
      <tp>
        <v>935304594</v>
        <stp/>
        <stp>128093.SZ</stp>
        <stp>Amount</stp>
        <stp>Dirty_Price</stp>
        <tr r="K261" s="2"/>
      </tp>
      <tp>
        <v>1367319</v>
        <stp/>
        <stp>128083.SZ</stp>
        <stp>Amount</stp>
        <stp>Dirty_Price</stp>
        <tr r="K203" s="2"/>
      </tp>
      <tp>
        <v>62434525</v>
        <stp/>
        <stp>128013.SZ</stp>
        <stp>Amount</stp>
        <stp>Dirty_Price</stp>
        <tr r="K170" s="2"/>
      </tp>
      <tp>
        <v>199608586</v>
        <stp/>
        <stp>128033.SZ</stp>
        <stp>Amount</stp>
        <stp>Dirty_Price</stp>
        <tr r="K298" s="2"/>
      </tp>
      <tp>
        <v>2251186</v>
        <stp/>
        <stp>128023.SZ</stp>
        <stp>Amount</stp>
        <stp>Dirty_Price</stp>
        <tr r="K127" s="2"/>
      </tp>
      <tp>
        <v>148403431</v>
        <stp/>
        <stp>128053.SZ</stp>
        <stp>Amount</stp>
        <stp>Dirty_Price</stp>
        <tr r="K68" s="2"/>
      </tp>
      <tp>
        <v>4155761</v>
        <stp/>
        <stp>128073.SZ</stp>
        <stp>Amount</stp>
        <stp>Dirty_Price</stp>
        <tr r="K105" s="2"/>
      </tp>
      <tp>
        <v>20905985</v>
        <stp/>
        <stp>128063.SZ</stp>
        <stp>Amount</stp>
        <stp>Dirty_Price</stp>
        <tr r="K107" s="2"/>
      </tp>
      <tp>
        <v>377267981</v>
        <stp/>
        <stp>118000.SH</stp>
        <stp>Amount</stp>
        <stp>Dirty_Price</stp>
        <tr r="K8" s="2"/>
      </tp>
      <tp>
        <v>11134639</v>
        <stp/>
        <stp>127013.SZ</stp>
        <stp>Amount</stp>
        <stp>Dirty_Price</stp>
        <tr r="K191" s="2"/>
      </tp>
      <tp>
        <v>4708888</v>
        <stp/>
        <stp>127003.SZ</stp>
        <stp>Amount</stp>
        <stp>Dirty_Price</stp>
        <tr r="K94" s="2"/>
      </tp>
      <tp>
        <v>13736660</v>
        <stp/>
        <stp>127033.SZ</stp>
        <stp>Amount</stp>
        <stp>Dirty_Price</stp>
        <tr r="K176" s="2"/>
      </tp>
      <tp>
        <v>2485805448</v>
        <stp/>
        <stp>127043.SZ</stp>
        <stp>Amount</stp>
        <stp>Dirty_Price</stp>
        <tr r="K266" s="2"/>
      </tp>
      <tp>
        <v>2275436</v>
        <stp/>
        <stp>111000.SH</stp>
        <stp>Amount</stp>
        <stp>Dirty_Price</stp>
        <tr r="K366" s="2"/>
      </tp>
      <tp>
        <v>13633956</v>
        <stp/>
        <stp>110080.SH</stp>
        <stp>Amount</stp>
        <stp>Dirty_Price</stp>
        <tr r="K175" s="2"/>
      </tp>
      <tp>
        <v>86451561</v>
        <stp/>
        <stp>110070.SH</stp>
        <stp>Amount</stp>
        <stp>Dirty_Price</stp>
        <tr r="K303" s="2"/>
      </tp>
      <tp>
        <v>20541566</v>
        <stp/>
        <stp>110060.SH</stp>
        <stp>Amount</stp>
        <stp>Dirty_Price</stp>
        <tr r="K181" s="2"/>
      </tp>
      <tp>
        <v>36296761</v>
        <stp/>
        <stp>123113.SZ</stp>
        <stp>Amount</stp>
        <stp>Dirty_Price</stp>
        <tr r="K90" s="2"/>
      </tp>
      <tp>
        <v>82928935</v>
        <stp/>
        <stp>123103.SZ</stp>
        <stp>Amount</stp>
        <stp>Dirty_Price</stp>
        <tr r="K249" s="2"/>
      </tp>
      <tp>
        <v>15863077</v>
        <stp/>
        <stp>123123.SZ</stp>
        <stp>Amount</stp>
        <stp>Dirty_Price</stp>
        <tr r="K340" s="2"/>
      </tp>
      <tp>
        <v>21002022</v>
        <stp/>
        <stp>123093.SZ</stp>
        <stp>Amount</stp>
        <stp>Dirty_Price</stp>
        <tr r="K106" s="2"/>
      </tp>
      <tp>
        <v>1162312275</v>
        <stp/>
        <stp>123083.SZ</stp>
        <stp>Amount</stp>
        <stp>Dirty_Price</stp>
        <tr r="K194" s="2"/>
      </tp>
      <tp>
        <v>47880007</v>
        <stp/>
        <stp>123013.SZ</stp>
        <stp>Amount</stp>
        <stp>Dirty_Price</stp>
        <tr r="K255" s="2"/>
      </tp>
      <tp>
        <v>0</v>
        <stp/>
        <stp>123033.SZ</stp>
        <stp>Amount</stp>
        <stp>Dirty_Price</stp>
        <tr r="K24" s="2"/>
      </tp>
      <tp>
        <v>19602566</v>
        <stp/>
        <stp>123023.SZ</stp>
        <stp>Amount</stp>
        <stp>Dirty_Price</stp>
        <tr r="K291" s="2"/>
      </tp>
      <tp>
        <v>1267006330</v>
        <stp/>
        <stp>123053.SZ</stp>
        <stp>Amount</stp>
        <stp>Dirty_Price</stp>
        <tr r="K372" s="2"/>
      </tp>
      <tp>
        <v>877214289</v>
        <stp/>
        <stp>123043.SZ</stp>
        <stp>Amount</stp>
        <stp>Dirty_Price</stp>
        <tr r="K209" s="2"/>
      </tp>
      <tp>
        <v>14268326</v>
        <stp/>
        <stp>123073.SZ</stp>
        <stp>Amount</stp>
        <stp>Dirty_Price</stp>
        <tr r="K39" s="2"/>
      </tp>
      <tp>
        <v>8530632</v>
        <stp/>
        <stp>123063.SZ</stp>
        <stp>Amount</stp>
        <stp>Dirty_Price</stp>
        <tr r="K147" s="2"/>
      </tp>
      <tp>
        <v>34233747</v>
        <stp/>
        <stp>113030.SH</stp>
        <stp>Amount</stp>
        <stp>Dirty_Price</stp>
        <tr r="K96" s="2"/>
      </tp>
      <tp>
        <v>76609236</v>
        <stp/>
        <stp>113050.SH</stp>
        <stp>Amount</stp>
        <stp>Dirty_Price</stp>
        <tr r="K35" s="2"/>
      </tp>
      <tp>
        <v>528445961</v>
        <stp/>
        <stp>113580.SH</stp>
        <stp>Amount</stp>
        <stp>Dirty_Price</stp>
        <tr r="K311" s="2"/>
      </tp>
      <tp>
        <v>15064053</v>
        <stp/>
        <stp>113530.SH</stp>
        <stp>Amount</stp>
        <stp>Dirty_Price</stp>
        <tr r="K178" s="2"/>
      </tp>
      <tp>
        <v>4651979</v>
        <stp/>
        <stp>113570.SH</stp>
        <stp>Amount</stp>
        <stp>Dirty_Price</stp>
        <tr r="K230" s="2"/>
      </tp>
      <tp>
        <v>16005159</v>
        <stp/>
        <stp>113550.SH</stp>
        <stp>Amount</stp>
        <stp>Dirty_Price</stp>
        <tr r="K119" s="2"/>
      </tp>
      <tp>
        <v>10845576</v>
        <stp/>
        <stp>113620.SH</stp>
        <stp>Amount</stp>
        <stp>Dirty_Price</stp>
        <tr r="K149" s="2"/>
      </tp>
      <tp>
        <v>17721428</v>
        <stp/>
        <stp>113610.SH</stp>
        <stp>Amount</stp>
        <stp>Dirty_Price</stp>
        <tr r="K67" s="2"/>
      </tp>
      <tp>
        <v>443046320</v>
        <stp/>
        <stp>113600.SH</stp>
        <stp>Amount</stp>
        <stp>Dirty_Price</stp>
        <tr r="K20" s="2"/>
      </tp>
      <tp>
        <v>-3.1900000000000004</v>
        <stp/>
        <stp>113603.SH</stp>
        <stp>PctChg</stp>
        <stp>RT_Price</stp>
        <tr r="H355" s="2"/>
      </tp>
      <tp>
        <v>-0.22</v>
        <stp/>
        <stp>113602.SH</stp>
        <stp>PctChg</stp>
        <stp>RT_Price</stp>
        <tr r="H331" s="2"/>
      </tp>
      <tp>
        <v>0.74</v>
        <stp/>
        <stp>113601.SH</stp>
        <stp>PctChg</stp>
        <stp>RT_Price</stp>
        <tr r="H66" s="2"/>
      </tp>
      <tp>
        <v>0.13</v>
        <stp/>
        <stp>113600.SH</stp>
        <stp>PctChg</stp>
        <stp>RT_Price</stp>
        <tr r="H20" s="2"/>
      </tp>
      <tp>
        <v>-0.19</v>
        <stp/>
        <stp>113607.SH</stp>
        <stp>PctChg</stp>
        <stp>RT_Price</stp>
        <tr r="H301" s="2"/>
      </tp>
      <tp>
        <v>-0.02</v>
        <stp/>
        <stp>113606.SH</stp>
        <stp>PctChg</stp>
        <stp>RT_Price</stp>
        <tr r="H190" s="2"/>
      </tp>
      <tp>
        <v>0.76</v>
        <stp/>
        <stp>113605.SH</stp>
        <stp>PctChg</stp>
        <stp>RT_Price</stp>
        <tr r="H40" s="2"/>
      </tp>
      <tp>
        <v>-0.29000000000000004</v>
        <stp/>
        <stp>113604.SH</stp>
        <stp>PctChg</stp>
        <stp>RT_Price</stp>
        <tr r="H201" s="2"/>
      </tp>
      <tp>
        <v>-0.37</v>
        <stp/>
        <stp>113609.SH</stp>
        <stp>PctChg</stp>
        <stp>RT_Price</stp>
        <tr r="H129" s="2"/>
      </tp>
      <tp>
        <v>-0.86</v>
        <stp/>
        <stp>113608.SH</stp>
        <stp>PctChg</stp>
        <stp>RT_Price</stp>
        <tr r="H213" s="2"/>
      </tp>
      <tp>
        <v>0</v>
        <stp/>
        <stp>113612.SH</stp>
        <stp>PctChg</stp>
        <stp>RT_Price</stp>
        <tr r="H241" s="2"/>
      </tp>
      <tp>
        <v>-1.3900000000000001</v>
        <stp/>
        <stp>113610.SH</stp>
        <stp>PctChg</stp>
        <stp>RT_Price</stp>
        <tr r="H67" s="2"/>
      </tp>
      <tp>
        <v>-0.32</v>
        <stp/>
        <stp>113616.SH</stp>
        <stp>PctChg</stp>
        <stp>RT_Price</stp>
        <tr r="H345" s="2"/>
      </tp>
      <tp>
        <v>-2.7700000000000005</v>
        <stp/>
        <stp>113615.SH</stp>
        <stp>PctChg</stp>
        <stp>RT_Price</stp>
        <tr r="H379" s="2"/>
      </tp>
      <tp>
        <v>2.11</v>
        <stp/>
        <stp>113614.SH</stp>
        <stp>PctChg</stp>
        <stp>RT_Price</stp>
        <tr r="H46" s="2"/>
      </tp>
      <tp>
        <v>-0.36000000000000004</v>
        <stp/>
        <stp>113619.SH</stp>
        <stp>PctChg</stp>
        <stp>RT_Price</stp>
        <tr r="H325" s="2"/>
      </tp>
      <tp>
        <v>0.70000000000000007</v>
        <stp/>
        <stp>113618.SH</stp>
        <stp>PctChg</stp>
        <stp>RT_Price</stp>
        <tr r="H55" s="2"/>
      </tp>
      <tp>
        <v>-2.2000000000000002</v>
        <stp/>
        <stp>113623.SH</stp>
        <stp>PctChg</stp>
        <stp>RT_Price</stp>
        <tr r="H262" s="2"/>
      </tp>
      <tp>
        <v>-0.04</v>
        <stp/>
        <stp>113622.SH</stp>
        <stp>PctChg</stp>
        <stp>RT_Price</stp>
        <tr r="H228" s="2"/>
      </tp>
      <tp>
        <v>-2.0300000000000002</v>
        <stp/>
        <stp>113621.SH</stp>
        <stp>PctChg</stp>
        <stp>RT_Price</stp>
        <tr r="H244" s="2"/>
      </tp>
      <tp>
        <v>0.36000000000000004</v>
        <stp/>
        <stp>113620.SH</stp>
        <stp>PctChg</stp>
        <stp>RT_Price</stp>
        <tr r="H149" s="2"/>
      </tp>
      <tp>
        <v>-0.21000000000000002</v>
        <stp/>
        <stp>113627.SH</stp>
        <stp>PctChg</stp>
        <stp>RT_Price</stp>
        <tr r="H318" s="2"/>
      </tp>
      <tp>
        <v>-3.7900000000000005</v>
        <stp/>
        <stp>113626.SH</stp>
        <stp>PctChg</stp>
        <stp>RT_Price</stp>
        <tr r="H135" s="2"/>
      </tp>
      <tp>
        <v>0</v>
        <stp/>
        <stp>113625.SH</stp>
        <stp>PctChg</stp>
        <stp>RT_Price</stp>
        <tr r="H112" s="2"/>
      </tp>
      <tp>
        <v>-0.18000000000000002</v>
        <stp/>
        <stp>113624.SH</stp>
        <stp>PctChg</stp>
        <stp>RT_Price</stp>
        <tr r="H56" s="2"/>
      </tp>
      <tp>
        <v>-0.73</v>
        <stp/>
        <stp>113628.SH</stp>
        <stp>PctChg</stp>
        <stp>RT_Price</stp>
        <tr r="H337" s="2"/>
      </tp>
      <tp>
        <v>-2.7600000000000002</v>
        <stp/>
        <stp>113502.SH</stp>
        <stp>PctChg</stp>
        <stp>RT_Price</stp>
        <tr r="H271" s="2"/>
      </tp>
      <tp>
        <v>-0.27</v>
        <stp/>
        <stp>113505.SH</stp>
        <stp>PctChg</stp>
        <stp>RT_Price</stp>
        <tr r="H359" s="2"/>
      </tp>
      <tp>
        <v>-2.4500000000000002</v>
        <stp/>
        <stp>113504.SH</stp>
        <stp>PctChg</stp>
        <stp>RT_Price</stp>
        <tr r="H323" s="2"/>
      </tp>
      <tp>
        <v>-0.78</v>
        <stp/>
        <stp>113516.SH</stp>
        <stp>PctChg</stp>
        <stp>RT_Price</stp>
        <tr r="H27" s="2"/>
      </tp>
      <tp>
        <v>0.47000000000000003</v>
        <stp/>
        <stp>113519.SH</stp>
        <stp>PctChg</stp>
        <stp>RT_Price</stp>
        <tr r="H155" s="2"/>
      </tp>
      <tp>
        <v>4.2300000000000004</v>
        <stp/>
        <stp>113527.SH</stp>
        <stp>PctChg</stp>
        <stp>RT_Price</stp>
        <tr r="H321" s="2"/>
      </tp>
      <tp>
        <v>-1.6099999999999999</v>
        <stp/>
        <stp>113526.SH</stp>
        <stp>PctChg</stp>
        <stp>RT_Price</stp>
        <tr r="H280" s="2"/>
      </tp>
      <tp>
        <v>1.08</v>
        <stp/>
        <stp>113525.SH</stp>
        <stp>PctChg</stp>
        <stp>RT_Price</stp>
        <tr r="H322" s="2"/>
      </tp>
      <tp>
        <v>-1.02</v>
        <stp/>
        <stp>113524.SH</stp>
        <stp>PctChg</stp>
        <stp>RT_Price</stp>
        <tr r="H193" s="2"/>
      </tp>
      <tp>
        <v>1.59</v>
        <stp/>
        <stp>113528.SH</stp>
        <stp>PctChg</stp>
        <stp>RT_Price</stp>
        <tr r="H353" s="2"/>
      </tp>
      <tp>
        <v>-0.26</v>
        <stp/>
        <stp>113532.SH</stp>
        <stp>PctChg</stp>
        <stp>RT_Price</stp>
        <tr r="H299" s="2"/>
      </tp>
      <tp>
        <v>0.21000000000000002</v>
        <stp/>
        <stp>113530.SH</stp>
        <stp>PctChg</stp>
        <stp>RT_Price</stp>
        <tr r="H178" s="2"/>
      </tp>
      <tp>
        <v>-3.08</v>
        <stp/>
        <stp>113537.SH</stp>
        <stp>PctChg</stp>
        <stp>RT_Price</stp>
        <tr r="H123" s="2"/>
      </tp>
      <tp>
        <v>-1.6500000000000001</v>
        <stp/>
        <stp>113536.SH</stp>
        <stp>PctChg</stp>
        <stp>RT_Price</stp>
        <tr r="H188" s="2"/>
      </tp>
      <tp>
        <v>-0.36000000000000004</v>
        <stp/>
        <stp>113535.SH</stp>
        <stp>PctChg</stp>
        <stp>RT_Price</stp>
        <tr r="H215" s="2"/>
      </tp>
      <tp>
        <v>-2.1500000000000004</v>
        <stp/>
        <stp>113534.SH</stp>
        <stp>PctChg</stp>
        <stp>RT_Price</stp>
        <tr r="H17" s="2"/>
      </tp>
      <tp>
        <v>0.24000000000000002</v>
        <stp/>
        <stp>113542.SH</stp>
        <stp>PctChg</stp>
        <stp>RT_Price</stp>
        <tr r="H110" s="2"/>
      </tp>
      <tp>
        <v>-6.0000000000000009</v>
        <stp/>
        <stp>113541.SH</stp>
        <stp>PctChg</stp>
        <stp>RT_Price</stp>
        <tr r="H102" s="2"/>
      </tp>
      <tp>
        <v>-0.8</v>
        <stp/>
        <stp>113546.SH</stp>
        <stp>PctChg</stp>
        <stp>RT_Price</stp>
        <tr r="H369" s="2"/>
      </tp>
      <tp>
        <v>-7.86</v>
        <stp/>
        <stp>113545.SH</stp>
        <stp>PctChg</stp>
        <stp>RT_Price</stp>
        <tr r="H378" s="2"/>
      </tp>
      <tp>
        <v>1.6300000000000001</v>
        <stp/>
        <stp>113549.SH</stp>
        <stp>PctChg</stp>
        <stp>RT_Price</stp>
        <tr r="H358" s="2"/>
      </tp>
      <tp>
        <v>-2.3200000000000003</v>
        <stp/>
        <stp>113548.SH</stp>
        <stp>PctChg</stp>
        <stp>RT_Price</stp>
        <tr r="H22" s="2"/>
      </tp>
      <tp>
        <v>-1.78</v>
        <stp/>
        <stp>113550.SH</stp>
        <stp>PctChg</stp>
        <stp>RT_Price</stp>
        <tr r="H119" s="2"/>
      </tp>
      <tp>
        <v>-0.17</v>
        <stp/>
        <stp>113563.SH</stp>
        <stp>PctChg</stp>
        <stp>RT_Price</stp>
        <tr r="H63" s="2"/>
      </tp>
      <tp>
        <v>-0.48000000000000004</v>
        <stp/>
        <stp>113561.SH</stp>
        <stp>PctChg</stp>
        <stp>RT_Price</stp>
        <tr r="H131" s="2"/>
      </tp>
      <tp>
        <v>-0.73</v>
        <stp/>
        <stp>113567.SH</stp>
        <stp>PctChg</stp>
        <stp>RT_Price</stp>
        <tr r="H220" s="2"/>
      </tp>
      <tp>
        <v>0.37</v>
        <stp/>
        <stp>113566.SH</stp>
        <stp>PctChg</stp>
        <stp>RT_Price</stp>
        <tr r="H104" s="2"/>
      </tp>
      <tp>
        <v>1.26</v>
        <stp/>
        <stp>113565.SH</stp>
        <stp>PctChg</stp>
        <stp>RT_Price</stp>
        <tr r="H145" s="2"/>
      </tp>
      <tp>
        <v>0.77</v>
        <stp/>
        <stp>113569.SH</stp>
        <stp>PctChg</stp>
        <stp>RT_Price</stp>
        <tr r="H197" s="2"/>
      </tp>
      <tp>
        <v>-2.73</v>
        <stp/>
        <stp>113568.SH</stp>
        <stp>PctChg</stp>
        <stp>RT_Price</stp>
        <tr r="H235" s="2"/>
      </tp>
      <tp>
        <v>1.06</v>
        <stp/>
        <stp>113573.SH</stp>
        <stp>PctChg</stp>
        <stp>RT_Price</stp>
        <tr r="H84" s="2"/>
      </tp>
      <tp>
        <v>0</v>
        <stp/>
        <stp>113572.SH</stp>
        <stp>PctChg</stp>
        <stp>RT_Price</stp>
        <tr r="H18" s="2"/>
      </tp>
      <tp>
        <v>-0.04</v>
        <stp/>
        <stp>113570.SH</stp>
        <stp>PctChg</stp>
        <stp>RT_Price</stp>
        <tr r="H230" s="2"/>
      </tp>
      <tp>
        <v>-0.04</v>
        <stp/>
        <stp>113577.SH</stp>
        <stp>PctChg</stp>
        <stp>RT_Price</stp>
        <tr r="H343" s="2"/>
      </tp>
      <tp>
        <v>-0.95</v>
        <stp/>
        <stp>113576.SH</stp>
        <stp>PctChg</stp>
        <stp>RT_Price</stp>
        <tr r="H315" s="2"/>
      </tp>
      <tp>
        <v>-0.12000000000000001</v>
        <stp/>
        <stp>113575.SH</stp>
        <stp>PctChg</stp>
        <stp>RT_Price</stp>
        <tr r="H132" s="2"/>
      </tp>
      <tp>
        <v>0.27</v>
        <stp/>
        <stp>113574.SH</stp>
        <stp>PctChg</stp>
        <stp>RT_Price</stp>
        <tr r="H333" s="2"/>
      </tp>
      <tp>
        <v>1.04</v>
        <stp/>
        <stp>113579.SH</stp>
        <stp>PctChg</stp>
        <stp>RT_Price</stp>
        <tr r="H52" s="2"/>
      </tp>
      <tp>
        <v>-0.01</v>
        <stp/>
        <stp>113578.SH</stp>
        <stp>PctChg</stp>
        <stp>RT_Price</stp>
        <tr r="H166" s="2"/>
      </tp>
      <tp>
        <v>-0.96000000000000008</v>
        <stp/>
        <stp>113582.SH</stp>
        <stp>PctChg</stp>
        <stp>RT_Price</stp>
        <tr r="H275" s="2"/>
      </tp>
      <tp>
        <v>-2.0900000000000003</v>
        <stp/>
        <stp>113580.SH</stp>
        <stp>PctChg</stp>
        <stp>RT_Price</stp>
        <tr r="H311" s="2"/>
      </tp>
      <tp>
        <v>-0.15</v>
        <stp/>
        <stp>113585.SH</stp>
        <stp>PctChg</stp>
        <stp>RT_Price</stp>
        <tr r="H65" s="2"/>
      </tp>
      <tp>
        <v>-0.32</v>
        <stp/>
        <stp>113584.SH</stp>
        <stp>PctChg</stp>
        <stp>RT_Price</stp>
        <tr r="H92" s="2"/>
      </tp>
      <tp>
        <v>-0.18000000000000002</v>
        <stp/>
        <stp>113589.SH</stp>
        <stp>PctChg</stp>
        <stp>RT_Price</stp>
        <tr r="H319" s="2"/>
      </tp>
      <tp>
        <v>0.79</v>
        <stp/>
        <stp>113588.SH</stp>
        <stp>PctChg</stp>
        <stp>RT_Price</stp>
        <tr r="H48" s="2"/>
      </tp>
      <tp>
        <v>-1.08</v>
        <stp/>
        <stp>113593.SH</stp>
        <stp>PctChg</stp>
        <stp>RT_Price</stp>
        <tr r="H217" s="2"/>
      </tp>
      <tp>
        <v>-1.96</v>
        <stp/>
        <stp>113591.SH</stp>
        <stp>PctChg</stp>
        <stp>RT_Price</stp>
        <tr r="H116" s="2"/>
      </tp>
      <tp>
        <v>-0.2</v>
        <stp/>
        <stp>113597.SH</stp>
        <stp>PctChg</stp>
        <stp>RT_Price</stp>
        <tr r="H216" s="2"/>
      </tp>
      <tp>
        <v>0.45000000000000007</v>
        <stp/>
        <stp>113596.SH</stp>
        <stp>PctChg</stp>
        <stp>RT_Price</stp>
        <tr r="H162" s="2"/>
      </tp>
      <tp>
        <v>-0.6</v>
        <stp/>
        <stp>113595.SH</stp>
        <stp>PctChg</stp>
        <stp>RT_Price</stp>
        <tr r="H163" s="2"/>
      </tp>
      <tp>
        <v>0.49</v>
        <stp/>
        <stp>113594.SH</stp>
        <stp>PctChg</stp>
        <stp>RT_Price</stp>
        <tr r="H202" s="2"/>
      </tp>
      <tp>
        <v>0.31000000000000005</v>
        <stp/>
        <stp>113599.SH</stp>
        <stp>PctChg</stp>
        <stp>RT_Price</stp>
        <tr r="H156" s="2"/>
      </tp>
      <tp>
        <v>-0.79</v>
        <stp/>
        <stp>113598.SH</stp>
        <stp>PctChg</stp>
        <stp>RT_Price</stp>
        <tr r="H223" s="2"/>
      </tp>
      <tp>
        <v>-7.57</v>
        <stp/>
        <stp>123120.SZ</stp>
        <stp>PctChg</stp>
        <stp>RT_Price</stp>
        <tr r="H296" s="2"/>
      </tp>
      <tp>
        <v>-0.32</v>
        <stp/>
        <stp>123121.SZ</stp>
        <stp>PctChg</stp>
        <stp>RT_Price</stp>
        <tr r="H226" s="2"/>
      </tp>
      <tp>
        <v>-1.4500000000000002</v>
        <stp/>
        <stp>123122.SZ</stp>
        <stp>PctChg</stp>
        <stp>RT_Price</stp>
        <tr r="H339" s="2"/>
      </tp>
      <tp>
        <v>-0.67</v>
        <stp/>
        <stp>123123.SZ</stp>
        <stp>PctChg</stp>
        <stp>RT_Price</stp>
        <tr r="H340" s="2"/>
      </tp>
      <tp>
        <v>-1.9300000000000002</v>
        <stp/>
        <stp>123124.SZ</stp>
        <stp>PctChg</stp>
        <stp>RT_Price</stp>
        <tr r="H264" s="2"/>
      </tp>
      <tp>
        <v>0</v>
        <stp/>
        <stp>123125.SZ</stp>
        <stp>PctChg</stp>
        <stp>RT_Price</stp>
        <tr r="H265" s="2"/>
      </tp>
      <tp>
        <v>-0.69000000000000006</v>
        <stp/>
        <stp>123100.SZ</stp>
        <stp>PctChg</stp>
        <stp>RT_Price</stp>
        <tr r="H324" s="2"/>
      </tp>
      <tp>
        <v>-0.02</v>
        <stp/>
        <stp>123101.SZ</stp>
        <stp>PctChg</stp>
        <stp>RT_Price</stp>
        <tr r="H231" s="2"/>
      </tp>
      <tp>
        <v>-3.93</v>
        <stp/>
        <stp>123102.SZ</stp>
        <stp>PctChg</stp>
        <stp>RT_Price</stp>
        <tr r="H356" s="2"/>
      </tp>
      <tp>
        <v>-1.08</v>
        <stp/>
        <stp>123103.SZ</stp>
        <stp>PctChg</stp>
        <stp>RT_Price</stp>
        <tr r="H249" s="2"/>
      </tp>
      <tp>
        <v>0.15</v>
        <stp/>
        <stp>123104.SZ</stp>
        <stp>PctChg</stp>
        <stp>RT_Price</stp>
        <tr r="H200" s="2"/>
      </tp>
      <tp>
        <v>-0.63</v>
        <stp/>
        <stp>123105.SZ</stp>
        <stp>PctChg</stp>
        <stp>RT_Price</stp>
        <tr r="H208" s="2"/>
      </tp>
      <tp>
        <v>-3.1300000000000003</v>
        <stp/>
        <stp>123106.SZ</stp>
        <stp>PctChg</stp>
        <stp>RT_Price</stp>
        <tr r="H257" s="2"/>
      </tp>
      <tp>
        <v>1.31</v>
        <stp/>
        <stp>123107.SZ</stp>
        <stp>PctChg</stp>
        <stp>RT_Price</stp>
        <tr r="H144" s="2"/>
      </tp>
      <tp>
        <v>1.9100000000000001</v>
        <stp/>
        <stp>123108.SZ</stp>
        <stp>PctChg</stp>
        <stp>RT_Price</stp>
        <tr r="H76" s="2"/>
      </tp>
      <tp>
        <v>0.42000000000000004</v>
        <stp/>
        <stp>123109.SZ</stp>
        <stp>PctChg</stp>
        <stp>RT_Price</stp>
        <tr r="H218" s="2"/>
      </tp>
      <tp>
        <v>-0.35000000000000003</v>
        <stp/>
        <stp>123110.SZ</stp>
        <stp>PctChg</stp>
        <stp>RT_Price</stp>
        <tr r="H44" s="2"/>
      </tp>
      <tp>
        <v>-0.93</v>
        <stp/>
        <stp>123111.SZ</stp>
        <stp>PctChg</stp>
        <stp>RT_Price</stp>
        <tr r="H310" s="2"/>
      </tp>
      <tp>
        <v>-0.9900000000000001</v>
        <stp/>
        <stp>123112.SZ</stp>
        <stp>PctChg</stp>
        <stp>RT_Price</stp>
        <tr r="H225" s="2"/>
      </tp>
      <tp>
        <v>0.48000000000000004</v>
        <stp/>
        <stp>123113.SZ</stp>
        <stp>PctChg</stp>
        <stp>RT_Price</stp>
        <tr r="H90" s="2"/>
      </tp>
      <tp>
        <v>-3.42</v>
        <stp/>
        <stp>123114.SZ</stp>
        <stp>PctChg</stp>
        <stp>RT_Price</stp>
        <tr r="H277" s="2"/>
      </tp>
      <tp>
        <v>1.9800000000000002</v>
        <stp/>
        <stp>123115.SZ</stp>
        <stp>PctChg</stp>
        <stp>RT_Price</stp>
        <tr r="H338" s="2"/>
      </tp>
      <tp>
        <v>3.2300000000000004</v>
        <stp/>
        <stp>123116.SZ</stp>
        <stp>PctChg</stp>
        <stp>RT_Price</stp>
        <tr r="H204" s="2"/>
      </tp>
      <tp>
        <v>0.25</v>
        <stp/>
        <stp>123117.SZ</stp>
        <stp>PctChg</stp>
        <stp>RT_Price</stp>
        <tr r="H58" s="2"/>
      </tp>
      <tp>
        <v>-1.5000000000000002</v>
        <stp/>
        <stp>123118.SZ</stp>
        <stp>PctChg</stp>
        <stp>RT_Price</stp>
        <tr r="H295" s="2"/>
      </tp>
      <tp>
        <v>1.06</v>
        <stp/>
        <stp>123119.SZ</stp>
        <stp>PctChg</stp>
        <stp>RT_Price</stp>
        <tr r="H59" s="2"/>
      </tp>
      <tp>
        <v>-1.33</v>
        <stp/>
        <stp>123022.SZ</stp>
        <stp>PctChg</stp>
        <stp>RT_Price</stp>
        <tr r="H344" s="2"/>
      </tp>
      <tp>
        <v>-0.91</v>
        <stp/>
        <stp>123023.SZ</stp>
        <stp>PctChg</stp>
        <stp>RT_Price</stp>
        <tr r="H291" s="2"/>
      </tp>
      <tp>
        <v>1.6199999999999999</v>
        <stp/>
        <stp>123024.SZ</stp>
        <stp>PctChg</stp>
        <stp>RT_Price</stp>
        <tr r="H233" s="2"/>
      </tp>
      <tp>
        <v>0.55999999999999994</v>
        <stp/>
        <stp>123025.SZ</stp>
        <stp>PctChg</stp>
        <stp>RT_Price</stp>
        <tr r="H232" s="2"/>
      </tp>
      <tp>
        <v>-3.02</v>
        <stp/>
        <stp>123027.SZ</stp>
        <stp>PctChg</stp>
        <stp>RT_Price</stp>
        <tr r="H253" s="2"/>
      </tp>
      <tp>
        <v>0</v>
        <stp/>
        <stp>123028.SZ</stp>
        <stp>PctChg</stp>
        <stp>RT_Price</stp>
        <tr r="H251" s="2"/>
      </tp>
      <tp>
        <v>0</v>
        <stp/>
        <stp>123029.SZ</stp>
        <stp>PctChg</stp>
        <stp>RT_Price</stp>
        <tr r="H57" s="2"/>
      </tp>
      <tp>
        <v>0</v>
        <stp/>
        <stp>123030.SZ</stp>
        <stp>PctChg</stp>
        <stp>RT_Price</stp>
        <tr r="H368" s="2"/>
      </tp>
      <tp>
        <v>-3.8200000000000003</v>
        <stp/>
        <stp>123031.SZ</stp>
        <stp>PctChg</stp>
        <stp>RT_Price</stp>
        <tr r="H269" s="2"/>
      </tp>
      <tp>
        <v>0</v>
        <stp/>
        <stp>123033.SZ</stp>
        <stp>PctChg</stp>
        <stp>RT_Price</stp>
        <tr r="H24" s="2"/>
      </tp>
      <tp>
        <v>-4.3099999999999996</v>
        <stp/>
        <stp>123034.SZ</stp>
        <stp>PctChg</stp>
        <stp>RT_Price</stp>
        <tr r="H361" s="2"/>
      </tp>
      <tp>
        <v>2.6</v>
        <stp/>
        <stp>123035.SZ</stp>
        <stp>PctChg</stp>
        <stp>RT_Price</stp>
        <tr r="H329" s="2"/>
      </tp>
      <tp>
        <v>-0.94000000000000006</v>
        <stp/>
        <stp>123038.SZ</stp>
        <stp>PctChg</stp>
        <stp>RT_Price</stp>
        <tr r="H348" s="2"/>
      </tp>
      <tp>
        <v>-0.18000000000000002</v>
        <stp/>
        <stp>123039.SZ</stp>
        <stp>PctChg</stp>
        <stp>RT_Price</stp>
        <tr r="H320" s="2"/>
      </tp>
      <tp>
        <v>-2.1</v>
        <stp/>
        <stp>123002.SZ</stp>
        <stp>PctChg</stp>
        <stp>RT_Price</stp>
        <tr r="H294" s="2"/>
      </tp>
      <tp>
        <v>-0.72000000000000008</v>
        <stp/>
        <stp>123004.SZ</stp>
        <stp>PctChg</stp>
        <stp>RT_Price</stp>
        <tr r="H171" s="2"/>
      </tp>
      <tp>
        <v>-0.91999999999999993</v>
        <stp/>
        <stp>123010.SZ</stp>
        <stp>PctChg</stp>
        <stp>RT_Price</stp>
        <tr r="H286" s="2"/>
      </tp>
      <tp>
        <v>-0.53</v>
        <stp/>
        <stp>123011.SZ</stp>
        <stp>PctChg</stp>
        <stp>RT_Price</stp>
        <tr r="H130" s="2"/>
      </tp>
      <tp>
        <v>-5.34</v>
        <stp/>
        <stp>123012.SZ</stp>
        <stp>PctChg</stp>
        <stp>RT_Price</stp>
        <tr r="H97" s="2"/>
      </tp>
      <tp>
        <v>-1.8000000000000003</v>
        <stp/>
        <stp>123013.SZ</stp>
        <stp>PctChg</stp>
        <stp>RT_Price</stp>
        <tr r="H255" s="2"/>
      </tp>
      <tp>
        <v>-1.76</v>
        <stp/>
        <stp>123014.SZ</stp>
        <stp>PctChg</stp>
        <stp>RT_Price</stp>
        <tr r="H364" s="2"/>
      </tp>
      <tp>
        <v>0.42000000000000004</v>
        <stp/>
        <stp>123015.SZ</stp>
        <stp>PctChg</stp>
        <stp>RT_Price</stp>
        <tr r="H199" s="2"/>
      </tp>
      <tp>
        <v>-2.52</v>
        <stp/>
        <stp>123018.SZ</stp>
        <stp>PctChg</stp>
        <stp>RT_Price</stp>
        <tr r="H69" s="2"/>
      </tp>
      <tp>
        <v>0.08</v>
        <stp/>
        <stp>123060.SZ</stp>
        <stp>PctChg</stp>
        <stp>RT_Price</stp>
        <tr r="H221" s="2"/>
      </tp>
      <tp>
        <v>-0.58000000000000007</v>
        <stp/>
        <stp>123061.SZ</stp>
        <stp>PctChg</stp>
        <stp>RT_Price</stp>
        <tr r="H276" s="2"/>
      </tp>
      <tp>
        <v>0.63</v>
        <stp/>
        <stp>123062.SZ</stp>
        <stp>PctChg</stp>
        <stp>RT_Price</stp>
        <tr r="H224" s="2"/>
      </tp>
      <tp>
        <v>-0.52</v>
        <stp/>
        <stp>123063.SZ</stp>
        <stp>PctChg</stp>
        <stp>RT_Price</stp>
        <tr r="H147" s="2"/>
      </tp>
      <tp>
        <v>-0.32</v>
        <stp/>
        <stp>123064.SZ</stp>
        <stp>PctChg</stp>
        <stp>RT_Price</stp>
        <tr r="H61" s="2"/>
      </tp>
      <tp>
        <v>-0.05</v>
        <stp/>
        <stp>123065.SZ</stp>
        <stp>PctChg</stp>
        <stp>RT_Price</stp>
        <tr r="H75" s="2"/>
      </tp>
      <tp>
        <v>2.64</v>
        <stp/>
        <stp>123067.SZ</stp>
        <stp>PctChg</stp>
        <stp>RT_Price</stp>
        <tr r="H212" s="2"/>
      </tp>
      <tp>
        <v>-2.1800000000000002</v>
        <stp/>
        <stp>123068.SZ</stp>
        <stp>PctChg</stp>
        <stp>RT_Price</stp>
        <tr r="H327" s="2"/>
      </tp>
      <tp>
        <v>-2.56</v>
        <stp/>
        <stp>123069.SZ</stp>
        <stp>PctChg</stp>
        <stp>RT_Price</stp>
        <tr r="H237" s="2"/>
      </tp>
      <tp>
        <v>0.91</v>
        <stp/>
        <stp>123070.SZ</stp>
        <stp>PctChg</stp>
        <stp>RT_Price</stp>
        <tr r="H354" s="2"/>
      </tp>
      <tp>
        <v>-1.05</v>
        <stp/>
        <stp>123071.SZ</stp>
        <stp>PctChg</stp>
        <stp>RT_Price</stp>
        <tr r="H362" s="2"/>
      </tp>
      <tp>
        <v>-0.66</v>
        <stp/>
        <stp>123072.SZ</stp>
        <stp>PctChg</stp>
        <stp>RT_Price</stp>
        <tr r="H99" s="2"/>
      </tp>
      <tp>
        <v>-0.05</v>
        <stp/>
        <stp>123073.SZ</stp>
        <stp>PctChg</stp>
        <stp>RT_Price</stp>
        <tr r="H39" s="2"/>
      </tp>
      <tp>
        <v>-1.86</v>
        <stp/>
        <stp>123074.SZ</stp>
        <stp>PctChg</stp>
        <stp>RT_Price</stp>
        <tr r="H347" s="2"/>
      </tp>
      <tp>
        <v>2.2500000000000004</v>
        <stp/>
        <stp>123075.SZ</stp>
        <stp>PctChg</stp>
        <stp>RT_Price</stp>
        <tr r="H137" s="2"/>
      </tp>
      <tp>
        <v>-0.12000000000000001</v>
        <stp/>
        <stp>123076.SZ</stp>
        <stp>PctChg</stp>
        <stp>RT_Price</stp>
        <tr r="H260" s="2"/>
      </tp>
      <tp>
        <v>0.39</v>
        <stp/>
        <stp>123077.SZ</stp>
        <stp>PctChg</stp>
        <stp>RT_Price</stp>
        <tr r="H205" s="2"/>
      </tp>
      <tp>
        <v>-0.4</v>
        <stp/>
        <stp>123078.SZ</stp>
        <stp>PctChg</stp>
        <stp>RT_Price</stp>
        <tr r="H267" s="2"/>
      </tp>
      <tp>
        <v>0</v>
        <stp/>
        <stp>123079.SZ</stp>
        <stp>PctChg</stp>
        <stp>RT_Price</stp>
        <tr r="H371" s="2"/>
      </tp>
      <tp>
        <v>-1.4400000000000002</v>
        <stp/>
        <stp>123042.SZ</stp>
        <stp>PctChg</stp>
        <stp>RT_Price</stp>
        <tr r="H214" s="2"/>
      </tp>
      <tp>
        <v>2.74</v>
        <stp/>
        <stp>123043.SZ</stp>
        <stp>PctChg</stp>
        <stp>RT_Price</stp>
        <tr r="H209" s="2"/>
      </tp>
      <tp>
        <v>-1.1900000000000002</v>
        <stp/>
        <stp>123044.SZ</stp>
        <stp>PctChg</stp>
        <stp>RT_Price</stp>
        <tr r="H363" s="2"/>
      </tp>
      <tp>
        <v>-1.23</v>
        <stp/>
        <stp>123045.SZ</stp>
        <stp>PctChg</stp>
        <stp>RT_Price</stp>
        <tr r="H139" s="2"/>
      </tp>
      <tp>
        <v>-3.09</v>
        <stp/>
        <stp>123046.SZ</stp>
        <stp>PctChg</stp>
        <stp>RT_Price</stp>
        <tr r="H272" s="2"/>
      </tp>
      <tp>
        <v>-2.16</v>
        <stp/>
        <stp>123047.SZ</stp>
        <stp>PctChg</stp>
        <stp>RT_Price</stp>
        <tr r="H289" s="2"/>
      </tp>
      <tp>
        <v>-1.1000000000000001</v>
        <stp/>
        <stp>123048.SZ</stp>
        <stp>PctChg</stp>
        <stp>RT_Price</stp>
        <tr r="H278" s="2"/>
      </tp>
      <tp>
        <v>-1.1199999999999999</v>
        <stp/>
        <stp>123049.SZ</stp>
        <stp>PctChg</stp>
        <stp>RT_Price</stp>
        <tr r="H287" s="2"/>
      </tp>
      <tp>
        <v>3.2100000000000004</v>
        <stp/>
        <stp>123050.SZ</stp>
        <stp>PctChg</stp>
        <stp>RT_Price</stp>
        <tr r="H328" s="2"/>
      </tp>
      <tp>
        <v>-1.1300000000000001</v>
        <stp/>
        <stp>123051.SZ</stp>
        <stp>PctChg</stp>
        <stp>RT_Price</stp>
        <tr r="H210" s="2"/>
      </tp>
      <tp>
        <v>-2.63</v>
        <stp/>
        <stp>123052.SZ</stp>
        <stp>PctChg</stp>
        <stp>RT_Price</stp>
        <tr r="H270" s="2"/>
      </tp>
      <tp>
        <v>0.22</v>
        <stp/>
        <stp>123053.SZ</stp>
        <stp>PctChg</stp>
        <stp>RT_Price</stp>
        <tr r="H372" s="2"/>
      </tp>
      <tp>
        <v>5.1300000000000008</v>
        <stp/>
        <stp>123054.SZ</stp>
        <stp>PctChg</stp>
        <stp>RT_Price</stp>
        <tr r="H211" s="2"/>
      </tp>
      <tp>
        <v>0.13999999999999999</v>
        <stp/>
        <stp>123056.SZ</stp>
        <stp>PctChg</stp>
        <stp>RT_Price</stp>
        <tr r="H146" s="2"/>
      </tp>
      <tp>
        <v>-3.56</v>
        <stp/>
        <stp>123057.SZ</stp>
        <stp>PctChg</stp>
        <stp>RT_Price</stp>
        <tr r="H254" s="2"/>
      </tp>
      <tp>
        <v>-0.12000000000000001</v>
        <stp/>
        <stp>123059.SZ</stp>
        <stp>PctChg</stp>
        <stp>RT_Price</stp>
        <tr r="H206" s="2"/>
      </tp>
      <tp>
        <v>0.05</v>
        <stp/>
        <stp>123080.SZ</stp>
        <stp>PctChg</stp>
        <stp>RT_Price</stp>
        <tr r="H180" s="2"/>
      </tp>
      <tp>
        <v>6.9999999999999993E-2</v>
        <stp/>
        <stp>123081.SZ</stp>
        <stp>PctChg</stp>
        <stp>RT_Price</stp>
        <tr r="H351" s="2"/>
      </tp>
      <tp>
        <v>-0.17</v>
        <stp/>
        <stp>123082.SZ</stp>
        <stp>PctChg</stp>
        <stp>RT_Price</stp>
        <tr r="H64" s="2"/>
      </tp>
      <tp>
        <v>3.46</v>
        <stp/>
        <stp>123083.SZ</stp>
        <stp>PctChg</stp>
        <stp>RT_Price</stp>
        <tr r="H194" s="2"/>
      </tp>
      <tp>
        <v>-0.6</v>
        <stp/>
        <stp>123084.SZ</stp>
        <stp>PctChg</stp>
        <stp>RT_Price</stp>
        <tr r="H234" s="2"/>
      </tp>
      <tp>
        <v>-3.9600000000000004</v>
        <stp/>
        <stp>123085.SZ</stp>
        <stp>PctChg</stp>
        <stp>RT_Price</stp>
        <tr r="H114" s="2"/>
      </tp>
      <tp>
        <v>-0.1</v>
        <stp/>
        <stp>123086.SZ</stp>
        <stp>PctChg</stp>
        <stp>RT_Price</stp>
        <tr r="H274" s="2"/>
      </tp>
      <tp>
        <v>-1.67</v>
        <stp/>
        <stp>123087.SZ</stp>
        <stp>PctChg</stp>
        <stp>RT_Price</stp>
        <tr r="H349" s="2"/>
      </tp>
      <tp>
        <v>-0.13</v>
        <stp/>
        <stp>123088.SZ</stp>
        <stp>PctChg</stp>
        <stp>RT_Price</stp>
        <tr r="H125" s="2"/>
      </tp>
      <tp>
        <v>10.71</v>
        <stp/>
        <stp>123089.SZ</stp>
        <stp>PctChg</stp>
        <stp>RT_Price</stp>
        <tr r="H357" s="2"/>
      </tp>
      <tp>
        <v>0.97</v>
        <stp/>
        <stp>123090.SZ</stp>
        <stp>PctChg</stp>
        <stp>RT_Price</stp>
        <tr r="H73" s="2"/>
      </tp>
      <tp>
        <v>-4.82</v>
        <stp/>
        <stp>123091.SZ</stp>
        <stp>PctChg</stp>
        <stp>RT_Price</stp>
        <tr r="H236" s="2"/>
      </tp>
      <tp>
        <v>-2.2399999999999998</v>
        <stp/>
        <stp>123092.SZ</stp>
        <stp>PctChg</stp>
        <stp>RT_Price</stp>
        <tr r="H279" s="2"/>
      </tp>
      <tp>
        <v>-0.91</v>
        <stp/>
        <stp>123093.SZ</stp>
        <stp>PctChg</stp>
        <stp>RT_Price</stp>
        <tr r="H106" s="2"/>
      </tp>
      <tp>
        <v>0</v>
        <stp/>
        <stp>123094.SZ</stp>
        <stp>PctChg</stp>
        <stp>RT_Price</stp>
        <tr r="H263" s="2"/>
      </tp>
      <tp>
        <v>0</v>
        <stp/>
        <stp>123095.SZ</stp>
        <stp>PctChg</stp>
        <stp>RT_Price</stp>
        <tr r="H381" s="2"/>
      </tp>
      <tp>
        <v>0.02</v>
        <stp/>
        <stp>123096.SZ</stp>
        <stp>PctChg</stp>
        <stp>RT_Price</stp>
        <tr r="H195" s="2"/>
      </tp>
      <tp>
        <v>-0.5</v>
        <stp/>
        <stp>123097.SZ</stp>
        <stp>PctChg</stp>
        <stp>RT_Price</stp>
        <tr r="H128" s="2"/>
      </tp>
      <tp>
        <v>0</v>
        <stp/>
        <stp>123098.SZ</stp>
        <stp>PctChg</stp>
        <stp>RT_Price</stp>
        <tr r="H74" s="2"/>
      </tp>
      <tp>
        <v>-0.73</v>
        <stp/>
        <stp>123099.SZ</stp>
        <stp>PctChg</stp>
        <stp>RT_Price</stp>
        <tr r="H71" s="2"/>
      </tp>
      <tp>
        <v>-0.72000000000000008</v>
        <stp/>
        <stp>113009.SH</stp>
        <stp>PctChg</stp>
        <stp>RT_Price</stp>
        <tr r="H118" s="2"/>
      </tp>
      <tp>
        <v>-0.70000000000000007</v>
        <stp/>
        <stp>113013.SH</stp>
        <stp>PctChg</stp>
        <stp>RT_Price</stp>
        <tr r="H308" s="2"/>
      </tp>
      <tp>
        <v>0.08</v>
        <stp/>
        <stp>113011.SH</stp>
        <stp>PctChg</stp>
        <stp>RT_Price</stp>
        <tr r="H26" s="2"/>
      </tp>
      <tp>
        <v>-0.01</v>
        <stp/>
        <stp>113017.SH</stp>
        <stp>PctChg</stp>
        <stp>RT_Price</stp>
        <tr r="H377" s="2"/>
      </tp>
      <tp>
        <v>-1.8900000000000001</v>
        <stp/>
        <stp>113016.SH</stp>
        <stp>PctChg</stp>
        <stp>RT_Price</stp>
        <tr r="H117" s="2"/>
      </tp>
      <tp>
        <v>0.74</v>
        <stp/>
        <stp>113014.SH</stp>
        <stp>PctChg</stp>
        <stp>RT_Price</stp>
        <tr r="H370" s="2"/>
      </tp>
      <tp>
        <v>0.01</v>
        <stp/>
        <stp>113021.SH</stp>
        <stp>PctChg</stp>
        <stp>RT_Price</stp>
        <tr r="H34" s="2"/>
      </tp>
      <tp>
        <v>1.18</v>
        <stp/>
        <stp>113027.SH</stp>
        <stp>PctChg</stp>
        <stp>RT_Price</stp>
        <tr r="H11" s="2"/>
      </tp>
      <tp>
        <v>-2.2000000000000002</v>
        <stp/>
        <stp>113026.SH</stp>
        <stp>PctChg</stp>
        <stp>RT_Price</stp>
        <tr r="H300" s="2"/>
      </tp>
      <tp>
        <v>-9.0400000000000009</v>
        <stp/>
        <stp>113025.SH</stp>
        <stp>PctChg</stp>
        <stp>RT_Price</stp>
        <tr r="H9" s="2"/>
      </tp>
      <tp>
        <v>-2.4800000000000004</v>
        <stp/>
        <stp>113024.SH</stp>
        <stp>PctChg</stp>
        <stp>RT_Price</stp>
        <tr r="H179" s="2"/>
      </tp>
      <tp>
        <v>0.49</v>
        <stp/>
        <stp>113033.SH</stp>
        <stp>PctChg</stp>
        <stp>RT_Price</stp>
        <tr r="H93" s="2"/>
      </tp>
      <tp>
        <v>-3.29</v>
        <stp/>
        <stp>113030.SH</stp>
        <stp>PctChg</stp>
        <stp>RT_Price</stp>
        <tr r="H96" s="2"/>
      </tp>
      <tp>
        <v>0.13999999999999999</v>
        <stp/>
        <stp>113037.SH</stp>
        <stp>PctChg</stp>
        <stp>RT_Price</stp>
        <tr r="H31" s="2"/>
      </tp>
      <tp>
        <v>0.17</v>
        <stp/>
        <stp>113036.SH</stp>
        <stp>PctChg</stp>
        <stp>RT_Price</stp>
        <tr r="H161" s="2"/>
      </tp>
      <tp>
        <v>-5.3900000000000006</v>
        <stp/>
        <stp>113034.SH</stp>
        <stp>PctChg</stp>
        <stp>RT_Price</stp>
        <tr r="H247" s="2"/>
      </tp>
      <tp>
        <v>9.0000000000000018</v>
        <stp/>
        <stp>113039.SH</stp>
        <stp>PctChg</stp>
        <stp>RT_Price</stp>
        <tr r="H282" s="2"/>
      </tp>
      <tp>
        <v>-0.75000000000000011</v>
        <stp/>
        <stp>113043.SH</stp>
        <stp>PctChg</stp>
        <stp>RT_Price</stp>
        <tr r="H307" s="2"/>
      </tp>
      <tp>
        <v>-0.02</v>
        <stp/>
        <stp>113042.SH</stp>
        <stp>PctChg</stp>
        <stp>RT_Price</stp>
        <tr r="H32" s="2"/>
      </tp>
      <tp>
        <v>-5.9700000000000006</v>
        <stp/>
        <stp>113047.SH</stp>
        <stp>PctChg</stp>
        <stp>RT_Price</stp>
        <tr r="H184" s="2"/>
      </tp>
      <tp>
        <v>-1.29</v>
        <stp/>
        <stp>113046.SH</stp>
        <stp>PctChg</stp>
        <stp>RT_Price</stp>
        <tr r="H10" s="2"/>
      </tp>
      <tp>
        <v>-0.82000000000000006</v>
        <stp/>
        <stp>113045.SH</stp>
        <stp>PctChg</stp>
        <stp>RT_Price</stp>
        <tr r="H332" s="2"/>
      </tp>
      <tp>
        <v>-0.13</v>
        <stp/>
        <stp>113044.SH</stp>
        <stp>PctChg</stp>
        <stp>RT_Price</stp>
        <tr r="H152" s="2"/>
      </tp>
      <tp>
        <v>0.04</v>
        <stp/>
        <stp>113049.SH</stp>
        <stp>PctChg</stp>
        <stp>RT_Price</stp>
        <tr r="H134" s="2"/>
      </tp>
      <tp>
        <v>2.1500000000000004</v>
        <stp/>
        <stp>113048.SH</stp>
        <stp>PctChg</stp>
        <stp>RT_Price</stp>
        <tr r="H292" s="2"/>
      </tp>
      <tp>
        <v>-1.35</v>
        <stp/>
        <stp>113051.SH</stp>
        <stp>PctChg</stp>
        <stp>RT_Price</stp>
        <tr r="H293" s="2"/>
      </tp>
      <tp>
        <v>-3.0000000000000002E-2</v>
        <stp/>
        <stp>113050.SH</stp>
        <stp>PctChg</stp>
        <stp>RT_Price</stp>
        <tr r="H35" s="2"/>
      </tp>
      <tp>
        <v>40431895</v>
        <stp/>
        <stp>128100.SZ</stp>
        <stp>Amount</stp>
        <stp>Dirty_Price</stp>
        <tr r="K312" s="2"/>
      </tp>
      <tp>
        <v>754807387</v>
        <stp/>
        <stp>128130.SZ</stp>
        <stp>Amount</stp>
        <stp>Dirty_Price</stp>
        <tr r="K103" s="2"/>
      </tp>
      <tp>
        <v>6720306</v>
        <stp/>
        <stp>128120.SZ</stp>
        <stp>Amount</stp>
        <stp>Dirty_Price</stp>
        <tr r="K124" s="2"/>
      </tp>
      <tp>
        <v>5981339</v>
        <stp/>
        <stp>128090.SZ</stp>
        <stp>Amount</stp>
        <stp>Dirty_Price</stp>
        <tr r="K138" s="2"/>
      </tp>
      <tp>
        <v>962244426</v>
        <stp/>
        <stp>128030.SZ</stp>
        <stp>Amount</stp>
        <stp>Dirty_Price</stp>
        <tr r="K143" s="2"/>
      </tp>
      <tp>
        <v>1019253479</v>
        <stp/>
        <stp>128050.SZ</stp>
        <stp>Amount</stp>
        <stp>Dirty_Price</stp>
        <tr r="K140" s="2"/>
      </tp>
      <tp>
        <v>17164898</v>
        <stp/>
        <stp>128040.SZ</stp>
        <stp>Amount</stp>
        <stp>Dirty_Price</stp>
        <tr r="K53" s="2"/>
      </tp>
      <tp>
        <v>9571204</v>
        <stp/>
        <stp>128070.SZ</stp>
        <stp>Amount</stp>
        <stp>Dirty_Price</stp>
        <tr r="K222" s="2"/>
      </tp>
      <tp>
        <v>526915103</v>
        <stp/>
        <stp>127030.SZ</stp>
        <stp>Amount</stp>
        <stp>Dirty_Price</stp>
        <tr r="K242" s="2"/>
      </tp>
      <tp>
        <v>243005121</v>
        <stp/>
        <stp>127020.SZ</stp>
        <stp>Amount</stp>
        <stp>Dirty_Price</stp>
        <tr r="K14" s="2"/>
      </tp>
      <tp>
        <v>351567922</v>
        <stp/>
        <stp>127040.SZ</stp>
        <stp>Amount</stp>
        <stp>Dirty_Price</stp>
        <tr r="K95" s="2"/>
      </tp>
      <tp>
        <v>78573343</v>
        <stp/>
        <stp>110033.SH</stp>
        <stp>Amount</stp>
        <stp>Dirty_Price</stp>
        <tr r="K91" s="2"/>
      </tp>
      <tp>
        <v>51392421</v>
        <stp/>
        <stp>110073.SH</stp>
        <stp>Amount</stp>
        <stp>Dirty_Price</stp>
        <tr r="K305" s="2"/>
      </tp>
      <tp>
        <v>80915133</v>
        <stp/>
        <stp>110063.SH</stp>
        <stp>Amount</stp>
        <stp>Dirty_Price</stp>
        <tr r="K100" s="2"/>
      </tp>
      <tp>
        <v>207009804</v>
        <stp/>
        <stp>110053.SH</stp>
        <stp>Amount</stp>
        <stp>Dirty_Price</stp>
        <tr r="K33" s="2"/>
      </tp>
      <tp>
        <v>23782542</v>
        <stp/>
        <stp>110043.SH</stp>
        <stp>Amount</stp>
        <stp>Dirty_Price</stp>
        <tr r="K30" s="2"/>
      </tp>
      <tp>
        <v>17807699</v>
        <stp/>
        <stp>123110.SZ</stp>
        <stp>Amount</stp>
        <stp>Dirty_Price</stp>
        <tr r="K44" s="2"/>
      </tp>
      <tp>
        <v>30095337</v>
        <stp/>
        <stp>123100.SZ</stp>
        <stp>Amount</stp>
        <stp>Dirty_Price</stp>
        <tr r="K324" s="2"/>
      </tp>
      <tp>
        <v>200123750</v>
        <stp/>
        <stp>123120.SZ</stp>
        <stp>Amount</stp>
        <stp>Dirty_Price</stp>
        <tr r="K296" s="2"/>
      </tp>
      <tp>
        <v>3717955</v>
        <stp/>
        <stp>123090.SZ</stp>
        <stp>Amount</stp>
        <stp>Dirty_Price</stp>
        <tr r="K73" s="2"/>
      </tp>
      <tp>
        <v>5630896</v>
        <stp/>
        <stp>123080.SZ</stp>
        <stp>Amount</stp>
        <stp>Dirty_Price</stp>
        <tr r="K180" s="2"/>
      </tp>
      <tp>
        <v>9930066</v>
        <stp/>
        <stp>123010.SZ</stp>
        <stp>Amount</stp>
        <stp>Dirty_Price</stp>
        <tr r="K286" s="2"/>
      </tp>
      <tp>
        <v>0</v>
        <stp/>
        <stp>123030.SZ</stp>
        <stp>Amount</stp>
        <stp>Dirty_Price</stp>
        <tr r="K368" s="2"/>
      </tp>
      <tp>
        <v>419550018</v>
        <stp/>
        <stp>123050.SZ</stp>
        <stp>Amount</stp>
        <stp>Dirty_Price</stp>
        <tr r="K328" s="2"/>
      </tp>
      <tp>
        <v>131180975</v>
        <stp/>
        <stp>123070.SZ</stp>
        <stp>Amount</stp>
        <stp>Dirty_Price</stp>
        <tr r="K354" s="2"/>
      </tp>
      <tp>
        <v>5427465</v>
        <stp/>
        <stp>123060.SZ</stp>
        <stp>Amount</stp>
        <stp>Dirty_Price</stp>
        <tr r="K221" s="2"/>
      </tp>
      <tp>
        <v>15020991</v>
        <stp/>
        <stp>113033.SH</stp>
        <stp>Amount</stp>
        <stp>Dirty_Price</stp>
        <tr r="K93" s="2"/>
      </tp>
      <tp>
        <v>60090184</v>
        <stp/>
        <stp>113013.SH</stp>
        <stp>Amount</stp>
        <stp>Dirty_Price</stp>
        <tr r="K308" s="2"/>
      </tp>
      <tp>
        <v>83576321</v>
        <stp/>
        <stp>113043.SH</stp>
        <stp>Amount</stp>
        <stp>Dirty_Price</stp>
        <tr r="K307" s="2"/>
      </tp>
      <tp>
        <v>7846165</v>
        <stp/>
        <stp>113593.SH</stp>
        <stp>Amount</stp>
        <stp>Dirty_Price</stp>
        <tr r="K217" s="2"/>
      </tp>
      <tp>
        <v>2874911</v>
        <stp/>
        <stp>113573.SH</stp>
        <stp>Amount</stp>
        <stp>Dirty_Price</stp>
        <tr r="K84" s="2"/>
      </tp>
      <tp>
        <v>6415814</v>
        <stp/>
        <stp>113563.SH</stp>
        <stp>Amount</stp>
        <stp>Dirty_Price</stp>
        <tr r="K63" s="2"/>
      </tp>
      <tp>
        <v>20305121</v>
        <stp/>
        <stp>113623.SH</stp>
        <stp>Amount</stp>
        <stp>Dirty_Price</stp>
        <tr r="K262" s="2"/>
      </tp>
      <tp>
        <v>100835415</v>
        <stp/>
        <stp>113603.SH</stp>
        <stp>Amount</stp>
        <stp>Dirty_Price</stp>
        <tr r="K355" s="2"/>
      </tp>
      <tp>
        <v>-2.7</v>
        <stp/>
        <stp>110033.SH</stp>
        <stp>PctChg</stp>
        <stp>RT_Price</stp>
        <tr r="H91" s="2"/>
      </tp>
      <tp>
        <v>0.08</v>
        <stp/>
        <stp>110034.SH</stp>
        <stp>PctChg</stp>
        <stp>RT_Price</stp>
        <tr r="H72" s="2"/>
      </tp>
      <tp>
        <v>-1.04</v>
        <stp/>
        <stp>110038.SH</stp>
        <stp>PctChg</stp>
        <stp>RT_Price</stp>
        <tr r="H62" s="2"/>
      </tp>
      <tp>
        <v>-0.13999999999999999</v>
        <stp/>
        <stp>110043.SH</stp>
        <stp>PctChg</stp>
        <stp>RT_Price</stp>
        <tr r="H30" s="2"/>
      </tp>
      <tp>
        <v>-6.0000000000000009</v>
        <stp/>
        <stp>110041.SH</stp>
        <stp>PctChg</stp>
        <stp>RT_Price</stp>
        <tr r="H281" s="2"/>
      </tp>
      <tp>
        <v>-3.4800000000000004</v>
        <stp/>
        <stp>110047.SH</stp>
        <stp>PctChg</stp>
        <stp>RT_Price</stp>
        <tr r="H101" s="2"/>
      </tp>
      <tp>
        <v>-0.2</v>
        <stp/>
        <stp>110045.SH</stp>
        <stp>PctChg</stp>
        <stp>RT_Price</stp>
        <tr r="H313" s="2"/>
      </tp>
      <tp>
        <v>-1.8500000000000003</v>
        <stp/>
        <stp>110044.SH</stp>
        <stp>PctChg</stp>
        <stp>RT_Price</stp>
        <tr r="H374" s="2"/>
      </tp>
      <tp>
        <v>-5.2700000000000005</v>
        <stp/>
        <stp>110048.SH</stp>
        <stp>PctChg</stp>
        <stp>RT_Price</stp>
        <tr r="H284" s="2"/>
      </tp>
      <tp>
        <v>-0.21000000000000002</v>
        <stp/>
        <stp>110053.SH</stp>
        <stp>PctChg</stp>
        <stp>RT_Price</stp>
        <tr r="H33" s="2"/>
      </tp>
      <tp>
        <v>0.11</v>
        <stp/>
        <stp>110052.SH</stp>
        <stp>PctChg</stp>
        <stp>RT_Price</stp>
        <tr r="H375" s="2"/>
      </tp>
      <tp>
        <v>-0.95</v>
        <stp/>
        <stp>110051.SH</stp>
        <stp>PctChg</stp>
        <stp>RT_Price</stp>
        <tr r="H81" s="2"/>
      </tp>
      <tp>
        <v>0.02</v>
        <stp/>
        <stp>110057.SH</stp>
        <stp>PctChg</stp>
        <stp>RT_Price</stp>
        <tr r="H42" s="2"/>
      </tp>
      <tp>
        <v>-1.6099999999999999</v>
        <stp/>
        <stp>110056.SH</stp>
        <stp>PctChg</stp>
        <stp>RT_Price</stp>
        <tr r="H78" s="2"/>
      </tp>
      <tp>
        <v>2.95</v>
        <stp/>
        <stp>110055.SH</stp>
        <stp>PctChg</stp>
        <stp>RT_Price</stp>
        <tr r="H86" s="2"/>
      </tp>
      <tp>
        <v>0.01</v>
        <stp/>
        <stp>110059.SH</stp>
        <stp>PctChg</stp>
        <stp>RT_Price</stp>
        <tr r="H37" s="2"/>
      </tp>
      <tp>
        <v>-0.08</v>
        <stp/>
        <stp>110058.SH</stp>
        <stp>PctChg</stp>
        <stp>RT_Price</stp>
        <tr r="H80" s="2"/>
      </tp>
      <tp>
        <v>-3.27</v>
        <stp/>
        <stp>110063.SH</stp>
        <stp>PctChg</stp>
        <stp>RT_Price</stp>
        <tr r="H100" s="2"/>
      </tp>
      <tp>
        <v>-0.58000000000000007</v>
        <stp/>
        <stp>110062.SH</stp>
        <stp>PctChg</stp>
        <stp>RT_Price</stp>
        <tr r="H82" s="2"/>
      </tp>
      <tp>
        <v>-3.1</v>
        <stp/>
        <stp>110061.SH</stp>
        <stp>PctChg</stp>
        <stp>RT_Price</stp>
        <tr r="H283" s="2"/>
      </tp>
      <tp>
        <v>-1.03</v>
        <stp/>
        <stp>110060.SH</stp>
        <stp>PctChg</stp>
        <stp>RT_Price</stp>
        <tr r="H181" s="2"/>
      </tp>
      <tp>
        <v>-0.43</v>
        <stp/>
        <stp>110067.SH</stp>
        <stp>PctChg</stp>
        <stp>RT_Price</stp>
        <tr r="H306" s="2"/>
      </tp>
      <tp>
        <v>0.69000000000000006</v>
        <stp/>
        <stp>110066.SH</stp>
        <stp>PctChg</stp>
        <stp>RT_Price</stp>
        <tr r="H7" s="2"/>
      </tp>
      <tp>
        <v>0.76</v>
        <stp/>
        <stp>110064.SH</stp>
        <stp>PctChg</stp>
        <stp>RT_Price</stp>
        <tr r="H172" s="2"/>
      </tp>
      <tp>
        <v>-1.25</v>
        <stp/>
        <stp>110068.SH</stp>
        <stp>PctChg</stp>
        <stp>RT_Price</stp>
        <tr r="H219" s="2"/>
      </tp>
      <tp>
        <v>-1.6900000000000002</v>
        <stp/>
        <stp>110073.SH</stp>
        <stp>PctChg</stp>
        <stp>RT_Price</stp>
        <tr r="H305" s="2"/>
      </tp>
      <tp>
        <v>0.54</v>
        <stp/>
        <stp>110072.SH</stp>
        <stp>PctChg</stp>
        <stp>RT_Price</stp>
        <tr r="H120" s="2"/>
      </tp>
      <tp>
        <v>-1.48</v>
        <stp/>
        <stp>110071.SH</stp>
        <stp>PctChg</stp>
        <stp>RT_Price</stp>
        <tr r="H248" s="2"/>
      </tp>
      <tp>
        <v>-5.72</v>
        <stp/>
        <stp>110070.SH</stp>
        <stp>PctChg</stp>
        <stp>RT_Price</stp>
        <tr r="H303" s="2"/>
      </tp>
      <tp>
        <v>-4.53</v>
        <stp/>
        <stp>110077.SH</stp>
        <stp>PctChg</stp>
        <stp>RT_Price</stp>
        <tr r="H285" s="2"/>
      </tp>
      <tp>
        <v>-0.2</v>
        <stp/>
        <stp>110076.SH</stp>
        <stp>PctChg</stp>
        <stp>RT_Price</stp>
        <tr r="H49" s="2"/>
      </tp>
      <tp>
        <v>-0.22</v>
        <stp/>
        <stp>110075.SH</stp>
        <stp>PctChg</stp>
        <stp>RT_Price</stp>
        <tr r="H153" s="2"/>
      </tp>
      <tp>
        <v>-5.65</v>
        <stp/>
        <stp>110074.SH</stp>
        <stp>PctChg</stp>
        <stp>RT_Price</stp>
        <tr r="H352" s="2"/>
      </tp>
      <tp>
        <v>-0.47000000000000003</v>
        <stp/>
        <stp>110079.SH</stp>
        <stp>PctChg</stp>
        <stp>RT_Price</stp>
        <tr r="H25" s="2"/>
      </tp>
      <tp>
        <v>-0.5</v>
        <stp/>
        <stp>110081.SH</stp>
        <stp>PctChg</stp>
        <stp>RT_Price</stp>
        <tr r="H336" s="2"/>
      </tp>
      <tp>
        <v>-0.32</v>
        <stp/>
        <stp>110080.SH</stp>
        <stp>PctChg</stp>
        <stp>RT_Price</stp>
        <tr r="H175" s="2"/>
      </tp>
      <tp>
        <v>854405569</v>
        <stp/>
        <stp>128111.SZ</stp>
        <stp>Amount</stp>
        <stp>Dirty_Price</stp>
        <tr r="K15" s="2"/>
      </tp>
      <tp>
        <v>669219536</v>
        <stp/>
        <stp>128101.SZ</stp>
        <stp>Amount</stp>
        <stp>Dirty_Price</stp>
        <tr r="K326" s="2"/>
      </tp>
      <tp>
        <v>1252503</v>
        <stp/>
        <stp>128131.SZ</stp>
        <stp>Amount</stp>
        <stp>Dirty_Price</stp>
        <tr r="K346" s="2"/>
      </tp>
      <tp>
        <v>2484204</v>
        <stp/>
        <stp>128121.SZ</stp>
        <stp>Amount</stp>
        <stp>Dirty_Price</stp>
        <tr r="K158" s="2"/>
      </tp>
      <tp>
        <v>21528809</v>
        <stp/>
        <stp>128091.SZ</stp>
        <stp>Amount</stp>
        <stp>Dirty_Price</stp>
        <tr r="K70" s="2"/>
      </tp>
      <tp>
        <v>49846988</v>
        <stp/>
        <stp>128081.SZ</stp>
        <stp>Amount</stp>
        <stp>Dirty_Price</stp>
        <tr r="K16" s="2"/>
      </tp>
      <tp>
        <v>23845646</v>
        <stp/>
        <stp>128021.SZ</stp>
        <stp>Amount</stp>
        <stp>Dirty_Price</stp>
        <tr r="K256" s="2"/>
      </tp>
      <tp>
        <v>0</v>
        <stp/>
        <stp>128051.SZ</stp>
        <stp>Amount</stp>
        <stp>Dirty_Price</stp>
        <tr r="K273" s="2"/>
      </tp>
      <tp>
        <v>97095841</v>
        <stp/>
        <stp>128041.SZ</stp>
        <stp>Amount</stp>
        <stp>Dirty_Price</stp>
        <tr r="K79" s="2"/>
      </tp>
      <tp>
        <v>8713253</v>
        <stp/>
        <stp>128071.SZ</stp>
        <stp>Amount</stp>
        <stp>Dirty_Price</stp>
        <tr r="K109" s="2"/>
      </tp>
      <tp>
        <v>687980386</v>
        <stp/>
        <stp>118002.SH</stp>
        <stp>Amount</stp>
        <stp>Dirty_Price</stp>
        <tr r="K367" s="2"/>
      </tp>
      <tp>
        <v>23840850</v>
        <stp/>
        <stp>127011.SZ</stp>
        <stp>Amount</stp>
        <stp>Dirty_Price</stp>
        <tr r="K121" s="2"/>
      </tp>
      <tp>
        <v>99991377</v>
        <stp/>
        <stp>127031.SZ</stp>
        <stp>Amount</stp>
        <stp>Dirty_Price</stp>
        <tr r="K258" s="2"/>
      </tp>
      <tp>
        <v>1446226</v>
        <stp/>
        <stp>127021.SZ</stp>
        <stp>Amount</stp>
        <stp>Dirty_Price</stp>
        <tr r="K83" s="2"/>
      </tp>
      <tp>
        <v>4438567</v>
        <stp/>
        <stp>127041.SZ</stp>
        <stp>Amount</stp>
        <stp>Dirty_Price</stp>
        <tr r="K227" s="2"/>
      </tp>
      <tp>
        <v>68987782</v>
        <stp/>
        <stp>110072.SH</stp>
        <stp>Amount</stp>
        <stp>Dirty_Price</stp>
        <tr r="K120" s="2"/>
      </tp>
      <tp>
        <v>2028383</v>
        <stp/>
        <stp>110062.SH</stp>
        <stp>Amount</stp>
        <stp>Dirty_Price</stp>
        <tr r="K82" s="2"/>
      </tp>
      <tp>
        <v>28883249</v>
        <stp/>
        <stp>110052.SH</stp>
        <stp>Amount</stp>
        <stp>Dirty_Price</stp>
        <tr r="K375" s="2"/>
      </tp>
      <tp>
        <v>625307491</v>
        <stp/>
        <stp>123111.SZ</stp>
        <stp>Amount</stp>
        <stp>Dirty_Price</stp>
        <tr r="K310" s="2"/>
      </tp>
      <tp>
        <v>5046248</v>
        <stp/>
        <stp>123101.SZ</stp>
        <stp>Amount</stp>
        <stp>Dirty_Price</stp>
        <tr r="K231" s="2"/>
      </tp>
      <tp>
        <v>23234778</v>
        <stp/>
        <stp>123121.SZ</stp>
        <stp>Amount</stp>
        <stp>Dirty_Price</stp>
        <tr r="K226" s="2"/>
      </tp>
      <tp>
        <v>29510712</v>
        <stp/>
        <stp>123091.SZ</stp>
        <stp>Amount</stp>
        <stp>Dirty_Price</stp>
        <tr r="K236" s="2"/>
      </tp>
      <tp>
        <v>47389647</v>
        <stp/>
        <stp>123081.SZ</stp>
        <stp>Amount</stp>
        <stp>Dirty_Price</stp>
        <tr r="K351" s="2"/>
      </tp>
      <tp>
        <v>1608072</v>
        <stp/>
        <stp>123011.SZ</stp>
        <stp>Amount</stp>
        <stp>Dirty_Price</stp>
        <tr r="K130" s="2"/>
      </tp>
      <tp>
        <v>243714686</v>
        <stp/>
        <stp>123031.SZ</stp>
        <stp>Amount</stp>
        <stp>Dirty_Price</stp>
        <tr r="K269" s="2"/>
      </tp>
      <tp>
        <v>70949519</v>
        <stp/>
        <stp>123051.SZ</stp>
        <stp>Amount</stp>
        <stp>Dirty_Price</stp>
        <tr r="K210" s="2"/>
      </tp>
      <tp>
        <v>779616923</v>
        <stp/>
        <stp>123071.SZ</stp>
        <stp>Amount</stp>
        <stp>Dirty_Price</stp>
        <tr r="K362" s="2"/>
      </tp>
      <tp>
        <v>83754122</v>
        <stp/>
        <stp>123061.SZ</stp>
        <stp>Amount</stp>
        <stp>Dirty_Price</stp>
        <tr r="K276" s="2"/>
      </tp>
      <tp>
        <v>81401487</v>
        <stp/>
        <stp>113042.SH</stp>
        <stp>Amount</stp>
        <stp>Dirty_Price</stp>
        <tr r="K32" s="2"/>
      </tp>
      <tp>
        <v>162303389</v>
        <stp/>
        <stp>113582.SH</stp>
        <stp>Amount</stp>
        <stp>Dirty_Price</stp>
        <tr r="K275" s="2"/>
      </tp>
      <tp>
        <v>6653251</v>
        <stp/>
        <stp>113532.SH</stp>
        <stp>Amount</stp>
        <stp>Dirty_Price</stp>
        <tr r="K299" s="2"/>
      </tp>
      <tp>
        <v>434804437</v>
        <stp/>
        <stp>113502.SH</stp>
        <stp>Amount</stp>
        <stp>Dirty_Price</stp>
        <tr r="K271" s="2"/>
      </tp>
      <tp>
        <v>0</v>
        <stp/>
        <stp>113572.SH</stp>
        <stp>Amount</stp>
        <stp>Dirty_Price</stp>
        <tr r="K18" s="2"/>
      </tp>
      <tp>
        <v>864160</v>
        <stp/>
        <stp>113542.SH</stp>
        <stp>Amount</stp>
        <stp>Dirty_Price</stp>
        <tr r="K110" s="2"/>
      </tp>
      <tp>
        <v>1751933</v>
        <stp/>
        <stp>113622.SH</stp>
        <stp>Amount</stp>
        <stp>Dirty_Price</stp>
        <tr r="K228" s="2"/>
      </tp>
      <tp>
        <v>0</v>
        <stp/>
        <stp>113612.SH</stp>
        <stp>Amount</stp>
        <stp>Dirty_Price</stp>
        <tr r="K241" s="2"/>
      </tp>
      <tp>
        <v>5799257</v>
        <stp/>
        <stp>113602.SH</stp>
        <stp>Amount</stp>
        <stp>Dirty_Price</stp>
        <tr r="K331" s="2"/>
      </tp>
      <tp>
        <v>-1.33</v>
        <stp/>
        <stp>111000.SH</stp>
        <stp>PctChg</stp>
        <stp>RT_Price</stp>
        <tr r="H366" s="2"/>
      </tp>
      <tp>
        <v>7255038</v>
        <stp/>
        <stp>128116.SZ</stp>
        <stp>Amount</stp>
        <stp>Dirty_Price</stp>
        <tr r="K304" s="2"/>
      </tp>
      <tp>
        <v>41858853</v>
        <stp/>
        <stp>128106.SZ</stp>
        <stp>Amount</stp>
        <stp>Dirty_Price</stp>
        <tr r="K89" s="2"/>
      </tp>
      <tp>
        <v>59416062</v>
        <stp/>
        <stp>128136.SZ</stp>
        <stp>Amount</stp>
        <stp>Dirty_Price</stp>
        <tr r="K334" s="2"/>
      </tp>
      <tp>
        <v>15880604</v>
        <stp/>
        <stp>128096.SZ</stp>
        <stp>Amount</stp>
        <stp>Dirty_Price</stp>
        <tr r="K115" s="2"/>
      </tp>
      <tp>
        <v>43439593</v>
        <stp/>
        <stp>128036.SZ</stp>
        <stp>Amount</stp>
        <stp>Dirty_Price</stp>
        <tr r="K150" s="2"/>
      </tp>
      <tp>
        <v>136156880</v>
        <stp/>
        <stp>128026.SZ</stp>
        <stp>Amount</stp>
        <stp>Dirty_Price</stp>
        <tr r="K151" s="2"/>
      </tp>
      <tp>
        <v>88534694</v>
        <stp/>
        <stp>128056.SZ</stp>
        <stp>Amount</stp>
        <stp>Dirty_Price</stp>
        <tr r="K133" s="2"/>
      </tp>
      <tp>
        <v>166113731</v>
        <stp/>
        <stp>128046.SZ</stp>
        <stp>Amount</stp>
        <stp>Dirty_Price</stp>
        <tr r="K238" s="2"/>
      </tp>
      <tp>
        <v>5996523</v>
        <stp/>
        <stp>128076.SZ</stp>
        <stp>Amount</stp>
        <stp>Dirty_Price</stp>
        <tr r="K229" s="2"/>
      </tp>
      <tp>
        <v>8843063</v>
        <stp/>
        <stp>128066.SZ</stp>
        <stp>Amount</stp>
        <stp>Dirty_Price</stp>
        <tr r="K177" s="2"/>
      </tp>
      <tp>
        <v>2889144</v>
        <stp/>
        <stp>127016.SZ</stp>
        <stp>Amount</stp>
        <stp>Dirty_Price</stp>
        <tr r="K316" s="2"/>
      </tp>
      <tp>
        <v>22135843</v>
        <stp/>
        <stp>127006.SZ</stp>
        <stp>Amount</stp>
        <stp>Dirty_Price</stp>
        <tr r="K41" s="2"/>
      </tp>
      <tp>
        <v>16795895</v>
        <stp/>
        <stp>127036.SZ</stp>
        <stp>Amount</stp>
        <stp>Dirty_Price</stp>
        <tr r="K192" s="2"/>
      </tp>
      <tp>
        <v>6595408</v>
        <stp/>
        <stp>127026.SZ</stp>
        <stp>Amount</stp>
        <stp>Dirty_Price</stp>
        <tr r="K335" s="2"/>
      </tp>
      <tp>
        <v>18001241</v>
        <stp/>
        <stp>110075.SH</stp>
        <stp>Amount</stp>
        <stp>Dirty_Price</stp>
        <tr r="K153" s="2"/>
      </tp>
      <tp>
        <v>1522961391</v>
        <stp/>
        <stp>110055.SH</stp>
        <stp>Amount</stp>
        <stp>Dirty_Price</stp>
        <tr r="K86" s="2"/>
      </tp>
      <tp>
        <v>15404048</v>
        <stp/>
        <stp>110045.SH</stp>
        <stp>Amount</stp>
        <stp>Dirty_Price</stp>
        <tr r="K313" s="2"/>
      </tp>
      <tp>
        <v>589448567</v>
        <stp/>
        <stp>123116.SZ</stp>
        <stp>Amount</stp>
        <stp>Dirty_Price</stp>
        <tr r="K204" s="2"/>
      </tp>
      <tp>
        <v>26310067</v>
        <stp/>
        <stp>123106.SZ</stp>
        <stp>Amount</stp>
        <stp>Dirty_Price</stp>
        <tr r="K257" s="2"/>
      </tp>
      <tp>
        <v>18847304</v>
        <stp/>
        <stp>123096.SZ</stp>
        <stp>Amount</stp>
        <stp>Dirty_Price</stp>
        <tr r="K195" s="2"/>
      </tp>
      <tp>
        <v>160139570</v>
        <stp/>
        <stp>123086.SZ</stp>
        <stp>Amount</stp>
        <stp>Dirty_Price</stp>
        <tr r="K274" s="2"/>
      </tp>
      <tp>
        <v>2963068</v>
        <stp/>
        <stp>123056.SZ</stp>
        <stp>Amount</stp>
        <stp>Dirty_Price</stp>
        <tr r="K146" s="2"/>
      </tp>
      <tp>
        <v>172360379</v>
        <stp/>
        <stp>123046.SZ</stp>
        <stp>Amount</stp>
        <stp>Dirty_Price</stp>
        <tr r="K272" s="2"/>
      </tp>
      <tp>
        <v>5822994</v>
        <stp/>
        <stp>123076.SZ</stp>
        <stp>Amount</stp>
        <stp>Dirty_Price</stp>
        <tr r="K260" s="2"/>
      </tp>
      <tp>
        <v>323202490</v>
        <stp/>
        <stp>113025.SH</stp>
        <stp>Amount</stp>
        <stp>Dirty_Price</stp>
        <tr r="K9" s="2"/>
      </tp>
      <tp>
        <v>10800779</v>
        <stp/>
        <stp>113045.SH</stp>
        <stp>Amount</stp>
        <stp>Dirty_Price</stp>
        <tr r="K332" s="2"/>
      </tp>
      <tp>
        <v>6970818</v>
        <stp/>
        <stp>113595.SH</stp>
        <stp>Amount</stp>
        <stp>Dirty_Price</stp>
        <tr r="K163" s="2"/>
      </tp>
      <tp>
        <v>34118187</v>
        <stp/>
        <stp>113585.SH</stp>
        <stp>Amount</stp>
        <stp>Dirty_Price</stp>
        <tr r="K65" s="2"/>
      </tp>
      <tp>
        <v>12911052</v>
        <stp/>
        <stp>113535.SH</stp>
        <stp>Amount</stp>
        <stp>Dirty_Price</stp>
        <tr r="K215" s="2"/>
      </tp>
      <tp>
        <v>543697686</v>
        <stp/>
        <stp>113525.SH</stp>
        <stp>Amount</stp>
        <stp>Dirty_Price</stp>
        <tr r="K322" s="2"/>
      </tp>
      <tp>
        <v>27106034</v>
        <stp/>
        <stp>113505.SH</stp>
        <stp>Amount</stp>
        <stp>Dirty_Price</stp>
        <tr r="K359" s="2"/>
      </tp>
      <tp>
        <v>19693076</v>
        <stp/>
        <stp>113575.SH</stp>
        <stp>Amount</stp>
        <stp>Dirty_Price</stp>
        <tr r="K132" s="2"/>
      </tp>
      <tp>
        <v>92091299</v>
        <stp/>
        <stp>113565.SH</stp>
        <stp>Amount</stp>
        <stp>Dirty_Price</stp>
        <tr r="K145" s="2"/>
      </tp>
      <tp>
        <v>523412466</v>
        <stp/>
        <stp>113545.SH</stp>
        <stp>Amount</stp>
        <stp>Dirty_Price</stp>
        <tr r="K378" s="2"/>
      </tp>
      <tp>
        <v>4750644</v>
        <stp/>
        <stp>113625.SH</stp>
        <stp>Amount</stp>
        <stp>Dirty_Price</stp>
        <tr r="K112" s="2"/>
      </tp>
      <tp>
        <v>265872221</v>
        <stp/>
        <stp>113615.SH</stp>
        <stp>Amount</stp>
        <stp>Dirty_Price</stp>
        <tr r="K379" s="2"/>
      </tp>
      <tp>
        <v>6982158</v>
        <stp/>
        <stp>113605.SH</stp>
        <stp>Amount</stp>
        <stp>Dirty_Price</stp>
        <tr r="K40" s="2"/>
      </tp>
      <tp>
        <v>6059124</v>
        <stp/>
        <stp>128117.SZ</stp>
        <stp>Amount</stp>
        <stp>Dirty_Price</stp>
        <tr r="K252" s="2"/>
      </tp>
      <tp>
        <v>22543271</v>
        <stp/>
        <stp>128107.SZ</stp>
        <stp>Amount</stp>
        <stp>Dirty_Price</stp>
        <tr r="K168" s="2"/>
      </tp>
      <tp>
        <v>37095214</v>
        <stp/>
        <stp>128127.SZ</stp>
        <stp>Amount</stp>
        <stp>Dirty_Price</stp>
        <tr r="K160" s="2"/>
      </tp>
      <tp>
        <v>12880675</v>
        <stp/>
        <stp>128097.SZ</stp>
        <stp>Amount</stp>
        <stp>Dirty_Price</stp>
        <tr r="K187" s="2"/>
      </tp>
      <tp>
        <v>12271881</v>
        <stp/>
        <stp>128087.SZ</stp>
        <stp>Amount</stp>
        <stp>Dirty_Price</stp>
        <tr r="K314" s="2"/>
      </tp>
      <tp>
        <v>298618201</v>
        <stp/>
        <stp>128017.SZ</stp>
        <stp>Amount</stp>
        <stp>Dirty_Price</stp>
        <tr r="K85" s="2"/>
      </tp>
      <tp>
        <v>17238299</v>
        <stp/>
        <stp>128037.SZ</stp>
        <stp>Amount</stp>
        <stp>Dirty_Price</stp>
        <tr r="K165" s="2"/>
      </tp>
      <tp>
        <v>20643299</v>
        <stp/>
        <stp>128057.SZ</stp>
        <stp>Amount</stp>
        <stp>Dirty_Price</stp>
        <tr r="K207" s="2"/>
      </tp>
      <tp>
        <v>167789530</v>
        <stp/>
        <stp>127017.SZ</stp>
        <stp>Amount</stp>
        <stp>Dirty_Price</stp>
        <tr r="K182" s="2"/>
      </tp>
      <tp>
        <v>3844107</v>
        <stp/>
        <stp>127007.SZ</stp>
        <stp>Amount</stp>
        <stp>Dirty_Price</stp>
        <tr r="K376" s="2"/>
      </tp>
      <tp>
        <v>29441328</v>
        <stp/>
        <stp>127037.SZ</stp>
        <stp>Amount</stp>
        <stp>Dirty_Price</stp>
        <tr r="K136" s="2"/>
      </tp>
      <tp>
        <v>249071094</v>
        <stp/>
        <stp>127027.SZ</stp>
        <stp>Amount</stp>
        <stp>Dirty_Price</stp>
        <tr r="K380" s="2"/>
      </tp>
      <tp>
        <v>16771629</v>
        <stp/>
        <stp>110034.SH</stp>
        <stp>Amount</stp>
        <stp>Dirty_Price</stp>
        <tr r="K72" s="2"/>
      </tp>
      <tp>
        <v>303034451</v>
        <stp/>
        <stp>110074.SH</stp>
        <stp>Amount</stp>
        <stp>Dirty_Price</stp>
        <tr r="K352" s="2"/>
      </tp>
      <tp>
        <v>8709808</v>
        <stp/>
        <stp>110064.SH</stp>
        <stp>Amount</stp>
        <stp>Dirty_Price</stp>
        <tr r="K172" s="2"/>
      </tp>
      <tp>
        <v>44136498</v>
        <stp/>
        <stp>110044.SH</stp>
        <stp>Amount</stp>
        <stp>Dirty_Price</stp>
        <tr r="K374" s="2"/>
      </tp>
      <tp>
        <v>73189223</v>
        <stp/>
        <stp>123117.SZ</stp>
        <stp>Amount</stp>
        <stp>Dirty_Price</stp>
        <tr r="K58" s="2"/>
      </tp>
      <tp>
        <v>69551523</v>
        <stp/>
        <stp>123107.SZ</stp>
        <stp>Amount</stp>
        <stp>Dirty_Price</stp>
        <tr r="K144" s="2"/>
      </tp>
      <tp>
        <v>7621358</v>
        <stp/>
        <stp>123097.SZ</stp>
        <stp>Amount</stp>
        <stp>Dirty_Price</stp>
        <tr r="K128" s="2"/>
      </tp>
      <tp>
        <v>17980081</v>
        <stp/>
        <stp>123087.SZ</stp>
        <stp>Amount</stp>
        <stp>Dirty_Price</stp>
        <tr r="K349" s="2"/>
      </tp>
      <tp>
        <v>114169914</v>
        <stp/>
        <stp>123027.SZ</stp>
        <stp>Amount</stp>
        <stp>Dirty_Price</stp>
        <tr r="K253" s="2"/>
      </tp>
      <tp>
        <v>67686079</v>
        <stp/>
        <stp>123057.SZ</stp>
        <stp>Amount</stp>
        <stp>Dirty_Price</stp>
        <tr r="K254" s="2"/>
      </tp>
      <tp>
        <v>881425349</v>
        <stp/>
        <stp>123047.SZ</stp>
        <stp>Amount</stp>
        <stp>Dirty_Price</stp>
        <tr r="K289" s="2"/>
      </tp>
      <tp>
        <v>6062697</v>
        <stp/>
        <stp>123077.SZ</stp>
        <stp>Amount</stp>
        <stp>Dirty_Price</stp>
        <tr r="K205" s="2"/>
      </tp>
      <tp>
        <v>282889768</v>
        <stp/>
        <stp>123067.SZ</stp>
        <stp>Amount</stp>
        <stp>Dirty_Price</stp>
        <tr r="K212" s="2"/>
      </tp>
      <tp>
        <v>774417367</v>
        <stp/>
        <stp>113034.SH</stp>
        <stp>Amount</stp>
        <stp>Dirty_Price</stp>
        <tr r="K247" s="2"/>
      </tp>
      <tp>
        <v>146494357</v>
        <stp/>
        <stp>113024.SH</stp>
        <stp>Amount</stp>
        <stp>Dirty_Price</stp>
        <tr r="K179" s="2"/>
      </tp>
      <tp>
        <v>836515373</v>
        <stp/>
        <stp>113014.SH</stp>
        <stp>Amount</stp>
        <stp>Dirty_Price</stp>
        <tr r="K370" s="2"/>
      </tp>
      <tp>
        <v>121416455</v>
        <stp/>
        <stp>113044.SH</stp>
        <stp>Amount</stp>
        <stp>Dirty_Price</stp>
        <tr r="K152" s="2"/>
      </tp>
      <tp>
        <v>1867507</v>
        <stp/>
        <stp>113594.SH</stp>
        <stp>Amount</stp>
        <stp>Dirty_Price</stp>
        <tr r="K202" s="2"/>
      </tp>
      <tp>
        <v>3377364</v>
        <stp/>
        <stp>113584.SH</stp>
        <stp>Amount</stp>
        <stp>Dirty_Price</stp>
        <tr r="K92" s="2"/>
      </tp>
      <tp>
        <v>364400819</v>
        <stp/>
        <stp>113534.SH</stp>
        <stp>Amount</stp>
        <stp>Dirty_Price</stp>
        <tr r="K17" s="2"/>
      </tp>
      <tp>
        <v>14591038</v>
        <stp/>
        <stp>113524.SH</stp>
        <stp>Amount</stp>
        <stp>Dirty_Price</stp>
        <tr r="K193" s="2"/>
      </tp>
      <tp>
        <v>33001737</v>
        <stp/>
        <stp>113504.SH</stp>
        <stp>Amount</stp>
        <stp>Dirty_Price</stp>
        <tr r="K323" s="2"/>
      </tp>
      <tp>
        <v>4087388</v>
        <stp/>
        <stp>113574.SH</stp>
        <stp>Amount</stp>
        <stp>Dirty_Price</stp>
        <tr r="K333" s="2"/>
      </tp>
      <tp>
        <v>4371003</v>
        <stp/>
        <stp>113624.SH</stp>
        <stp>Amount</stp>
        <stp>Dirty_Price</stp>
        <tr r="K56" s="2"/>
      </tp>
      <tp>
        <v>32260305</v>
        <stp/>
        <stp>113614.SH</stp>
        <stp>Amount</stp>
        <stp>Dirty_Price</stp>
        <tr r="K46" s="2"/>
      </tp>
      <tp>
        <v>6067296</v>
        <stp/>
        <stp>113604.SH</stp>
        <stp>Amount</stp>
        <stp>Dirty_Price</stp>
        <tr r="K201" s="2"/>
      </tp>
      <tp>
        <v>-2.5</v>
        <stp/>
        <stp>127020.SZ</stp>
        <stp>PctChg</stp>
        <stp>RT_Price</stp>
        <tr r="H14" s="2"/>
      </tp>
      <tp>
        <v>0.25</v>
        <stp/>
        <stp>127021.SZ</stp>
        <stp>PctChg</stp>
        <stp>RT_Price</stp>
        <tr r="H83" s="2"/>
      </tp>
      <tp>
        <v>-0.57000000000000006</v>
        <stp/>
        <stp>127022.SZ</stp>
        <stp>PctChg</stp>
        <stp>RT_Price</stp>
        <tr r="H245" s="2"/>
      </tp>
      <tp>
        <v>0.70000000000000007</v>
        <stp/>
        <stp>127024.SZ</stp>
        <stp>PctChg</stp>
        <stp>RT_Price</stp>
        <tr r="H288" s="2"/>
      </tp>
      <tp>
        <v>-1.87</v>
        <stp/>
        <stp>127025.SZ</stp>
        <stp>PctChg</stp>
        <stp>RT_Price</stp>
        <tr r="H183" s="2"/>
      </tp>
      <tp>
        <v>-1.3800000000000001</v>
        <stp/>
        <stp>127026.SZ</stp>
        <stp>PctChg</stp>
        <stp>RT_Price</stp>
        <tr r="H335" s="2"/>
      </tp>
      <tp>
        <v>-3.4800000000000004</v>
        <stp/>
        <stp>127027.SZ</stp>
        <stp>PctChg</stp>
        <stp>RT_Price</stp>
        <tr r="H380" s="2"/>
      </tp>
      <tp>
        <v>-0.31000000000000005</v>
        <stp/>
        <stp>127028.SZ</stp>
        <stp>PctChg</stp>
        <stp>RT_Price</stp>
        <tr r="H54" s="2"/>
      </tp>
      <tp>
        <v>-0.69000000000000006</v>
        <stp/>
        <stp>127029.SZ</stp>
        <stp>PctChg</stp>
        <stp>RT_Price</stp>
        <tr r="H159" s="2"/>
      </tp>
      <tp>
        <v>0.43</v>
        <stp/>
        <stp>127030.SZ</stp>
        <stp>PctChg</stp>
        <stp>RT_Price</stp>
        <tr r="H242" s="2"/>
      </tp>
      <tp>
        <v>-5</v>
        <stp/>
        <stp>127031.SZ</stp>
        <stp>PctChg</stp>
        <stp>RT_Price</stp>
        <tr r="H258" s="2"/>
      </tp>
      <tp>
        <v>1</v>
        <stp/>
        <stp>127032.SZ</stp>
        <stp>PctChg</stp>
        <stp>RT_Price</stp>
        <tr r="H36" s="2"/>
      </tp>
      <tp>
        <v>-0.18000000000000002</v>
        <stp/>
        <stp>127033.SZ</stp>
        <stp>PctChg</stp>
        <stp>RT_Price</stp>
        <tr r="H176" s="2"/>
      </tp>
      <tp>
        <v>-9.0000000000000011E-2</v>
        <stp/>
        <stp>127034.SZ</stp>
        <stp>PctChg</stp>
        <stp>RT_Price</stp>
        <tr r="H297" s="2"/>
      </tp>
      <tp>
        <v>-4.41</v>
        <stp/>
        <stp>127035.SZ</stp>
        <stp>PctChg</stp>
        <stp>RT_Price</stp>
        <tr r="H185" s="2"/>
      </tp>
      <tp>
        <v>-1.4000000000000001</v>
        <stp/>
        <stp>127036.SZ</stp>
        <stp>PctChg</stp>
        <stp>RT_Price</stp>
        <tr r="H192" s="2"/>
      </tp>
      <tp>
        <v>-1.36</v>
        <stp/>
        <stp>127037.SZ</stp>
        <stp>PctChg</stp>
        <stp>RT_Price</stp>
        <tr r="H136" s="2"/>
      </tp>
      <tp>
        <v>0.16</v>
        <stp/>
        <stp>127038.SZ</stp>
        <stp>PctChg</stp>
        <stp>RT_Price</stp>
        <tr r="H341" s="2"/>
      </tp>
      <tp>
        <v>-0.67</v>
        <stp/>
        <stp>127039.SZ</stp>
        <stp>PctChg</stp>
        <stp>RT_Price</stp>
        <tr r="H157" s="2"/>
      </tp>
      <tp>
        <v>-0.16</v>
        <stp/>
        <stp>127003.SZ</stp>
        <stp>PctChg</stp>
        <stp>RT_Price</stp>
        <tr r="H94" s="2"/>
      </tp>
      <tp>
        <v>-1.71</v>
        <stp/>
        <stp>127004.SZ</stp>
        <stp>PctChg</stp>
        <stp>RT_Price</stp>
        <tr r="H122" s="2"/>
      </tp>
      <tp>
        <v>-0.54</v>
        <stp/>
        <stp>127005.SZ</stp>
        <stp>PctChg</stp>
        <stp>RT_Price</stp>
        <tr r="H309" s="2"/>
      </tp>
      <tp>
        <v>-0.29000000000000004</v>
        <stp/>
        <stp>127006.SZ</stp>
        <stp>PctChg</stp>
        <stp>RT_Price</stp>
        <tr r="H41" s="2"/>
      </tp>
      <tp>
        <v>-6.0000000000000005E-2</v>
        <stp/>
        <stp>127007.SZ</stp>
        <stp>PctChg</stp>
        <stp>RT_Price</stp>
        <tr r="H376" s="2"/>
      </tp>
      <tp>
        <v>0.34</v>
        <stp/>
        <stp>127011.SZ</stp>
        <stp>PctChg</stp>
        <stp>RT_Price</stp>
        <tr r="H121" s="2"/>
      </tp>
      <tp>
        <v>-1.22</v>
        <stp/>
        <stp>127012.SZ</stp>
        <stp>PctChg</stp>
        <stp>RT_Price</stp>
        <tr r="H154" s="2"/>
      </tp>
      <tp>
        <v>0.45999999999999996</v>
        <stp/>
        <stp>127013.SZ</stp>
        <stp>PctChg</stp>
        <stp>RT_Price</stp>
        <tr r="H191" s="2"/>
      </tp>
      <tp>
        <v>-1.18</v>
        <stp/>
        <stp>127014.SZ</stp>
        <stp>PctChg</stp>
        <stp>RT_Price</stp>
        <tr r="H174" s="2"/>
      </tp>
      <tp>
        <v>2.12</v>
        <stp/>
        <stp>127015.SZ</stp>
        <stp>PctChg</stp>
        <stp>RT_Price</stp>
        <tr r="H142" s="2"/>
      </tp>
      <tp>
        <v>0.68</v>
        <stp/>
        <stp>127016.SZ</stp>
        <stp>PctChg</stp>
        <stp>RT_Price</stp>
        <tr r="H316" s="2"/>
      </tp>
      <tp>
        <v>-7.0600000000000014</v>
        <stp/>
        <stp>127017.SZ</stp>
        <stp>PctChg</stp>
        <stp>RT_Price</stp>
        <tr r="H182" s="2"/>
      </tp>
      <tp>
        <v>-3.0500000000000003</v>
        <stp/>
        <stp>127018.SZ</stp>
        <stp>PctChg</stp>
        <stp>RT_Price</stp>
        <tr r="H302" s="2"/>
      </tp>
      <tp>
        <v>-1.25</v>
        <stp/>
        <stp>127019.SZ</stp>
        <stp>PctChg</stp>
        <stp>RT_Price</stp>
        <tr r="H13" s="2"/>
      </tp>
      <tp>
        <v>-2.85</v>
        <stp/>
        <stp>127040.SZ</stp>
        <stp>PctChg</stp>
        <stp>RT_Price</stp>
        <tr r="H95" s="2"/>
      </tp>
      <tp>
        <v>-0.72000000000000008</v>
        <stp/>
        <stp>127041.SZ</stp>
        <stp>PctChg</stp>
        <stp>RT_Price</stp>
        <tr r="H227" s="2"/>
      </tp>
      <tp>
        <v>-0.78</v>
        <stp/>
        <stp>127042.SZ</stp>
        <stp>PctChg</stp>
        <stp>RT_Price</stp>
        <tr r="H113" s="2"/>
      </tp>
      <tp>
        <v>13.900000000000002</v>
        <stp/>
        <stp>127043.SZ</stp>
        <stp>PctChg</stp>
        <stp>RT_Price</stp>
        <tr r="H266" s="2"/>
      </tp>
      <tp>
        <v>-0.71000000000000008</v>
        <stp/>
        <stp>127044.SZ</stp>
        <stp>PctChg</stp>
        <stp>RT_Price</stp>
        <tr r="H186" s="2"/>
      </tp>
      <tp>
        <v>0.80999999999999994</v>
        <stp/>
        <stp>127045.SZ</stp>
        <stp>PctChg</stp>
        <stp>RT_Price</stp>
        <tr r="H148" s="2"/>
      </tp>
      <tp>
        <v>53372179</v>
        <stp/>
        <stp>128114.SZ</stp>
        <stp>Amount</stp>
        <stp>Dirty_Price</stp>
        <tr r="K141" s="2"/>
      </tp>
      <tp>
        <v>18627500</v>
        <stp/>
        <stp>128134.SZ</stp>
        <stp>Amount</stp>
        <stp>Dirty_Price</stp>
        <tr r="K164" s="2"/>
      </tp>
      <tp>
        <v>3153810</v>
        <stp/>
        <stp>128124.SZ</stp>
        <stp>Amount</stp>
        <stp>Dirty_Price</stp>
        <tr r="K45" s="2"/>
      </tp>
      <tp>
        <v>9258731</v>
        <stp/>
        <stp>128094.SZ</stp>
        <stp>Amount</stp>
        <stp>Dirty_Price</stp>
        <tr r="K189" s="2"/>
      </tp>
      <tp>
        <v>44690874</v>
        <stp/>
        <stp>128014.SZ</stp>
        <stp>Amount</stp>
        <stp>Dirty_Price</stp>
        <tr r="K246" s="2"/>
      </tp>
      <tp>
        <v>15440292</v>
        <stp/>
        <stp>128034.SZ</stp>
        <stp>Amount</stp>
        <stp>Dirty_Price</stp>
        <tr r="K28" s="2"/>
      </tp>
      <tp>
        <v>15529375</v>
        <stp/>
        <stp>128044.SZ</stp>
        <stp>Amount</stp>
        <stp>Dirty_Price</stp>
        <tr r="K167" s="2"/>
      </tp>
      <tp>
        <v>13598526</v>
        <stp/>
        <stp>128074.SZ</stp>
        <stp>Amount</stp>
        <stp>Dirty_Price</stp>
        <tr r="K373" s="2"/>
      </tp>
      <tp>
        <v>16944469</v>
        <stp/>
        <stp>127014.SZ</stp>
        <stp>Amount</stp>
        <stp>Dirty_Price</stp>
        <tr r="K174" s="2"/>
      </tp>
      <tp>
        <v>20513411</v>
        <stp/>
        <stp>127004.SZ</stp>
        <stp>Amount</stp>
        <stp>Dirty_Price</stp>
        <tr r="K122" s="2"/>
      </tp>
      <tp>
        <v>8984800</v>
        <stp/>
        <stp>127034.SZ</stp>
        <stp>Amount</stp>
        <stp>Dirty_Price</stp>
        <tr r="K297" s="2"/>
      </tp>
      <tp>
        <v>7690505</v>
        <stp/>
        <stp>127024.SZ</stp>
        <stp>Amount</stp>
        <stp>Dirty_Price</stp>
        <tr r="K288" s="2"/>
      </tp>
      <tp>
        <v>14590208</v>
        <stp/>
        <stp>127044.SZ</stp>
        <stp>Amount</stp>
        <stp>Dirty_Price</stp>
        <tr r="K186" s="2"/>
      </tp>
      <tp>
        <v>118382295</v>
        <stp/>
        <stp>110077.SH</stp>
        <stp>Amount</stp>
        <stp>Dirty_Price</stp>
        <tr r="K285" s="2"/>
      </tp>
      <tp>
        <v>31558192</v>
        <stp/>
        <stp>110067.SH</stp>
        <stp>Amount</stp>
        <stp>Dirty_Price</stp>
        <tr r="K306" s="2"/>
      </tp>
      <tp>
        <v>18746173</v>
        <stp/>
        <stp>110057.SH</stp>
        <stp>Amount</stp>
        <stp>Dirty_Price</stp>
        <tr r="K42" s="2"/>
      </tp>
      <tp>
        <v>203663318</v>
        <stp/>
        <stp>110047.SH</stp>
        <stp>Amount</stp>
        <stp>Dirty_Price</stp>
        <tr r="K101" s="2"/>
      </tp>
      <tp>
        <v>179249214</v>
        <stp/>
        <stp>123114.SZ</stp>
        <stp>Amount</stp>
        <stp>Dirty_Price</stp>
        <tr r="K277" s="2"/>
      </tp>
      <tp>
        <v>4089162</v>
        <stp/>
        <stp>123104.SZ</stp>
        <stp>Amount</stp>
        <stp>Dirty_Price</stp>
        <tr r="K200" s="2"/>
      </tp>
      <tp>
        <v>122894293</v>
        <stp/>
        <stp>123124.SZ</stp>
        <stp>Amount</stp>
        <stp>Dirty_Price</stp>
        <tr r="K264" s="2"/>
      </tp>
      <tp>
        <v>0</v>
        <stp/>
        <stp>123094.SZ</stp>
        <stp>Amount</stp>
        <stp>Dirty_Price</stp>
        <tr r="K263" s="2"/>
      </tp>
      <tp>
        <v>88585950</v>
        <stp/>
        <stp>123084.SZ</stp>
        <stp>Amount</stp>
        <stp>Dirty_Price</stp>
        <tr r="K234" s="2"/>
      </tp>
      <tp>
        <v>18156839</v>
        <stp/>
        <stp>123014.SZ</stp>
        <stp>Amount</stp>
        <stp>Dirty_Price</stp>
        <tr r="K364" s="2"/>
      </tp>
      <tp>
        <v>8089224</v>
        <stp/>
        <stp>123004.SZ</stp>
        <stp>Amount</stp>
        <stp>Dirty_Price</stp>
        <tr r="K171" s="2"/>
      </tp>
      <tp>
        <v>295070547</v>
        <stp/>
        <stp>123034.SZ</stp>
        <stp>Amount</stp>
        <stp>Dirty_Price</stp>
        <tr r="K361" s="2"/>
      </tp>
      <tp>
        <v>126849442</v>
        <stp/>
        <stp>123024.SZ</stp>
        <stp>Amount</stp>
        <stp>Dirty_Price</stp>
        <tr r="K233" s="2"/>
      </tp>
      <tp>
        <v>3943627433</v>
        <stp/>
        <stp>123054.SZ</stp>
        <stp>Amount</stp>
        <stp>Dirty_Price</stp>
        <tr r="K211" s="2"/>
      </tp>
      <tp>
        <v>7988124</v>
        <stp/>
        <stp>123044.SZ</stp>
        <stp>Amount</stp>
        <stp>Dirty_Price</stp>
        <tr r="K363" s="2"/>
      </tp>
      <tp>
        <v>45250761</v>
        <stp/>
        <stp>123074.SZ</stp>
        <stp>Amount</stp>
        <stp>Dirty_Price</stp>
        <tr r="K347" s="2"/>
      </tp>
      <tp>
        <v>6436077</v>
        <stp/>
        <stp>123064.SZ</stp>
        <stp>Amount</stp>
        <stp>Dirty_Price</stp>
        <tr r="K61" s="2"/>
      </tp>
      <tp>
        <v>23816572</v>
        <stp/>
        <stp>113037.SH</stp>
        <stp>Amount</stp>
        <stp>Dirty_Price</stp>
        <tr r="K31" s="2"/>
      </tp>
      <tp>
        <v>892560814</v>
        <stp/>
        <stp>113027.SH</stp>
        <stp>Amount</stp>
        <stp>Dirty_Price</stp>
        <tr r="K11" s="2"/>
      </tp>
      <tp>
        <v>14103114</v>
        <stp/>
        <stp>113017.SH</stp>
        <stp>Amount</stp>
        <stp>Dirty_Price</stp>
        <tr r="K377" s="2"/>
      </tp>
      <tp>
        <v>304820342</v>
        <stp/>
        <stp>113047.SH</stp>
        <stp>Amount</stp>
        <stp>Dirty_Price</stp>
        <tr r="K184" s="2"/>
      </tp>
      <tp>
        <v>2791127</v>
        <stp/>
        <stp>113597.SH</stp>
        <stp>Amount</stp>
        <stp>Dirty_Price</stp>
        <tr r="K216" s="2"/>
      </tp>
      <tp>
        <v>18799388</v>
        <stp/>
        <stp>113537.SH</stp>
        <stp>Amount</stp>
        <stp>Dirty_Price</stp>
        <tr r="K123" s="2"/>
      </tp>
      <tp>
        <v>1173960408</v>
        <stp/>
        <stp>113527.SH</stp>
        <stp>Amount</stp>
        <stp>Dirty_Price</stp>
        <tr r="K321" s="2"/>
      </tp>
      <tp>
        <v>7387943</v>
        <stp/>
        <stp>113577.SH</stp>
        <stp>Amount</stp>
        <stp>Dirty_Price</stp>
        <tr r="K343" s="2"/>
      </tp>
      <tp>
        <v>3832176</v>
        <stp/>
        <stp>113567.SH</stp>
        <stp>Amount</stp>
        <stp>Dirty_Price</stp>
        <tr r="K220" s="2"/>
      </tp>
      <tp>
        <v>2464670</v>
        <stp/>
        <stp>113627.SH</stp>
        <stp>Amount</stp>
        <stp>Dirty_Price</stp>
        <tr r="K318" s="2"/>
      </tp>
      <tp>
        <v>146395982</v>
        <stp/>
        <stp>113607.SH</stp>
        <stp>Amount</stp>
        <stp>Dirty_Price</stp>
        <tr r="K301" s="2"/>
      </tp>
      <tp>
        <v>19083491</v>
        <stp/>
        <stp>128105.SZ</stp>
        <stp>Amount</stp>
        <stp>Dirty_Price</stp>
        <tr r="K290" s="2"/>
      </tp>
      <tp>
        <v>54987906</v>
        <stp/>
        <stp>128135.SZ</stp>
        <stp>Amount</stp>
        <stp>Dirty_Price</stp>
        <tr r="K87" s="2"/>
      </tp>
      <tp>
        <v>6521680</v>
        <stp/>
        <stp>128125.SZ</stp>
        <stp>Amount</stp>
        <stp>Dirty_Price</stp>
        <tr r="K173" s="2"/>
      </tp>
      <tp>
        <v>307403447</v>
        <stp/>
        <stp>128095.SZ</stp>
        <stp>Amount</stp>
        <stp>Dirty_Price</stp>
        <tr r="K243" s="2"/>
      </tp>
      <tp>
        <v>503414467</v>
        <stp/>
        <stp>128085.SZ</stp>
        <stp>Amount</stp>
        <stp>Dirty_Price</stp>
        <tr r="K239" s="2"/>
      </tp>
      <tp>
        <v>8834386</v>
        <stp/>
        <stp>128015.SZ</stp>
        <stp>Amount</stp>
        <stp>Dirty_Price</stp>
        <tr r="K198" s="2"/>
      </tp>
      <tp>
        <v>24191635</v>
        <stp/>
        <stp>128035.SZ</stp>
        <stp>Amount</stp>
        <stp>Dirty_Price</stp>
        <tr r="K342" s="2"/>
      </tp>
      <tp>
        <v>137428546</v>
        <stp/>
        <stp>128025.SZ</stp>
        <stp>Amount</stp>
        <stp>Dirty_Price</stp>
        <tr r="K50" s="2"/>
      </tp>
      <tp>
        <v>18514757</v>
        <stp/>
        <stp>128075.SZ</stp>
        <stp>Amount</stp>
        <stp>Dirty_Price</stp>
        <tr r="K126" s="2"/>
      </tp>
      <tp>
        <v>238644853</v>
        <stp/>
        <stp>127015.SZ</stp>
        <stp>Amount</stp>
        <stp>Dirty_Price</stp>
        <tr r="K142" s="2"/>
      </tp>
      <tp>
        <v>42043162</v>
        <stp/>
        <stp>127005.SZ</stp>
        <stp>Amount</stp>
        <stp>Dirty_Price</stp>
        <tr r="K309" s="2"/>
      </tp>
      <tp>
        <v>104613681</v>
        <stp/>
        <stp>127035.SZ</stp>
        <stp>Amount</stp>
        <stp>Dirty_Price</stp>
        <tr r="K185" s="2"/>
      </tp>
      <tp>
        <v>26377014</v>
        <stp/>
        <stp>127025.SZ</stp>
        <stp>Amount</stp>
        <stp>Dirty_Price</stp>
        <tr r="K183" s="2"/>
      </tp>
      <tp>
        <v>401549658</v>
        <stp/>
        <stp>127045.SZ</stp>
        <stp>Amount</stp>
        <stp>Dirty_Price</stp>
        <tr r="K148" s="2"/>
      </tp>
      <tp>
        <v>1587589</v>
        <stp/>
        <stp>110076.SH</stp>
        <stp>Amount</stp>
        <stp>Dirty_Price</stp>
        <tr r="K49" s="2"/>
      </tp>
      <tp>
        <v>1890185610</v>
        <stp/>
        <stp>110066.SH</stp>
        <stp>Amount</stp>
        <stp>Dirty_Price</stp>
        <tr r="K7" s="2"/>
      </tp>
      <tp>
        <v>7854056</v>
        <stp/>
        <stp>110056.SH</stp>
        <stp>Amount</stp>
        <stp>Dirty_Price</stp>
        <tr r="K78" s="2"/>
      </tp>
      <tp>
        <v>285876473</v>
        <stp/>
        <stp>123115.SZ</stp>
        <stp>Amount</stp>
        <stp>Dirty_Price</stp>
        <tr r="K338" s="2"/>
      </tp>
      <tp>
        <v>19719078</v>
        <stp/>
        <stp>123105.SZ</stp>
        <stp>Amount</stp>
        <stp>Dirty_Price</stp>
        <tr r="K208" s="2"/>
      </tp>
      <tp>
        <v>0</v>
        <stp/>
        <stp>123125.SZ</stp>
        <stp>Amount</stp>
        <stp>Dirty_Price</stp>
        <tr r="K265" s="2"/>
      </tp>
      <tp>
        <v>0</v>
        <stp/>
        <stp>123095.SZ</stp>
        <stp>Amount</stp>
        <stp>Dirty_Price</stp>
        <tr r="K381" s="2"/>
      </tp>
      <tp>
        <v>42320770</v>
        <stp/>
        <stp>123085.SZ</stp>
        <stp>Amount</stp>
        <stp>Dirty_Price</stp>
        <tr r="K114" s="2"/>
      </tp>
      <tp>
        <v>761301559</v>
        <stp/>
        <stp>123015.SZ</stp>
        <stp>Amount</stp>
        <stp>Dirty_Price</stp>
        <tr r="K199" s="2"/>
      </tp>
      <tp>
        <v>1328646368</v>
        <stp/>
        <stp>123035.SZ</stp>
        <stp>Amount</stp>
        <stp>Dirty_Price</stp>
        <tr r="K329" s="2"/>
      </tp>
      <tp>
        <v>24286514</v>
        <stp/>
        <stp>123025.SZ</stp>
        <stp>Amount</stp>
        <stp>Dirty_Price</stp>
        <tr r="K232" s="2"/>
      </tp>
      <tp>
        <v>8295521</v>
        <stp/>
        <stp>123045.SZ</stp>
        <stp>Amount</stp>
        <stp>Dirty_Price</stp>
        <tr r="K139" s="2"/>
      </tp>
      <tp>
        <v>18634685</v>
        <stp/>
        <stp>123075.SZ</stp>
        <stp>Amount</stp>
        <stp>Dirty_Price</stp>
        <tr r="K137" s="2"/>
      </tp>
      <tp>
        <v>5353655</v>
        <stp/>
        <stp>123065.SZ</stp>
        <stp>Amount</stp>
        <stp>Dirty_Price</stp>
        <tr r="K75" s="2"/>
      </tp>
      <tp>
        <v>3443703</v>
        <stp/>
        <stp>113036.SH</stp>
        <stp>Amount</stp>
        <stp>Dirty_Price</stp>
        <tr r="K161" s="2"/>
      </tp>
      <tp>
        <v>687958996</v>
        <stp/>
        <stp>113026.SH</stp>
        <stp>Amount</stp>
        <stp>Dirty_Price</stp>
        <tr r="K300" s="2"/>
      </tp>
      <tp>
        <v>808865186</v>
        <stp/>
        <stp>113016.SH</stp>
        <stp>Amount</stp>
        <stp>Dirty_Price</stp>
        <tr r="K117" s="2"/>
      </tp>
      <tp>
        <v>11969057</v>
        <stp/>
        <stp>113046.SH</stp>
        <stp>Amount</stp>
        <stp>Dirty_Price</stp>
        <tr r="K10" s="2"/>
      </tp>
      <tp>
        <v>15018970</v>
        <stp/>
        <stp>113596.SH</stp>
        <stp>Amount</stp>
        <stp>Dirty_Price</stp>
        <tr r="K162" s="2"/>
      </tp>
      <tp>
        <v>9724607</v>
        <stp/>
        <stp>113536.SH</stp>
        <stp>Amount</stp>
        <stp>Dirty_Price</stp>
        <tr r="K188" s="2"/>
      </tp>
      <tp>
        <v>1074056839</v>
        <stp/>
        <stp>113526.SH</stp>
        <stp>Amount</stp>
        <stp>Dirty_Price</stp>
        <tr r="K280" s="2"/>
      </tp>
      <tp>
        <v>19921615</v>
        <stp/>
        <stp>113516.SH</stp>
        <stp>Amount</stp>
        <stp>Dirty_Price</stp>
        <tr r="K27" s="2"/>
      </tp>
      <tp>
        <v>9248247</v>
        <stp/>
        <stp>113576.SH</stp>
        <stp>Amount</stp>
        <stp>Dirty_Price</stp>
        <tr r="K315" s="2"/>
      </tp>
      <tp>
        <v>4883079</v>
        <stp/>
        <stp>113566.SH</stp>
        <stp>Amount</stp>
        <stp>Dirty_Price</stp>
        <tr r="K104" s="2"/>
      </tp>
      <tp>
        <v>7254212</v>
        <stp/>
        <stp>113546.SH</stp>
        <stp>Amount</stp>
        <stp>Dirty_Price</stp>
        <tr r="K369" s="2"/>
      </tp>
      <tp>
        <v>45880296</v>
        <stp/>
        <stp>113626.SH</stp>
        <stp>Amount</stp>
        <stp>Dirty_Price</stp>
        <tr r="K135" s="2"/>
      </tp>
      <tp>
        <v>66724713</v>
        <stp/>
        <stp>113616.SH</stp>
        <stp>Amount</stp>
        <stp>Dirty_Price</stp>
        <tr r="K345" s="2"/>
      </tp>
      <tp>
        <v>1047680</v>
        <stp/>
        <stp>113606.SH</stp>
        <stp>Amount</stp>
        <stp>Dirty_Price</stp>
        <tr r="K190" s="2"/>
      </tp>
      <tp>
        <v>176668907</v>
        <stp/>
        <stp>110079.SH</stp>
        <stp>Amount</stp>
        <stp>Dirty_Price</stp>
        <tr r="K25" s="2"/>
      </tp>
      <tp>
        <v>128965846</v>
        <stp/>
        <stp>110059.SH</stp>
        <stp>Amount</stp>
        <stp>Dirty_Price</stp>
        <tr r="K37" s="2"/>
      </tp>
      <tp>
        <v>3282155660</v>
        <stp/>
        <stp>113039.SH</stp>
        <stp>Amount</stp>
        <stp>Dirty_Price</stp>
        <tr r="K282" s="2"/>
      </tp>
      <tp>
        <v>195674707</v>
        <stp/>
        <stp>113009.SH</stp>
        <stp>Amount</stp>
        <stp>Dirty_Price</stp>
        <tr r="K118" s="2"/>
      </tp>
      <tp>
        <v>107823615</v>
        <stp/>
        <stp>113049.SH</stp>
        <stp>Amount</stp>
        <stp>Dirty_Price</stp>
        <tr r="K134" s="2"/>
      </tp>
      <tp>
        <v>4471302</v>
        <stp/>
        <stp>113599.SH</stp>
        <stp>Amount</stp>
        <stp>Dirty_Price</stp>
        <tr r="K156" s="2"/>
      </tp>
      <tp>
        <v>5256219</v>
        <stp/>
        <stp>113589.SH</stp>
        <stp>Amount</stp>
        <stp>Dirty_Price</stp>
        <tr r="K319" s="2"/>
      </tp>
      <tp>
        <v>9434844</v>
        <stp/>
        <stp>113519.SH</stp>
        <stp>Amount</stp>
        <stp>Dirty_Price</stp>
        <tr r="K155" s="2"/>
      </tp>
      <tp>
        <v>5091129</v>
        <stp/>
        <stp>113579.SH</stp>
        <stp>Amount</stp>
        <stp>Dirty_Price</stp>
        <tr r="K52" s="2"/>
      </tp>
      <tp>
        <v>5438621</v>
        <stp/>
        <stp>113569.SH</stp>
        <stp>Amount</stp>
        <stp>Dirty_Price</stp>
        <tr r="K197" s="2"/>
      </tp>
      <tp>
        <v>585054256</v>
        <stp/>
        <stp>113549.SH</stp>
        <stp>Amount</stp>
        <stp>Dirty_Price</stp>
        <tr r="K358" s="2"/>
      </tp>
      <tp>
        <v>6264493</v>
        <stp/>
        <stp>113619.SH</stp>
        <stp>Amount</stp>
        <stp>Dirty_Price</stp>
        <tr r="K325" s="2"/>
      </tp>
      <tp>
        <v>15863260</v>
        <stp/>
        <stp>113609.SH</stp>
        <stp>Amount</stp>
        <stp>Dirty_Price</stp>
        <tr r="K129" s="2"/>
      </tp>
      <tp>
        <v>3879641</v>
        <stp/>
        <stp>110038.SH</stp>
        <stp>Amount</stp>
        <stp>Dirty_Price</stp>
        <tr r="K62" s="2"/>
      </tp>
      <tp>
        <v>38102568</v>
        <stp/>
        <stp>110068.SH</stp>
        <stp>Amount</stp>
        <stp>Dirty_Price</stp>
        <tr r="K219" s="2"/>
      </tp>
      <tp>
        <v>2829956</v>
        <stp/>
        <stp>110058.SH</stp>
        <stp>Amount</stp>
        <stp>Dirty_Price</stp>
        <tr r="K80" s="2"/>
      </tp>
      <tp>
        <v>911561835</v>
        <stp/>
        <stp>110048.SH</stp>
        <stp>Amount</stp>
        <stp>Dirty_Price</stp>
        <tr r="K284" s="2"/>
      </tp>
      <tp>
        <v>1243887107</v>
        <stp/>
        <stp>113048.SH</stp>
        <stp>Amount</stp>
        <stp>Dirty_Price</stp>
        <tr r="K292" s="2"/>
      </tp>
      <tp>
        <v>14617069</v>
        <stp/>
        <stp>113598.SH</stp>
        <stp>Amount</stp>
        <stp>Dirty_Price</stp>
        <tr r="K223" s="2"/>
      </tp>
      <tp>
        <v>3861997</v>
        <stp/>
        <stp>113588.SH</stp>
        <stp>Amount</stp>
        <stp>Dirty_Price</stp>
        <tr r="K48" s="2"/>
      </tp>
      <tp>
        <v>371864202</v>
        <stp/>
        <stp>113528.SH</stp>
        <stp>Amount</stp>
        <stp>Dirty_Price</stp>
        <tr r="K353" s="2"/>
      </tp>
      <tp>
        <v>9716043</v>
        <stp/>
        <stp>113578.SH</stp>
        <stp>Amount</stp>
        <stp>Dirty_Price</stp>
        <tr r="K166" s="2"/>
      </tp>
      <tp>
        <v>416351270</v>
        <stp/>
        <stp>113568.SH</stp>
        <stp>Amount</stp>
        <stp>Dirty_Price</stp>
        <tr r="K235" s="2"/>
      </tp>
      <tp>
        <v>287200094</v>
        <stp/>
        <stp>113548.SH</stp>
        <stp>Amount</stp>
        <stp>Dirty_Price</stp>
        <tr r="K22" s="2"/>
      </tp>
      <tp>
        <v>48099473</v>
        <stp/>
        <stp>113628.SH</stp>
        <stp>Amount</stp>
        <stp>Dirty_Price</stp>
        <tr r="K337" s="2"/>
      </tp>
      <tp>
        <v>60121254</v>
        <stp/>
        <stp>113618.SH</stp>
        <stp>Amount</stp>
        <stp>Dirty_Price</stp>
        <tr r="K55" s="2"/>
      </tp>
      <tp>
        <v>12481848</v>
        <stp/>
        <stp>113608.SH</stp>
        <stp>Amount</stp>
        <stp>Dirty_Price</stp>
        <tr r="K213" s="2"/>
      </tp>
      <tp>
        <v>3783098</v>
        <stp/>
        <stp>128118.SZ</stp>
        <stp>Amount</stp>
        <stp>Dirty_Price</stp>
        <tr r="K330" s="2"/>
      </tp>
      <tp>
        <v>44360908</v>
        <stp/>
        <stp>128108.SZ</stp>
        <stp>Amount</stp>
        <stp>Dirty_Price</stp>
        <tr r="K60" s="2"/>
      </tp>
      <tp>
        <v>434183813</v>
        <stp/>
        <stp>128128.SZ</stp>
        <stp>Amount</stp>
        <stp>Dirty_Price</stp>
        <tr r="K240" s="2"/>
      </tp>
      <tp>
        <v>91349109</v>
        <stp/>
        <stp>128018.SZ</stp>
        <stp>Amount</stp>
        <stp>Dirty_Price</stp>
        <tr r="K360" s="2"/>
      </tp>
      <tp>
        <v>10570911</v>
        <stp/>
        <stp>128048.SZ</stp>
        <stp>Amount</stp>
        <stp>Dirty_Price</stp>
        <tr r="K29" s="2"/>
      </tp>
      <tp>
        <v>22857668</v>
        <stp/>
        <stp>128078.SZ</stp>
        <stp>Amount</stp>
        <stp>Dirty_Price</stp>
        <tr r="K196" s="2"/>
      </tp>
      <tp>
        <v>300709427</v>
        <stp/>
        <stp>127018.SZ</stp>
        <stp>Amount</stp>
        <stp>Dirty_Price</stp>
        <tr r="K302" s="2"/>
      </tp>
      <tp>
        <v>167631214</v>
        <stp/>
        <stp>127038.SZ</stp>
        <stp>Amount</stp>
        <stp>Dirty_Price</stp>
        <tr r="K341" s="2"/>
      </tp>
      <tp>
        <v>14333924</v>
        <stp/>
        <stp>127028.SZ</stp>
        <stp>Amount</stp>
        <stp>Dirty_Price</stp>
        <tr r="K54" s="2"/>
      </tp>
      <tp>
        <v>45264729</v>
        <stp/>
        <stp>123118.SZ</stp>
        <stp>Amount</stp>
        <stp>Dirty_Price</stp>
        <tr r="K295" s="2"/>
      </tp>
      <tp>
        <v>33764287</v>
        <stp/>
        <stp>123108.SZ</stp>
        <stp>Amount</stp>
        <stp>Dirty_Price</stp>
        <tr r="K76" s="2"/>
      </tp>
      <tp>
        <v>14031934</v>
        <stp/>
        <stp>123098.SZ</stp>
        <stp>Amount</stp>
        <stp>Dirty_Price</stp>
        <tr r="K74" s="2"/>
      </tp>
      <tp>
        <v>2903774</v>
        <stp/>
        <stp>123088.SZ</stp>
        <stp>Amount</stp>
        <stp>Dirty_Price</stp>
        <tr r="K125" s="2"/>
      </tp>
      <tp>
        <v>89762299</v>
        <stp/>
        <stp>123018.SZ</stp>
        <stp>Amount</stp>
        <stp>Dirty_Price</stp>
        <tr r="K69" s="2"/>
      </tp>
      <tp>
        <v>10945059</v>
        <stp/>
        <stp>123038.SZ</stp>
        <stp>Amount</stp>
        <stp>Dirty_Price</stp>
        <tr r="K348" s="2"/>
      </tp>
      <tp>
        <v>0</v>
        <stp/>
        <stp>123028.SZ</stp>
        <stp>Amount</stp>
        <stp>Dirty_Price</stp>
        <tr r="K251" s="2"/>
      </tp>
      <tp>
        <v>38701107</v>
        <stp/>
        <stp>123048.SZ</stp>
        <stp>Amount</stp>
        <stp>Dirty_Price</stp>
        <tr r="K278" s="2"/>
      </tp>
      <tp>
        <v>10005449</v>
        <stp/>
        <stp>123078.SZ</stp>
        <stp>Amount</stp>
        <stp>Dirty_Price</stp>
        <tr r="K267" s="2"/>
      </tp>
      <tp>
        <v>296479815</v>
        <stp/>
        <stp>123068.SZ</stp>
        <stp>Amount</stp>
        <stp>Dirty_Price</stp>
        <tr r="K327" s="2"/>
      </tp>
      <tp>
        <v>0.1</v>
        <stp/>
        <stp>128120.SZ</stp>
        <stp>PctChg</stp>
        <stp>RT_Price</stp>
        <tr r="H124" s="2"/>
      </tp>
      <tp>
        <v>0</v>
        <stp/>
        <stp>128121.SZ</stp>
        <stp>PctChg</stp>
        <stp>RT_Price</stp>
        <tr r="H158" s="2"/>
      </tp>
      <tp>
        <v>-1.31</v>
        <stp/>
        <stp>128122.SZ</stp>
        <stp>PctChg</stp>
        <stp>RT_Price</stp>
        <tr r="H350" s="2"/>
      </tp>
      <tp>
        <v>-0.22999999999999998</v>
        <stp/>
        <stp>128123.SZ</stp>
        <stp>PctChg</stp>
        <stp>RT_Price</stp>
        <tr r="H268" s="2"/>
      </tp>
      <tp>
        <v>3.0000000000000002E-2</v>
        <stp/>
        <stp>128124.SZ</stp>
        <stp>PctChg</stp>
        <stp>RT_Price</stp>
        <tr r="H45" s="2"/>
      </tp>
      <tp>
        <v>0</v>
        <stp/>
        <stp>128125.SZ</stp>
        <stp>PctChg</stp>
        <stp>RT_Price</stp>
        <tr r="H173" s="2"/>
      </tp>
      <tp>
        <v>0</v>
        <stp/>
        <stp>128127.SZ</stp>
        <stp>PctChg</stp>
        <stp>RT_Price</stp>
        <tr r="H160" s="2"/>
      </tp>
      <tp>
        <v>-7.870000000000001</v>
        <stp/>
        <stp>128128.SZ</stp>
        <stp>PctChg</stp>
        <stp>RT_Price</stp>
        <tr r="H240" s="2"/>
      </tp>
      <tp>
        <v>0.37</v>
        <stp/>
        <stp>128129.SZ</stp>
        <stp>PctChg</stp>
        <stp>RT_Price</stp>
        <tr r="H38" s="2"/>
      </tp>
      <tp>
        <v>-6.34</v>
        <stp/>
        <stp>128130.SZ</stp>
        <stp>PctChg</stp>
        <stp>RT_Price</stp>
        <tr r="H103" s="2"/>
      </tp>
      <tp>
        <v>0.51</v>
        <stp/>
        <stp>128131.SZ</stp>
        <stp>PctChg</stp>
        <stp>RT_Price</stp>
        <tr r="H346" s="2"/>
      </tp>
      <tp>
        <v>-0.52</v>
        <stp/>
        <stp>128132.SZ</stp>
        <stp>PctChg</stp>
        <stp>RT_Price</stp>
        <tr r="H169" s="2"/>
      </tp>
      <tp>
        <v>0.59</v>
        <stp/>
        <stp>128133.SZ</stp>
        <stp>PctChg</stp>
        <stp>RT_Price</stp>
        <tr r="H43" s="2"/>
      </tp>
      <tp>
        <v>-2.08</v>
        <stp/>
        <stp>128134.SZ</stp>
        <stp>PctChg</stp>
        <stp>RT_Price</stp>
        <tr r="H164" s="2"/>
      </tp>
      <tp>
        <v>0.3</v>
        <stp/>
        <stp>128135.SZ</stp>
        <stp>PctChg</stp>
        <stp>RT_Price</stp>
        <tr r="H87" s="2"/>
      </tp>
      <tp>
        <v>0.01</v>
        <stp/>
        <stp>128136.SZ</stp>
        <stp>PctChg</stp>
        <stp>RT_Price</stp>
        <tr r="H334" s="2"/>
      </tp>
      <tp>
        <v>-1.9700000000000002</v>
        <stp/>
        <stp>128100.SZ</stp>
        <stp>PctChg</stp>
        <stp>RT_Price</stp>
        <tr r="H312" s="2"/>
      </tp>
      <tp>
        <v>6.4300000000000006</v>
        <stp/>
        <stp>128101.SZ</stp>
        <stp>PctChg</stp>
        <stp>RT_Price</stp>
        <tr r="H326" s="2"/>
      </tp>
      <tp>
        <v>-3.8900000000000006</v>
        <stp/>
        <stp>128103.SZ</stp>
        <stp>PctChg</stp>
        <stp>RT_Price</stp>
        <tr r="H250" s="2"/>
      </tp>
      <tp>
        <v>-0.89</v>
        <stp/>
        <stp>128105.SZ</stp>
        <stp>PctChg</stp>
        <stp>RT_Price</stp>
        <tr r="H290" s="2"/>
      </tp>
      <tp>
        <v>-0.73</v>
        <stp/>
        <stp>128106.SZ</stp>
        <stp>PctChg</stp>
        <stp>RT_Price</stp>
        <tr r="H89" s="2"/>
      </tp>
      <tp>
        <v>-0.88</v>
        <stp/>
        <stp>128107.SZ</stp>
        <stp>PctChg</stp>
        <stp>RT_Price</stp>
        <tr r="H168" s="2"/>
      </tp>
      <tp>
        <v>-0.49</v>
        <stp/>
        <stp>128108.SZ</stp>
        <stp>PctChg</stp>
        <stp>RT_Price</stp>
        <tr r="H60" s="2"/>
      </tp>
      <tp>
        <v>-2.91</v>
        <stp/>
        <stp>128109.SZ</stp>
        <stp>PctChg</stp>
        <stp>RT_Price</stp>
        <tr r="H12" s="2"/>
      </tp>
      <tp>
        <v>-2.89</v>
        <stp/>
        <stp>128111.SZ</stp>
        <stp>PctChg</stp>
        <stp>RT_Price</stp>
        <tr r="H15" s="2"/>
      </tp>
      <tp>
        <v>-0.47000000000000003</v>
        <stp/>
        <stp>128113.SZ</stp>
        <stp>PctChg</stp>
        <stp>RT_Price</stp>
        <tr r="H317" s="2"/>
      </tp>
      <tp>
        <v>0.77</v>
        <stp/>
        <stp>128114.SZ</stp>
        <stp>PctChg</stp>
        <stp>RT_Price</stp>
        <tr r="H141" s="2"/>
      </tp>
      <tp>
        <v>-0.48000000000000004</v>
        <stp/>
        <stp>128116.SZ</stp>
        <stp>PctChg</stp>
        <stp>RT_Price</stp>
        <tr r="H304" s="2"/>
      </tp>
      <tp>
        <v>0.57000000000000006</v>
        <stp/>
        <stp>128117.SZ</stp>
        <stp>PctChg</stp>
        <stp>RT_Price</stp>
        <tr r="H252" s="2"/>
      </tp>
      <tp>
        <v>0.96000000000000008</v>
        <stp/>
        <stp>128118.SZ</stp>
        <stp>PctChg</stp>
        <stp>RT_Price</stp>
        <tr r="H330" s="2"/>
      </tp>
      <tp>
        <v>1.37</v>
        <stp/>
        <stp>128119.SZ</stp>
        <stp>PctChg</stp>
        <stp>RT_Price</stp>
        <tr r="H88" s="2"/>
      </tp>
      <tp>
        <v>-0.01</v>
        <stp/>
        <stp>128021.SZ</stp>
        <stp>PctChg</stp>
        <stp>RT_Price</stp>
        <tr r="H256" s="2"/>
      </tp>
      <tp>
        <v>-0.04</v>
        <stp/>
        <stp>128022.SZ</stp>
        <stp>PctChg</stp>
        <stp>RT_Price</stp>
        <tr r="H77" s="2"/>
      </tp>
      <tp>
        <v>0.21000000000000002</v>
        <stp/>
        <stp>128023.SZ</stp>
        <stp>PctChg</stp>
        <stp>RT_Price</stp>
        <tr r="H127" s="2"/>
      </tp>
      <tp>
        <v>0.3</v>
        <stp/>
        <stp>128025.SZ</stp>
        <stp>PctChg</stp>
        <stp>RT_Price</stp>
        <tr r="H50" s="2"/>
      </tp>
      <tp>
        <v>1.07</v>
        <stp/>
        <stp>128026.SZ</stp>
        <stp>PctChg</stp>
        <stp>RT_Price</stp>
        <tr r="H151" s="2"/>
      </tp>
      <tp>
        <v>-3.9699999999999998</v>
        <stp/>
        <stp>128029.SZ</stp>
        <stp>PctChg</stp>
        <stp>RT_Price</stp>
        <tr r="H98" s="2"/>
      </tp>
      <tp>
        <v>2.8400000000000003</v>
        <stp/>
        <stp>128030.SZ</stp>
        <stp>PctChg</stp>
        <stp>RT_Price</stp>
        <tr r="H143" s="2"/>
      </tp>
      <tp>
        <v>-1.1000000000000001</v>
        <stp/>
        <stp>128033.SZ</stp>
        <stp>PctChg</stp>
        <stp>RT_Price</stp>
        <tr r="H298" s="2"/>
      </tp>
      <tp>
        <v>-9.0000000000000011E-2</v>
        <stp/>
        <stp>128034.SZ</stp>
        <stp>PctChg</stp>
        <stp>RT_Price</stp>
        <tr r="H28" s="2"/>
      </tp>
      <tp>
        <v>0.52</v>
        <stp/>
        <stp>128035.SZ</stp>
        <stp>PctChg</stp>
        <stp>RT_Price</stp>
        <tr r="H342" s="2"/>
      </tp>
      <tp>
        <v>0.89</v>
        <stp/>
        <stp>128036.SZ</stp>
        <stp>PctChg</stp>
        <stp>RT_Price</stp>
        <tr r="H150" s="2"/>
      </tp>
      <tp>
        <v>-0.68</v>
        <stp/>
        <stp>128037.SZ</stp>
        <stp>PctChg</stp>
        <stp>RT_Price</stp>
        <tr r="H165" s="2"/>
      </tp>
      <tp>
        <v>-0.65</v>
        <stp/>
        <stp>128039.SZ</stp>
        <stp>PctChg</stp>
        <stp>RT_Price</stp>
        <tr r="H259" s="2"/>
      </tp>
      <tp>
        <v>-0.85000000000000009</v>
        <stp/>
        <stp>128013.SZ</stp>
        <stp>PctChg</stp>
        <stp>RT_Price</stp>
        <tr r="H170" s="2"/>
      </tp>
      <tp>
        <v>-3.2</v>
        <stp/>
        <stp>128014.SZ</stp>
        <stp>PctChg</stp>
        <stp>RT_Price</stp>
        <tr r="H246" s="2"/>
      </tp>
      <tp>
        <v>0.04</v>
        <stp/>
        <stp>128015.SZ</stp>
        <stp>PctChg</stp>
        <stp>RT_Price</stp>
        <tr r="H198" s="2"/>
      </tp>
      <tp>
        <v>-2.69</v>
        <stp/>
        <stp>128017.SZ</stp>
        <stp>PctChg</stp>
        <stp>RT_Price</stp>
        <tr r="H85" s="2"/>
      </tp>
      <tp>
        <v>-4.8100000000000005</v>
        <stp/>
        <stp>128018.SZ</stp>
        <stp>PctChg</stp>
        <stp>RT_Price</stp>
        <tr r="H360" s="2"/>
      </tp>
      <tp>
        <v>-0.77</v>
        <stp/>
        <stp>128062.SZ</stp>
        <stp>PctChg</stp>
        <stp>RT_Price</stp>
        <tr r="H47" s="2"/>
      </tp>
      <tp>
        <v>-0.89</v>
        <stp/>
        <stp>128063.SZ</stp>
        <stp>PctChg</stp>
        <stp>RT_Price</stp>
        <tr r="H107" s="2"/>
      </tp>
      <tp>
        <v>0.26</v>
        <stp/>
        <stp>128066.SZ</stp>
        <stp>PctChg</stp>
        <stp>RT_Price</stp>
        <tr r="H177" s="2"/>
      </tp>
      <tp>
        <v>1.1300000000000001</v>
        <stp/>
        <stp>128069.SZ</stp>
        <stp>PctChg</stp>
        <stp>RT_Price</stp>
        <tr r="H51" s="2"/>
      </tp>
      <tp>
        <v>-0.53</v>
        <stp/>
        <stp>128070.SZ</stp>
        <stp>PctChg</stp>
        <stp>RT_Price</stp>
        <tr r="H222" s="2"/>
      </tp>
      <tp>
        <v>-0.5</v>
        <stp/>
        <stp>128071.SZ</stp>
        <stp>PctChg</stp>
        <stp>RT_Price</stp>
        <tr r="H109" s="2"/>
      </tp>
      <tp>
        <v>-0.59</v>
        <stp/>
        <stp>128072.SZ</stp>
        <stp>PctChg</stp>
        <stp>RT_Price</stp>
        <tr r="H19" s="2"/>
      </tp>
      <tp>
        <v>-0.37</v>
        <stp/>
        <stp>128073.SZ</stp>
        <stp>PctChg</stp>
        <stp>RT_Price</stp>
        <tr r="H105" s="2"/>
      </tp>
      <tp>
        <v>6.9999999999999993E-2</v>
        <stp/>
        <stp>128074.SZ</stp>
        <stp>PctChg</stp>
        <stp>RT_Price</stp>
        <tr r="H373" s="2"/>
      </tp>
      <tp>
        <v>-1.55</v>
        <stp/>
        <stp>128075.SZ</stp>
        <stp>PctChg</stp>
        <stp>RT_Price</stp>
        <tr r="H126" s="2"/>
      </tp>
      <tp>
        <v>-1.52</v>
        <stp/>
        <stp>128076.SZ</stp>
        <stp>PctChg</stp>
        <stp>RT_Price</stp>
        <tr r="H229" s="2"/>
      </tp>
      <tp>
        <v>-1.4000000000000001</v>
        <stp/>
        <stp>128078.SZ</stp>
        <stp>PctChg</stp>
        <stp>RT_Price</stp>
        <tr r="H196" s="2"/>
      </tp>
      <tp>
        <v>-0.36000000000000004</v>
        <stp/>
        <stp>128079.SZ</stp>
        <stp>PctChg</stp>
        <stp>RT_Price</stp>
        <tr r="H111" s="2"/>
      </tp>
      <tp>
        <v>1.1000000000000001</v>
        <stp/>
        <stp>128040.SZ</stp>
        <stp>PctChg</stp>
        <stp>RT_Price</stp>
        <tr r="H53" s="2"/>
      </tp>
      <tp>
        <v>-0.78</v>
        <stp/>
        <stp>128041.SZ</stp>
        <stp>PctChg</stp>
        <stp>RT_Price</stp>
        <tr r="H79" s="2"/>
      </tp>
      <tp>
        <v>-0.98</v>
        <stp/>
        <stp>128042.SZ</stp>
        <stp>PctChg</stp>
        <stp>RT_Price</stp>
        <tr r="H365" s="2"/>
      </tp>
      <tp>
        <v>0.05</v>
        <stp/>
        <stp>128044.SZ</stp>
        <stp>PctChg</stp>
        <stp>RT_Price</stp>
        <tr r="H167" s="2"/>
      </tp>
      <tp>
        <v>-7.42</v>
        <stp/>
        <stp>128046.SZ</stp>
        <stp>PctChg</stp>
        <stp>RT_Price</stp>
        <tr r="H238" s="2"/>
      </tp>
      <tp>
        <v>-0.61</v>
        <stp/>
        <stp>128048.SZ</stp>
        <stp>PctChg</stp>
        <stp>RT_Price</stp>
        <tr r="H29" s="2"/>
      </tp>
      <tp>
        <v>0.38</v>
        <stp/>
        <stp>128049.SZ</stp>
        <stp>PctChg</stp>
        <stp>RT_Price</stp>
        <tr r="H108" s="2"/>
      </tp>
      <tp>
        <v>4.53</v>
        <stp/>
        <stp>128050.SZ</stp>
        <stp>PctChg</stp>
        <stp>RT_Price</stp>
        <tr r="H140" s="2"/>
      </tp>
      <tp>
        <v>0</v>
        <stp/>
        <stp>128051.SZ</stp>
        <stp>PctChg</stp>
        <stp>RT_Price</stp>
        <tr r="H273" s="2"/>
      </tp>
      <tp>
        <v>0.3</v>
        <stp/>
        <stp>128053.SZ</stp>
        <stp>PctChg</stp>
        <stp>RT_Price</stp>
        <tr r="H68" s="2"/>
      </tp>
      <tp>
        <v>0.96000000000000008</v>
        <stp/>
        <stp>128056.SZ</stp>
        <stp>PctChg</stp>
        <stp>RT_Price</stp>
        <tr r="H133" s="2"/>
      </tp>
      <tp>
        <v>-2.79</v>
        <stp/>
        <stp>128057.SZ</stp>
        <stp>PctChg</stp>
        <stp>RT_Price</stp>
        <tr r="H207" s="2"/>
      </tp>
      <tp>
        <v>-1.79</v>
        <stp/>
        <stp>128081.SZ</stp>
        <stp>PctChg</stp>
        <stp>RT_Price</stp>
        <tr r="H16" s="2"/>
      </tp>
      <tp>
        <v>-3.16</v>
        <stp/>
        <stp>128082.SZ</stp>
        <stp>PctChg</stp>
        <stp>RT_Price</stp>
        <tr r="H21" s="2"/>
      </tp>
      <tp>
        <v>0.01</v>
        <stp/>
        <stp>128083.SZ</stp>
        <stp>PctChg</stp>
        <stp>RT_Price</stp>
        <tr r="H203" s="2"/>
      </tp>
      <tp>
        <v>-9.1900000000000013</v>
        <stp/>
        <stp>128085.SZ</stp>
        <stp>PctChg</stp>
        <stp>RT_Price</stp>
        <tr r="H239" s="2"/>
      </tp>
      <tp>
        <v>-3.0000000000000002E-2</v>
        <stp/>
        <stp>128087.SZ</stp>
        <stp>PctChg</stp>
        <stp>RT_Price</stp>
        <tr r="H314" s="2"/>
      </tp>
      <tp>
        <v>-0.63</v>
        <stp/>
        <stp>128090.SZ</stp>
        <stp>PctChg</stp>
        <stp>RT_Price</stp>
        <tr r="H138" s="2"/>
      </tp>
      <tp>
        <v>0.96000000000000008</v>
        <stp/>
        <stp>128091.SZ</stp>
        <stp>PctChg</stp>
        <stp>RT_Price</stp>
        <tr r="H70" s="2"/>
      </tp>
      <tp>
        <v>-5.67</v>
        <stp/>
        <stp>128093.SZ</stp>
        <stp>PctChg</stp>
        <stp>RT_Price</stp>
        <tr r="H261" s="2"/>
      </tp>
      <tp>
        <v>-1.95</v>
        <stp/>
        <stp>128094.SZ</stp>
        <stp>PctChg</stp>
        <stp>RT_Price</stp>
        <tr r="H189" s="2"/>
      </tp>
      <tp>
        <v>-1.52</v>
        <stp/>
        <stp>128095.SZ</stp>
        <stp>PctChg</stp>
        <stp>RT_Price</stp>
        <tr r="H243" s="2"/>
      </tp>
      <tp>
        <v>-1.73</v>
        <stp/>
        <stp>128096.SZ</stp>
        <stp>PctChg</stp>
        <stp>RT_Price</stp>
        <tr r="H115" s="2"/>
      </tp>
      <tp>
        <v>0.2</v>
        <stp/>
        <stp>128097.SZ</stp>
        <stp>PctChg</stp>
        <stp>RT_Price</stp>
        <tr r="H187" s="2"/>
      </tp>
      <tp>
        <v>0.48000000000000004</v>
        <stp/>
        <stp>118002.SH</stp>
        <stp>PctChg</stp>
        <stp>RT_Price</stp>
        <tr r="H367" s="2"/>
      </tp>
      <tp>
        <v>0.21000000000000002</v>
        <stp/>
        <stp>118001.SH</stp>
        <stp>PctChg</stp>
        <stp>RT_Price</stp>
        <tr r="H23" s="2"/>
      </tp>
      <tp>
        <v>1.7400000000000002</v>
        <stp/>
        <stp>118000.SH</stp>
        <stp>PctChg</stp>
        <stp>RT_Price</stp>
        <tr r="H8" s="2"/>
      </tp>
      <tp>
        <v>20023028</v>
        <stp/>
        <stp>128119.SZ</stp>
        <stp>Amount</stp>
        <stp>Dirty_Price</stp>
        <tr r="K88" s="2"/>
      </tp>
      <tp>
        <v>66497430</v>
        <stp/>
        <stp>128109.SZ</stp>
        <stp>Amount</stp>
        <stp>Dirty_Price</stp>
        <tr r="K12" s="2"/>
      </tp>
      <tp>
        <v>36934837</v>
        <stp/>
        <stp>128129.SZ</stp>
        <stp>Amount</stp>
        <stp>Dirty_Price</stp>
        <tr r="K38" s="2"/>
      </tp>
      <tp>
        <v>10413810</v>
        <stp/>
        <stp>128039.SZ</stp>
        <stp>Amount</stp>
        <stp>Dirty_Price</stp>
        <tr r="K259" s="2"/>
      </tp>
      <tp>
        <v>940347507</v>
        <stp/>
        <stp>128029.SZ</stp>
        <stp>Amount</stp>
        <stp>Dirty_Price</stp>
        <tr r="K98" s="2"/>
      </tp>
      <tp>
        <v>3493903</v>
        <stp/>
        <stp>128049.SZ</stp>
        <stp>Amount</stp>
        <stp>Dirty_Price</stp>
        <tr r="K108" s="2"/>
      </tp>
      <tp>
        <v>9988990</v>
        <stp/>
        <stp>128079.SZ</stp>
        <stp>Amount</stp>
        <stp>Dirty_Price</stp>
        <tr r="K111" s="2"/>
      </tp>
      <tp>
        <v>9664552</v>
        <stp/>
        <stp>128069.SZ</stp>
        <stp>Amount</stp>
        <stp>Dirty_Price</stp>
        <tr r="K51" s="2"/>
      </tp>
      <tp>
        <v>17658249</v>
        <stp/>
        <stp>127019.SZ</stp>
        <stp>Amount</stp>
        <stp>Dirty_Price</stp>
        <tr r="K13" s="2"/>
      </tp>
      <tp>
        <v>31041874</v>
        <stp/>
        <stp>127039.SZ</stp>
        <stp>Amount</stp>
        <stp>Dirty_Price</stp>
        <tr r="K157" s="2"/>
      </tp>
      <tp>
        <v>182007037</v>
        <stp/>
        <stp>127029.SZ</stp>
        <stp>Amount</stp>
        <stp>Dirty_Price</stp>
        <tr r="K159" s="2"/>
      </tp>
      <tp>
        <v>64481062</v>
        <stp/>
        <stp>123119.SZ</stp>
        <stp>Amount</stp>
        <stp>Dirty_Price</stp>
        <tr r="K59" s="2"/>
      </tp>
      <tp>
        <v>10898463</v>
        <stp/>
        <stp>123109.SZ</stp>
        <stp>Amount</stp>
        <stp>Dirty_Price</stp>
        <tr r="K218" s="2"/>
      </tp>
      <tp>
        <v>75174829</v>
        <stp/>
        <stp>123099.SZ</stp>
        <stp>Amount</stp>
        <stp>Dirty_Price</stp>
        <tr r="K71" s="2"/>
      </tp>
      <tp>
        <v>8949351177</v>
        <stp/>
        <stp>123089.SZ</stp>
        <stp>Amount</stp>
        <stp>Dirty_Price</stp>
        <tr r="K357" s="2"/>
      </tp>
      <tp>
        <v>2885509</v>
        <stp/>
        <stp>123039.SZ</stp>
        <stp>Amount</stp>
        <stp>Dirty_Price</stp>
        <tr r="K320" s="2"/>
      </tp>
      <tp>
        <v>0</v>
        <stp/>
        <stp>123029.SZ</stp>
        <stp>Amount</stp>
        <stp>Dirty_Price</stp>
        <tr r="K57" s="2"/>
      </tp>
      <tp>
        <v>11548228</v>
        <stp/>
        <stp>123059.SZ</stp>
        <stp>Amount</stp>
        <stp>Dirty_Price</stp>
        <tr r="K206" s="2"/>
      </tp>
      <tp>
        <v>4580847</v>
        <stp/>
        <stp>123049.SZ</stp>
        <stp>Amount</stp>
        <stp>Dirty_Price</stp>
        <tr r="K287" s="2"/>
      </tp>
      <tp>
        <v>0</v>
        <stp/>
        <stp>123079.SZ</stp>
        <stp>Amount</stp>
        <stp>Dirty_Price</stp>
        <tr r="K371" s="2"/>
      </tp>
      <tp>
        <v>868051305</v>
        <stp/>
        <stp>123069.SZ</stp>
        <stp>Amount</stp>
        <stp>Dirty_Price</stp>
        <tr r="K237" s="2"/>
      </tp>
      <tp>
        <v>29.3</v>
        <stp/>
        <stp>603348.SH</stp>
        <stp>LastPrice</stp>
        <tr r="G123" s="2"/>
      </tp>
      <tp>
        <v>95.9</v>
        <stp/>
        <stp>600745.SH</stp>
        <stp>LastPrice</stp>
        <tr r="G336" s="2"/>
      </tp>
      <tp>
        <v>54.4</v>
        <stp/>
        <stp>603650.SH</stp>
        <stp>LastPrice</stp>
        <tr r="G244" s="2"/>
      </tp>
      <tp>
        <v>16.440000000000001</v>
        <stp/>
        <stp>603055.SH</stp>
        <stp>LastPrice</stp>
        <tr r="G322" s="2"/>
      </tp>
      <tp>
        <v>8.76</v>
        <stp/>
        <stp>600755.SH</stp>
        <stp>LastPrice</stp>
        <tr r="G91" s="2"/>
      </tp>
      <tp>
        <v>4.68</v>
        <stp/>
        <stp>603557.SH</stp>
        <stp>LastPrice</stp>
        <tr r="G315" s="2"/>
      </tp>
      <tp>
        <v>16.95</v>
        <stp/>
        <stp>603956.SH</stp>
        <stp>LastPrice</stp>
        <tr r="G213" s="2"/>
      </tp>
      <tp>
        <v>7.22</v>
        <stp/>
        <stp>603569.SH</stp>
        <stp>LastPrice</stp>
        <tr r="G155" s="2"/>
      </tp>
      <tp>
        <v>8.34</v>
        <stp/>
        <stp>603669.SH</stp>
        <stp>LastPrice</stp>
        <tr r="G67" s="2"/>
      </tp>
      <tp>
        <v>28.91</v>
        <stp/>
        <stp>603568.SH</stp>
        <stp>LastPrice</stp>
        <tr r="G301" s="2"/>
      </tp>
      <tp>
        <v>16.8</v>
        <stp/>
        <stp>603368.SH</stp>
        <stp>LastPrice</stp>
        <tr r="G63" s="2"/>
      </tp>
      <tp>
        <v>12.51</v>
        <stp/>
        <stp>603861.SH</stp>
        <stp>LastPrice</stp>
        <tr r="G358" s="2"/>
      </tp>
      <tp>
        <v>8.7900000000000009</v>
        <stp/>
        <stp>600461.SH</stp>
        <stp>LastPrice</stp>
        <tr r="G285" s="2"/>
      </tp>
      <tp>
        <v>9.11</v>
        <stp/>
        <stp>600061.SH</stp>
        <stp>LastPrice</stp>
        <tr r="G305" s="2"/>
      </tp>
      <tp>
        <v>6.7</v>
        <stp/>
        <stp>603660.SH</stp>
        <stp>LastPrice</stp>
        <tr r="G197" s="2"/>
      </tp>
      <tp>
        <v>3.3000000000000003</v>
        <stp/>
        <stp>601860.SH</stp>
        <stp>LastPrice</stp>
        <tr r="G31" s="2"/>
      </tp>
      <tp>
        <v>20.97</v>
        <stp/>
        <stp>603663.SH</stp>
        <stp>LastPrice</stp>
        <tr r="G18" s="2"/>
      </tp>
      <tp>
        <v>8.5400000000000009</v>
        <stp/>
        <stp>603363.SH</stp>
        <stp>LastPrice</stp>
        <tr r="G149" s="2"/>
      </tp>
      <tp>
        <v>4.32</v>
        <stp/>
        <stp>600863.SH</stp>
        <stp>LastPrice</stp>
        <tr r="G281" s="2"/>
      </tp>
      <tp>
        <v>16.190000000000001</v>
        <stp/>
        <stp>603665.SH</stp>
        <stp>LastPrice</stp>
        <tr r="G311" s="2"/>
      </tp>
      <tp>
        <v>13.76</v>
        <stp/>
        <stp>603165.SH</stp>
        <stp>LastPrice</stp>
        <tr r="G102" s="2"/>
      </tp>
      <tp>
        <v>18.54</v>
        <stp/>
        <stp>603667.SH</stp>
        <stp>LastPrice</stp>
        <tr r="G235" s="2"/>
      </tp>
      <tp>
        <v>3.73</v>
        <stp/>
        <stp>600567.SH</stp>
        <stp>LastPrice</stp>
        <tr r="G101" s="2"/>
        <tr r="G100" s="2"/>
      </tp>
      <tp>
        <v>8.94</v>
        <stp/>
        <stp>603966.SH</stp>
        <stp>LastPrice</stp>
        <tr r="G223" s="2"/>
      </tp>
      <tp>
        <v>17.100000000000001</v>
        <stp/>
        <stp>600566.SH</stp>
        <stp>LastPrice</stp>
        <tr r="G62" s="2"/>
      </tp>
      <tp>
        <v>6.29</v>
        <stp/>
        <stp>601366.SH</stp>
        <stp>LastPrice</stp>
        <tr r="G93" s="2"/>
      </tp>
      <tp>
        <v>22.25</v>
        <stp/>
        <stp>603979.SH</stp>
        <stp>LastPrice</stp>
        <tr r="G379" s="2"/>
      </tp>
      <tp>
        <v>28.79</v>
        <stp/>
        <stp>603579.SH</stp>
        <stp>LastPrice</stp>
        <tr r="G190" s="2"/>
      </tp>
      <tp>
        <v>14.870000000000001</v>
        <stp/>
        <stp>603679.SH</stp>
        <stp>LastPrice</stp>
        <tr r="G333" s="2"/>
      </tp>
      <tp>
        <v>27.76</v>
        <stp/>
        <stp>603978.SH</stp>
        <stp>LastPrice</stp>
        <tr r="G20" s="2"/>
      </tp>
      <tp>
        <v>15.43</v>
        <stp/>
        <stp>603578.SH</stp>
        <stp>LastPrice</stp>
        <tr r="G188" s="2"/>
      </tp>
      <tp>
        <v>72.010000000000005</v>
        <stp/>
        <stp>603678.SH</stp>
        <stp>LastPrice</stp>
        <tr r="G275" s="2"/>
      </tp>
      <tp>
        <v>10.56</v>
        <stp/>
        <stp>603278.SH</stp>
        <stp>LastPrice</stp>
        <tr r="G215" s="2"/>
      </tp>
      <tp>
        <v>11.92</v>
        <stp/>
        <stp>601678.SH</stp>
        <stp>LastPrice</stp>
        <tr r="G247" s="2"/>
      </tp>
      <tp>
        <v>10.130000000000001</v>
        <stp/>
        <stp>601778.SH</stp>
        <stp>LastPrice</stp>
        <tr r="G292" s="2"/>
      </tp>
      <tp>
        <v>17.11</v>
        <stp/>
        <stp>603871.SH</stp>
        <stp>LastPrice</stp>
        <tr r="G156" s="2"/>
      </tp>
      <tp>
        <v>13.55</v>
        <stp/>
        <stp>600674.SH</stp>
        <stp>LastPrice</stp>
        <tr r="G283" s="2"/>
      </tp>
      <tp>
        <v>40.65</v>
        <stp/>
        <stp>603877.SH</stp>
        <stp>LastPrice</stp>
        <tr r="G318" s="2"/>
      </tp>
      <tp>
        <v>11.47</v>
        <stp/>
        <stp>603677.SH</stp>
        <stp>LastPrice</stp>
        <tr r="G193" s="2"/>
      </tp>
      <tp>
        <v>8.07</v>
        <stp/>
        <stp>603377.SH</stp>
        <stp>LastPrice</stp>
        <tr r="G132" s="2"/>
      </tp>
      <tp>
        <v>7.4</v>
        <stp/>
        <stp>600577.SH</stp>
        <stp>LastPrice</stp>
        <tr r="G352" s="2"/>
      </tp>
      <tp>
        <v>33.840000000000003</v>
        <stp/>
        <stp>601677.SH</stp>
        <stp>LastPrice</stp>
        <tr r="G9" s="2"/>
      </tp>
      <tp>
        <v>42.75</v>
        <stp/>
        <stp>603876.SH</stp>
        <stp>LastPrice</stp>
        <tr r="G17" s="2"/>
      </tp>
      <tp>
        <v>31</v>
        <stp/>
        <stp>603976.SH</stp>
        <stp>LastPrice</stp>
        <tr r="G56" s="2"/>
      </tp>
      <tp>
        <v>16.23</v>
        <stp/>
        <stp>603776.SH</stp>
        <stp>LastPrice</stp>
        <tr r="G129" s="2"/>
      </tp>
      <tp>
        <v>5.53</v>
        <stp/>
        <stp>600909.SH</stp>
        <stp>LastPrice</stp>
        <tr r="G306" s="2"/>
      </tp>
      <tp>
        <v>8.75</v>
        <stp/>
        <stp>601609.SH</stp>
        <stp>LastPrice</stp>
        <tr r="G10" s="2"/>
      </tp>
      <tp>
        <v>8.98</v>
        <stp/>
        <stp>601009.SH</stp>
        <stp>LastPrice</stp>
        <tr r="G35" s="2"/>
      </tp>
      <tp>
        <v>5.86</v>
        <stp/>
        <stp>603608.SH</stp>
        <stp>LastPrice</stp>
        <tr r="G319" s="2"/>
      </tp>
      <tp>
        <v>15.33</v>
        <stp/>
        <stp>603708.SH</stp>
        <stp>LastPrice</stp>
        <tr r="G92" s="2"/>
      </tp>
      <tp>
        <v>10.56</v>
        <stp/>
        <stp>603108.SH</stp>
        <stp>LastPrice</stp>
        <tr r="G48" s="2"/>
      </tp>
      <tp>
        <v>62</v>
        <stp/>
        <stp>603208.SH</stp>
        <stp>LastPrice</stp>
        <tr r="G112" s="2"/>
      </tp>
      <tp>
        <v>5.93</v>
        <stp/>
        <stp>600908.SH</stp>
        <stp>LastPrice</stp>
        <tr r="G30" s="2"/>
      </tp>
      <tp>
        <v>10.81</v>
        <stp/>
        <stp>601108.SH</stp>
        <stp>LastPrice</stp>
        <tr r="G307" s="2"/>
      </tp>
      <tp>
        <v>239.8</v>
        <stp/>
        <stp>603501.SH</stp>
        <stp>LastPrice</stp>
        <tr r="G345" s="2"/>
      </tp>
      <tp>
        <v>9.02</v>
        <stp/>
        <stp>600000.SH</stp>
        <stp>LastPrice</stp>
        <tr r="G37" s="2"/>
      </tp>
      <tp>
        <v>9.92</v>
        <stp/>
        <stp>603602.SH</stp>
        <stp>LastPrice</stp>
        <tr r="G84" s="2"/>
      </tp>
      <tp>
        <v>3.79</v>
        <stp/>
        <stp>600105.SH</stp>
        <stp>LastPrice</stp>
        <tr r="G80" s="2"/>
      </tp>
      <tp>
        <v>31.400000000000002</v>
        <stp/>
        <stp>603707.SH</stp>
        <stp>LastPrice</stp>
        <tr r="G46" s="2"/>
        <tr r="G52" s="2"/>
      </tp>
      <tp>
        <v>3.21</v>
        <stp/>
        <stp>603007.SH</stp>
        <stp>LastPrice</stp>
        <tr r="G163" s="2"/>
      </tp>
      <tp>
        <v>30.6</v>
        <stp/>
        <stp>603606.SH</stp>
        <stp>LastPrice</stp>
        <tr r="G355" s="2"/>
      </tp>
      <tp>
        <v>6.25</v>
        <stp/>
        <stp>601006.SH</stp>
        <stp>LastPrice</stp>
        <tr r="G152" s="2"/>
      </tp>
      <tp>
        <v>5.62</v>
        <stp/>
        <stp>600919.SH</stp>
        <stp>LastPrice</stp>
        <tr r="G33" s="2"/>
      </tp>
      <tp>
        <v>6.26</v>
        <stp/>
        <stp>601619.SH</stp>
        <stp>LastPrice</stp>
        <tr r="G282" s="2"/>
      </tp>
      <tp>
        <v>15.860000000000001</v>
        <stp/>
        <stp>603518.SH</stp>
        <stp>LastPrice</stp>
        <tr r="G321" s="2"/>
      </tp>
      <tp>
        <v>7.25</v>
        <stp/>
        <stp>603618.SH</stp>
        <stp>LastPrice</stp>
        <tr r="G359" s="2"/>
      </tp>
      <tp>
        <v>3.36</v>
        <stp/>
        <stp>601818.SH</stp>
        <stp>LastPrice</stp>
        <tr r="G26" s="2"/>
      </tp>
      <tp>
        <v>12.870000000000001</v>
        <stp/>
        <stp>600711.SH</stp>
        <stp>LastPrice</stp>
        <tr r="G7" s="2"/>
      </tp>
      <tp>
        <v>10.97</v>
        <stp/>
        <stp>601611.SH</stp>
        <stp>LastPrice</stp>
        <tr r="G179" s="2"/>
      </tp>
      <tp>
        <v>18.53</v>
        <stp/>
        <stp>601211.SH</stp>
        <stp>LastPrice</stp>
        <tr r="G308" s="2"/>
      </tp>
      <tp>
        <v>18.62</v>
        <stp/>
        <stp>603113.SH</stp>
        <stp>LastPrice</stp>
        <tr r="G378" s="2"/>
      </tp>
      <tp>
        <v>15.8</v>
        <stp/>
        <stp>603912.SH</stp>
        <stp>LastPrice</stp>
        <tr r="G216" s="2"/>
      </tp>
      <tp>
        <v>7.8900000000000006</v>
        <stp/>
        <stp>601515.SH</stp>
        <stp>LastPrice</stp>
        <tr r="G96" s="2"/>
      </tp>
      <tp>
        <v>6.07</v>
        <stp/>
        <stp>603817.SH</stp>
        <stp>LastPrice</stp>
        <tr r="G299" s="2"/>
      </tp>
      <tp>
        <v>10.39</v>
        <stp/>
        <stp>603617.SH</stp>
        <stp>LastPrice</stp>
        <tr r="G220" s="2"/>
      </tp>
      <tp>
        <v>18.39</v>
        <stp/>
        <stp>603516.SH</stp>
        <stp>LastPrice</stp>
        <tr r="G202" s="2"/>
      </tp>
      <tp>
        <v>11</v>
        <stp/>
        <stp>603716.SH</stp>
        <stp>LastPrice</stp>
        <tr r="G66" s="2"/>
      </tp>
      <tp>
        <v>6.93</v>
        <stp/>
        <stp>601016.SH</stp>
        <stp>LastPrice</stp>
        <tr r="G293" s="2"/>
      </tp>
      <tp>
        <v>7.78</v>
        <stp/>
        <stp>600929.SH</stp>
        <stp>LastPrice</stp>
        <tr r="G248" s="2"/>
      </tp>
      <tp>
        <v>5.82</v>
        <stp/>
        <stp>600029.SH</stp>
        <stp>LastPrice</stp>
        <tr r="G153" s="2"/>
      </tp>
      <tp>
        <v>1.99</v>
        <stp/>
        <stp>601929.SH</stp>
        <stp>LastPrice</stp>
        <tr r="G377" s="2"/>
      </tp>
      <tp>
        <v>7.25</v>
        <stp/>
        <stp>601229.SH</stp>
        <stp>LastPrice</stp>
        <tr r="G32" s="2"/>
      </tp>
      <tp>
        <v>7.13</v>
        <stp/>
        <stp>603528.SH</stp>
        <stp>LastPrice</stp>
        <tr r="G201" s="2"/>
      </tp>
      <tp>
        <v>25.03</v>
        <stp/>
        <stp>603228.SH</stp>
        <stp>LastPrice</stp>
        <tr r="G331" s="2"/>
      </tp>
      <tp>
        <v>17.54</v>
        <stp/>
        <stp>600521.SH</stp>
        <stp>LastPrice</stp>
        <tr r="G49" s="2"/>
      </tp>
      <tp>
        <v>13.31</v>
        <stp/>
        <stp>603920.SH</stp>
        <stp>LastPrice</stp>
        <tr r="G325" s="2"/>
      </tp>
      <tp>
        <v>13.52</v>
        <stp/>
        <stp>603320.SH</stp>
        <stp>LastPrice</stp>
        <tr r="G369" s="2"/>
      </tp>
      <tp>
        <v>10.06</v>
        <stp/>
        <stp>600420.SH</stp>
        <stp>LastPrice</stp>
        <tr r="G42" s="2"/>
      </tp>
      <tp>
        <v>14.65</v>
        <stp/>
        <stp>601020.SH</stp>
        <stp>LastPrice</stp>
        <tr r="G11" s="2"/>
      </tp>
      <tp>
        <v>5.18</v>
        <stp/>
        <stp>603323.SH</stp>
        <stp>LastPrice</stp>
        <tr r="G27" s="2"/>
      </tp>
      <tp>
        <v>22.19</v>
        <stp/>
        <stp>605222.SH</stp>
        <stp>LastPrice</stp>
        <tr r="G366" s="2"/>
      </tp>
      <tp>
        <v>55.2</v>
        <stp/>
        <stp>603822.SH</stp>
        <stp>LastPrice</stp>
        <tr r="G271" s="2"/>
      </tp>
      <tp>
        <v>8.92</v>
        <stp/>
        <stp>600522.SH</stp>
        <stp>LastPrice</stp>
        <tr r="G81" s="2"/>
      </tp>
      <tp>
        <v>12.86</v>
        <stp/>
        <stp>601222.SH</stp>
        <stp>LastPrice</stp>
        <tr r="G370" s="2"/>
      </tp>
      <tp>
        <v>19.43</v>
        <stp/>
        <stp>603225.SH</stp>
        <stp>LastPrice</stp>
        <tr r="G262" s="2"/>
      </tp>
      <tp>
        <v>69.400000000000006</v>
        <stp/>
        <stp>601127.SH</stp>
        <stp>LastPrice</stp>
        <tr r="G117" s="2"/>
      </tp>
      <tp>
        <v>14.790000000000001</v>
        <stp/>
        <stp>600926.SH</stp>
        <stp>LastPrice</stp>
        <tr r="G25" s="2"/>
      </tp>
      <tp>
        <v>6.91</v>
        <stp/>
        <stp>600326.SH</stp>
        <stp>LastPrice</stp>
        <tr r="G181" s="2"/>
      </tp>
      <tp>
        <v>3.71</v>
        <stp/>
        <stp>600939.SH</stp>
        <stp>LastPrice</stp>
        <tr r="G172" s="2"/>
      </tp>
      <tp>
        <v>36.36</v>
        <stp/>
        <stp>603538.SH</stp>
        <stp>LastPrice</stp>
        <tr r="G55" s="2"/>
      </tp>
      <tp>
        <v>16.580000000000002</v>
        <stp/>
        <stp>601238.SH</stp>
        <stp>LastPrice</stp>
        <tr r="G118" s="2"/>
      </tp>
      <tp>
        <v>20.73</v>
        <stp/>
        <stp>603131.SH</stp>
        <stp>LastPrice</stp>
        <tr r="G217" s="2"/>
      </tp>
      <tp>
        <v>11.51</v>
        <stp/>
        <stp>603331.SH</stp>
        <stp>LastPrice</stp>
        <tr r="G230" s="2"/>
      </tp>
      <tp>
        <v>5.58</v>
        <stp/>
        <stp>600831.SH</stp>
        <stp>LastPrice</stp>
        <tr r="G374" s="2"/>
      </tp>
      <tp>
        <v>3.47</v>
        <stp/>
        <stp>600231.SH</stp>
        <stp>LastPrice</stp>
        <tr r="G303" s="2"/>
      </tp>
      <tp>
        <v>14.35</v>
        <stp/>
        <stp>601231.SH</stp>
        <stp>LastPrice</stp>
        <tr r="G332" s="2"/>
      </tp>
      <tp>
        <v>3.54</v>
        <stp/>
        <stp>603030.SH</stp>
        <stp>LastPrice</stp>
        <tr r="G166" s="2"/>
      </tp>
      <tp>
        <v>42.47</v>
        <stp/>
        <stp>603233.SH</stp>
        <stp>LastPrice</stp>
        <tr r="G40" s="2"/>
      </tp>
      <tp>
        <v>5.94</v>
        <stp/>
        <stp>600133.SH</stp>
        <stp>LastPrice</stp>
        <tr r="G175" s="2"/>
      </tp>
      <tp>
        <v>54.4</v>
        <stp/>
        <stp>601633.SH</stp>
        <stp>LastPrice</stp>
        <tr r="G134" s="2"/>
      </tp>
      <tp>
        <v>12.72</v>
        <stp/>
        <stp>603035.SH</stp>
        <stp>LastPrice</stp>
        <tr r="G119" s="2"/>
      </tp>
      <tp>
        <v>6.84</v>
        <stp/>
        <stp>603336.SH</stp>
        <stp>LastPrice</stp>
        <tr r="G145" s="2"/>
      </tp>
      <tp>
        <v>18.309999999999999</v>
        <stp/>
        <stp>601636.SH</stp>
        <stp>LastPrice</stp>
        <tr r="G184" s="2"/>
      </tp>
      <tp>
        <v>32.07</v>
        <stp/>
        <stp>603989.SH</stp>
        <stp>LastPrice</stp>
        <tr r="G323" s="2"/>
      </tp>
      <tp>
        <v>8.36</v>
        <stp/>
        <stp>603089.SH</stp>
        <stp>LastPrice</stp>
        <tr r="G131" s="2"/>
      </tp>
      <tp>
        <v>4.01</v>
        <stp/>
        <stp>601789.SH</stp>
        <stp>LastPrice</stp>
        <tr r="G161" s="2"/>
      </tp>
      <tp>
        <v>40.4</v>
        <stp/>
        <stp>603688.SH</stp>
        <stp>LastPrice</stp>
        <tr r="G22" s="2"/>
      </tp>
      <tp>
        <v>9.51</v>
        <stp/>
        <stp>600388.SH</stp>
        <stp>LastPrice</stp>
        <tr r="G219" s="2"/>
      </tp>
      <tp>
        <v>34.56</v>
        <stp/>
        <stp>603681.SH</stp>
        <stp>LastPrice</stp>
        <tr r="G241" s="2"/>
      </tp>
      <tp>
        <v>11.72</v>
        <stp/>
        <stp>603081.SH</stp>
        <stp>LastPrice</stp>
        <tr r="G178" s="2"/>
      </tp>
      <tp>
        <v>137.20000000000002</v>
        <stp/>
        <stp>688388.SH</stp>
        <stp>LastPrice</stp>
        <tr r="G8" s="2"/>
      </tp>
      <tp>
        <v>17.650000000000002</v>
        <stp/>
        <stp>600483.SH</stp>
        <stp>LastPrice</stp>
        <tr r="G284" s="2"/>
      </tp>
      <tp>
        <v>12.040000000000001</v>
        <stp/>
        <stp>603685.SH</stp>
        <stp>LastPrice</stp>
        <tr r="G337" s="2"/>
      </tp>
      <tp>
        <v>7.61</v>
        <stp/>
        <stp>601985.SH</stp>
        <stp>LastPrice</stp>
        <tr r="G300" s="2"/>
      </tp>
      <tp>
        <v>8.52</v>
        <stp/>
        <stp>603887.SH</stp>
        <stp>LastPrice</stp>
        <tr r="G162" s="2"/>
      </tp>
      <tp>
        <v>9.18</v>
        <stp/>
        <stp>603687.SH</stp>
        <stp>LastPrice</stp>
        <tr r="G116" s="2"/>
      </tp>
      <tp>
        <v>13.66</v>
        <stp/>
        <stp>600487.SH</stp>
        <stp>LastPrice</stp>
        <tr r="G78" s="2"/>
      </tp>
      <tp>
        <v>7.23</v>
        <stp/>
        <stp>603499.SH</stp>
        <stp>LastPrice</stp>
        <tr r="G104" s="2"/>
      </tp>
      <tp>
        <v>11.9</v>
        <stp/>
        <stp>603898.SH</stp>
        <stp>LastPrice</stp>
        <tr r="G110" s="2"/>
      </tp>
      <tp>
        <v>16.09</v>
        <stp/>
        <stp>603298.SH</stp>
        <stp>LastPrice</stp>
        <tr r="G228" s="2"/>
      </tp>
      <tp>
        <v>16.21</v>
        <stp/>
        <stp>600998.SH</stp>
        <stp>LastPrice</stp>
        <tr r="G72" s="2"/>
      </tp>
      <tp>
        <v>18.05</v>
        <stp/>
        <stp>600498.SH</stp>
        <stp>LastPrice</stp>
        <tr r="G82" s="2"/>
      </tp>
      <tp>
        <v>7.17</v>
        <stp/>
        <stp>600398.SH</stp>
        <stp>LastPrice</stp>
        <tr r="G313" s="2"/>
      </tp>
      <tp>
        <v>4.55</v>
        <stp/>
        <stp>601998.SH</stp>
        <stp>LastPrice</stp>
        <tr r="G34" s="2"/>
      </tp>
      <tp>
        <v>53.480000000000004</v>
        <stp/>
        <stp>688599.SH</stp>
        <stp>LastPrice</stp>
        <tr r="G367" s="2"/>
      </tp>
      <tp>
        <v>360.72</v>
        <stp/>
        <stp>688598.SH</stp>
        <stp>LastPrice</stp>
        <tr r="G23" s="2"/>
      </tp>
      <tp>
        <v>12.27</v>
        <stp/>
        <stp>603890.SH</stp>
        <stp>LastPrice</stp>
        <tr r="G343" s="2"/>
      </tp>
      <tp>
        <v>47.02</v>
        <stp/>
        <stp>603897.SH</stp>
        <stp>LastPrice</stp>
        <tr r="G353" s="2"/>
      </tp>
      <tp>
        <v>7.23</v>
        <stp/>
        <stp>603797.SH</stp>
        <stp>LastPrice</stp>
        <tr r="G280" s="2"/>
      </tp>
      <tp>
        <v>28.54</v>
        <stp/>
        <stp>600197.SH</stp>
        <stp>LastPrice</stp>
        <tr r="G86" s="2"/>
      </tp>
      <tp>
        <v>3.12</v>
        <stp/>
        <stp>600297.SH</stp>
        <stp>LastPrice</stp>
        <tr r="G120" s="2"/>
      </tp>
      <tp>
        <v>40.22</v>
        <stp/>
        <stp>603896.SH</stp>
        <stp>LastPrice</stp>
        <tr r="G65" s="2"/>
      </tp>
      <tp>
        <v>45.38</v>
        <stp/>
        <stp>603596.SH</stp>
        <stp>LastPrice</stp>
        <tr r="G135" s="2"/>
      </tp>
      <tp>
        <v>4.72</v>
        <stp/>
        <stp>600996.SH</stp>
        <stp>LastPrice</stp>
        <tr r="G375" s="2"/>
      </tp>
      <tp>
        <v>7.45</v>
        <stp/>
        <stp>300539.SZ</stp>
        <stp>LastPrice</stp>
        <tr r="G255" s="2"/>
      </tp>
      <tp>
        <v>15.73</v>
        <stp/>
        <stp>300739.SZ</stp>
        <stp>LastPrice</stp>
        <tr r="G349" s="2"/>
      </tp>
      <tp>
        <v>18.7</v>
        <stp/>
        <stp>002408.SZ</stp>
        <stp>LastPrice</stp>
        <tr r="G240" s="2"/>
      </tp>
      <tp>
        <v>41.13</v>
        <stp/>
        <stp>002008.SZ</stp>
        <stp>LastPrice</stp>
        <tr r="G342" s="2"/>
      </tp>
      <tp>
        <v>26.47</v>
        <stp/>
        <stp>300438.SZ</stp>
        <stp>LastPrice</stp>
        <tr r="G354" s="2"/>
      </tp>
      <tp>
        <v>5.96</v>
        <stp/>
        <stp>002701.SZ</stp>
        <stp>LastPrice</stp>
        <tr r="G115" s="2"/>
      </tp>
      <tp>
        <v>13.61</v>
        <stp/>
        <stp>000401.SZ</stp>
        <stp>LastPrice</stp>
        <tr r="G183" s="2"/>
      </tp>
      <tp>
        <v>42.06</v>
        <stp/>
        <stp>300631.SZ</stp>
        <stp>LastPrice</stp>
        <tr r="G289" s="2"/>
      </tp>
      <tp>
        <v>20.7</v>
        <stp/>
        <stp>300031.SZ</stp>
        <stp>LastPrice</stp>
        <tr r="G372" s="2"/>
      </tp>
      <tp>
        <v>8.6</v>
        <stp/>
        <stp>300231.SZ</stp>
        <stp>LastPrice</stp>
        <tr r="G206" s="2"/>
      </tp>
      <tp>
        <v>31.41</v>
        <stp/>
        <stp>000301.SZ</stp>
        <stp>LastPrice</stp>
        <tr r="G242" s="2"/>
      </tp>
      <tp>
        <v>9.17</v>
        <stp/>
        <stp>002100.SZ</stp>
        <stp>LastPrice</stp>
        <tr r="G143" s="2"/>
      </tp>
      <tp>
        <v>44.42</v>
        <stp/>
        <stp>300630.SZ</stp>
        <stp>LastPrice</stp>
        <tr r="G71" s="2"/>
      </tp>
      <tp>
        <v>5.1100000000000003</v>
        <stp/>
        <stp>000700.SZ</stp>
        <stp>LastPrice</stp>
        <tr r="G122" s="2"/>
      </tp>
      <tp>
        <v>1.6</v>
        <stp/>
        <stp>002503.SZ</stp>
        <stp>LastPrice</stp>
        <tr r="G312" s="2"/>
      </tp>
      <tp>
        <v>11.65</v>
        <stp/>
        <stp>002203.SZ</stp>
        <stp>LastPrice</stp>
        <tr r="G16" s="2"/>
      </tp>
      <tp>
        <v>12.030000000000001</v>
        <stp/>
        <stp>000703.SZ</stp>
        <stp>LastPrice</stp>
        <tr r="G245" s="2"/>
      </tp>
      <tp>
        <v>-2.4200000000000004</v>
        <stp/>
        <stp>605222.SH</stp>
        <stp>PctChg</stp>
        <tr r="I366" s="2"/>
      </tp>
      <tp>
        <v>6.08</v>
        <stp/>
        <stp>002002.SZ</stp>
        <stp>LastPrice</stp>
        <tr r="G239" s="2"/>
      </tp>
      <tp>
        <v>19.3</v>
        <stp/>
        <stp>000902.SZ</stp>
        <stp>LastPrice</stp>
        <tr r="G258" s="2"/>
      </tp>
      <tp>
        <v>9.8800000000000008</v>
        <stp/>
        <stp>300532.SZ</stp>
        <stp>LastPrice</stp>
        <tr r="G210" s="2"/>
      </tp>
      <tp>
        <v>8.59</v>
        <stp/>
        <stp>300332.SZ</stp>
        <stp>LastPrice</stp>
        <tr r="G279" s="2"/>
      </tp>
      <tp>
        <v>6.41</v>
        <stp/>
        <stp>300335.SZ</stp>
        <stp>LastPrice</stp>
        <tr r="G291" s="2"/>
      </tp>
      <tp>
        <v>-4.42</v>
        <stp/>
        <stp>603912.SH</stp>
        <stp>PctChg</stp>
        <tr r="I216" s="2"/>
      </tp>
      <tp>
        <v>0.73</v>
        <stp/>
        <stp>603822.SH</stp>
        <stp>PctChg</stp>
        <tr r="I271" s="2"/>
      </tp>
      <tp>
        <v>-1.29</v>
        <stp/>
        <stp>603602.SH</stp>
        <stp>PctChg</stp>
        <tr r="I84" s="2"/>
      </tp>
      <tp>
        <v>-5.75</v>
        <stp/>
        <stp>002842.SZ</stp>
        <stp>PctChg</stp>
        <tr r="I19" s="2"/>
      </tp>
      <tp>
        <v>-1.43</v>
        <stp/>
        <stp>002822.SZ</stp>
        <stp>PctChg</stp>
        <tr r="I176" s="2"/>
      </tp>
      <tp>
        <v>-1.9800000000000002</v>
        <stp/>
        <stp>002832.SZ</stp>
        <stp>PctChg</stp>
        <tr r="I317" s="2"/>
      </tp>
      <tp>
        <v>-0.16</v>
        <stp/>
        <stp>002812.SZ</stp>
        <stp>PctChg</stp>
        <tr r="I243" s="2"/>
      </tp>
      <tp>
        <v>-0.21000000000000002</v>
        <stp/>
        <stp>002382.SZ</stp>
        <stp>PctChg</stp>
        <tr r="I60" s="2"/>
      </tp>
      <tp>
        <v>-2.56</v>
        <stp/>
        <stp>002022.SZ</stp>
        <stp>PctChg</stp>
        <tr r="I45" s="2"/>
      </tp>
      <tp>
        <v>-9.93</v>
        <stp/>
        <stp>002002.SZ</stp>
        <stp>PctChg</stp>
        <tr r="I239" s="2"/>
      </tp>
      <tp>
        <v>1.25</v>
        <stp/>
        <stp>002772.SZ</stp>
        <stp>PctChg</stp>
        <tr r="I151" s="2"/>
      </tp>
      <tp>
        <v>-2.46</v>
        <stp/>
        <stp>002722.SZ</stp>
        <stp>PctChg</stp>
        <tr r="I229" s="2"/>
      </tp>
      <tp>
        <v>2.17</v>
        <stp/>
        <stp>002562.SZ</stp>
        <stp>PctChg</stp>
        <tr r="I256" s="2"/>
      </tp>
      <tp>
        <v>-3.18</v>
        <stp/>
        <stp>002542.SZ</stp>
        <stp>PctChg</stp>
        <tr r="I165" s="2"/>
      </tp>
      <tp>
        <v>3.88</v>
        <stp/>
        <stp>002807.SZ</stp>
        <stp>LastPrice</stp>
        <tr r="G28" s="2"/>
      </tp>
      <tp>
        <v>12</v>
        <stp/>
        <stp>002907.SZ</stp>
        <stp>LastPrice</stp>
        <tr r="G51" s="2"/>
      </tp>
      <tp>
        <v>4.78</v>
        <stp/>
        <stp>002707.SZ</stp>
        <stp>LastPrice</stp>
        <tr r="G77" s="2"/>
      </tp>
      <tp>
        <v>25.39</v>
        <stp/>
        <stp>300437.SZ</stp>
        <stp>LastPrice</stp>
        <tr r="G251" s="2"/>
      </tp>
      <tp>
        <v>0.08</v>
        <stp/>
        <stp>601222.SH</stp>
        <stp>PctChg</stp>
        <tr r="I370" s="2"/>
      </tp>
      <tp>
        <v>14.43</v>
        <stp/>
        <stp>002806.SZ</stp>
        <stp>LastPrice</stp>
        <tr r="G21" s="2"/>
      </tp>
      <tp>
        <v>6.43</v>
        <stp/>
        <stp>002406.SZ</stp>
        <stp>LastPrice</stp>
        <tr r="G126" s="2"/>
      </tp>
      <tp>
        <v>15.64</v>
        <stp/>
        <stp>300636.SZ</stp>
        <stp>LastPrice</stp>
        <tr r="G39" s="2"/>
      </tp>
      <tp>
        <v>-4.03</v>
        <stp/>
        <stp>000902.SZ</stp>
        <stp>PctChg</stp>
        <tr r="I258" s="2"/>
      </tp>
      <tp>
        <v>2.14</v>
        <stp/>
        <stp>300382.SZ</stp>
        <stp>PctChg</stp>
        <tr r="I212" s="2"/>
      </tp>
      <tp>
        <v>-2.16</v>
        <stp/>
        <stp>300332.SZ</stp>
        <stp>PctChg</stp>
        <tr r="I279" s="2"/>
      </tp>
      <tp>
        <v>-3.72</v>
        <stp/>
        <stp>300112.SZ</stp>
        <stp>PctChg</stp>
        <tr r="I225" s="2"/>
      </tp>
      <tp>
        <v>-2.56</v>
        <stp/>
        <stp>300752.SZ</stp>
        <stp>PctChg</stp>
        <tr r="I347" s="2"/>
      </tp>
      <tp>
        <v>-2.64</v>
        <stp/>
        <stp>300772.SZ</stp>
        <stp>PctChg</stp>
        <tr r="I371" s="2"/>
      </tp>
      <tp>
        <v>2.0099999999999998</v>
        <stp/>
        <stp>300682.SZ</stp>
        <stp>PctChg</stp>
        <tr r="I194" s="2"/>
      </tp>
      <tp>
        <v>-3.47</v>
        <stp/>
        <stp>300652.SZ</stp>
        <stp>PctChg</stp>
        <tr r="I139" s="2"/>
      </tp>
      <tp>
        <v>-3.3600000000000003</v>
        <stp/>
        <stp>600522.SH</stp>
        <stp>PctChg</stp>
        <tr r="I81" s="2"/>
      </tp>
      <tp>
        <v>-2.27</v>
        <stp/>
        <stp>000582.SZ</stp>
        <stp>PctChg</stp>
        <tr r="I157" s="2"/>
      </tp>
      <tp>
        <v>-8.0800000000000018</v>
        <stp/>
        <stp>000552.SZ</stp>
        <stp>PctChg</stp>
        <tr r="I380" s="2"/>
      </tp>
      <tp>
        <v>-1.79</v>
        <stp/>
        <stp>300532.SZ</stp>
        <stp>PctChg</stp>
        <tr r="I210" s="2"/>
      </tp>
      <tp>
        <v>1.26</v>
        <stp/>
        <stp>300482.SZ</stp>
        <stp>PctChg</stp>
        <tr r="I61" s="2"/>
      </tp>
      <tp>
        <v>-5.03</v>
        <stp/>
        <stp>300422.SZ</stp>
        <stp>PctChg</stp>
        <tr r="I286" s="2"/>
      </tp>
      <tp>
        <v>11.71</v>
        <stp/>
        <stp>300429.SZ</stp>
        <stp>LastPrice</stp>
        <tr r="G260" s="2"/>
      </tp>
      <tp>
        <v>55.58</v>
        <stp/>
        <stp>300529.SZ</stp>
        <stp>LastPrice</stp>
        <tr r="G58" s="2"/>
      </tp>
      <tp>
        <v>22.04</v>
        <stp/>
        <stp>300729.SZ</stp>
        <stp>LastPrice</stp>
        <tr r="G99" s="2"/>
      </tp>
      <tp>
        <v>10.130000000000001</v>
        <stp/>
        <stp>300229.SZ</stp>
        <stp>LastPrice</stp>
        <tr r="G208" s="2"/>
      </tp>
      <tp>
        <v>22.1</v>
        <stp/>
        <stp>002918.SZ</stp>
        <stp>LastPrice</stp>
        <tr r="G186" s="2"/>
      </tp>
      <tp>
        <v>7.98</v>
        <stp/>
        <stp>002811.SZ</stp>
        <stp>LastPrice</stp>
        <tr r="G177" s="2"/>
      </tp>
      <tp>
        <v>12.1</v>
        <stp/>
        <stp>000411.SZ</stp>
        <stp>LastPrice</stp>
        <tr r="G54" s="2"/>
      </tp>
      <tp>
        <v>5.42</v>
        <stp/>
        <stp>300021.SZ</stp>
        <stp>LastPrice</stp>
        <tr r="G147" s="2"/>
      </tp>
      <tp>
        <v>4.1500000000000004</v>
        <stp/>
        <stp>002510.SZ</stp>
        <stp>LastPrice</stp>
        <tr r="G138" s="2"/>
      </tp>
      <tp>
        <v>8.0400000000000009</v>
        <stp/>
        <stp>000810.SZ</stp>
        <stp>LastPrice</stp>
        <tr r="G191" s="2"/>
      </tp>
      <tp>
        <v>31.07</v>
        <stp/>
        <stp>300623.SZ</stp>
        <stp>LastPrice</stp>
        <tr r="G338" s="2"/>
      </tp>
      <tp>
        <v>30.89</v>
        <stp/>
        <stp>300723.SZ</stp>
        <stp>LastPrice</stp>
        <tr r="G74" s="2"/>
      </tp>
      <tp>
        <v>297</v>
        <stp/>
        <stp>002812.SZ</stp>
        <stp>LastPrice</stp>
        <tr r="G243" s="2"/>
      </tp>
      <tp>
        <v>9.82</v>
        <stp/>
        <stp>300422.SZ</stp>
        <stp>LastPrice</stp>
        <tr r="G286" s="2"/>
      </tp>
      <tp>
        <v>12.31</v>
        <stp/>
        <stp>002815.SZ</stp>
        <stp>LastPrice</stp>
        <tr r="G346" s="2"/>
      </tp>
      <tp>
        <v>5.22</v>
        <stp/>
        <stp>002615.SZ</stp>
        <stp>LastPrice</stp>
        <tr r="G105" s="2"/>
      </tp>
      <tp>
        <v>-3.9</v>
        <stp/>
        <stp>603323.SH</stp>
        <stp>PctChg</stp>
        <tr r="I27" s="2"/>
      </tp>
      <tp>
        <v>0.71000000000000008</v>
        <stp/>
        <stp>603363.SH</stp>
        <stp>PctChg</stp>
        <tr r="I149" s="2"/>
      </tp>
      <tp>
        <v>0.85000000000000009</v>
        <stp/>
        <stp>603233.SH</stp>
        <stp>PctChg</stp>
        <tr r="I40" s="2"/>
      </tp>
      <tp>
        <v>-9.9600000000000009</v>
        <stp/>
        <stp>603113.SH</stp>
        <stp>PctChg</stp>
        <tr r="I378" s="2"/>
      </tp>
      <tp>
        <v>-5.75</v>
        <stp/>
        <stp>603663.SH</stp>
        <stp>PctChg</stp>
        <tr r="I18" s="2"/>
      </tp>
      <tp>
        <v>13.81</v>
        <stp/>
        <stp>002614.SZ</stp>
        <stp>LastPrice</stp>
        <tr r="G187" s="2"/>
      </tp>
      <tp>
        <v>45.410000000000004</v>
        <stp/>
        <stp>002714.SZ</stp>
        <stp>LastPrice</stp>
        <tr r="G148" s="2"/>
      </tp>
      <tp>
        <v>16.64</v>
        <stp/>
        <stp>300424.SZ</stp>
        <stp>LastPrice</stp>
        <tr r="G276" s="2"/>
      </tp>
      <tp>
        <v>50.35</v>
        <stp/>
        <stp>300624.SZ</stp>
        <stp>LastPrice</stp>
        <tr r="G204" s="2"/>
      </tp>
      <tp>
        <v>0.74</v>
        <stp/>
        <stp>002863.SZ</stp>
        <stp>PctChg</stp>
        <tr r="I133" s="2"/>
      </tp>
      <tp>
        <v>1.73</v>
        <stp/>
        <stp>002873.SZ</stp>
        <stp>PctChg</stp>
        <tr r="I70" s="2"/>
      </tp>
      <tp>
        <v>-1.95</v>
        <stp/>
        <stp>002823.SZ</stp>
        <stp>PctChg</stp>
        <tr r="I365" s="2"/>
      </tp>
      <tp>
        <v>-3.35</v>
        <stp/>
        <stp>002833.SZ</stp>
        <stp>PctChg</stp>
        <tr r="I227" s="2"/>
      </tp>
      <tp>
        <v>-3.4000000000000004</v>
        <stp/>
        <stp>002203.SZ</stp>
        <stp>PctChg</stp>
        <tr r="I16" s="2"/>
      </tp>
      <tp>
        <v>-0.47000000000000003</v>
        <stp/>
        <stp>002083.SZ</stp>
        <stp>PctChg</stp>
        <tr r="I314" s="2"/>
      </tp>
      <tp>
        <v>-9.7100000000000009</v>
        <stp/>
        <stp>002753.SZ</stp>
        <stp>PctChg</stp>
        <tr r="I246" s="2"/>
      </tp>
      <tp>
        <v>-3.61</v>
        <stp/>
        <stp>002503.SZ</stp>
        <stp>PctChg</stp>
        <tr r="I312" s="2"/>
      </tp>
      <tp>
        <v>3</v>
        <stp/>
        <stp>002717.SZ</stp>
        <stp>LastPrice</stp>
        <tr r="G167" s="2"/>
      </tp>
      <tp>
        <v>13.88</v>
        <stp/>
        <stp>300427.SZ</stp>
        <stp>LastPrice</stp>
        <tr r="G363" s="2"/>
      </tp>
      <tp>
        <v>9.2100000000000009</v>
        <stp/>
        <stp>300527.SZ</stp>
        <stp>LastPrice</stp>
        <tr r="G278" s="2"/>
      </tp>
      <tp>
        <v>-0.26</v>
        <stp/>
        <stp>601633.SH</stp>
        <stp>PctChg</stp>
        <tr r="I134" s="2"/>
      </tp>
      <tp>
        <v>6.38</v>
        <stp/>
        <stp>002616.SZ</stp>
        <stp>LastPrice</stp>
        <tr r="G290" s="2"/>
      </tp>
      <tp>
        <v>-2.7</v>
        <stp/>
        <stp>600863.SH</stp>
        <stp>PctChg</stp>
        <tr r="I281" s="2"/>
      </tp>
      <tp>
        <v>-2.9400000000000004</v>
        <stp/>
        <stp>000823.SZ</stp>
        <stp>PctChg</stp>
        <tr r="I335" s="2"/>
      </tp>
      <tp>
        <v>3.0500000000000003</v>
        <stp/>
        <stp>300303.SZ</stp>
        <stp>PctChg</stp>
        <tr r="I328" s="2"/>
      </tp>
      <tp>
        <v>1.6900000000000002</v>
        <stp/>
        <stp>300253.SZ</stp>
        <stp>PctChg</stp>
        <tr r="I200" s="2"/>
      </tp>
      <tp>
        <v>-5.63</v>
        <stp/>
        <stp>300263.SZ</stp>
        <stp>PctChg</stp>
        <tr r="I296" s="2"/>
      </tp>
      <tp>
        <v>-1</v>
        <stp/>
        <stp>600133.SH</stp>
        <stp>PctChg</stp>
        <tr r="I175" s="2"/>
      </tp>
      <tp>
        <v>4.3500000000000005</v>
        <stp/>
        <stp>300003.SZ</stp>
        <stp>PctChg</stp>
        <tr r="I76" s="2"/>
      </tp>
      <tp>
        <v>-1.7400000000000002</v>
        <stp/>
        <stp>000783.SZ</stp>
        <stp>PctChg</stp>
        <tr r="I309" s="2"/>
      </tp>
      <tp>
        <v>-1.8800000000000001</v>
        <stp/>
        <stp>000703.SZ</stp>
        <stp>PctChg</stp>
        <tr r="I245" s="2"/>
      </tp>
      <tp>
        <v>-0.19</v>
        <stp/>
        <stp>300723.SZ</stp>
        <stp>PctChg</stp>
        <tr r="I74" s="2"/>
      </tp>
      <tp>
        <v>-1.22</v>
        <stp/>
        <stp>000623.SZ</stp>
        <stp>PctChg</stp>
        <tr r="I41" s="2"/>
      </tp>
      <tp>
        <v>-3.7800000000000002</v>
        <stp/>
        <stp>300613.SZ</stp>
        <stp>PctChg</stp>
        <tr r="I339" s="2"/>
      </tp>
      <tp>
        <v>0.29000000000000004</v>
        <stp/>
        <stp>300623.SZ</stp>
        <stp>PctChg</stp>
        <tr r="I338" s="2"/>
      </tp>
      <tp>
        <v>-3.8200000000000003</v>
        <stp/>
        <stp>300543.SZ</stp>
        <stp>PctChg</stp>
        <tr r="I324" s="2"/>
      </tp>
      <tp>
        <v>-7.7800000000000011</v>
        <stp/>
        <stp>600483.SH</stp>
        <stp>PctChg</stp>
        <tr r="I284" s="2"/>
      </tp>
      <tp>
        <v>-3.91</v>
        <stp/>
        <stp>300473.SZ</stp>
        <stp>PctChg</stp>
        <tr r="I130" s="2"/>
      </tp>
      <tp>
        <v>53.56</v>
        <stp/>
        <stp>300619.SZ</stp>
        <stp>LastPrice</stp>
        <tr r="G214" s="2"/>
      </tp>
      <tp>
        <v>13.92</v>
        <stp/>
        <stp>002728.SZ</stp>
        <stp>LastPrice</stp>
        <tr r="G50" s="2"/>
      </tp>
      <tp>
        <v>3.7</v>
        <stp/>
        <stp>002228.SZ</stp>
        <stp>LastPrice</stp>
        <tr r="G109" s="2"/>
      </tp>
      <tp>
        <v>9.99</v>
        <stp/>
        <stp>000928.SZ</stp>
        <stp>LastPrice</stp>
        <tr r="G159" s="2"/>
      </tp>
      <tp>
        <v>20.55</v>
        <stp/>
        <stp>300118.SZ</stp>
        <stp>LastPrice</stp>
        <tr r="G381" s="2"/>
      </tp>
      <tp>
        <v>1.6800000000000002</v>
        <stp/>
        <stp>688388.SH</stp>
        <stp>PctChg</stp>
        <tr r="I8" s="2"/>
      </tp>
      <tp>
        <v>3.3800000000000003</v>
        <stp/>
        <stp>688598.SH</stp>
        <stp>PctChg</stp>
        <tr r="I23" s="2"/>
      </tp>
      <tp>
        <v>16.05</v>
        <stp/>
        <stp>002921.SZ</stp>
        <stp>LastPrice</stp>
        <tr r="G124" s="2"/>
      </tp>
      <tp>
        <v>6.87</v>
        <stp/>
        <stp>300511.SZ</stp>
        <stp>LastPrice</stp>
        <tr r="G146" s="2"/>
      </tp>
      <tp>
        <v>9.7100000000000009</v>
        <stp/>
        <stp>300611.SZ</stp>
        <stp>LastPrice</stp>
        <tr r="G128" s="2"/>
      </tp>
      <tp>
        <v>10.58</v>
        <stp/>
        <stp>002823.SZ</stp>
        <stp>LastPrice</stp>
        <tr r="G365" s="2"/>
      </tp>
      <tp>
        <v>10.88</v>
        <stp/>
        <stp>000823.SZ</stp>
        <stp>LastPrice</stp>
        <tr r="G335" s="2"/>
      </tp>
      <tp>
        <v>17.809999999999999</v>
        <stp/>
        <stp>000623.SZ</stp>
        <stp>LastPrice</stp>
        <tr r="G41" s="2"/>
      </tp>
      <tp>
        <v>178.4</v>
        <stp/>
        <stp>300613.SZ</stp>
        <stp>LastPrice</stp>
        <tr r="G339" s="2"/>
      </tp>
      <tp>
        <v>5.5200000000000005</v>
        <stp/>
        <stp>002822.SZ</stp>
        <stp>LastPrice</stp>
        <tr r="G176" s="2"/>
      </tp>
      <tp>
        <v>13.49</v>
        <stp/>
        <stp>002722.SZ</stp>
        <stp>LastPrice</stp>
        <tr r="G229" s="2"/>
      </tp>
      <tp>
        <v>13.72</v>
        <stp/>
        <stp>002022.SZ</stp>
        <stp>LastPrice</stp>
        <tr r="G45" s="2"/>
      </tp>
      <tp>
        <v>10.1</v>
        <stp/>
        <stp>300112.SZ</stp>
        <stp>LastPrice</stp>
        <tr r="G225" s="2"/>
      </tp>
      <tp>
        <v>5.13</v>
        <stp/>
        <stp>002225.SZ</stp>
        <stp>LastPrice</stp>
        <tr r="G185" s="2"/>
      </tp>
      <tp>
        <v>2.6</v>
        <stp/>
        <stp>002325.SZ</stp>
        <stp>LastPrice</stp>
        <tr r="G170" s="2"/>
      </tp>
      <tp>
        <v>-2.63</v>
        <stp/>
        <stp>603920.SH</stp>
        <stp>PctChg</stp>
        <tr r="I325" s="2"/>
      </tp>
      <tp>
        <v>-0.49</v>
        <stp/>
        <stp>603890.SH</stp>
        <stp>PctChg</stp>
        <tr r="I343" s="2"/>
      </tp>
      <tp>
        <v>-4.5200000000000005</v>
        <stp/>
        <stp>603320.SH</stp>
        <stp>PctChg</stp>
        <tr r="I369" s="2"/>
      </tp>
      <tp>
        <v>-2.21</v>
        <stp/>
        <stp>603030.SH</stp>
        <stp>PctChg</stp>
        <tr r="I166" s="2"/>
      </tp>
      <tp>
        <v>-2.0500000000000003</v>
        <stp/>
        <stp>603660.SH</stp>
        <stp>PctChg</stp>
        <tr r="I197" s="2"/>
      </tp>
      <tp>
        <v>-0.04</v>
        <stp/>
        <stp>603650.SH</stp>
        <stp>PctChg</stp>
        <tr r="I244" s="2"/>
      </tp>
      <tp>
        <v>5.29</v>
        <stp/>
        <stp>002224.SZ</stp>
        <stp>LastPrice</stp>
        <tr r="G259" s="2"/>
      </tp>
      <tp>
        <v>-0.22</v>
        <stp/>
        <stp>002930.SZ</stp>
        <stp>PctChg</stp>
        <tr r="I158" s="2"/>
      </tp>
      <tp>
        <v>-1.6400000000000001</v>
        <stp/>
        <stp>002860.SZ</stp>
        <stp>PctChg</stp>
        <tr r="I189" s="2"/>
      </tp>
      <tp>
        <v>-1.35</v>
        <stp/>
        <stp>002840.SZ</stp>
        <stp>PctChg</stp>
        <tr r="I89" s="2"/>
      </tp>
      <tp>
        <v>-5.03</v>
        <stp/>
        <stp>002360.SZ</stp>
        <stp>PctChg</stp>
        <tr r="I250" s="2"/>
      </tp>
      <tp>
        <v>-3.6900000000000004</v>
        <stp/>
        <stp>002370.SZ</stp>
        <stp>PctChg</stp>
        <tr r="I47" s="2"/>
      </tp>
      <tp>
        <v>0.77</v>
        <stp/>
        <stp>002100.SZ</stp>
        <stp>PctChg</stp>
        <tr r="I143" s="2"/>
      </tp>
      <tp>
        <v>-2.7100000000000004</v>
        <stp/>
        <stp>002050.SZ</stp>
        <stp>PctChg</stp>
        <tr r="I192" s="2"/>
      </tp>
      <tp>
        <v>-2.81</v>
        <stp/>
        <stp>002510.SZ</stp>
        <stp>PctChg</stp>
        <tr r="I138" s="2"/>
      </tp>
      <tp>
        <v>8.27</v>
        <stp/>
        <stp>002527.SZ</stp>
        <stp>LastPrice</stp>
        <tr r="G360" s="2"/>
      </tp>
      <tp>
        <v>12.14</v>
        <stp/>
        <stp>300517.SZ</stp>
        <stp>LastPrice</stp>
        <tr r="G180" s="2"/>
      </tp>
      <tp>
        <v>-1.2</v>
        <stp/>
        <stp>601860.SH</stp>
        <stp>PctChg</stp>
        <tr r="I31" s="2"/>
      </tp>
      <tp>
        <v>2.0900000000000003</v>
        <stp/>
        <stp>601020.SH</stp>
        <stp>PctChg</stp>
        <tr r="I11" s="2"/>
      </tp>
      <tp>
        <v>10.210000000000001</v>
        <stp/>
        <stp>002726.SZ</stp>
        <stp>LastPrice</stp>
        <tr r="G88" s="2"/>
      </tp>
      <tp>
        <v>10.950000000000001</v>
        <stp/>
        <stp>002126.SZ</stp>
        <stp>LastPrice</stp>
        <tr r="G136" s="2"/>
      </tp>
      <tp>
        <v>23.04</v>
        <stp/>
        <stp>300416.SZ</stp>
        <stp>LastPrice</stp>
        <tr r="G221" s="2"/>
      </tp>
      <tp>
        <v>6.04</v>
        <stp/>
        <stp>000726.SZ</stp>
        <stp>LastPrice</stp>
        <tr r="G316" s="2"/>
      </tp>
      <tp>
        <v>9.5400000000000009</v>
        <stp/>
        <stp>300016.SZ</stp>
        <stp>LastPrice</stp>
        <tr r="G64" s="2"/>
      </tp>
      <tp>
        <v>-0.5</v>
        <stp/>
        <stp>000810.SZ</stp>
        <stp>PctChg</stp>
        <tr r="I191" s="2"/>
      </tp>
      <tp>
        <v>-0.08</v>
        <stp/>
        <stp>000300.SH</stp>
        <stp>PctChg</stp>
        <tr r="I3" s="2"/>
      </tp>
      <tp>
        <v>-3.54</v>
        <stp/>
        <stp>300190.SZ</stp>
        <stp>PctChg</stp>
        <tr r="I287" s="2"/>
      </tp>
      <tp>
        <v>-0.54</v>
        <stp/>
        <stp>300170.SZ</stp>
        <stp>PctChg</stp>
        <tr r="I205" s="2"/>
      </tp>
      <tp>
        <v>-0.11</v>
        <stp/>
        <stp>600000.SH</stp>
        <stp>PctChg</stp>
        <tr r="I37" s="2"/>
      </tp>
      <tp>
        <v>-3.7800000000000002</v>
        <stp/>
        <stp>000060.SZ</stp>
        <stp>PctChg</stp>
        <tr r="I14" s="2"/>
      </tp>
      <tp>
        <v>-1.23</v>
        <stp/>
        <stp>000070.SZ</stp>
        <stp>PctChg</stp>
        <tr r="I83" s="2"/>
      </tp>
      <tp>
        <v>11.06</v>
        <stp/>
        <stp>300040.SZ</stp>
        <stp>PctChg</stp>
        <tr r="I368" s="2"/>
        <tr r="I357" s="2"/>
      </tp>
      <tp>
        <v>-0.22</v>
        <stp/>
        <stp>300700.SZ</stp>
        <stp>PctChg</stp>
        <tr r="I233" s="2"/>
      </tp>
      <tp>
        <v>-3.04</v>
        <stp/>
        <stp>000700.SZ</stp>
        <stp>PctChg</stp>
        <tr r="I122" s="2"/>
      </tp>
      <tp>
        <v>-1.7500000000000002</v>
        <stp/>
        <stp>300630.SZ</stp>
        <stp>PctChg</stp>
        <tr r="I71" s="2"/>
      </tp>
      <tp>
        <v>1.1000000000000001</v>
        <stp/>
        <stp>300580.SZ</stp>
        <stp>PctChg</stp>
        <tr r="I137" s="2"/>
      </tp>
      <tp>
        <v>-1.66</v>
        <stp/>
        <stp>600420.SH</stp>
        <stp>PctChg</stp>
        <tr r="I42" s="2"/>
      </tp>
      <tp>
        <v>-4.71</v>
        <stp/>
        <stp>300490.SZ</stp>
        <stp>PctChg</stp>
        <tr r="I356" s="2"/>
      </tp>
      <tp>
        <v>5.69</v>
        <stp/>
        <stp>002839.SZ</stp>
        <stp>LastPrice</stp>
        <tr r="G29" s="2"/>
      </tp>
      <tp>
        <v>35.26</v>
        <stp/>
        <stp>300709.SZ</stp>
        <stp>LastPrice</stp>
        <tr r="G351" s="2"/>
      </tp>
      <tp>
        <v>15.42</v>
        <stp/>
        <stp>002838.SZ</stp>
        <stp>LastPrice</stp>
        <tr r="G252" s="2"/>
      </tp>
      <tp>
        <v>63.230000000000004</v>
        <stp/>
        <stp>002738.SZ</stp>
        <stp>LastPrice</stp>
        <tr r="G15" s="2"/>
      </tp>
      <tp>
        <v>15.52</v>
        <stp/>
        <stp>300608.SZ</stp>
        <stp>LastPrice</stp>
        <tr r="G211" s="2"/>
      </tp>
      <tp>
        <v>4.66</v>
        <stp/>
        <stp>688599.SH</stp>
        <stp>PctChg</stp>
        <tr r="I367" s="2"/>
      </tp>
      <tp>
        <v>8.2900000000000009</v>
        <stp/>
        <stp>002631.SZ</stp>
        <stp>LastPrice</stp>
        <tr r="G107" s="2"/>
      </tp>
      <tp>
        <v>110.25</v>
        <stp/>
        <stp>300601.SZ</stp>
        <stp>LastPrice</stp>
        <tr r="G59" s="2"/>
      </tp>
      <tp>
        <v>18.05</v>
        <stp/>
        <stp>002930.SZ</stp>
        <stp>LastPrice</stp>
        <tr r="G158" s="2"/>
      </tp>
      <tp>
        <v>13.75</v>
        <stp/>
        <stp>300700.SZ</stp>
        <stp>LastPrice</stp>
        <tr r="G233" s="2"/>
      </tp>
      <tp>
        <v>35.230000000000004</v>
        <stp/>
        <stp>002833.SZ</stp>
        <stp>LastPrice</stp>
        <tr r="G227" s="2"/>
      </tp>
      <tp>
        <v>26.88</v>
        <stp/>
        <stp>300003.SZ</stp>
        <stp>LastPrice</stp>
        <tr r="G76" s="2"/>
      </tp>
      <tp>
        <v>6.08</v>
        <stp/>
        <stp>300303.SZ</stp>
        <stp>LastPrice</stp>
        <tr r="G328" s="2"/>
      </tp>
      <tp>
        <v>25.79</v>
        <stp/>
        <stp>002832.SZ</stp>
        <stp>LastPrice</stp>
        <tr r="G317" s="2"/>
      </tp>
      <tp>
        <v>37.700000000000003</v>
        <stp/>
        <stp>300505.SZ</stp>
        <stp>LastPrice</stp>
        <tr r="G237" s="2"/>
      </tp>
      <tp>
        <v>28</v>
        <stp/>
        <stp>300705.SZ</stp>
        <stp>LastPrice</stp>
        <tr r="G44" s="2"/>
      </tp>
      <tp>
        <v>2.12</v>
        <stp/>
        <stp>603861.SH</stp>
        <stp>PctChg</stp>
        <tr r="I358" s="2"/>
      </tp>
      <tp>
        <v>-1.1000000000000001</v>
        <stp/>
        <stp>603871.SH</stp>
        <stp>PctChg</stp>
        <tr r="I156" s="2"/>
      </tp>
      <tp>
        <v>-3.2800000000000002</v>
        <stp/>
        <stp>603331.SH</stp>
        <stp>PctChg</stp>
        <tr r="I230" s="2"/>
      </tp>
      <tp>
        <v>-4.78</v>
        <stp/>
        <stp>603131.SH</stp>
        <stp>PctChg</stp>
        <tr r="I217" s="2"/>
      </tp>
      <tp>
        <v>-2.5</v>
        <stp/>
        <stp>603081.SH</stp>
        <stp>PctChg</stp>
        <tr r="I178" s="2"/>
      </tp>
      <tp>
        <v>-2.37</v>
        <stp/>
        <stp>603681.SH</stp>
        <stp>PctChg</stp>
        <tr r="I241" s="2"/>
      </tp>
      <tp>
        <v>-1.9300000000000002</v>
        <stp/>
        <stp>603501.SH</stp>
        <stp>PctChg</stp>
        <tr r="I345" s="2"/>
      </tp>
      <tp>
        <v>-0.64</v>
        <stp/>
        <stp>002961.SZ</stp>
        <stp>PctChg</stp>
        <tr r="I304" s="2"/>
      </tp>
      <tp>
        <v>-9.16</v>
        <stp/>
        <stp>002941.SZ</stp>
        <stp>PctChg</stp>
        <tr r="I169" s="2"/>
      </tp>
      <tp>
        <v>-3.66</v>
        <stp/>
        <stp>002921.SZ</stp>
        <stp>PctChg</stp>
        <tr r="I124" s="2"/>
      </tp>
      <tp>
        <v>-1.07</v>
        <stp/>
        <stp>002861.SZ</stp>
        <stp>PctChg</stp>
        <tr r="I330" s="2"/>
      </tp>
      <tp>
        <v>-2.0900000000000003</v>
        <stp/>
        <stp>002811.SZ</stp>
        <stp>PctChg</stp>
        <tr r="I177" s="2"/>
      </tp>
      <tp>
        <v>-5.69</v>
        <stp/>
        <stp>002171.SZ</stp>
        <stp>PctChg</stp>
        <tr r="I12" s="2"/>
      </tp>
      <tp>
        <v>-2.0699999999999998</v>
        <stp/>
        <stp>002091.SZ</stp>
        <stp>PctChg</stp>
        <tr r="I95" s="2"/>
      </tp>
      <tp>
        <v>-2.64</v>
        <stp/>
        <stp>002061.SZ</stp>
        <stp>PctChg</stp>
        <tr r="I168" s="2"/>
      </tp>
      <tp>
        <v>-3.81</v>
        <stp/>
        <stp>002741.SZ</stp>
        <stp>PctChg</stp>
        <tr r="I273" s="2"/>
      </tp>
      <tp>
        <v>-3.09</v>
        <stp/>
        <stp>002701.SZ</stp>
        <stp>PctChg</stp>
        <tr r="I115" s="2"/>
      </tp>
      <tp>
        <v>-3.04</v>
        <stp/>
        <stp>002631.SZ</stp>
        <stp>PctChg</stp>
        <tr r="I107" s="2"/>
      </tp>
      <tp>
        <v>-3.93</v>
        <stp/>
        <stp>002541.SZ</stp>
        <stp>PctChg</stp>
        <tr r="I164" s="2"/>
      </tp>
      <tp>
        <v>0.59</v>
        <stp/>
        <stp>002551.SZ</stp>
        <stp>PctChg</stp>
        <tr r="I68" s="2"/>
      </tp>
      <tp>
        <v>8.41</v>
        <stp/>
        <stp>300407.SZ</stp>
        <stp>LastPrice</stp>
        <tr r="G364" s="2"/>
      </tp>
      <tp>
        <v>18.010000000000002</v>
        <stp/>
        <stp>300607.SZ</stp>
        <stp>LastPrice</stp>
        <tr r="G231" s="2"/>
      </tp>
      <tp>
        <v>16.18</v>
        <stp/>
        <stp>300707.SZ</stp>
        <stp>LastPrice</stp>
        <tr r="G125" s="2"/>
      </tp>
      <tp>
        <v>-1.58</v>
        <stp/>
        <stp>601231.SH</stp>
        <stp>PctChg</stp>
        <tr r="I332" s="2"/>
      </tp>
      <tp>
        <v>-1.4400000000000002</v>
        <stp/>
        <stp>601211.SH</stp>
        <stp>PctChg</stp>
        <tr r="I308" s="2"/>
      </tp>
      <tp>
        <v>-2.0500000000000003</v>
        <stp/>
        <stp>601611.SH</stp>
        <stp>PctChg</stp>
        <tr r="I179" s="2"/>
      </tp>
      <tp>
        <v>12.18</v>
        <stp/>
        <stp>002436.SZ</stp>
        <stp>LastPrice</stp>
        <tr r="G350" s="2"/>
      </tp>
      <tp>
        <v>16.61</v>
        <stp/>
        <stp>002036.SZ</stp>
        <stp>LastPrice</stp>
        <tr r="G326" s="2"/>
      </tp>
      <tp>
        <v>-1.59</v>
        <stp/>
        <stp>600831.SH</stp>
        <stp>PctChg</stp>
        <tr r="I374" s="2"/>
      </tp>
      <tp>
        <v>-1.36</v>
        <stp/>
        <stp>000861.SZ</stp>
        <stp>PctChg</stp>
        <tr r="I94" s="2"/>
      </tp>
      <tp>
        <v>1.7500000000000002</v>
        <stp/>
        <stp>300381.SZ</stp>
        <stp>PctChg</stp>
        <tr r="I69" s="2"/>
      </tp>
      <tp>
        <v>-0.51</v>
        <stp/>
        <stp>000301.SZ</stp>
        <stp>PctChg</stp>
        <tr r="I242" s="2"/>
      </tp>
      <tp>
        <v>-6.2200000000000006</v>
        <stp/>
        <stp>600231.SH</stp>
        <stp>PctChg</stp>
        <tr r="I303" s="2"/>
      </tp>
      <tp>
        <v>-2.7100000000000004</v>
        <stp/>
        <stp>300231.SZ</stp>
        <stp>PctChg</stp>
        <tr r="I206" s="2"/>
      </tp>
      <tp>
        <v>-0.73</v>
        <stp/>
        <stp>300151.SZ</stp>
        <stp>PctChg</stp>
        <tr r="I218" s="2"/>
      </tp>
      <tp>
        <v>-0.8</v>
        <stp/>
        <stp>000001.SH</stp>
        <stp>PctChg</stp>
        <tr r="F3" s="2"/>
      </tp>
      <tp>
        <v>-1.83</v>
        <stp/>
        <stp>600061.SH</stp>
        <stp>PctChg</stp>
        <tr r="I305" s="2"/>
      </tp>
      <tp>
        <v>-1.76</v>
        <stp/>
        <stp>300031.SZ</stp>
        <stp>PctChg</stp>
        <tr r="I372" s="2"/>
      </tp>
      <tp>
        <v>-3.04</v>
        <stp/>
        <stp>300021.SZ</stp>
        <stp>PctChg</stp>
        <tr r="I147" s="2"/>
      </tp>
      <tp>
        <v>3.04</v>
        <stp/>
        <stp>600711.SH</stp>
        <stp>PctChg</stp>
        <tr r="I7" s="2"/>
      </tp>
      <tp>
        <v>1.67</v>
        <stp/>
        <stp>300791.SZ</stp>
        <stp>PctChg</stp>
        <tr r="I90" s="2"/>
      </tp>
      <tp>
        <v>-4.8400000000000007</v>
        <stp/>
        <stp>000761.SZ</stp>
        <stp>PctChg</stp>
        <tr r="I302" s="2"/>
      </tp>
      <tp>
        <v>-2.33</v>
        <stp/>
        <stp>300651.SZ</stp>
        <stp>PctChg</stp>
        <tr r="I106" s="2"/>
      </tp>
      <tp>
        <v>-8.39</v>
        <stp/>
        <stp>300641.SZ</stp>
        <stp>PctChg</stp>
        <tr r="I257" s="2"/>
      </tp>
      <tp>
        <v>-3.9600000000000004</v>
        <stp/>
        <stp>300611.SZ</stp>
        <stp>PctChg</stp>
        <tr r="I128" s="2"/>
      </tp>
      <tp>
        <v>1.72</v>
        <stp/>
        <stp>300601.SZ</stp>
        <stp>PctChg</stp>
        <tr r="I59" s="2"/>
      </tp>
      <tp>
        <v>-3.1100000000000003</v>
        <stp/>
        <stp>300631.SZ</stp>
        <stp>PctChg</stp>
        <tr r="I289" s="2"/>
      </tp>
      <tp>
        <v>-1.7400000000000002</v>
        <stp/>
        <stp>600521.SH</stp>
        <stp>PctChg</stp>
        <tr r="I49" s="2"/>
      </tp>
      <tp>
        <v>-2.14</v>
        <stp/>
        <stp>300511.SZ</stp>
        <stp>PctChg</stp>
        <tr r="I146" s="2"/>
      </tp>
      <tp>
        <v>-6.39</v>
        <stp/>
        <stp>600461.SH</stp>
        <stp>PctChg</stp>
        <tr r="I285" s="2"/>
      </tp>
      <tp>
        <v>-5.3500000000000005</v>
        <stp/>
        <stp>000401.SZ</stp>
        <stp>PctChg</stp>
        <tr r="I183" s="2"/>
      </tp>
      <tp>
        <v>-2.4200000000000004</v>
        <stp/>
        <stp>000411.SZ</stp>
        <stp>PctChg</stp>
        <tr r="I54" s="2"/>
      </tp>
      <tp>
        <v>14.97</v>
        <stp/>
        <stp>002949.SZ</stp>
        <stp>LastPrice</stp>
        <tr r="G173" s="2"/>
      </tp>
      <tp>
        <v>10.61</v>
        <stp/>
        <stp>002649.SZ</stp>
        <stp>LastPrice</stp>
        <tr r="G207" s="2"/>
      </tp>
      <tp>
        <v>10.06</v>
        <stp/>
        <stp>002749.SZ</stp>
        <stp>LastPrice</stp>
        <tr r="G268" s="2"/>
      </tp>
      <tp>
        <v>209.3</v>
        <stp/>
        <stp>002049.SZ</stp>
        <stp>LastPrice</stp>
        <tr r="G341" s="2"/>
      </tp>
      <tp>
        <v>19.8</v>
        <stp/>
        <stp>300779.SZ</stp>
        <stp>LastPrice</stp>
        <tr r="G295" s="2"/>
      </tp>
      <tp>
        <v>5.45</v>
        <stp/>
        <stp>002548.SZ</stp>
        <stp>LastPrice</stp>
        <tr r="G150" s="2"/>
      </tp>
      <tp>
        <v>6.8500000000000005</v>
        <stp/>
        <stp>300078.SZ</stp>
        <stp>LastPrice</stp>
        <tr r="G195" s="2"/>
      </tp>
      <tp>
        <v>11.700000000000001</v>
        <stp/>
        <stp>002941.SZ</stp>
        <stp>LastPrice</stp>
        <tr r="G169" s="2"/>
      </tp>
      <tp>
        <v>44.2</v>
        <stp/>
        <stp>002541.SZ</stp>
        <stp>LastPrice</stp>
        <tr r="G164" s="2"/>
      </tp>
      <tp>
        <v>20.2</v>
        <stp/>
        <stp>002741.SZ</stp>
        <stp>LastPrice</stp>
        <tr r="G273" s="2"/>
      </tp>
      <tp>
        <v>10.24</v>
        <stp/>
        <stp>002840.SZ</stp>
        <stp>LastPrice</stp>
        <tr r="G89" s="2"/>
      </tp>
      <tp>
        <v>7.32</v>
        <stp/>
        <stp>300170.SZ</stp>
        <stp>LastPrice</stp>
        <tr r="G205" s="2"/>
      </tp>
      <tp>
        <v>20.900000000000002</v>
        <stp/>
        <stp>300473.SZ</stp>
        <stp>LastPrice</stp>
        <tr r="G130" s="2"/>
      </tp>
      <tp>
        <v>9.99</v>
        <stp/>
        <stp>002842.SZ</stp>
        <stp>LastPrice</stp>
        <tr r="G19" s="2"/>
      </tp>
      <tp>
        <v>3.04</v>
        <stp/>
        <stp>002542.SZ</stp>
        <stp>LastPrice</stp>
        <tr r="G165" s="2"/>
      </tp>
      <tp>
        <v>52.78</v>
        <stp/>
        <stp>300772.SZ</stp>
        <stp>LastPrice</stp>
        <tr r="G371" s="2"/>
      </tp>
      <tp>
        <v>46</v>
        <stp/>
        <stp>300775.SZ</stp>
        <stp>LastPrice</stp>
        <tr r="G277" s="2"/>
      </tp>
      <tp>
        <v>-1</v>
        <stp/>
        <stp>603966.SH</stp>
        <stp>PctChg</stp>
        <tr r="I223" s="2"/>
      </tp>
      <tp>
        <v>-1.02</v>
        <stp/>
        <stp>603976.SH</stp>
        <stp>PctChg</stp>
        <tr r="I56" s="2"/>
      </tp>
      <tp>
        <v>-4.3500000000000005</v>
        <stp/>
        <stp>603956.SH</stp>
        <stp>PctChg</stp>
        <tr r="I213" s="2"/>
      </tp>
      <tp>
        <v>-0.17</v>
        <stp/>
        <stp>603896.SH</stp>
        <stp>PctChg</stp>
        <tr r="I65" s="2"/>
      </tp>
      <tp>
        <v>-4.55</v>
        <stp/>
        <stp>603876.SH</stp>
        <stp>PctChg</stp>
        <tr r="I17" s="2"/>
      </tp>
      <tp>
        <v>2.7</v>
        <stp/>
        <stp>603336.SH</stp>
        <stp>PctChg</stp>
        <tr r="I145" s="2"/>
      </tp>
      <tp>
        <v>0.55000000000000004</v>
        <stp/>
        <stp>603716.SH</stp>
        <stp>PctChg</stp>
        <tr r="I66" s="2"/>
      </tp>
      <tp>
        <v>-2.7</v>
        <stp/>
        <stp>603776.SH</stp>
        <stp>PctChg</stp>
        <tr r="I129" s="2"/>
      </tp>
      <tp>
        <v>-4.3500000000000005</v>
        <stp/>
        <stp>603606.SH</stp>
        <stp>PctChg</stp>
        <tr r="I355" s="2"/>
      </tp>
      <tp>
        <v>-2.3200000000000003</v>
        <stp/>
        <stp>603596.SH</stp>
        <stp>PctChg</stp>
        <tr r="I135" s="2"/>
      </tp>
      <tp>
        <v>0.05</v>
        <stp/>
        <stp>603516.SH</stp>
        <stp>PctChg</stp>
        <tr r="I202" s="2"/>
      </tp>
      <tp>
        <v>16.260000000000002</v>
        <stp/>
        <stp>300174.SZ</stp>
        <stp>LastPrice</stp>
        <tr r="G265" s="2"/>
      </tp>
      <tp>
        <v>-0.15</v>
        <stp/>
        <stp>002966.SZ</stp>
        <stp>PctChg</stp>
        <tr r="I36" s="2"/>
      </tp>
      <tp>
        <v>-1.4400000000000002</v>
        <stp/>
        <stp>002846.SZ</stp>
        <stp>PctChg</stp>
        <tr r="I111" s="2"/>
      </tp>
      <tp>
        <v>-4.6900000000000004</v>
        <stp/>
        <stp>002806.SZ</stp>
        <stp>PctChg</stp>
        <tr r="I21" s="2"/>
      </tp>
      <tp>
        <v>-1.55</v>
        <stp/>
        <stp>002376.SZ</stp>
        <stp>PctChg</stp>
        <tr r="I203" s="2"/>
      </tp>
      <tp>
        <v>0.91999999999999993</v>
        <stp/>
        <stp>002126.SZ</stp>
        <stp>PctChg</stp>
        <tr r="I136" s="2"/>
      </tp>
      <tp>
        <v>2.91</v>
        <stp/>
        <stp>002036.SZ</stp>
        <stp>PctChg</stp>
        <tr r="I326" s="2"/>
      </tp>
      <tp>
        <v>2.2000000000000002</v>
        <stp/>
        <stp>002726.SZ</stp>
        <stp>PctChg</stp>
        <tr r="I88" s="2"/>
      </tp>
      <tp>
        <v>-3.4800000000000004</v>
        <stp/>
        <stp>002616.SZ</stp>
        <stp>PctChg</stp>
        <tr r="I290" s="2"/>
      </tp>
      <tp>
        <v>-1.9100000000000001</v>
        <stp/>
        <stp>002446.SZ</stp>
        <stp>PctChg</stp>
        <tr r="I79" s="2"/>
      </tp>
      <tp>
        <v>-1.54</v>
        <stp/>
        <stp>002436.SZ</stp>
        <stp>PctChg</stp>
        <tr r="I350" s="2"/>
      </tp>
      <tp>
        <v>-2.72</v>
        <stp/>
        <stp>002406.SZ</stp>
        <stp>PctChg</stp>
        <tr r="I126" s="2"/>
      </tp>
      <tp>
        <v>20.03</v>
        <stp/>
        <stp>300577.SZ</stp>
        <stp>LastPrice</stp>
        <tr r="G320" s="2"/>
      </tp>
      <tp>
        <v>91.88</v>
        <stp/>
        <stp>300677.SZ</stp>
        <stp>LastPrice</stp>
        <tr r="G57" s="2"/>
      </tp>
      <tp>
        <v>-0.32</v>
        <stp/>
        <stp>601366.SH</stp>
        <stp>PctChg</stp>
        <tr r="I93" s="2"/>
      </tp>
      <tp>
        <v>-1.73</v>
        <stp/>
        <stp>601006.SH</stp>
        <stp>PctChg</stp>
        <tr r="I152" s="2"/>
      </tp>
      <tp>
        <v>-3.2100000000000004</v>
        <stp/>
        <stp>601016.SH</stp>
        <stp>PctChg</stp>
        <tr r="I293" s="2"/>
      </tp>
      <tp>
        <v>-4.6400000000000006</v>
        <stp/>
        <stp>601636.SH</stp>
        <stp>PctChg</stp>
        <tr r="I184" s="2"/>
      </tp>
      <tp>
        <v>7.51</v>
        <stp/>
        <stp>002846.SZ</stp>
        <stp>LastPrice</stp>
        <tr r="G111" s="2"/>
      </tp>
      <tp>
        <v>5.65</v>
        <stp/>
        <stp>002446.SZ</stp>
        <stp>LastPrice</stp>
        <tr r="G79" s="2"/>
      </tp>
      <tp>
        <v>144.71</v>
        <stp/>
        <stp>300776.SZ</stp>
        <stp>LastPrice</stp>
        <tr r="G226" s="2"/>
      </tp>
      <tp>
        <v>-2.2800000000000002</v>
        <stp/>
        <stp>600996.SH</stp>
        <stp>PctChg</stp>
        <tr r="I375" s="2"/>
      </tp>
      <tp>
        <v>-0.94000000000000006</v>
        <stp/>
        <stp>600926.SH</stp>
        <stp>PctChg</stp>
        <tr r="I25" s="2"/>
      </tp>
      <tp>
        <v>5.0599999999999996</v>
        <stp/>
        <stp>000876.SZ</stp>
        <stp>PctChg</stp>
        <tr r="I142" s="2"/>
      </tp>
      <tp>
        <v>-4.82</v>
        <stp/>
        <stp>600326.SH</stp>
        <stp>PctChg</stp>
        <tr r="I181" s="2"/>
      </tp>
      <tp>
        <v>4.6700000000000008</v>
        <stp/>
        <stp>300296.SZ</stp>
        <stp>PctChg</stp>
        <tr r="I329" s="2"/>
      </tp>
      <tp>
        <v>-3.02</v>
        <stp/>
        <stp>300246.SZ</stp>
        <stp>PctChg</stp>
        <tr r="I75" s="2"/>
      </tp>
      <tp>
        <v>-8.6100000000000012</v>
        <stp/>
        <stp>300196.SZ</stp>
        <stp>PctChg</stp>
        <tr r="I236" s="2"/>
      </tp>
      <tp>
        <v>-2.1500000000000004</v>
        <stp/>
        <stp>300016.SZ</stp>
        <stp>PctChg</stp>
        <tr r="I64" s="2"/>
      </tp>
      <tp>
        <v>0.18000000000000002</v>
        <stp/>
        <stp>300776.SZ</stp>
        <stp>PctChg</stp>
        <tr r="I226" s="2"/>
      </tp>
      <tp>
        <v>-2.11</v>
        <stp/>
        <stp>000726.SZ</stp>
        <stp>PctChg</stp>
        <tr r="I316" s="2"/>
      </tp>
      <tp>
        <v>-2.2200000000000002</v>
        <stp/>
        <stp>300666.SZ</stp>
        <stp>PctChg</stp>
        <tr r="I340" s="2"/>
      </tp>
      <tp>
        <v>1.1000000000000001</v>
        <stp/>
        <stp>300636.SZ</stp>
        <stp>PctChg</stp>
        <tr r="I39" s="2"/>
      </tp>
      <tp>
        <v>-2.12</v>
        <stp/>
        <stp>600566.SH</stp>
        <stp>PctChg</stp>
        <tr r="I62" s="2"/>
      </tp>
      <tp>
        <v>-8.56</v>
        <stp/>
        <stp>300586.SZ</stp>
        <stp>PctChg</stp>
        <tr r="I254" s="2"/>
      </tp>
      <tp>
        <v>0.13</v>
        <stp/>
        <stp>300416.SZ</stp>
        <stp>PctChg</stp>
        <tr r="I221" s="2"/>
      </tp>
      <tp>
        <v>11.67</v>
        <stp/>
        <stp>300569.SZ</stp>
        <stp>LastPrice</stp>
        <tr r="G362" s="2"/>
      </tp>
      <tp>
        <v>3.93</v>
        <stp/>
        <stp>002958.SZ</stp>
        <stp>LastPrice</stp>
        <tr r="G38" s="2"/>
      </tp>
      <tp>
        <v>9.8800000000000008</v>
        <stp/>
        <stp>002658.SZ</stp>
        <stp>LastPrice</stp>
        <tr r="G298" s="2"/>
      </tp>
      <tp>
        <v>10.19</v>
        <stp/>
        <stp>002758.SZ</stp>
        <stp>LastPrice</stp>
        <tr r="G53" s="2"/>
      </tp>
      <tp>
        <v>30.330000000000002</v>
        <stp/>
        <stp>002258.SZ</stp>
        <stp>LastPrice</stp>
        <tr r="G238" s="2"/>
      </tp>
      <tp>
        <v>53.5</v>
        <stp/>
        <stp>300568.SZ</stp>
        <stp>LastPrice</stp>
        <tr r="G263" s="2"/>
      </tp>
      <tp>
        <v>5.15</v>
        <stp/>
        <stp>002551.SZ</stp>
        <stp>LastPrice</stp>
        <tr r="G68" s="2"/>
      </tp>
      <tp>
        <v>23.3</v>
        <stp/>
        <stp>002050.SZ</stp>
        <stp>LastPrice</stp>
        <tr r="G192" s="2"/>
      </tp>
      <tp>
        <v>11.53</v>
        <stp/>
        <stp>002753.SZ</stp>
        <stp>LastPrice</stp>
        <tr r="G246" s="2"/>
      </tp>
      <tp>
        <v>10.39</v>
        <stp/>
        <stp>300263.SZ</stp>
        <stp>LastPrice</stp>
        <tr r="G296" s="2"/>
      </tp>
      <tp>
        <v>3.64</v>
        <stp/>
        <stp>000552.SZ</stp>
        <stp>LastPrice</stp>
        <tr r="G380" s="2"/>
      </tp>
      <tp>
        <v>17.8</v>
        <stp/>
        <stp>002455.SZ</stp>
        <stp>LastPrice</stp>
        <tr r="G261" s="2"/>
      </tp>
      <tp>
        <v>10.46</v>
        <stp/>
        <stp>300665.SZ</stp>
        <stp>LastPrice</stp>
        <tr r="G270" s="2"/>
      </tp>
      <tp>
        <v>10.36</v>
        <stp/>
        <stp>300065.SZ</stp>
        <stp>LastPrice</stp>
        <tr r="G274" s="2"/>
      </tp>
      <tp>
        <v>11.950000000000001</v>
        <stp/>
        <stp>300265.SZ</stp>
        <stp>LastPrice</stp>
        <tr r="G361" s="2"/>
      </tp>
      <tp>
        <v>-1.5000000000000002</v>
        <stp/>
        <stp>603887.SH</stp>
        <stp>PctChg</stp>
        <tr r="I162" s="2"/>
      </tp>
      <tp>
        <v>2.62</v>
        <stp/>
        <stp>603897.SH</stp>
        <stp>PctChg</stp>
        <tr r="I353" s="2"/>
      </tp>
      <tp>
        <v>-2.8800000000000003</v>
        <stp/>
        <stp>603817.SH</stp>
        <stp>PctChg</stp>
        <tr r="I299" s="2"/>
      </tp>
      <tp>
        <v>-3.6700000000000004</v>
        <stp/>
        <stp>603877.SH</stp>
        <stp>PctChg</stp>
        <tr r="I318" s="2"/>
      </tp>
      <tp>
        <v>0.12000000000000001</v>
        <stp/>
        <stp>603377.SH</stp>
        <stp>PctChg</stp>
        <tr r="I132" s="2"/>
      </tp>
      <tp>
        <v>-0.93</v>
        <stp/>
        <stp>603007.SH</stp>
        <stp>PctChg</stp>
        <tr r="I163" s="2"/>
      </tp>
      <tp>
        <v>-2.2999999999999998</v>
        <stp/>
        <stp>603797.SH</stp>
        <stp>PctChg</stp>
        <tr r="I280" s="2"/>
      </tp>
      <tp>
        <v>1.8500000000000003</v>
        <stp/>
        <stp>603707.SH</stp>
        <stp>PctChg</stp>
        <tr r="I46" s="2"/>
        <tr r="I52" s="2"/>
      </tp>
      <tp>
        <v>-3.5700000000000003</v>
        <stp/>
        <stp>603687.SH</stp>
        <stp>PctChg</stp>
        <tr r="I116" s="2"/>
      </tp>
      <tp>
        <v>-0.38</v>
        <stp/>
        <stp>603617.SH</stp>
        <stp>PctChg</stp>
        <tr r="I220" s="2"/>
      </tp>
      <tp>
        <v>-4.28</v>
        <stp/>
        <stp>603667.SH</stp>
        <stp>PctChg</stp>
        <tr r="I235" s="2"/>
      </tp>
      <tp>
        <v>-2.7100000000000004</v>
        <stp/>
        <stp>603677.SH</stp>
        <stp>PctChg</stp>
        <tr r="I193" s="2"/>
      </tp>
      <tp>
        <v>-1.27</v>
        <stp/>
        <stp>603557.SH</stp>
        <stp>PctChg</stp>
        <tr r="I315" s="2"/>
      </tp>
      <tp>
        <v>-0.83</v>
        <stp/>
        <stp>002907.SZ</stp>
        <stp>PctChg</stp>
        <tr r="I51" s="2"/>
      </tp>
      <tp>
        <v>-2.9400000000000004</v>
        <stp/>
        <stp>002887.SZ</stp>
        <stp>PctChg</stp>
        <tr r="I297" s="2"/>
      </tp>
      <tp>
        <v>-2.12</v>
        <stp/>
        <stp>002877.SZ</stp>
        <stp>PctChg</stp>
        <tr r="I222" s="2"/>
      </tp>
      <tp>
        <v>-1.77</v>
        <stp/>
        <stp>002807.SZ</stp>
        <stp>PctChg</stp>
        <tr r="I28" s="2"/>
      </tp>
      <tp>
        <v>3.2800000000000002</v>
        <stp/>
        <stp>002287.SZ</stp>
        <stp>PctChg</stp>
        <tr r="I43" s="2"/>
      </tp>
      <tp>
        <v>2.3800000000000003</v>
        <stp/>
        <stp>002157.SZ</stp>
        <stp>PctChg</stp>
        <tr r="I141" s="2"/>
      </tp>
      <tp>
        <v>-5.5600000000000005</v>
        <stp/>
        <stp>002067.SZ</stp>
        <stp>PctChg</stp>
        <tr r="I103" s="2"/>
      </tp>
      <tp>
        <v>-3.0300000000000002</v>
        <stp/>
        <stp>002787.SZ</stp>
        <stp>PctChg</stp>
        <tr r="I108" s="2"/>
      </tp>
      <tp>
        <v>-1.6500000000000001</v>
        <stp/>
        <stp>002707.SZ</stp>
        <stp>PctChg</stp>
        <tr r="I77" s="2"/>
      </tp>
      <tp>
        <v>-4.1500000000000004</v>
        <stp/>
        <stp>002717.SZ</stp>
        <stp>PctChg</stp>
        <tr r="I167" s="2"/>
      </tp>
      <tp>
        <v>-1.17</v>
        <stp/>
        <stp>002597.SZ</stp>
        <stp>PctChg</stp>
        <tr r="I85" s="2"/>
      </tp>
      <tp>
        <v>4.9800000000000004</v>
        <stp/>
        <stp>002557.SZ</stp>
        <stp>PctChg</stp>
        <tr r="I87" s="2"/>
      </tp>
      <tp>
        <v>-4.83</v>
        <stp/>
        <stp>002527.SZ</stp>
        <stp>PctChg</stp>
        <tr r="I360" s="2"/>
      </tp>
      <tp>
        <v>46.56</v>
        <stp/>
        <stp>002557.SZ</stp>
        <stp>LastPrice</stp>
        <tr r="G87" s="2"/>
      </tp>
      <tp>
        <v>9.0299999999999994</v>
        <stp/>
        <stp>002157.SZ</stp>
        <stp>LastPrice</stp>
        <tr r="G141" s="2"/>
      </tp>
      <tp>
        <v>55.25</v>
        <stp/>
        <stp>300567.SZ</stp>
        <stp>LastPrice</stp>
        <tr r="G232" s="2"/>
      </tp>
      <tp>
        <v>101.38</v>
        <stp/>
        <stp>300767.SZ</stp>
        <stp>LastPrice</stp>
        <tr r="G249" s="2"/>
      </tp>
      <tp>
        <v>-1.28</v>
        <stp/>
        <stp>601127.SH</stp>
        <stp>PctChg</stp>
        <tr r="I117" s="2"/>
      </tp>
      <tp>
        <v>-7.57</v>
        <stp/>
        <stp>601677.SH</stp>
        <stp>PctChg</stp>
        <tr r="I9" s="2"/>
      </tp>
      <tp>
        <v>43.95</v>
        <stp/>
        <stp>300666.SZ</stp>
        <stp>LastPrice</stp>
        <tr r="G340" s="2"/>
      </tp>
      <tp>
        <v>-0.15</v>
        <stp/>
        <stp>000967.SZ</stp>
        <stp>PctChg</stp>
        <tr r="I288" s="2"/>
      </tp>
      <tp>
        <v>-0.9900000000000001</v>
        <stp/>
        <stp>000887.SZ</stp>
        <stp>PctChg</stp>
        <tr r="I121" s="2"/>
      </tp>
      <tp>
        <v>-2.5</v>
        <stp/>
        <stp>600297.SH</stp>
        <stp>PctChg</stp>
        <tr r="I120" s="2"/>
      </tp>
      <tp>
        <v>-1.8000000000000003</v>
        <stp/>
        <stp>300297.SZ</stp>
        <stp>PctChg</stp>
        <tr r="I199" s="2"/>
      </tp>
      <tp>
        <v>2.2600000000000002</v>
        <stp/>
        <stp>600197.SH</stp>
        <stp>PctChg</stp>
        <tr r="I86" s="2"/>
      </tp>
      <tp>
        <v>-3.17</v>
        <stp/>
        <stp>300197.SZ</stp>
        <stp>PctChg</stp>
        <tr r="I171" s="2"/>
      </tp>
      <tp>
        <v>-7.13</v>
        <stp/>
        <stp>300057.SZ</stp>
        <stp>PctChg</stp>
        <tr r="I114" s="2"/>
        <tr r="I97" s="2"/>
      </tp>
      <tp>
        <v>1.3800000000000001</v>
        <stp/>
        <stp>300767.SZ</stp>
        <stp>PctChg</stp>
        <tr r="I249" s="2"/>
      </tp>
      <tp>
        <v>-2.35</v>
        <stp/>
        <stp>300707.SZ</stp>
        <stp>PctChg</stp>
        <tr r="I125" s="2"/>
      </tp>
      <tp>
        <v>-3.5000000000000004</v>
        <stp/>
        <stp>300657.SZ</stp>
        <stp>PctChg</stp>
        <tr r="I327" s="2"/>
      </tp>
      <tp>
        <v>3.29</v>
        <stp/>
        <stp>300677.SZ</stp>
        <stp>PctChg</stp>
        <tr r="I57" s="2"/>
      </tp>
      <tp>
        <v>-3.54</v>
        <stp/>
        <stp>300607.SZ</stp>
        <stp>PctChg</stp>
        <tr r="I231" s="2"/>
      </tp>
      <tp>
        <v>-6.5200000000000005</v>
        <stp/>
        <stp>600567.SH</stp>
        <stp>PctChg</stp>
        <tr r="I100" s="2"/>
        <tr r="I101" s="2"/>
      </tp>
      <tp>
        <v>-5.0100000000000007</v>
        <stp/>
        <stp>600577.SH</stp>
        <stp>PctChg</stp>
        <tr r="I352" s="2"/>
      </tp>
      <tp>
        <v>-0.52</v>
        <stp/>
        <stp>300587.SZ</stp>
        <stp>PctChg</stp>
        <tr r="I272" s="2"/>
      </tp>
      <tp>
        <v>0</v>
        <stp/>
        <stp>300577.SZ</stp>
        <stp>PctChg</stp>
        <tr r="I320" s="2"/>
      </tp>
      <tp>
        <v>0.27</v>
        <stp/>
        <stp>300567.SZ</stp>
        <stp>PctChg</stp>
        <tr r="I232" s="2"/>
      </tp>
      <tp>
        <v>-0.90000000000000013</v>
        <stp/>
        <stp>300517.SZ</stp>
        <stp>PctChg</stp>
        <tr r="I180" s="2"/>
      </tp>
      <tp>
        <v>-3.46</v>
        <stp/>
        <stp>300527.SZ</stp>
        <stp>PctChg</stp>
        <tr r="I278" s="2"/>
      </tp>
      <tp>
        <v>-1.3</v>
        <stp/>
        <stp>600487.SH</stp>
        <stp>PctChg</stp>
        <tr r="I78" s="2"/>
      </tp>
      <tp>
        <v>-1.76</v>
        <stp/>
        <stp>300487.SZ</stp>
        <stp>PctChg</stp>
        <tr r="I253" s="2"/>
      </tp>
      <tp>
        <v>-3.56</v>
        <stp/>
        <stp>300407.SZ</stp>
        <stp>PctChg</stp>
        <tr r="I364" s="2"/>
      </tp>
      <tp>
        <v>0</v>
        <stp/>
        <stp>300437.SZ</stp>
        <stp>PctChg</stp>
        <tr r="I251" s="2"/>
      </tp>
      <tp>
        <v>-8.0200000000000014</v>
        <stp/>
        <stp>300427.SZ</stp>
        <stp>PctChg</stp>
        <tr r="I363" s="2"/>
      </tp>
      <tp>
        <v>5.58</v>
        <stp/>
        <stp>002969.SZ</stp>
        <stp>LastPrice</stp>
        <tr r="G113" s="2"/>
      </tp>
      <tp>
        <v>34.31</v>
        <stp/>
        <stp>300059.SZ</stp>
        <stp>LastPrice</stp>
        <tr r="G310" s="2"/>
      </tp>
      <tp>
        <v>26.68</v>
        <stp/>
        <stp>002368.SZ</stp>
        <stp>LastPrice</stp>
        <tr r="G196" s="2"/>
      </tp>
      <tp>
        <v>12.02</v>
        <stp/>
        <stp>002861.SZ</stp>
        <stp>LastPrice</stp>
        <tr r="G330" s="2"/>
      </tp>
      <tp>
        <v>26.46</v>
        <stp/>
        <stp>002961.SZ</stp>
        <stp>LastPrice</stp>
        <tr r="G304" s="2"/>
      </tp>
      <tp>
        <v>5.53</v>
        <stp/>
        <stp>002061.SZ</stp>
        <stp>LastPrice</stp>
        <tr r="G168" s="2"/>
      </tp>
      <tp>
        <v>2.17</v>
        <stp/>
        <stp>000861.SZ</stp>
        <stp>LastPrice</stp>
        <tr r="G94" s="2"/>
      </tp>
      <tp>
        <v>28.560000000000002</v>
        <stp/>
        <stp>300651.SZ</stp>
        <stp>LastPrice</stp>
        <tr r="G106" s="2"/>
      </tp>
      <tp>
        <v>6.09</v>
        <stp/>
        <stp>000761.SZ</stp>
        <stp>LastPrice</stp>
        <tr r="G302" s="2"/>
      </tp>
      <tp>
        <v>27.3</v>
        <stp/>
        <stp>300151.SZ</stp>
        <stp>LastPrice</stp>
        <tr r="G218" s="2"/>
      </tp>
      <tp>
        <v>17.940000000000001</v>
        <stp/>
        <stp>002860.SZ</stp>
        <stp>LastPrice</stp>
        <tr r="G189" s="2"/>
      </tp>
      <tp>
        <v>8.68</v>
        <stp/>
        <stp>002360.SZ</stp>
        <stp>LastPrice</stp>
        <tr r="G250" s="2"/>
      </tp>
      <tp>
        <v>5.6000000000000005</v>
        <stp/>
        <stp>000060.SZ</stp>
        <stp>LastPrice</stp>
        <tr r="G14" s="2"/>
      </tp>
      <tp>
        <v>5.43</v>
        <stp/>
        <stp>002863.SZ</stp>
        <stp>LastPrice</stp>
        <tr r="G133" s="2"/>
      </tp>
      <tp>
        <v>14.47</v>
        <stp/>
        <stp>300253.SZ</stp>
        <stp>LastPrice</stp>
        <tr r="G200" s="2"/>
      </tp>
      <tp>
        <v>4.24</v>
        <stp/>
        <stp>002562.SZ</stp>
        <stp>LastPrice</stp>
        <tr r="G256" s="2"/>
      </tp>
      <tp>
        <v>18.100000000000001</v>
        <stp/>
        <stp>300652.SZ</stp>
        <stp>LastPrice</stp>
        <tr r="G139" s="2"/>
      </tp>
      <tp>
        <v>20.52</v>
        <stp/>
        <stp>300752.SZ</stp>
        <stp>LastPrice</stp>
        <tr r="G347" s="2"/>
      </tp>
      <tp>
        <v>28.96</v>
        <stp/>
        <stp>002865.SZ</stp>
        <stp>LastPrice</stp>
        <tr r="G140" s="2"/>
      </tp>
      <tp>
        <v>3.75</v>
        <stp/>
        <stp>000665.SZ</stp>
        <stp>LastPrice</stp>
        <tr r="G376" s="2"/>
      </tp>
      <tp>
        <v>41.49</v>
        <stp/>
        <stp>300655.SZ</stp>
        <stp>LastPrice</stp>
        <tr r="G264" s="2"/>
        <tr r="G269" s="2"/>
      </tp>
      <tp>
        <v>8.6300000000000008</v>
        <stp/>
        <stp>000065.SZ</stp>
        <stp>LastPrice</stp>
        <tr r="G174" s="2"/>
      </tp>
      <tp>
        <v>7.7</v>
        <stp/>
        <stp>001965.SZ</stp>
        <stp>LastPrice</stp>
        <tr r="G154" s="2"/>
      </tp>
      <tp>
        <v>17.03</v>
        <stp/>
        <stp>300554.SZ</stp>
        <stp>LastPrice</stp>
        <tr r="G224" s="2"/>
      </tp>
      <tp>
        <v>-4.1500000000000004</v>
        <stp/>
        <stp>002284.SZ</stp>
        <stp>PctChg</stp>
        <tr r="I127" s="2"/>
      </tp>
      <tp>
        <v>-1.31</v>
        <stp/>
        <stp>002224.SZ</stp>
        <stp>PctChg</stp>
        <tr r="I259" s="2"/>
      </tp>
      <tp>
        <v>-0.66</v>
        <stp/>
        <stp>002174.SZ</stp>
        <stp>PctChg</stp>
        <tr r="I373" s="2"/>
      </tp>
      <tp>
        <v>2.69</v>
        <stp/>
        <stp>002714.SZ</stp>
        <stp>PctChg</stp>
        <tr r="I148" s="2"/>
      </tp>
      <tp>
        <v>-1.43</v>
        <stp/>
        <stp>002614.SZ</stp>
        <stp>PctChg</stp>
        <tr r="I187" s="2"/>
      </tp>
      <tp>
        <v>4.42</v>
        <stp/>
        <stp>002067.SZ</stp>
        <stp>LastPrice</stp>
        <tr r="G103" s="2"/>
      </tp>
      <tp>
        <v>6.84</v>
        <stp/>
        <stp>000967.SZ</stp>
        <stp>LastPrice</stp>
        <tr r="G288" s="2"/>
      </tp>
      <tp>
        <v>16.28</v>
        <stp/>
        <stp>300657.SZ</stp>
        <stp>LastPrice</stp>
        <tr r="G327" s="2"/>
      </tp>
      <tp>
        <v>8.07</v>
        <stp/>
        <stp>300057.SZ</stp>
        <stp>LastPrice</stp>
        <tr r="G114" s="2"/>
        <tr r="G97" s="2"/>
      </tp>
      <tp>
        <v>6.82</v>
        <stp/>
        <stp>002966.SZ</stp>
        <stp>LastPrice</stp>
        <tr r="G36" s="2"/>
      </tp>
      <tp>
        <v>0.18000000000000002</v>
        <stp/>
        <stp>300174.SZ</stp>
        <stp>PctChg</stp>
        <tr r="I265" s="2"/>
      </tp>
      <tp>
        <v>-2.52</v>
        <stp/>
        <stp>600674.SH</stp>
        <stp>PctChg</stp>
        <tr r="I283" s="2"/>
      </tp>
      <tp>
        <v>4.4000000000000004</v>
        <stp/>
        <stp>300624.SZ</stp>
        <stp>PctChg</stp>
        <tr r="I204" s="2"/>
      </tp>
      <tp>
        <v>-0.82000000000000006</v>
        <stp/>
        <stp>300554.SZ</stp>
        <stp>PctChg</stp>
        <tr r="I224" s="2"/>
      </tp>
      <tp>
        <v>-1.3</v>
        <stp/>
        <stp>300424.SZ</stp>
        <stp>PctChg</stp>
        <tr r="I276" s="2"/>
      </tp>
      <tp>
        <v>4.6500000000000004</v>
        <stp/>
        <stp>002279.SZ</stp>
        <stp>LastPrice</stp>
        <tr r="G198" s="2"/>
      </tp>
      <tp>
        <v>13.21</v>
        <stp/>
        <stp>002078.SZ</stp>
        <stp>LastPrice</stp>
        <tr r="G98" s="2"/>
      </tp>
      <tp>
        <v>35.04</v>
        <stp/>
        <stp>300748.SZ</stp>
        <stp>LastPrice</stp>
        <tr r="G24" s="2"/>
      </tp>
      <tp>
        <v>11.28</v>
        <stp/>
        <stp>002171.SZ</stp>
        <stp>LastPrice</stp>
        <tr r="G12" s="2"/>
      </tp>
      <tp>
        <v>7.97</v>
        <stp/>
        <stp>300641.SZ</stp>
        <stp>LastPrice</stp>
        <tr r="G257" s="2"/>
      </tp>
      <tp>
        <v>4.4400000000000004</v>
        <stp/>
        <stp>002370.SZ</stp>
        <stp>LastPrice</stp>
        <tr r="G47" s="2"/>
      </tp>
      <tp>
        <v>7.2</v>
        <stp/>
        <stp>000070.SZ</stp>
        <stp>LastPrice</stp>
        <tr r="G83" s="2"/>
      </tp>
      <tp>
        <v>12.15</v>
        <stp/>
        <stp>300040.SZ</stp>
        <stp>LastPrice</stp>
        <tr r="G357" s="2"/>
        <tr r="G368" s="2"/>
      </tp>
      <tp>
        <v>18.28</v>
        <stp/>
        <stp>002873.SZ</stp>
        <stp>LastPrice</stp>
        <tr r="G70" s="2"/>
      </tp>
      <tp>
        <v>13.33</v>
        <stp/>
        <stp>300543.SZ</stp>
        <stp>LastPrice</stp>
        <tr r="G324" s="2"/>
      </tp>
      <tp>
        <v>11.36</v>
        <stp/>
        <stp>002772.SZ</stp>
        <stp>LastPrice</stp>
        <tr r="G151" s="2"/>
      </tp>
      <tp>
        <v>35.6</v>
        <stp/>
        <stp>002475.SZ</stp>
        <stp>LastPrice</stp>
        <tr r="G334" s="2"/>
      </tp>
      <tp>
        <v>4.05</v>
        <stp/>
        <stp>002775.SZ</stp>
        <stp>LastPrice</stp>
        <tr r="G160" s="2"/>
      </tp>
      <tp>
        <v>22.26</v>
        <stp/>
        <stp>300545.SZ</stp>
        <stp>LastPrice</stp>
        <tr r="G348" s="2"/>
      </tp>
      <tp>
        <v>21.080000000000002</v>
        <stp/>
        <stp>300645.SZ</stp>
        <stp>LastPrice</stp>
        <tr r="G209" s="2"/>
      </tp>
      <tp>
        <v>-6.59</v>
        <stp/>
        <stp>603225.SH</stp>
        <stp>PctChg</stp>
        <tr r="I262" s="2"/>
      </tp>
      <tp>
        <v>-6.08</v>
        <stp/>
        <stp>603165.SH</stp>
        <stp>PctChg</stp>
        <tr r="I102" s="2"/>
      </tp>
      <tp>
        <v>-3.34</v>
        <stp/>
        <stp>603035.SH</stp>
        <stp>PctChg</stp>
        <tr r="I119" s="2"/>
      </tp>
      <tp>
        <v>6.0000000000000005E-2</v>
        <stp/>
        <stp>603055.SH</stp>
        <stp>PctChg</stp>
        <tr r="I322" s="2"/>
      </tp>
      <tp>
        <v>-2.35</v>
        <stp/>
        <stp>603685.SH</stp>
        <stp>PctChg</stp>
        <tr r="I337" s="2"/>
      </tp>
      <tp>
        <v>5.96</v>
        <stp/>
        <stp>603665.SH</stp>
        <stp>PctChg</stp>
        <tr r="I311" s="2"/>
      </tp>
      <tp>
        <v>12.040000000000001</v>
        <stp/>
        <stp>002174.SZ</stp>
        <stp>LastPrice</stp>
        <tr r="G373" s="2"/>
      </tp>
      <tp>
        <v>-5.7600000000000007</v>
        <stp/>
        <stp>002895.SZ</stp>
        <stp>PctChg</stp>
        <tr r="I266" s="2"/>
      </tp>
      <tp>
        <v>6.08</v>
        <stp/>
        <stp>002865.SZ</stp>
        <stp>PctChg</stp>
        <tr r="I140" s="2"/>
      </tp>
      <tp>
        <v>0.24000000000000002</v>
        <stp/>
        <stp>002815.SZ</stp>
        <stp>PctChg</stp>
        <tr r="I346" s="2"/>
      </tp>
      <tp>
        <v>-2.2600000000000002</v>
        <stp/>
        <stp>002325.SZ</stp>
        <stp>PctChg</stp>
        <tr r="I170" s="2"/>
      </tp>
      <tp>
        <v>-8.39</v>
        <stp/>
        <stp>002225.SZ</stp>
        <stp>PctChg</stp>
        <tr r="I185" s="2"/>
      </tp>
      <tp>
        <v>-2.41</v>
        <stp/>
        <stp>002775.SZ</stp>
        <stp>PctChg</stp>
        <tr r="I160" s="2"/>
      </tp>
      <tp>
        <v>-3.3300000000000005</v>
        <stp/>
        <stp>002615.SZ</stp>
        <stp>PctChg</stp>
        <tr r="I105" s="2"/>
      </tp>
      <tp>
        <v>0.34</v>
        <stp/>
        <stp>002475.SZ</stp>
        <stp>PctChg</stp>
        <tr r="I334" s="2"/>
      </tp>
      <tp>
        <v>-7.15</v>
        <stp/>
        <stp>002455.SZ</stp>
        <stp>PctChg</stp>
        <tr r="I261" s="2"/>
      </tp>
      <tp>
        <v>6.46</v>
        <stp/>
        <stp>002877.SZ</stp>
        <stp>LastPrice</stp>
        <tr r="G222" s="2"/>
      </tp>
      <tp>
        <v>-3.3000000000000003</v>
        <stp/>
        <stp>601985.SH</stp>
        <stp>PctChg</stp>
        <tr r="I300" s="2"/>
      </tp>
      <tp>
        <v>-2.2800000000000002</v>
        <stp/>
        <stp>001965.SZ</stp>
        <stp>PctChg</stp>
        <tr r="I154" s="2"/>
      </tp>
      <tp>
        <v>-3.1900000000000004</v>
        <stp/>
        <stp>601515.SH</stp>
        <stp>PctChg</stp>
        <tr r="I96" s="2"/>
      </tp>
      <tp>
        <v>8.25</v>
        <stp/>
        <stp>002376.SZ</stp>
        <stp>LastPrice</stp>
        <tr r="G203" s="2"/>
      </tp>
      <tp>
        <v>14.120000000000001</v>
        <stp/>
        <stp>000876.SZ</stp>
        <stp>LastPrice</stp>
        <tr r="G142" s="2"/>
      </tp>
      <tp>
        <v>17.32</v>
        <stp/>
        <stp>300246.SZ</stp>
        <stp>LastPrice</stp>
        <tr r="G75" s="2"/>
      </tp>
      <tp>
        <v>-3.46</v>
        <stp/>
        <stp>300335.SZ</stp>
        <stp>PctChg</stp>
        <tr r="I291" s="2"/>
      </tp>
      <tp>
        <v>-7.51</v>
        <stp/>
        <stp>300265.SZ</stp>
        <stp>PctChg</stp>
        <tr r="I361" s="2"/>
      </tp>
      <tp>
        <v>-2.5700000000000003</v>
        <stp/>
        <stp>600105.SH</stp>
        <stp>PctChg</stp>
        <tr r="I80" s="2"/>
      </tp>
      <tp>
        <v>-4.6400000000000006</v>
        <stp/>
        <stp>000065.SZ</stp>
        <stp>PctChg</stp>
        <tr r="I174" s="2"/>
      </tp>
      <tp>
        <v>0.19</v>
        <stp/>
        <stp>300065.SZ</stp>
        <stp>PctChg</stp>
        <tr r="I274" s="2"/>
      </tp>
      <tp>
        <v>-1.26</v>
        <stp/>
        <stp>600745.SH</stp>
        <stp>PctChg</stp>
        <tr r="I336" s="2"/>
      </tp>
      <tp>
        <v>-2.0099999999999998</v>
        <stp/>
        <stp>600755.SH</stp>
        <stp>PctChg</stp>
        <tr r="I91" s="2"/>
      </tp>
      <tp>
        <v>-1.27</v>
        <stp/>
        <stp>300775.SZ</stp>
        <stp>PctChg</stp>
        <tr r="I277" s="2"/>
      </tp>
      <tp>
        <v>-1.6900000000000002</v>
        <stp/>
        <stp>300705.SZ</stp>
        <stp>PctChg</stp>
        <tr r="I44" s="2"/>
      </tp>
      <tp>
        <v>-1.83</v>
        <stp/>
        <stp>000665.SZ</stp>
        <stp>PctChg</stp>
        <tr r="I376" s="2"/>
      </tp>
      <tp>
        <v>-5.4700000000000006</v>
        <stp/>
        <stp>300655.SZ</stp>
        <stp>PctChg</stp>
        <tr r="I264" s="2"/>
        <tr r="I269" s="2"/>
      </tp>
      <tp>
        <v>0.91</v>
        <stp/>
        <stp>300645.SZ</stp>
        <stp>PctChg</stp>
        <tr r="I209" s="2"/>
      </tp>
      <tp>
        <v>-2.6100000000000003</v>
        <stp/>
        <stp>300665.SZ</stp>
        <stp>PctChg</stp>
        <tr r="I270" s="2"/>
      </tp>
      <tp>
        <v>-3.09</v>
        <stp/>
        <stp>300545.SZ</stp>
        <stp>PctChg</stp>
        <tr r="I348" s="2"/>
      </tp>
      <tp>
        <v>-5.75</v>
        <stp/>
        <stp>300505.SZ</stp>
        <stp>PctChg</stp>
        <tr r="I237" s="2"/>
      </tp>
      <tp>
        <v>14.99</v>
        <stp/>
        <stp>000789.SZ</stp>
        <stp>LastPrice</stp>
        <tr r="G182" s="2"/>
      </tp>
      <tp>
        <v>12.83</v>
        <stp/>
        <stp>000688.SZ</stp>
        <stp>LastPrice</stp>
        <tr r="G13" s="2"/>
      </tp>
      <tp>
        <v>4.21</v>
        <stp/>
        <stp>002083.SZ</stp>
        <stp>LastPrice</stp>
        <tr r="G314" s="2"/>
      </tp>
      <tp>
        <v>7.92</v>
        <stp/>
        <stp>000783.SZ</stp>
        <stp>LastPrice</stp>
        <tr r="G309" s="2"/>
      </tp>
      <tp>
        <v>19.059999999999999</v>
        <stp/>
        <stp>002382.SZ</stp>
        <stp>LastPrice</stp>
        <tr r="G60" s="2"/>
      </tp>
      <tp>
        <v>8.18</v>
        <stp/>
        <stp>000582.SZ</stp>
        <stp>LastPrice</stp>
        <tr r="G157" s="2"/>
      </tp>
      <tp>
        <v>7.62</v>
        <stp/>
        <stp>002284.SZ</stp>
        <stp>LastPrice</stp>
        <tr r="G127" s="2"/>
      </tp>
      <tp>
        <v>10.58</v>
        <stp/>
        <stp>002887.SZ</stp>
        <stp>LastPrice</stp>
        <tr r="G297" s="2"/>
      </tp>
      <tp>
        <v>5.76</v>
        <stp/>
        <stp>002787.SZ</stp>
        <stp>LastPrice</stp>
        <tr r="G108" s="2"/>
      </tp>
      <tp>
        <v>33.65</v>
        <stp/>
        <stp>002287.SZ</stp>
        <stp>LastPrice</stp>
        <tr r="G43" s="2"/>
      </tp>
      <tp>
        <v>16.05</v>
        <stp/>
        <stp>000887.SZ</stp>
        <stp>LastPrice</stp>
        <tr r="G121" s="2"/>
      </tp>
      <tp>
        <v>14.200000000000001</v>
        <stp/>
        <stp>002091.SZ</stp>
        <stp>LastPrice</stp>
        <tr r="G95" s="2"/>
      </tp>
      <tp>
        <v>38.6</v>
        <stp/>
        <stp>002895.SZ</stp>
        <stp>LastPrice</stp>
        <tr r="G266" s="2"/>
      </tp>
      <tp>
        <v>42.31</v>
        <stp/>
        <stp>002597.SZ</stp>
        <stp>LastPrice</stp>
        <tr r="G85" s="2"/>
      </tp>
      <tp>
        <v>13.71</v>
        <stp/>
        <stp>300499.SZ</stp>
        <stp>LastPrice</stp>
        <tr r="G234" s="2"/>
      </tp>
      <tp>
        <v>13.790000000000001</v>
        <stp/>
        <stp>300498.SZ</stp>
        <stp>LastPrice</stp>
        <tr r="G144" s="2"/>
      </tp>
      <tp>
        <v>24.400000000000002</v>
        <stp/>
        <stp>300298.SZ</stp>
        <stp>LastPrice</stp>
        <tr r="G73" s="2"/>
      </tp>
      <tp>
        <v>17.510000000000002</v>
        <stp/>
        <stp>300398.SZ</stp>
        <stp>LastPrice</stp>
        <tr r="G267" s="2"/>
      </tp>
      <tp>
        <v>43.32</v>
        <stp/>
        <stp>300791.SZ</stp>
        <stp>LastPrice</stp>
        <tr r="G90" s="2"/>
      </tp>
      <tp>
        <v>21.22</v>
        <stp/>
        <stp>300490.SZ</stp>
        <stp>LastPrice</stp>
        <tr r="G356" s="2"/>
      </tp>
      <tp>
        <v>6.82</v>
        <stp/>
        <stp>300190.SZ</stp>
        <stp>LastPrice</stp>
        <tr r="G287" s="2"/>
      </tp>
      <tp>
        <v>3.39</v>
        <stp/>
        <stp>603978.SH</stp>
        <stp>PctChg</stp>
        <tr r="I20" s="2"/>
      </tp>
      <tp>
        <v>-3.09</v>
        <stp/>
        <stp>603898.SH</stp>
        <stp>PctChg</stp>
        <tr r="I110" s="2"/>
      </tp>
      <tp>
        <v>-0.41000000000000003</v>
        <stp/>
        <stp>603368.SH</stp>
        <stp>PctChg</stp>
        <tr r="I63" s="2"/>
      </tp>
      <tp>
        <v>-2.4</v>
        <stp/>
        <stp>603348.SH</stp>
        <stp>PctChg</stp>
        <tr r="I123" s="2"/>
      </tp>
      <tp>
        <v>-2.2500000000000004</v>
        <stp/>
        <stp>603298.SH</stp>
        <stp>PctChg</stp>
        <tr r="I228" s="2"/>
      </tp>
      <tp>
        <v>-1.22</v>
        <stp/>
        <stp>603228.SH</stp>
        <stp>PctChg</stp>
        <tr r="I331" s="2"/>
      </tp>
      <tp>
        <v>-2.35</v>
        <stp/>
        <stp>603208.SH</stp>
        <stp>PctChg</stp>
        <tr r="I112" s="2"/>
      </tp>
      <tp>
        <v>-0.55999999999999994</v>
        <stp/>
        <stp>603278.SH</stp>
        <stp>PctChg</stp>
        <tr r="I215" s="2"/>
      </tp>
      <tp>
        <v>-0.19</v>
        <stp/>
        <stp>603108.SH</stp>
        <stp>PctChg</stp>
        <tr r="I48" s="2"/>
      </tp>
      <tp>
        <v>0.39</v>
        <stp/>
        <stp>603708.SH</stp>
        <stp>PctChg</stp>
        <tr r="I92" s="2"/>
      </tp>
      <tp>
        <v>-4.72</v>
        <stp/>
        <stp>603688.SH</stp>
        <stp>PctChg</stp>
        <tr r="I22" s="2"/>
      </tp>
      <tp>
        <v>-1.51</v>
        <stp/>
        <stp>603608.SH</stp>
        <stp>PctChg</stp>
        <tr r="I319" s="2"/>
      </tp>
      <tp>
        <v>-0.55000000000000004</v>
        <stp/>
        <stp>603618.SH</stp>
        <stp>PctChg</stp>
        <tr r="I359" s="2"/>
      </tp>
      <tp>
        <v>-0.4</v>
        <stp/>
        <stp>603678.SH</stp>
        <stp>PctChg</stp>
        <tr r="I275" s="2"/>
      </tp>
      <tp>
        <v>-2.33</v>
        <stp/>
        <stp>603528.SH</stp>
        <stp>PctChg</stp>
        <tr r="I201" s="2"/>
      </tp>
      <tp>
        <v>3.8</v>
        <stp/>
        <stp>603538.SH</stp>
        <stp>PctChg</stp>
        <tr r="I55" s="2"/>
      </tp>
      <tp>
        <v>4.55</v>
        <stp/>
        <stp>603518.SH</stp>
        <stp>PctChg</stp>
        <tr r="I321" s="2"/>
      </tp>
      <tp>
        <v>-0.31000000000000005</v>
        <stp/>
        <stp>603568.SH</stp>
        <stp>PctChg</stp>
        <tr r="I301" s="2"/>
      </tp>
      <tp>
        <v>-3.1400000000000006</v>
        <stp/>
        <stp>603578.SH</stp>
        <stp>PctChg</stp>
        <tr r="I188" s="2"/>
      </tp>
      <tp>
        <v>0.26</v>
        <stp/>
        <stp>002958.SZ</stp>
        <stp>PctChg</stp>
        <tr r="I38" s="2"/>
      </tp>
      <tp>
        <v>-3.37</v>
        <stp/>
        <stp>002918.SZ</stp>
        <stp>PctChg</stp>
        <tr r="I186" s="2"/>
      </tp>
      <tp>
        <v>-2.34</v>
        <stp/>
        <stp>002838.SZ</stp>
        <stp>PctChg</stp>
        <tr r="I252" s="2"/>
      </tp>
      <tp>
        <v>-2.52</v>
        <stp/>
        <stp>002368.SZ</stp>
        <stp>PctChg</stp>
        <tr r="I196" s="2"/>
      </tp>
      <tp>
        <v>-6.8500000000000005</v>
        <stp/>
        <stp>002258.SZ</stp>
        <stp>PctChg</stp>
        <tr r="I238" s="2"/>
      </tp>
      <tp>
        <v>-3.1400000000000006</v>
        <stp/>
        <stp>002228.SZ</stp>
        <stp>PctChg</stp>
        <tr r="I109" s="2"/>
      </tp>
      <tp>
        <v>-2.1500000000000004</v>
        <stp/>
        <stp>002078.SZ</stp>
        <stp>PctChg</stp>
        <tr r="I98" s="2"/>
      </tp>
      <tp>
        <v>2.39</v>
        <stp/>
        <stp>002008.SZ</stp>
        <stp>PctChg</stp>
        <tr r="I342" s="2"/>
      </tp>
      <tp>
        <v>0.69000000000000006</v>
        <stp/>
        <stp>002758.SZ</stp>
        <stp>PctChg</stp>
        <tr r="I53" s="2"/>
      </tp>
      <tp>
        <v>-2.5900000000000003</v>
        <stp/>
        <stp>002728.SZ</stp>
        <stp>PctChg</stp>
        <tr r="I50" s="2"/>
      </tp>
      <tp>
        <v>-1.36</v>
        <stp/>
        <stp>002738.SZ</stp>
        <stp>PctChg</stp>
        <tr r="I15" s="2"/>
      </tp>
      <tp>
        <v>-1.6900000000000002</v>
        <stp/>
        <stp>002658.SZ</stp>
        <stp>PctChg</stp>
        <tr r="I298" s="2"/>
      </tp>
      <tp>
        <v>-0.37</v>
        <stp/>
        <stp>002548.SZ</stp>
        <stp>PctChg</stp>
        <tr r="I150" s="2"/>
      </tp>
      <tp>
        <v>-5.65</v>
        <stp/>
        <stp>002408.SZ</stp>
        <stp>PctChg</stp>
        <tr r="I240" s="2"/>
      </tp>
      <tp>
        <v>3.0500000000000003</v>
        <stp/>
        <stp>300197.SZ</stp>
        <stp>LastPrice</stp>
        <tr r="G171" s="2"/>
      </tp>
      <tp>
        <v>3.8200000000000003</v>
        <stp/>
        <stp>300297.SZ</stp>
        <stp>LastPrice</stp>
        <tr r="G199" s="2"/>
      </tp>
      <tp>
        <v>-0.22</v>
        <stp/>
        <stp>601998.SH</stp>
        <stp>PctChg</stp>
        <tr r="I34" s="2"/>
      </tp>
      <tp>
        <v>-0.3</v>
        <stp/>
        <stp>601818.SH</stp>
        <stp>PctChg</stp>
        <tr r="I26" s="2"/>
      </tp>
      <tp>
        <v>-1.07</v>
        <stp/>
        <stp>601238.SH</stp>
        <stp>PctChg</stp>
        <tr r="I118" s="2"/>
      </tp>
      <tp>
        <v>-3.3100000000000005</v>
        <stp/>
        <stp>601108.SH</stp>
        <stp>PctChg</stp>
        <tr r="I307" s="2"/>
      </tp>
      <tp>
        <v>5.19</v>
        <stp/>
        <stp>601778.SH</stp>
        <stp>PctChg</stp>
        <tr r="I292" s="2"/>
      </tp>
      <tp>
        <v>-9.9</v>
        <stp/>
        <stp>601678.SH</stp>
        <stp>PctChg</stp>
        <tr r="I247" s="2"/>
      </tp>
      <tp>
        <v>17.940000000000001</v>
        <stp/>
        <stp>300196.SZ</stp>
        <stp>LastPrice</stp>
        <tr r="G236" s="2"/>
      </tp>
      <tp>
        <v>10.540000000000001</v>
        <stp/>
        <stp>300296.SZ</stp>
        <stp>LastPrice</stp>
        <tr r="G329" s="2"/>
      </tp>
      <tp>
        <v>0.43</v>
        <stp/>
        <stp>600998.SH</stp>
        <stp>PctChg</stp>
        <tr r="I72" s="2"/>
      </tp>
      <tp>
        <v>-1.9800000000000002</v>
        <stp/>
        <stp>600908.SH</stp>
        <stp>PctChg</stp>
        <tr r="I30" s="2"/>
      </tp>
      <tp>
        <v>-1.96</v>
        <stp/>
        <stp>000928.SZ</stp>
        <stp>PctChg</stp>
        <tr r="I159" s="2"/>
      </tp>
      <tp>
        <v>-5.1800000000000006</v>
        <stp/>
        <stp>600388.SH</stp>
        <stp>PctChg</stp>
        <tr r="I219" s="2"/>
      </tp>
      <tp>
        <v>-1.3800000000000001</v>
        <stp/>
        <stp>600398.SH</stp>
        <stp>PctChg</stp>
        <tr r="I313" s="2"/>
      </tp>
      <tp>
        <v>-1.6800000000000002</v>
        <stp/>
        <stp>300398.SZ</stp>
        <stp>PctChg</stp>
        <tr r="I267" s="2"/>
      </tp>
      <tp>
        <v>-2.27</v>
        <stp/>
        <stp>300388.SZ</stp>
        <stp>PctChg</stp>
        <tr r="I294" s="2"/>
      </tp>
      <tp>
        <v>-0.80999999999999994</v>
        <stp/>
        <stp>300298.SZ</stp>
        <stp>PctChg</stp>
        <tr r="I73" s="2"/>
      </tp>
      <tp>
        <v>0.39</v>
        <stp/>
        <stp>300118.SZ</stp>
        <stp>PctChg</stp>
        <tr r="I381" s="2"/>
      </tp>
      <tp>
        <v>-1.35</v>
        <stp/>
        <stp>300088.SZ</stp>
        <stp>PctChg</stp>
        <tr r="I344" s="2"/>
      </tp>
      <tp>
        <v>-1.72</v>
        <stp/>
        <stp>300078.SZ</stp>
        <stp>PctChg</stp>
        <tr r="I195" s="2"/>
      </tp>
      <tp>
        <v>-2.7700000000000005</v>
        <stp/>
        <stp>300748.SZ</stp>
        <stp>PctChg</stp>
        <tr r="I24" s="2"/>
      </tp>
      <tp>
        <v>0.82000000000000006</v>
        <stp/>
        <stp>000688.SH</stp>
        <stp>PctChg</stp>
        <tr r="H3" s="2"/>
      </tp>
      <tp>
        <v>-10.029999999999999</v>
        <stp/>
        <stp>000688.SZ</stp>
        <stp>PctChg</stp>
        <tr r="I13" s="2"/>
      </tp>
      <tp>
        <v>5.87</v>
        <stp/>
        <stp>300608.SZ</stp>
        <stp>PctChg</stp>
        <tr r="I211" s="2"/>
      </tp>
      <tp>
        <v>1.71</v>
        <stp/>
        <stp>300568.SZ</stp>
        <stp>PctChg</stp>
        <tr r="I263" s="2"/>
      </tp>
      <tp>
        <v>-0.9900000000000001</v>
        <stp/>
        <stp>600498.SH</stp>
        <stp>PctChg</stp>
        <tr r="I82" s="2"/>
      </tp>
      <tp>
        <v>1.4000000000000001</v>
        <stp/>
        <stp>300498.SZ</stp>
        <stp>PctChg</stp>
        <tr r="I144" s="2"/>
      </tp>
      <tp>
        <v>0.8</v>
        <stp/>
        <stp>300438.SZ</stp>
        <stp>PctChg</stp>
        <tr r="I354" s="2"/>
      </tp>
      <tp>
        <v>8.01</v>
        <stp/>
        <stp>300088.SZ</stp>
        <stp>LastPrice</stp>
        <tr r="G344" s="2"/>
      </tp>
      <tp>
        <v>8.19</v>
        <stp/>
        <stp>300388.SZ</stp>
        <stp>LastPrice</stp>
        <tr r="G294" s="2"/>
      </tp>
      <tp>
        <v>11.06</v>
        <stp/>
        <stp>300381.SZ</stp>
        <stp>LastPrice</stp>
        <tr r="G69" s="2"/>
      </tp>
      <tp>
        <v>20.2</v>
        <stp/>
        <stp>300580.SZ</stp>
        <stp>LastPrice</stp>
        <tr r="G137" s="2"/>
      </tp>
      <tp>
        <v>41.800000000000004</v>
        <stp/>
        <stp>300482.SZ</stp>
        <stp>LastPrice</stp>
        <tr r="G61" s="2"/>
      </tp>
      <tp>
        <v>25.900000000000002</v>
        <stp/>
        <stp>300682.SZ</stp>
        <stp>LastPrice</stp>
        <tr r="G194" s="2"/>
      </tp>
      <tp>
        <v>30.1</v>
        <stp/>
        <stp>300382.SZ</stp>
        <stp>LastPrice</stp>
        <tr r="G212" s="2"/>
      </tp>
      <tp>
        <v>-2.4300000000000002</v>
        <stp/>
        <stp>603989.SH</stp>
        <stp>PctChg</stp>
        <tr r="I323" s="2"/>
      </tp>
      <tp>
        <v>-2.33</v>
        <stp/>
        <stp>603979.SH</stp>
        <stp>PctChg</stp>
        <tr r="I379" s="2"/>
      </tp>
      <tp>
        <v>-3.02</v>
        <stp/>
        <stp>603089.SH</stp>
        <stp>PctChg</stp>
        <tr r="I131" s="2"/>
      </tp>
      <tp>
        <v>-1.07</v>
        <stp/>
        <stp>603669.SH</stp>
        <stp>PctChg</stp>
        <tr r="I67" s="2"/>
      </tp>
      <tp>
        <v>-2.56</v>
        <stp/>
        <stp>603679.SH</stp>
        <stp>PctChg</stp>
        <tr r="I333" s="2"/>
      </tp>
      <tp>
        <v>0.70000000000000007</v>
        <stp/>
        <stp>603569.SH</stp>
        <stp>PctChg</stp>
        <tr r="I155" s="2"/>
      </tp>
      <tp>
        <v>-1.34</v>
        <stp/>
        <stp>603579.SH</stp>
        <stp>PctChg</stp>
        <tr r="I190" s="2"/>
      </tp>
      <tp>
        <v>-1.6300000000000001</v>
        <stp/>
        <stp>603499.SH</stp>
        <stp>PctChg</stp>
        <tr r="I104" s="2"/>
      </tp>
      <tp>
        <v>-3.29</v>
        <stp/>
        <stp>002969.SZ</stp>
        <stp>PctChg</stp>
        <tr r="I113" s="2"/>
      </tp>
      <tp>
        <v>-1.9</v>
        <stp/>
        <stp>002949.SZ</stp>
        <stp>PctChg</stp>
        <tr r="I173" s="2"/>
      </tp>
      <tp>
        <v>-2.0699999999999998</v>
        <stp/>
        <stp>002839.SZ</stp>
        <stp>PctChg</stp>
        <tr r="I29" s="2"/>
      </tp>
      <tp>
        <v>-1.6900000000000002</v>
        <stp/>
        <stp>002279.SZ</stp>
        <stp>PctChg</stp>
        <tr r="I198" s="2"/>
      </tp>
      <tp>
        <v>0.38</v>
        <stp/>
        <stp>002049.SZ</stp>
        <stp>PctChg</stp>
        <tr r="I341" s="2"/>
      </tp>
      <tp>
        <v>-0.98</v>
        <stp/>
        <stp>002749.SZ</stp>
        <stp>PctChg</stp>
        <tr r="I268" s="2"/>
      </tp>
      <tp>
        <v>-3.63</v>
        <stp/>
        <stp>002649.SZ</stp>
        <stp>PctChg</stp>
        <tr r="I207" s="2"/>
      </tp>
      <tp>
        <v>77.2</v>
        <stp/>
        <stp>300487.SZ</stp>
        <stp>LastPrice</stp>
        <tr r="G253" s="2"/>
      </tp>
      <tp>
        <v>20.85</v>
        <stp/>
        <stp>300587.SZ</stp>
        <stp>LastPrice</stp>
        <tr r="G272" s="2"/>
      </tp>
      <tp>
        <v>-2.93</v>
        <stp/>
        <stp>601929.SH</stp>
        <stp>PctChg</stp>
        <tr r="I377" s="2"/>
      </tp>
      <tp>
        <v>-0.27999999999999997</v>
        <stp/>
        <stp>601229.SH</stp>
        <stp>PctChg</stp>
        <tr r="I32" s="2"/>
      </tp>
      <tp>
        <v>-0.88</v>
        <stp/>
        <stp>601009.SH</stp>
        <stp>PctChg</stp>
        <tr r="I35" s="2"/>
      </tp>
      <tp>
        <v>-2.4300000000000002</v>
        <stp/>
        <stp>601789.SH</stp>
        <stp>PctChg</stp>
        <tr r="I161" s="2"/>
      </tp>
      <tp>
        <v>-2.99</v>
        <stp/>
        <stp>601609.SH</stp>
        <stp>PctChg</stp>
        <tr r="I10" s="2"/>
      </tp>
      <tp>
        <v>10.020000000000001</v>
        <stp/>
        <stp>601619.SH</stp>
        <stp>PctChg</stp>
        <tr r="I282" s="2"/>
      </tp>
      <tp>
        <v>9.51</v>
        <stp/>
        <stp>300586.SZ</stp>
        <stp>LastPrice</stp>
        <tr r="G254" s="2"/>
      </tp>
      <tp>
        <v>-5.24</v>
        <stp/>
        <stp>600929.SH</stp>
        <stp>PctChg</stp>
        <tr r="I248" s="2"/>
      </tp>
      <tp>
        <v>-1.33</v>
        <stp/>
        <stp>600939.SH</stp>
        <stp>PctChg</stp>
        <tr r="I172" s="2"/>
      </tp>
      <tp>
        <v>-2.12</v>
        <stp/>
        <stp>600909.SH</stp>
        <stp>PctChg</stp>
        <tr r="I306" s="2"/>
      </tp>
      <tp>
        <v>-3.1</v>
        <stp/>
        <stp>600919.SH</stp>
        <stp>PctChg</stp>
        <tr r="I33" s="2"/>
      </tp>
      <tp>
        <v>-2.2200000000000002</v>
        <stp/>
        <stp>300229.SZ</stp>
        <stp>PctChg</stp>
        <tr r="I208" s="2"/>
      </tp>
      <tp>
        <v>-0.34</v>
        <stp/>
        <stp>600029.SH</stp>
        <stp>PctChg</stp>
        <tr r="I153" s="2"/>
      </tp>
      <tp>
        <v>-6.0000000000000005E-2</v>
        <stp/>
        <stp>300059.SZ</stp>
        <stp>PctChg</stp>
        <tr r="I310" s="2"/>
      </tp>
      <tp>
        <v>-10.020000000000001</v>
        <stp/>
        <stp>000789.SZ</stp>
        <stp>PctChg</stp>
        <tr r="I182" s="2"/>
      </tp>
      <tp>
        <v>-3.56</v>
        <stp/>
        <stp>300779.SZ</stp>
        <stp>PctChg</stp>
        <tr r="I295" s="2"/>
      </tp>
      <tp>
        <v>5.3500000000000005</v>
        <stp/>
        <stp>300709.SZ</stp>
        <stp>PctChg</stp>
        <tr r="I351" s="2"/>
      </tp>
      <tp>
        <v>-4.9000000000000004</v>
        <stp/>
        <stp>300739.SZ</stp>
        <stp>PctChg</stp>
        <tr r="I349" s="2"/>
      </tp>
      <tp>
        <v>-1.03</v>
        <stp/>
        <stp>300729.SZ</stp>
        <stp>PctChg</stp>
        <tr r="I99" s="2"/>
      </tp>
      <tp>
        <v>-1.81</v>
        <stp/>
        <stp>300619.SZ</stp>
        <stp>PctChg</stp>
        <tr r="I214" s="2"/>
      </tp>
      <tp>
        <v>-4.2700000000000005</v>
        <stp/>
        <stp>300569.SZ</stp>
        <stp>PctChg</stp>
        <tr r="I362" s="2"/>
      </tp>
      <tp>
        <v>-6.1700000000000008</v>
        <stp/>
        <stp>300539.SZ</stp>
        <stp>PctChg</stp>
        <tr r="I255" s="2"/>
      </tp>
      <tp>
        <v>4.4700000000000006</v>
        <stp/>
        <stp>300529.SZ</stp>
        <stp>PctChg</stp>
        <tr r="I58" s="2"/>
      </tp>
      <tp>
        <v>-1.1499999999999999</v>
        <stp/>
        <stp>300499.SZ</stp>
        <stp>PctChg</stp>
        <tr r="I234" s="2"/>
      </tp>
      <tp>
        <v>-4.1000000000000005</v>
        <stp/>
        <stp>300429.SZ</stp>
        <stp>PctChg</stp>
        <tr r="I260" s="2"/>
      </tp>
      <tp>
        <v>0.8</v>
        <stp/>
        <stp>399006.SZ</stp>
        <stp>PctChg</stp>
        <tr r="G3" s="2"/>
      </tp>
      <tp>
        <v>-0.55840000000000001</v>
        <stp/>
        <stp>127042.SZ</stp>
        <stp>LastPrice</stp>
        <stp>Yield_To_Maturity</stp>
        <tr r="O113" s="2"/>
      </tp>
      <tp>
        <v>-6.5597000000000003</v>
        <stp/>
        <stp>127043.SZ</stp>
        <stp>LastPrice</stp>
        <stp>Yield_To_Maturity</stp>
        <tr r="O266" s="2"/>
      </tp>
      <tp>
        <v>-6.0354999999999999</v>
        <stp/>
        <stp>127040.SZ</stp>
        <stp>LastPrice</stp>
        <stp>Yield_To_Maturity</stp>
        <tr r="O95" s="2"/>
      </tp>
      <tp>
        <v>-1.2211000000000001</v>
        <stp/>
        <stp>127041.SZ</stp>
        <stp>LastPrice</stp>
        <stp>Yield_To_Maturity</stp>
        <tr r="O227" s="2"/>
      </tp>
      <tp>
        <v>-0.15529999999999999</v>
        <stp/>
        <stp>127044.SZ</stp>
        <stp>LastPrice</stp>
        <stp>Yield_To_Maturity</stp>
        <tr r="O186" s="2"/>
      </tp>
      <tp>
        <v>-2.2898000000000001</v>
        <stp/>
        <stp>127045.SZ</stp>
        <stp>LastPrice</stp>
        <stp>Yield_To_Maturity</stp>
        <tr r="O148" s="2"/>
      </tp>
      <tp>
        <v>0.75050000000000006</v>
        <stp/>
        <stp>127032.SZ</stp>
        <stp>LastPrice</stp>
        <stp>Yield_To_Maturity</stp>
        <tr r="O36" s="2"/>
      </tp>
      <tp>
        <v>0.81850000000000001</v>
        <stp/>
        <stp>127033.SZ</stp>
        <stp>LastPrice</stp>
        <stp>Yield_To_Maturity</stp>
        <tr r="O176" s="2"/>
      </tp>
      <tp>
        <v>-12.636700000000001</v>
        <stp/>
        <stp>127030.SZ</stp>
        <stp>LastPrice</stp>
        <stp>Yield_To_Maturity</stp>
        <tr r="O242" s="2"/>
      </tp>
      <tp>
        <v>-1.8027000000000002</v>
        <stp/>
        <stp>127031.SZ</stp>
        <stp>LastPrice</stp>
        <stp>Yield_To_Maturity</stp>
        <tr r="O258" s="2"/>
      </tp>
      <tp>
        <v>-2.9469000000000003</v>
        <stp/>
        <stp>127036.SZ</stp>
        <stp>LastPrice</stp>
        <stp>Yield_To_Maturity</stp>
        <tr r="O192" s="2"/>
      </tp>
      <tp>
        <v>-2.4138999999999999</v>
        <stp/>
        <stp>127037.SZ</stp>
        <stp>LastPrice</stp>
        <stp>Yield_To_Maturity</stp>
        <tr r="O136" s="2"/>
      </tp>
      <tp>
        <v>2.2282000000000002</v>
        <stp/>
        <stp>127034.SZ</stp>
        <stp>LastPrice</stp>
        <stp>Yield_To_Maturity</stp>
        <tr r="O297" s="2"/>
      </tp>
      <tp>
        <v>-2.8044000000000002</v>
        <stp/>
        <stp>127035.SZ</stp>
        <stp>LastPrice</stp>
        <stp>Yield_To_Maturity</stp>
        <tr r="O185" s="2"/>
      </tp>
      <tp>
        <v>-8.5317000000000007</v>
        <stp/>
        <stp>127038.SZ</stp>
        <stp>LastPrice</stp>
        <stp>Yield_To_Maturity</stp>
        <tr r="O341" s="2"/>
      </tp>
      <tp>
        <v>-0.90870000000000006</v>
        <stp/>
        <stp>127039.SZ</stp>
        <stp>LastPrice</stp>
        <stp>Yield_To_Maturity</stp>
        <tr r="O157" s="2"/>
      </tp>
      <tp>
        <v>-2.8792</v>
        <stp/>
        <stp>127022.SZ</stp>
        <stp>LastPrice</stp>
        <stp>Yield_To_Maturity</stp>
        <tr r="O245" s="2"/>
      </tp>
      <tp>
        <v>-1.8417000000000001</v>
        <stp/>
        <stp>127020.SZ</stp>
        <stp>LastPrice</stp>
        <stp>Yield_To_Maturity</stp>
        <tr r="O14" s="2"/>
      </tp>
      <tp>
        <v>1.6866000000000001</v>
        <stp/>
        <stp>127021.SZ</stp>
        <stp>LastPrice</stp>
        <stp>Yield_To_Maturity</stp>
        <tr r="O83" s="2"/>
      </tp>
      <tp>
        <v>0.26200000000000001</v>
        <stp/>
        <stp>127026.SZ</stp>
        <stp>LastPrice</stp>
        <stp>Yield_To_Maturity</stp>
        <tr r="O335" s="2"/>
      </tp>
      <tp>
        <v>-0.84600000000000009</v>
        <stp/>
        <stp>127027.SZ</stp>
        <stp>LastPrice</stp>
        <stp>Yield_To_Maturity</stp>
        <tr r="O380" s="2"/>
      </tp>
      <tp>
        <v>-3.4599999999999999E-2</v>
        <stp/>
        <stp>127024.SZ</stp>
        <stp>LastPrice</stp>
        <stp>Yield_To_Maturity</stp>
        <tr r="O288" s="2"/>
      </tp>
      <tp>
        <v>-1.5690000000000002</v>
        <stp/>
        <stp>127025.SZ</stp>
        <stp>LastPrice</stp>
        <stp>Yield_To_Maturity</stp>
        <tr r="O183" s="2"/>
      </tp>
      <tp>
        <v>0.89460000000000006</v>
        <stp/>
        <stp>127028.SZ</stp>
        <stp>LastPrice</stp>
        <stp>Yield_To_Maturity</stp>
        <tr r="O54" s="2"/>
      </tp>
      <tp>
        <v>-6.7805</v>
        <stp/>
        <stp>127029.SZ</stp>
        <stp>LastPrice</stp>
        <stp>Yield_To_Maturity</stp>
        <tr r="O159" s="2"/>
      </tp>
      <tp>
        <v>-1.4829000000000001</v>
        <stp/>
        <stp>127012.SZ</stp>
        <stp>LastPrice</stp>
        <stp>Yield_To_Maturity</stp>
        <tr r="O154" s="2"/>
      </tp>
      <tp>
        <v>2.3427000000000002</v>
        <stp/>
        <stp>127013.SZ</stp>
        <stp>LastPrice</stp>
        <stp>Yield_To_Maturity</stp>
        <tr r="O191" s="2"/>
      </tp>
      <tp>
        <v>-8.4284999999999997</v>
        <stp/>
        <stp>127011.SZ</stp>
        <stp>LastPrice</stp>
        <stp>Yield_To_Maturity</stp>
        <tr r="O121" s="2"/>
      </tp>
      <tp>
        <v>2.4279999999999999</v>
        <stp/>
        <stp>127016.SZ</stp>
        <stp>LastPrice</stp>
        <stp>Yield_To_Maturity</stp>
        <tr r="O316" s="2"/>
      </tp>
      <tp>
        <v>-2.8005</v>
        <stp/>
        <stp>127017.SZ</stp>
        <stp>LastPrice</stp>
        <stp>Yield_To_Maturity</stp>
        <tr r="O182" s="2"/>
      </tp>
      <tp>
        <v>-1.2247000000000001</v>
        <stp/>
        <stp>127014.SZ</stp>
        <stp>LastPrice</stp>
        <stp>Yield_To_Maturity</stp>
        <tr r="O174" s="2"/>
      </tp>
      <tp>
        <v>-0.17220000000000002</v>
        <stp/>
        <stp>127015.SZ</stp>
        <stp>LastPrice</stp>
        <stp>Yield_To_Maturity</stp>
        <tr r="O142" s="2"/>
      </tp>
      <tp>
        <v>0.77680000000000005</v>
        <stp/>
        <stp>127018.SZ</stp>
        <stp>LastPrice</stp>
        <stp>Yield_To_Maturity</stp>
        <tr r="O302" s="2"/>
      </tp>
      <tp>
        <v>2.4934000000000003</v>
        <stp/>
        <stp>127019.SZ</stp>
        <stp>LastPrice</stp>
        <stp>Yield_To_Maturity</stp>
        <tr r="O13" s="2"/>
      </tp>
      <tp>
        <v>2.6301000000000001</v>
        <stp/>
        <stp>127003.SZ</stp>
        <stp>LastPrice</stp>
        <stp>Yield_To_Maturity</stp>
        <tr r="O94" s="2"/>
      </tp>
      <tp>
        <v>-3.0982000000000003</v>
        <stp/>
        <stp>127006.SZ</stp>
        <stp>LastPrice</stp>
        <stp>Yield_To_Maturity</stp>
        <tr r="O41" s="2"/>
      </tp>
      <tp>
        <v>2.9696000000000002</v>
        <stp/>
        <stp>127007.SZ</stp>
        <stp>LastPrice</stp>
        <stp>Yield_To_Maturity</stp>
        <tr r="O376" s="2"/>
      </tp>
      <tp>
        <v>-19.753800000000002</v>
        <stp/>
        <stp>127004.SZ</stp>
        <stp>LastPrice</stp>
        <stp>Yield_To_Maturity</stp>
        <tr r="O122" s="2"/>
      </tp>
      <tp>
        <v>-7.1177999999999999</v>
        <stp/>
        <stp>127005.SZ</stp>
        <stp>LastPrice</stp>
        <stp>Yield_To_Maturity</stp>
        <tr r="O309" s="2"/>
      </tp>
      <tp>
        <v>-0.73</v>
        <stp/>
        <stp>000832.CSI</stp>
        <stp>PctChg</stp>
        <tr r="E3" s="2"/>
      </tp>
      <tp>
        <v>1.4730000000000001</v>
        <stp/>
        <stp>113610.SH</stp>
        <stp>LastPrice</stp>
        <stp>Yield_To_Maturity</stp>
        <tr r="O67" s="2"/>
      </tp>
      <tp>
        <v>0</v>
        <stp/>
        <stp>113612.SH</stp>
        <stp>LastPrice</stp>
        <stp>Yield_To_Maturity</stp>
        <tr r="O241" s="2"/>
      </tp>
      <tp>
        <v>-9.0364000000000004</v>
        <stp/>
        <stp>113615.SH</stp>
        <stp>LastPrice</stp>
        <stp>Yield_To_Maturity</stp>
        <tr r="O379" s="2"/>
      </tp>
      <tp>
        <v>-2.4176000000000002</v>
        <stp/>
        <stp>113614.SH</stp>
        <stp>LastPrice</stp>
        <stp>Yield_To_Maturity</stp>
        <tr r="O46" s="2"/>
      </tp>
      <tp>
        <v>-4.4135</v>
        <stp/>
        <stp>113616.SH</stp>
        <stp>LastPrice</stp>
        <stp>Yield_To_Maturity</stp>
        <tr r="O345" s="2"/>
      </tp>
      <tp>
        <v>1.1956</v>
        <stp/>
        <stp>113619.SH</stp>
        <stp>LastPrice</stp>
        <stp>Yield_To_Maturity</stp>
        <tr r="O325" s="2"/>
      </tp>
      <tp>
        <v>-1.2887</v>
        <stp/>
        <stp>113618.SH</stp>
        <stp>LastPrice</stp>
        <stp>Yield_To_Maturity</stp>
        <tr r="O55" s="2"/>
      </tp>
      <tp>
        <v>3.3747000000000003</v>
        <stp/>
        <stp>113601.SH</stp>
        <stp>LastPrice</stp>
        <stp>Yield_To_Maturity</stp>
        <tr r="O66" s="2"/>
      </tp>
      <tp>
        <v>7.3200000000000001E-2</v>
        <stp/>
        <stp>113600.SH</stp>
        <stp>LastPrice</stp>
        <stp>Yield_To_Maturity</stp>
        <tr r="O20" s="2"/>
      </tp>
      <tp>
        <v>-5.0022000000000002</v>
        <stp/>
        <stp>113603.SH</stp>
        <stp>LastPrice</stp>
        <stp>Yield_To_Maturity</stp>
        <tr r="O355" s="2"/>
      </tp>
      <tp>
        <v>-1.3611</v>
        <stp/>
        <stp>113602.SH</stp>
        <stp>LastPrice</stp>
        <stp>Yield_To_Maturity</stp>
        <tr r="O331" s="2"/>
      </tp>
      <tp>
        <v>0.41700000000000004</v>
        <stp/>
        <stp>113605.SH</stp>
        <stp>LastPrice</stp>
        <stp>Yield_To_Maturity</stp>
        <tr r="O40" s="2"/>
      </tp>
      <tp>
        <v>2.2892999999999999</v>
        <stp/>
        <stp>113604.SH</stp>
        <stp>LastPrice</stp>
        <stp>Yield_To_Maturity</stp>
        <tr r="O201" s="2"/>
      </tp>
      <tp>
        <v>-2.7813000000000003</v>
        <stp/>
        <stp>113607.SH</stp>
        <stp>LastPrice</stp>
        <stp>Yield_To_Maturity</stp>
        <tr r="O301" s="2"/>
      </tp>
      <tp>
        <v>1.0206</v>
        <stp/>
        <stp>113606.SH</stp>
        <stp>LastPrice</stp>
        <stp>Yield_To_Maturity</stp>
        <tr r="O190" s="2"/>
      </tp>
      <tp>
        <v>1.1804000000000001</v>
        <stp/>
        <stp>113609.SH</stp>
        <stp>LastPrice</stp>
        <stp>Yield_To_Maturity</stp>
        <tr r="O129" s="2"/>
      </tp>
      <tp>
        <v>0.80840000000000001</v>
        <stp/>
        <stp>113608.SH</stp>
        <stp>LastPrice</stp>
        <stp>Yield_To_Maturity</stp>
        <tr r="O213" s="2"/>
      </tp>
      <tp>
        <v>-7.6574</v>
        <stp/>
        <stp>113621.SH</stp>
        <stp>LastPrice</stp>
        <stp>Yield_To_Maturity</stp>
        <tr r="O244" s="2"/>
      </tp>
      <tp>
        <v>2.5550999999999999</v>
        <stp/>
        <stp>113620.SH</stp>
        <stp>LastPrice</stp>
        <stp>Yield_To_Maturity</stp>
        <tr r="O149" s="2"/>
      </tp>
      <tp>
        <v>-3.2044000000000001</v>
        <stp/>
        <stp>113623.SH</stp>
        <stp>LastPrice</stp>
        <stp>Yield_To_Maturity</stp>
        <tr r="O262" s="2"/>
      </tp>
      <tp>
        <v>-0.22800000000000001</v>
        <stp/>
        <stp>113622.SH</stp>
        <stp>LastPrice</stp>
        <stp>Yield_To_Maturity</stp>
        <tr r="O228" s="2"/>
      </tp>
      <tp>
        <v>1.8404</v>
        <stp/>
        <stp>113625.SH</stp>
        <stp>LastPrice</stp>
        <stp>Yield_To_Maturity</stp>
        <tr r="O112" s="2"/>
      </tp>
      <tp>
        <v>2.8646000000000003</v>
        <stp/>
        <stp>113624.SH</stp>
        <stp>LastPrice</stp>
        <stp>Yield_To_Maturity</stp>
        <tr r="O56" s="2"/>
      </tp>
      <tp>
        <v>-0.89050000000000007</v>
        <stp/>
        <stp>113627.SH</stp>
        <stp>LastPrice</stp>
        <stp>Yield_To_Maturity</stp>
        <tr r="O318" s="2"/>
      </tp>
      <tp>
        <v>-3.9711000000000003</v>
        <stp/>
        <stp>113626.SH</stp>
        <stp>LastPrice</stp>
        <stp>Yield_To_Maturity</stp>
        <tr r="O135" s="2"/>
      </tp>
      <tp>
        <v>2.0183</v>
        <stp/>
        <stp>113628.SH</stp>
        <stp>LastPrice</stp>
        <stp>Yield_To_Maturity</stp>
        <tr r="O337" s="2"/>
      </tp>
      <tp>
        <v>0.76900000000000002</v>
        <stp/>
        <stp>113591.SH</stp>
        <stp>LastPrice</stp>
        <stp>Yield_To_Maturity</stp>
        <tr r="O116" s="2"/>
      </tp>
      <tp>
        <v>-0.48470000000000002</v>
        <stp/>
        <stp>113593.SH</stp>
        <stp>LastPrice</stp>
        <stp>Yield_To_Maturity</stp>
        <tr r="O217" s="2"/>
      </tp>
      <tp>
        <v>6.8141000000000007</v>
        <stp/>
        <stp>113595.SH</stp>
        <stp>LastPrice</stp>
        <stp>Yield_To_Maturity</stp>
        <tr r="O163" s="2"/>
      </tp>
      <tp>
        <v>2.0876000000000001</v>
        <stp/>
        <stp>113594.SH</stp>
        <stp>LastPrice</stp>
        <stp>Yield_To_Maturity</stp>
        <tr r="O202" s="2"/>
      </tp>
      <tp>
        <v>2.0863</v>
        <stp/>
        <stp>113597.SH</stp>
        <stp>LastPrice</stp>
        <stp>Yield_To_Maturity</stp>
        <tr r="O216" s="2"/>
      </tp>
      <tp>
        <v>3.8409</v>
        <stp/>
        <stp>113596.SH</stp>
        <stp>LastPrice</stp>
        <stp>Yield_To_Maturity</stp>
        <tr r="O162" s="2"/>
      </tp>
      <tp>
        <v>1.8658000000000001</v>
        <stp/>
        <stp>113599.SH</stp>
        <stp>LastPrice</stp>
        <stp>Yield_To_Maturity</stp>
        <tr r="O156" s="2"/>
      </tp>
      <tp>
        <v>1.3960000000000001</v>
        <stp/>
        <stp>113598.SH</stp>
        <stp>LastPrice</stp>
        <stp>Yield_To_Maturity</stp>
        <tr r="O223" s="2"/>
      </tp>
      <tp>
        <v>-15.030900000000001</v>
        <stp/>
        <stp>113580.SH</stp>
        <stp>LastPrice</stp>
        <stp>Yield_To_Maturity</stp>
        <tr r="O311" s="2"/>
      </tp>
      <tp>
        <v>-20.955500000000001</v>
        <stp/>
        <stp>113582.SH</stp>
        <stp>LastPrice</stp>
        <stp>Yield_To_Maturity</stp>
        <tr r="O275" s="2"/>
      </tp>
      <tp>
        <v>-4.1177999999999999</v>
        <stp/>
        <stp>113585.SH</stp>
        <stp>LastPrice</stp>
        <stp>Yield_To_Maturity</stp>
        <tr r="O65" s="2"/>
      </tp>
      <tp>
        <v>2.8093000000000004</v>
        <stp/>
        <stp>113584.SH</stp>
        <stp>LastPrice</stp>
        <stp>Yield_To_Maturity</stp>
        <tr r="O92" s="2"/>
      </tp>
      <tp>
        <v>3.8620000000000001</v>
        <stp/>
        <stp>113589.SH</stp>
        <stp>LastPrice</stp>
        <stp>Yield_To_Maturity</stp>
        <tr r="O319" s="2"/>
      </tp>
      <tp>
        <v>0.98660000000000003</v>
        <stp/>
        <stp>113588.SH</stp>
        <stp>LastPrice</stp>
        <stp>Yield_To_Maturity</stp>
        <tr r="O48" s="2"/>
      </tp>
      <tp>
        <v>-5.4917000000000007</v>
        <stp/>
        <stp>113550.SH</stp>
        <stp>LastPrice</stp>
        <stp>Yield_To_Maturity</stp>
        <tr r="O119" s="2"/>
      </tp>
      <tp>
        <v>-4.2221000000000002</v>
        <stp/>
        <stp>113541.SH</stp>
        <stp>LastPrice</stp>
        <stp>Yield_To_Maturity</stp>
        <tr r="O102" s="2"/>
      </tp>
      <tp>
        <v>1.0333000000000001</v>
        <stp/>
        <stp>113542.SH</stp>
        <stp>LastPrice</stp>
        <stp>Yield_To_Maturity</stp>
        <tr r="O110" s="2"/>
      </tp>
      <tp>
        <v>-11.436400000000001</v>
        <stp/>
        <stp>113545.SH</stp>
        <stp>LastPrice</stp>
        <stp>Yield_To_Maturity</stp>
        <tr r="O378" s="2"/>
      </tp>
      <tp>
        <v>0.74720000000000009</v>
        <stp/>
        <stp>113546.SH</stp>
        <stp>LastPrice</stp>
        <stp>Yield_To_Maturity</stp>
        <tr r="O369" s="2"/>
      </tp>
      <tp>
        <v>-4.9430000000000005</v>
        <stp/>
        <stp>113549.SH</stp>
        <stp>LastPrice</stp>
        <stp>Yield_To_Maturity</stp>
        <tr r="O358" s="2"/>
      </tp>
      <tp>
        <v>-19.7485</v>
        <stp/>
        <stp>113548.SH</stp>
        <stp>LastPrice</stp>
        <stp>Yield_To_Maturity</stp>
        <tr r="O22" s="2"/>
      </tp>
      <tp>
        <v>-0.59360000000000002</v>
        <stp/>
        <stp>113570.SH</stp>
        <stp>LastPrice</stp>
        <stp>Yield_To_Maturity</stp>
        <tr r="O230" s="2"/>
      </tp>
      <tp>
        <v>3.5735000000000001</v>
        <stp/>
        <stp>113573.SH</stp>
        <stp>LastPrice</stp>
        <stp>Yield_To_Maturity</stp>
        <tr r="O84" s="2"/>
      </tp>
      <tp>
        <v>-7.0428000000000006</v>
        <stp/>
        <stp>113572.SH</stp>
        <stp>LastPrice</stp>
        <stp>Yield_To_Maturity</stp>
        <tr r="O18" s="2"/>
      </tp>
      <tp>
        <v>-1.7422000000000002</v>
        <stp/>
        <stp>113575.SH</stp>
        <stp>LastPrice</stp>
        <stp>Yield_To_Maturity</stp>
        <tr r="O132" s="2"/>
      </tp>
      <tp>
        <v>1.3495000000000001</v>
        <stp/>
        <stp>113574.SH</stp>
        <stp>LastPrice</stp>
        <stp>Yield_To_Maturity</stp>
        <tr r="O333" s="2"/>
      </tp>
      <tp>
        <v>-1.2606000000000002</v>
        <stp/>
        <stp>113577.SH</stp>
        <stp>LastPrice</stp>
        <stp>Yield_To_Maturity</stp>
        <tr r="O343" s="2"/>
      </tp>
      <tp>
        <v>5.5658000000000003</v>
        <stp/>
        <stp>113576.SH</stp>
        <stp>LastPrice</stp>
        <stp>Yield_To_Maturity</stp>
        <tr r="O315" s="2"/>
      </tp>
      <tp>
        <v>-2.1867000000000001</v>
        <stp/>
        <stp>113579.SH</stp>
        <stp>LastPrice</stp>
        <stp>Yield_To_Maturity</stp>
        <tr r="O52" s="2"/>
      </tp>
      <tp>
        <v>3.9474</v>
        <stp/>
        <stp>113578.SH</stp>
        <stp>LastPrice</stp>
        <stp>Yield_To_Maturity</stp>
        <tr r="O166" s="2"/>
      </tp>
      <tp>
        <v>1.8047000000000002</v>
        <stp/>
        <stp>113561.SH</stp>
        <stp>LastPrice</stp>
        <stp>Yield_To_Maturity</stp>
        <tr r="O131" s="2"/>
      </tp>
      <tp>
        <v>1.6834</v>
        <stp/>
        <stp>113563.SH</stp>
        <stp>LastPrice</stp>
        <stp>Yield_To_Maturity</stp>
        <tr r="O63" s="2"/>
      </tp>
      <tp>
        <v>1.4907000000000001</v>
        <stp/>
        <stp>113565.SH</stp>
        <stp>LastPrice</stp>
        <stp>Yield_To_Maturity</stp>
        <tr r="O145" s="2"/>
      </tp>
      <tp>
        <v>1.5405</v>
        <stp/>
        <stp>113567.SH</stp>
        <stp>LastPrice</stp>
        <stp>Yield_To_Maturity</stp>
        <tr r="O220" s="2"/>
      </tp>
      <tp>
        <v>3.0569000000000002</v>
        <stp/>
        <stp>113566.SH</stp>
        <stp>LastPrice</stp>
        <stp>Yield_To_Maturity</stp>
        <tr r="O104" s="2"/>
      </tp>
      <tp>
        <v>3.9538000000000002</v>
        <stp/>
        <stp>113569.SH</stp>
        <stp>LastPrice</stp>
        <stp>Yield_To_Maturity</stp>
        <tr r="O197" s="2"/>
      </tp>
      <tp>
        <v>-12.167900000000001</v>
        <stp/>
        <stp>113568.SH</stp>
        <stp>LastPrice</stp>
        <stp>Yield_To_Maturity</stp>
        <tr r="O235" s="2"/>
      </tp>
      <tp>
        <v>-0.84290000000000009</v>
        <stp/>
        <stp>113516.SH</stp>
        <stp>LastPrice</stp>
        <stp>Yield_To_Maturity</stp>
        <tr r="O27" s="2"/>
      </tp>
      <tp>
        <v>3.6288</v>
        <stp/>
        <stp>113519.SH</stp>
        <stp>LastPrice</stp>
        <stp>Yield_To_Maturity</stp>
        <tr r="O155" s="2"/>
      </tp>
      <tp>
        <v>-9.7531999999999996</v>
        <stp/>
        <stp>113502.SH</stp>
        <stp>LastPrice</stp>
        <stp>Yield_To_Maturity</stp>
        <tr r="O271" s="2"/>
      </tp>
      <tp>
        <v>-2.2225999999999999</v>
        <stp/>
        <stp>113505.SH</stp>
        <stp>LastPrice</stp>
        <stp>Yield_To_Maturity</stp>
        <tr r="O359" s="2"/>
      </tp>
      <tp>
        <v>-13.9999</v>
        <stp/>
        <stp>113504.SH</stp>
        <stp>LastPrice</stp>
        <stp>Yield_To_Maturity</stp>
        <tr r="O323" s="2"/>
      </tp>
      <tp>
        <v>3.1179000000000001</v>
        <stp/>
        <stp>113530.SH</stp>
        <stp>LastPrice</stp>
        <stp>Yield_To_Maturity</stp>
        <tr r="O178" s="2"/>
      </tp>
      <tp>
        <v>1.7182000000000002</v>
        <stp/>
        <stp>113532.SH</stp>
        <stp>LastPrice</stp>
        <stp>Yield_To_Maturity</stp>
        <tr r="O299" s="2"/>
      </tp>
      <tp>
        <v>1.3353000000000002</v>
        <stp/>
        <stp>113535.SH</stp>
        <stp>LastPrice</stp>
        <stp>Yield_To_Maturity</stp>
        <tr r="O215" s="2"/>
      </tp>
      <tp>
        <v>-26.2027</v>
        <stp/>
        <stp>113534.SH</stp>
        <stp>LastPrice</stp>
        <stp>Yield_To_Maturity</stp>
        <tr r="O17" s="2"/>
      </tp>
      <tp>
        <v>-9.6904000000000003</v>
        <stp/>
        <stp>113537.SH</stp>
        <stp>LastPrice</stp>
        <stp>Yield_To_Maturity</stp>
        <tr r="O123" s="2"/>
      </tp>
      <tp>
        <v>-1.9998</v>
        <stp/>
        <stp>113536.SH</stp>
        <stp>LastPrice</stp>
        <stp>Yield_To_Maturity</stp>
        <tr r="O188" s="2"/>
      </tp>
      <tp>
        <v>-17.4116</v>
        <stp/>
        <stp>113525.SH</stp>
        <stp>LastPrice</stp>
        <stp>Yield_To_Maturity</stp>
        <tr r="O322" s="2"/>
      </tp>
      <tp>
        <v>2.3721000000000001</v>
        <stp/>
        <stp>113524.SH</stp>
        <stp>LastPrice</stp>
        <stp>Yield_To_Maturity</stp>
        <tr r="O193" s="2"/>
      </tp>
      <tp>
        <v>-9.4255000000000013</v>
        <stp/>
        <stp>113527.SH</stp>
        <stp>LastPrice</stp>
        <stp>Yield_To_Maturity</stp>
        <tr r="O321" s="2"/>
      </tp>
      <tp>
        <v>-24.912800000000001</v>
        <stp/>
        <stp>113526.SH</stp>
        <stp>LastPrice</stp>
        <stp>Yield_To_Maturity</stp>
        <tr r="O280" s="2"/>
      </tp>
      <tp>
        <v>-14.8848</v>
        <stp/>
        <stp>113528.SH</stp>
        <stp>LastPrice</stp>
        <stp>Yield_To_Maturity</stp>
        <tr r="O353" s="2"/>
      </tp>
      <tp>
        <v>-6.4393000000000002</v>
        <stp/>
        <stp>113051.SH</stp>
        <stp>LastPrice</stp>
        <stp>Yield_To_Maturity</stp>
        <tr r="O293" s="2"/>
      </tp>
      <tp>
        <v>-0.61340000000000006</v>
        <stp/>
        <stp>113050.SH</stp>
        <stp>LastPrice</stp>
        <stp>Yield_To_Maturity</stp>
        <tr r="O35" s="2"/>
      </tp>
      <tp>
        <v>-0.5746</v>
        <stp/>
        <stp>113043.SH</stp>
        <stp>LastPrice</stp>
        <stp>Yield_To_Maturity</stp>
        <tr r="O307" s="2"/>
      </tp>
      <tp>
        <v>2.9552</v>
        <stp/>
        <stp>113042.SH</stp>
        <stp>LastPrice</stp>
        <stp>Yield_To_Maturity</stp>
        <tr r="O32" s="2"/>
      </tp>
      <tp>
        <v>-0.32880000000000004</v>
        <stp/>
        <stp>113045.SH</stp>
        <stp>LastPrice</stp>
        <stp>Yield_To_Maturity</stp>
        <tr r="O332" s="2"/>
      </tp>
      <tp>
        <v>1.5388000000000002</v>
        <stp/>
        <stp>113044.SH</stp>
        <stp>LastPrice</stp>
        <stp>Yield_To_Maturity</stp>
        <tr r="O152" s="2"/>
      </tp>
      <tp>
        <v>-6.2877000000000001</v>
        <stp/>
        <stp>113047.SH</stp>
        <stp>LastPrice</stp>
        <stp>Yield_To_Maturity</stp>
        <tr r="O184" s="2"/>
      </tp>
      <tp>
        <v>0.1507</v>
        <stp/>
        <stp>113046.SH</stp>
        <stp>LastPrice</stp>
        <stp>Yield_To_Maturity</stp>
        <tr r="O10" s="2"/>
      </tp>
      <tp>
        <v>-8.3718000000000004</v>
        <stp/>
        <stp>113049.SH</stp>
        <stp>LastPrice</stp>
        <stp>Yield_To_Maturity</stp>
        <tr r="O134" s="2"/>
      </tp>
      <tp>
        <v>-7.3862000000000005</v>
        <stp/>
        <stp>113048.SH</stp>
        <stp>LastPrice</stp>
        <stp>Yield_To_Maturity</stp>
        <tr r="O292" s="2"/>
      </tp>
      <tp>
        <v>-4.7581000000000007</v>
        <stp/>
        <stp>113011.SH</stp>
        <stp>LastPrice</stp>
        <stp>Yield_To_Maturity</stp>
        <tr r="O26" s="2"/>
      </tp>
      <tp>
        <v>-7.9084000000000003</v>
        <stp/>
        <stp>113013.SH</stp>
        <stp>LastPrice</stp>
        <stp>Yield_To_Maturity</stp>
        <tr r="O308" s="2"/>
      </tp>
      <tp>
        <v>-14.960500000000001</v>
        <stp/>
        <stp>113014.SH</stp>
        <stp>LastPrice</stp>
        <stp>Yield_To_Maturity</stp>
        <tr r="O370" s="2"/>
      </tp>
      <tp>
        <v>3.1521000000000003</v>
        <stp/>
        <stp>113017.SH</stp>
        <stp>LastPrice</stp>
        <stp>Yield_To_Maturity</stp>
        <tr r="O377" s="2"/>
      </tp>
      <tp>
        <v>-46.955800000000004</v>
        <stp/>
        <stp>113016.SH</stp>
        <stp>LastPrice</stp>
        <stp>Yield_To_Maturity</stp>
        <tr r="O117" s="2"/>
      </tp>
      <tp>
        <v>-51.588000000000001</v>
        <stp/>
        <stp>113009.SH</stp>
        <stp>LastPrice</stp>
        <stp>Yield_To_Maturity</stp>
        <tr r="O118" s="2"/>
      </tp>
      <tp>
        <v>-3.2623000000000002</v>
        <stp/>
        <stp>113030.SH</stp>
        <stp>LastPrice</stp>
        <stp>Yield_To_Maturity</stp>
        <tr r="O96" s="2"/>
      </tp>
      <tp>
        <v>2.1664000000000003</v>
        <stp/>
        <stp>113033.SH</stp>
        <stp>LastPrice</stp>
        <stp>Yield_To_Maturity</stp>
        <tr r="O93" s="2"/>
      </tp>
      <tp>
        <v>-18.4224</v>
        <stp/>
        <stp>113034.SH</stp>
        <stp>LastPrice</stp>
        <stp>Yield_To_Maturity</stp>
        <tr r="O247" s="2"/>
      </tp>
      <tp>
        <v>2.1038999999999999</v>
        <stp/>
        <stp>113037.SH</stp>
        <stp>LastPrice</stp>
        <stp>Yield_To_Maturity</stp>
        <tr r="O31" s="2"/>
      </tp>
      <tp>
        <v>1.6480000000000001</v>
        <stp/>
        <stp>113036.SH</stp>
        <stp>LastPrice</stp>
        <stp>Yield_To_Maturity</stp>
        <tr r="O161" s="2"/>
      </tp>
      <tp>
        <v>-8.9663000000000004</v>
        <stp/>
        <stp>113039.SH</stp>
        <stp>LastPrice</stp>
        <stp>Yield_To_Maturity</stp>
        <tr r="O282" s="2"/>
      </tp>
      <tp>
        <v>2.8433999999999999</v>
        <stp/>
        <stp>113021.SH</stp>
        <stp>LastPrice</stp>
        <stp>Yield_To_Maturity</stp>
        <tr r="O34" s="2"/>
      </tp>
      <tp>
        <v>-25.6431</v>
        <stp/>
        <stp>113025.SH</stp>
        <stp>LastPrice</stp>
        <stp>Yield_To_Maturity</stp>
        <tr r="O9" s="2"/>
      </tp>
      <tp>
        <v>-3.6735000000000002</v>
        <stp/>
        <stp>113024.SH</stp>
        <stp>LastPrice</stp>
        <stp>Yield_To_Maturity</stp>
        <tr r="O179" s="2"/>
      </tp>
      <tp>
        <v>-6.3817000000000004</v>
        <stp/>
        <stp>113027.SH</stp>
        <stp>LastPrice</stp>
        <stp>Yield_To_Maturity</stp>
        <tr r="O11" s="2"/>
      </tp>
      <tp>
        <v>-5.5045000000000002</v>
        <stp/>
        <stp>113026.SH</stp>
        <stp>LastPrice</stp>
        <stp>Yield_To_Maturity</stp>
        <tr r="O300" s="2"/>
      </tp>
      <tp>
        <v>-8.1318000000000001</v>
        <stp/>
        <stp>123092.SZ</stp>
        <stp>LastPrice</stp>
        <stp>Yield_To_Maturity</stp>
        <tr r="O279" s="2"/>
      </tp>
      <tp>
        <v>1.9798</v>
        <stp/>
        <stp>123093.SZ</stp>
        <stp>LastPrice</stp>
        <stp>Yield_To_Maturity</stp>
        <tr r="O106" s="2"/>
      </tp>
      <tp>
        <v>0.36110000000000003</v>
        <stp/>
        <stp>123090.SZ</stp>
        <stp>LastPrice</stp>
        <stp>Yield_To_Maturity</stp>
        <tr r="O73" s="2"/>
      </tp>
      <tp>
        <v>-2.7719</v>
        <stp/>
        <stp>123091.SZ</stp>
        <stp>LastPrice</stp>
        <stp>Yield_To_Maturity</stp>
        <tr r="O236" s="2"/>
      </tp>
      <tp>
        <v>2.4769000000000001</v>
        <stp/>
        <stp>123096.SZ</stp>
        <stp>LastPrice</stp>
        <stp>Yield_To_Maturity</stp>
        <tr r="O195" s="2"/>
      </tp>
      <tp>
        <v>0.38270000000000004</v>
        <stp/>
        <stp>123097.SZ</stp>
        <stp>LastPrice</stp>
        <stp>Yield_To_Maturity</stp>
        <tr r="O128" s="2"/>
      </tp>
      <tp>
        <v>0</v>
        <stp/>
        <stp>123094.SZ</stp>
        <stp>LastPrice</stp>
        <stp>Yield_To_Maturity</stp>
        <tr r="O263" s="2"/>
      </tp>
      <tp>
        <v>0</v>
        <stp/>
        <stp>123095.SZ</stp>
        <stp>LastPrice</stp>
        <stp>Yield_To_Maturity</stp>
        <tr r="O381" s="2"/>
      </tp>
      <tp>
        <v>-0.67770000000000008</v>
        <stp/>
        <stp>123098.SZ</stp>
        <stp>LastPrice</stp>
        <stp>Yield_To_Maturity</stp>
        <tr r="O74" s="2"/>
      </tp>
      <tp>
        <v>0.29420000000000002</v>
        <stp/>
        <stp>123099.SZ</stp>
        <stp>LastPrice</stp>
        <stp>Yield_To_Maturity</stp>
        <tr r="O71" s="2"/>
      </tp>
      <tp>
        <v>0.2772</v>
        <stp/>
        <stp>123082.SZ</stp>
        <stp>LastPrice</stp>
        <stp>Yield_To_Maturity</stp>
        <tr r="O64" s="2"/>
      </tp>
      <tp>
        <v>-7.3741000000000003</v>
        <stp/>
        <stp>123083.SZ</stp>
        <stp>LastPrice</stp>
        <stp>Yield_To_Maturity</stp>
        <tr r="O194" s="2"/>
      </tp>
      <tp>
        <v>1.1447000000000001</v>
        <stp/>
        <stp>123080.SZ</stp>
        <stp>LastPrice</stp>
        <stp>Yield_To_Maturity</stp>
        <tr r="O180" s="2"/>
      </tp>
      <tp>
        <v>0.65390000000000004</v>
        <stp/>
        <stp>123081.SZ</stp>
        <stp>LastPrice</stp>
        <stp>Yield_To_Maturity</stp>
        <tr r="O351" s="2"/>
      </tp>
      <tp>
        <v>-2.9564000000000004</v>
        <stp/>
        <stp>123086.SZ</stp>
        <stp>LastPrice</stp>
        <stp>Yield_To_Maturity</stp>
        <tr r="O274" s="2"/>
      </tp>
      <tp>
        <v>0.52490000000000003</v>
        <stp/>
        <stp>123087.SZ</stp>
        <stp>LastPrice</stp>
        <stp>Yield_To_Maturity</stp>
        <tr r="O349" s="2"/>
      </tp>
      <tp>
        <v>-5.1616</v>
        <stp/>
        <stp>123084.SZ</stp>
        <stp>LastPrice</stp>
        <stp>Yield_To_Maturity</stp>
        <tr r="O234" s="2"/>
      </tp>
      <tp>
        <v>-3.7368000000000001</v>
        <stp/>
        <stp>123085.SZ</stp>
        <stp>LastPrice</stp>
        <stp>Yield_To_Maturity</stp>
        <tr r="O114" s="2"/>
      </tp>
      <tp>
        <v>2.1678999999999999</v>
        <stp/>
        <stp>123088.SZ</stp>
        <stp>LastPrice</stp>
        <stp>Yield_To_Maturity</stp>
        <tr r="O125" s="2"/>
      </tp>
      <tp>
        <v>-10.723700000000001</v>
        <stp/>
        <stp>123089.SZ</stp>
        <stp>LastPrice</stp>
        <stp>Yield_To_Maturity</stp>
        <tr r="O357" s="2"/>
      </tp>
      <tp>
        <v>1.5226000000000002</v>
        <stp/>
        <stp>123072.SZ</stp>
        <stp>LastPrice</stp>
        <stp>Yield_To_Maturity</stp>
        <tr r="O99" s="2"/>
      </tp>
      <tp>
        <v>0.41970000000000002</v>
        <stp/>
        <stp>123073.SZ</stp>
        <stp>LastPrice</stp>
        <stp>Yield_To_Maturity</stp>
        <tr r="O39" s="2"/>
      </tp>
      <tp>
        <v>-5.8492000000000006</v>
        <stp/>
        <stp>123070.SZ</stp>
        <stp>LastPrice</stp>
        <stp>Yield_To_Maturity</stp>
        <tr r="O354" s="2"/>
      </tp>
      <tp>
        <v>-5.5922000000000001</v>
        <stp/>
        <stp>123071.SZ</stp>
        <stp>LastPrice</stp>
        <stp>Yield_To_Maturity</stp>
        <tr r="O362" s="2"/>
      </tp>
      <tp>
        <v>2.5158</v>
        <stp/>
        <stp>123076.SZ</stp>
        <stp>LastPrice</stp>
        <stp>Yield_To_Maturity</stp>
        <tr r="O260" s="2"/>
      </tp>
      <tp>
        <v>2.8801000000000001</v>
        <stp/>
        <stp>123077.SZ</stp>
        <stp>LastPrice</stp>
        <stp>Yield_To_Maturity</stp>
        <tr r="O205" s="2"/>
      </tp>
      <tp>
        <v>-2.3863000000000003</v>
        <stp/>
        <stp>123074.SZ</stp>
        <stp>LastPrice</stp>
        <stp>Yield_To_Maturity</stp>
        <tr r="O347" s="2"/>
      </tp>
      <tp>
        <v>3.6200000000000003E-2</v>
        <stp/>
        <stp>123075.SZ</stp>
        <stp>LastPrice</stp>
        <stp>Yield_To_Maturity</stp>
        <tr r="O137" s="2"/>
      </tp>
      <tp>
        <v>-2.2457000000000003</v>
        <stp/>
        <stp>123078.SZ</stp>
        <stp>LastPrice</stp>
        <stp>Yield_To_Maturity</stp>
        <tr r="O267" s="2"/>
      </tp>
      <tp>
        <v>0</v>
        <stp/>
        <stp>123079.SZ</stp>
        <stp>LastPrice</stp>
        <stp>Yield_To_Maturity</stp>
        <tr r="O371" s="2"/>
      </tp>
      <tp>
        <v>0.28220000000000001</v>
        <stp/>
        <stp>123062.SZ</stp>
        <stp>LastPrice</stp>
        <stp>Yield_To_Maturity</stp>
        <tr r="O224" s="2"/>
      </tp>
      <tp>
        <v>0.44010000000000005</v>
        <stp/>
        <stp>123063.SZ</stp>
        <stp>LastPrice</stp>
        <stp>Yield_To_Maturity</stp>
        <tr r="O147" s="2"/>
      </tp>
      <tp>
        <v>-3.8299000000000003</v>
        <stp/>
        <stp>123060.SZ</stp>
        <stp>LastPrice</stp>
        <stp>Yield_To_Maturity</stp>
        <tr r="O221" s="2"/>
      </tp>
      <tp>
        <v>-0.2974</v>
        <stp/>
        <stp>123061.SZ</stp>
        <stp>LastPrice</stp>
        <stp>Yield_To_Maturity</stp>
        <tr r="O276" s="2"/>
      </tp>
      <tp>
        <v>-18.0684</v>
        <stp/>
        <stp>123067.SZ</stp>
        <stp>LastPrice</stp>
        <stp>Yield_To_Maturity</stp>
        <tr r="O212" s="2"/>
      </tp>
      <tp>
        <v>0.77340000000000009</v>
        <stp/>
        <stp>123064.SZ</stp>
        <stp>LastPrice</stp>
        <stp>Yield_To_Maturity</stp>
        <tr r="O61" s="2"/>
      </tp>
      <tp>
        <v>1.8154000000000001</v>
        <stp/>
        <stp>123065.SZ</stp>
        <stp>LastPrice</stp>
        <stp>Yield_To_Maturity</stp>
        <tr r="O75" s="2"/>
      </tp>
      <tp>
        <v>2.4382999999999999</v>
        <stp/>
        <stp>123068.SZ</stp>
        <stp>LastPrice</stp>
        <stp>Yield_To_Maturity</stp>
        <tr r="O327" s="2"/>
      </tp>
      <tp>
        <v>-11.226000000000001</v>
        <stp/>
        <stp>123069.SZ</stp>
        <stp>LastPrice</stp>
        <stp>Yield_To_Maturity</stp>
        <tr r="O237" s="2"/>
      </tp>
      <tp>
        <v>-4.4281000000000006</v>
        <stp/>
        <stp>123052.SZ</stp>
        <stp>LastPrice</stp>
        <stp>Yield_To_Maturity</stp>
        <tr r="O270" s="2"/>
      </tp>
      <tp>
        <v>-1.6122000000000001</v>
        <stp/>
        <stp>123053.SZ</stp>
        <stp>LastPrice</stp>
        <stp>Yield_To_Maturity</stp>
        <tr r="O372" s="2"/>
      </tp>
      <tp>
        <v>-2.1459000000000001</v>
        <stp/>
        <stp>123050.SZ</stp>
        <stp>LastPrice</stp>
        <stp>Yield_To_Maturity</stp>
        <tr r="O328" s="2"/>
      </tp>
      <tp>
        <v>1.5833000000000002</v>
        <stp/>
        <stp>123051.SZ</stp>
        <stp>LastPrice</stp>
        <stp>Yield_To_Maturity</stp>
        <tr r="O210" s="2"/>
      </tp>
      <tp>
        <v>3.0521000000000003</v>
        <stp/>
        <stp>123056.SZ</stp>
        <stp>LastPrice</stp>
        <stp>Yield_To_Maturity</stp>
        <tr r="O146" s="2"/>
      </tp>
      <tp>
        <v>-1.4214</v>
        <stp/>
        <stp>123057.SZ</stp>
        <stp>LastPrice</stp>
        <stp>Yield_To_Maturity</stp>
        <tr r="O254" s="2"/>
      </tp>
      <tp>
        <v>-4.4483000000000006</v>
        <stp/>
        <stp>123054.SZ</stp>
        <stp>LastPrice</stp>
        <stp>Yield_To_Maturity</stp>
        <tr r="O211" s="2"/>
      </tp>
      <tp>
        <v>1.7150000000000001</v>
        <stp/>
        <stp>123059.SZ</stp>
        <stp>LastPrice</stp>
        <stp>Yield_To_Maturity</stp>
        <tr r="O206" s="2"/>
      </tp>
      <tp>
        <v>-15.286200000000001</v>
        <stp/>
        <stp>123042.SZ</stp>
        <stp>LastPrice</stp>
        <stp>Yield_To_Maturity</stp>
        <tr r="O214" s="2"/>
      </tp>
      <tp>
        <v>-5.2088000000000001</v>
        <stp/>
        <stp>123043.SZ</stp>
        <stp>LastPrice</stp>
        <stp>Yield_To_Maturity</stp>
        <tr r="O209" s="2"/>
      </tp>
      <tp>
        <v>-22.511000000000003</v>
        <stp/>
        <stp>123046.SZ</stp>
        <stp>LastPrice</stp>
        <stp>Yield_To_Maturity</stp>
        <tr r="O272" s="2"/>
      </tp>
      <tp>
        <v>-13.6294</v>
        <stp/>
        <stp>123047.SZ</stp>
        <stp>LastPrice</stp>
        <stp>Yield_To_Maturity</stp>
        <tr r="O289" s="2"/>
      </tp>
      <tp>
        <v>2.5548999999999999</v>
        <stp/>
        <stp>123044.SZ</stp>
        <stp>LastPrice</stp>
        <stp>Yield_To_Maturity</stp>
        <tr r="O363" s="2"/>
      </tp>
      <tp>
        <v>0.55810000000000004</v>
        <stp/>
        <stp>123045.SZ</stp>
        <stp>LastPrice</stp>
        <stp>Yield_To_Maturity</stp>
        <tr r="O139" s="2"/>
      </tp>
      <tp>
        <v>-3.2208000000000001</v>
        <stp/>
        <stp>123048.SZ</stp>
        <stp>LastPrice</stp>
        <stp>Yield_To_Maturity</stp>
        <tr r="O278" s="2"/>
      </tp>
      <tp>
        <v>1.7551000000000001</v>
        <stp/>
        <stp>123049.SZ</stp>
        <stp>LastPrice</stp>
        <stp>Yield_To_Maturity</stp>
        <tr r="O287" s="2"/>
      </tp>
      <tp>
        <v>0</v>
        <stp/>
        <stp>123033.SZ</stp>
        <stp>LastPrice</stp>
        <stp>Yield_To_Maturity</stp>
        <tr r="O24" s="2"/>
      </tp>
      <tp>
        <v>-15.998200000000001</v>
        <stp/>
        <stp>123030.SZ</stp>
        <stp>LastPrice</stp>
        <stp>Yield_To_Maturity</stp>
        <tr r="O368" s="2"/>
      </tp>
      <tp>
        <v>-30.751000000000001</v>
        <stp/>
        <stp>123031.SZ</stp>
        <stp>LastPrice</stp>
        <stp>Yield_To_Maturity</stp>
        <tr r="O269" s="2"/>
      </tp>
      <tp>
        <v>-14.8917</v>
        <stp/>
        <stp>123034.SZ</stp>
        <stp>LastPrice</stp>
        <stp>Yield_To_Maturity</stp>
        <tr r="O361" s="2"/>
      </tp>
      <tp>
        <v>-7.5745000000000005</v>
        <stp/>
        <stp>123035.SZ</stp>
        <stp>LastPrice</stp>
        <stp>Yield_To_Maturity</stp>
        <tr r="O329" s="2"/>
      </tp>
      <tp>
        <v>-0.67010000000000003</v>
        <stp/>
        <stp>123038.SZ</stp>
        <stp>LastPrice</stp>
        <stp>Yield_To_Maturity</stp>
        <tr r="O348" s="2"/>
      </tp>
      <tp>
        <v>2.4175</v>
        <stp/>
        <stp>123039.SZ</stp>
        <stp>LastPrice</stp>
        <stp>Yield_To_Maturity</stp>
        <tr r="O320" s="2"/>
      </tp>
      <tp>
        <v>-7.7247000000000003</v>
        <stp/>
        <stp>123022.SZ</stp>
        <stp>LastPrice</stp>
        <stp>Yield_To_Maturity</stp>
        <tr r="O344" s="2"/>
      </tp>
      <tp>
        <v>0.3614</v>
        <stp/>
        <stp>123023.SZ</stp>
        <stp>LastPrice</stp>
        <stp>Yield_To_Maturity</stp>
        <tr r="O291" s="2"/>
      </tp>
      <tp>
        <v>-23.539400000000001</v>
        <stp/>
        <stp>123027.SZ</stp>
        <stp>LastPrice</stp>
        <stp>Yield_To_Maturity</stp>
        <tr r="O253" s="2"/>
      </tp>
      <tp>
        <v>-1.2531000000000001</v>
        <stp/>
        <stp>123024.SZ</stp>
        <stp>LastPrice</stp>
        <stp>Yield_To_Maturity</stp>
        <tr r="O233" s="2"/>
      </tp>
      <tp>
        <v>-4.7839</v>
        <stp/>
        <stp>123025.SZ</stp>
        <stp>LastPrice</stp>
        <stp>Yield_To_Maturity</stp>
        <tr r="O232" s="2"/>
      </tp>
      <tp>
        <v>-13.9298</v>
        <stp/>
        <stp>123028.SZ</stp>
        <stp>LastPrice</stp>
        <stp>Yield_To_Maturity</stp>
        <tr r="O251" s="2"/>
      </tp>
      <tp>
        <v>-42.472200000000001</v>
        <stp/>
        <stp>123029.SZ</stp>
        <stp>LastPrice</stp>
        <stp>Yield_To_Maturity</stp>
        <tr r="O57" s="2"/>
      </tp>
      <tp>
        <v>-12.811200000000001</v>
        <stp/>
        <stp>123012.SZ</stp>
        <stp>LastPrice</stp>
        <stp>Yield_To_Maturity</stp>
        <tr r="O97" s="2"/>
      </tp>
      <tp>
        <v>-31.412800000000001</v>
        <stp/>
        <stp>123013.SZ</stp>
        <stp>LastPrice</stp>
        <stp>Yield_To_Maturity</stp>
        <tr r="O255" s="2"/>
      </tp>
      <tp>
        <v>1.1067</v>
        <stp/>
        <stp>123010.SZ</stp>
        <stp>LastPrice</stp>
        <stp>Yield_To_Maturity</stp>
        <tr r="O286" s="2"/>
      </tp>
      <tp>
        <v>1.6457000000000002</v>
        <stp/>
        <stp>123011.SZ</stp>
        <stp>LastPrice</stp>
        <stp>Yield_To_Maturity</stp>
        <tr r="O130" s="2"/>
      </tp>
      <tp>
        <v>-10.266400000000001</v>
        <stp/>
        <stp>123014.SZ</stp>
        <stp>LastPrice</stp>
        <stp>Yield_To_Maturity</stp>
        <tr r="O364" s="2"/>
      </tp>
      <tp>
        <v>-23.745699999999999</v>
        <stp/>
        <stp>123015.SZ</stp>
        <stp>LastPrice</stp>
        <stp>Yield_To_Maturity</stp>
        <tr r="O199" s="2"/>
      </tp>
      <tp>
        <v>-16.0547</v>
        <stp/>
        <stp>123018.SZ</stp>
        <stp>LastPrice</stp>
        <stp>Yield_To_Maturity</stp>
        <tr r="O69" s="2"/>
      </tp>
      <tp>
        <v>-3.5436000000000001</v>
        <stp/>
        <stp>123002.SZ</stp>
        <stp>LastPrice</stp>
        <stp>Yield_To_Maturity</stp>
        <tr r="O294" s="2"/>
      </tp>
      <tp>
        <v>1.7395</v>
        <stp/>
        <stp>123004.SZ</stp>
        <stp>LastPrice</stp>
        <stp>Yield_To_Maturity</stp>
        <tr r="O171" s="2"/>
      </tp>
      <tp>
        <v>-2.1025</v>
        <stp/>
        <stp>123122.SZ</stp>
        <stp>LastPrice</stp>
        <stp>Yield_To_Maturity</stp>
        <tr r="O339" s="2"/>
      </tp>
      <tp>
        <v>8.7300000000000003E-2</v>
        <stp/>
        <stp>123123.SZ</stp>
        <stp>LastPrice</stp>
        <stp>Yield_To_Maturity</stp>
        <tr r="O340" s="2"/>
      </tp>
      <tp>
        <v>-5.1021999999999998</v>
        <stp/>
        <stp>123120.SZ</stp>
        <stp>LastPrice</stp>
        <stp>Yield_To_Maturity</stp>
        <tr r="O296" s="2"/>
      </tp>
      <tp>
        <v>-0.39660000000000001</v>
        <stp/>
        <stp>123121.SZ</stp>
        <stp>LastPrice</stp>
        <stp>Yield_To_Maturity</stp>
        <tr r="O226" s="2"/>
      </tp>
      <tp>
        <v>-2.6304000000000003</v>
        <stp/>
        <stp>123124.SZ</stp>
        <stp>LastPrice</stp>
        <stp>Yield_To_Maturity</stp>
        <tr r="O264" s="2"/>
      </tp>
      <tp>
        <v>0</v>
        <stp/>
        <stp>123125.SZ</stp>
        <stp>LastPrice</stp>
        <stp>Yield_To_Maturity</stp>
        <tr r="O265" s="2"/>
      </tp>
      <tp>
        <v>-2.3700000000000002E-2</v>
        <stp/>
        <stp>123112.SZ</stp>
        <stp>LastPrice</stp>
        <stp>Yield_To_Maturity</stp>
        <tr r="O225" s="2"/>
      </tp>
      <tp>
        <v>0.5504</v>
        <stp/>
        <stp>123113.SZ</stp>
        <stp>LastPrice</stp>
        <stp>Yield_To_Maturity</stp>
        <tr r="O90" s="2"/>
      </tp>
      <tp>
        <v>-0.2001</v>
        <stp/>
        <stp>123110.SZ</stp>
        <stp>LastPrice</stp>
        <stp>Yield_To_Maturity</stp>
        <tr r="O44" s="2"/>
      </tp>
      <tp>
        <v>-6.6908000000000003</v>
        <stp/>
        <stp>123111.SZ</stp>
        <stp>LastPrice</stp>
        <stp>Yield_To_Maturity</stp>
        <tr r="O310" s="2"/>
      </tp>
      <tp>
        <v>-1.3108</v>
        <stp/>
        <stp>123116.SZ</stp>
        <stp>LastPrice</stp>
        <stp>Yield_To_Maturity</stp>
        <tr r="O204" s="2"/>
      </tp>
      <tp>
        <v>-0.13040000000000002</v>
        <stp/>
        <stp>123117.SZ</stp>
        <stp>LastPrice</stp>
        <stp>Yield_To_Maturity</stp>
        <tr r="O58" s="2"/>
      </tp>
      <tp>
        <v>-5.9241999999999999</v>
        <stp/>
        <stp>123114.SZ</stp>
        <stp>LastPrice</stp>
        <stp>Yield_To_Maturity</stp>
        <tr r="O277" s="2"/>
      </tp>
      <tp>
        <v>-2.8447</v>
        <stp/>
        <stp>123115.SZ</stp>
        <stp>LastPrice</stp>
        <stp>Yield_To_Maturity</stp>
        <tr r="O338" s="2"/>
      </tp>
      <tp>
        <v>-0.41510000000000002</v>
        <stp/>
        <stp>123118.SZ</stp>
        <stp>LastPrice</stp>
        <stp>Yield_To_Maturity</stp>
        <tr r="O295" s="2"/>
      </tp>
      <tp>
        <v>-0.58510000000000006</v>
        <stp/>
        <stp>123119.SZ</stp>
        <stp>LastPrice</stp>
        <stp>Yield_To_Maturity</stp>
        <tr r="O59" s="2"/>
      </tp>
      <tp>
        <v>-10.4986</v>
        <stp/>
        <stp>123102.SZ</stp>
        <stp>LastPrice</stp>
        <stp>Yield_To_Maturity</stp>
        <tr r="O356" s="2"/>
      </tp>
      <tp>
        <v>-9.1818000000000008</v>
        <stp/>
        <stp>123103.SZ</stp>
        <stp>LastPrice</stp>
        <stp>Yield_To_Maturity</stp>
        <tr r="O249" s="2"/>
      </tp>
      <tp>
        <v>-1.6822000000000001</v>
        <stp/>
        <stp>123100.SZ</stp>
        <stp>LastPrice</stp>
        <stp>Yield_To_Maturity</stp>
        <tr r="O324" s="2"/>
      </tp>
      <tp>
        <v>-2.4300000000000002E-2</v>
        <stp/>
        <stp>123101.SZ</stp>
        <stp>LastPrice</stp>
        <stp>Yield_To_Maturity</stp>
        <tr r="O231" s="2"/>
      </tp>
      <tp>
        <v>0.29720000000000002</v>
        <stp/>
        <stp>123106.SZ</stp>
        <stp>LastPrice</stp>
        <stp>Yield_To_Maturity</stp>
        <tr r="O257" s="2"/>
      </tp>
      <tp>
        <v>0.25740000000000002</v>
        <stp/>
        <stp>123107.SZ</stp>
        <stp>LastPrice</stp>
        <stp>Yield_To_Maturity</stp>
        <tr r="O144" s="2"/>
      </tp>
      <tp>
        <v>0.65410000000000001</v>
        <stp/>
        <stp>123104.SZ</stp>
        <stp>LastPrice</stp>
        <stp>Yield_To_Maturity</stp>
        <tr r="O200" s="2"/>
      </tp>
      <tp>
        <v>-0.68830000000000002</v>
        <stp/>
        <stp>123105.SZ</stp>
        <stp>LastPrice</stp>
        <stp>Yield_To_Maturity</stp>
        <tr r="O208" s="2"/>
      </tp>
      <tp>
        <v>-2.1116999999999999</v>
        <stp/>
        <stp>123108.SZ</stp>
        <stp>LastPrice</stp>
        <stp>Yield_To_Maturity</stp>
        <tr r="O76" s="2"/>
      </tp>
      <tp>
        <v>-8.0000000000000004E-4</v>
        <stp/>
        <stp>123109.SZ</stp>
        <stp>LastPrice</stp>
        <stp>Yield_To_Maturity</stp>
        <tr r="O218" s="2"/>
      </tp>
      <tp>
        <v>-0.43110000000000004</v>
        <stp/>
        <stp>111000.SH</stp>
        <stp>LastPrice</stp>
        <stp>Yield_To_Maturity</stp>
        <tr r="O366" s="2"/>
      </tp>
      <tp>
        <v>-2.9416000000000002</v>
        <stp/>
        <stp>110081.SH</stp>
        <stp>LastPrice</stp>
        <stp>Yield_To_Maturity</stp>
        <tr r="O336" s="2"/>
      </tp>
      <tp>
        <v>0.85710000000000008</v>
        <stp/>
        <stp>110080.SH</stp>
        <stp>LastPrice</stp>
        <stp>Yield_To_Maturity</stp>
        <tr r="O175" s="2"/>
      </tp>
      <tp>
        <v>-0.53460000000000008</v>
        <stp/>
        <stp>110051.SH</stp>
        <stp>LastPrice</stp>
        <stp>Yield_To_Maturity</stp>
        <tr r="O81" s="2"/>
      </tp>
      <tp>
        <v>0.48280000000000001</v>
        <stp/>
        <stp>110053.SH</stp>
        <stp>LastPrice</stp>
        <stp>Yield_To_Maturity</stp>
        <tr r="O33" s="2"/>
      </tp>
      <tp>
        <v>3.4462000000000002</v>
        <stp/>
        <stp>110052.SH</stp>
        <stp>LastPrice</stp>
        <stp>Yield_To_Maturity</stp>
        <tr r="O375" s="2"/>
      </tp>
      <tp>
        <v>-13.896000000000001</v>
        <stp/>
        <stp>110055.SH</stp>
        <stp>LastPrice</stp>
        <stp>Yield_To_Maturity</stp>
        <tr r="O86" s="2"/>
      </tp>
      <tp>
        <v>-1.6956</v>
        <stp/>
        <stp>110057.SH</stp>
        <stp>LastPrice</stp>
        <stp>Yield_To_Maturity</stp>
        <tr r="O42" s="2"/>
      </tp>
      <tp>
        <v>-0.75340000000000007</v>
        <stp/>
        <stp>110056.SH</stp>
        <stp>LastPrice</stp>
        <stp>Yield_To_Maturity</stp>
        <tr r="O78" s="2"/>
      </tp>
      <tp>
        <v>3.0223</v>
        <stp/>
        <stp>110059.SH</stp>
        <stp>LastPrice</stp>
        <stp>Yield_To_Maturity</stp>
        <tr r="O37" s="2"/>
      </tp>
      <tp>
        <v>1.6785000000000001</v>
        <stp/>
        <stp>110058.SH</stp>
        <stp>LastPrice</stp>
        <stp>Yield_To_Maturity</stp>
        <tr r="O80" s="2"/>
      </tp>
      <tp>
        <v>-16.988700000000001</v>
        <stp/>
        <stp>110041.SH</stp>
        <stp>LastPrice</stp>
        <stp>Yield_To_Maturity</stp>
        <tr r="O281" s="2"/>
      </tp>
      <tp>
        <v>-4.2063000000000006</v>
        <stp/>
        <stp>110043.SH</stp>
        <stp>LastPrice</stp>
        <stp>Yield_To_Maturity</stp>
        <tr r="O30" s="2"/>
      </tp>
      <tp>
        <v>-2.9787000000000003</v>
        <stp/>
        <stp>110045.SH</stp>
        <stp>LastPrice</stp>
        <stp>Yield_To_Maturity</stp>
        <tr r="O313" s="2"/>
      </tp>
      <tp>
        <v>-20.941000000000003</v>
        <stp/>
        <stp>110044.SH</stp>
        <stp>LastPrice</stp>
        <stp>Yield_To_Maturity</stp>
        <tr r="O374" s="2"/>
      </tp>
      <tp>
        <v>-1.4168000000000001</v>
        <stp/>
        <stp>110047.SH</stp>
        <stp>LastPrice</stp>
        <stp>Yield_To_Maturity</stp>
        <tr r="O101" s="2"/>
      </tp>
      <tp>
        <v>-19.881800000000002</v>
        <stp/>
        <stp>110048.SH</stp>
        <stp>LastPrice</stp>
        <stp>Yield_To_Maturity</stp>
        <tr r="O284" s="2"/>
      </tp>
      <tp>
        <v>-3.4188000000000001</v>
        <stp/>
        <stp>110071.SH</stp>
        <stp>LastPrice</stp>
        <stp>Yield_To_Maturity</stp>
        <tr r="O248" s="2"/>
      </tp>
      <tp>
        <v>-3.0477000000000003</v>
        <stp/>
        <stp>110070.SH</stp>
        <stp>LastPrice</stp>
        <stp>Yield_To_Maturity</stp>
        <tr r="O303" s="2"/>
      </tp>
      <tp>
        <v>-1.2811000000000001</v>
        <stp/>
        <stp>110073.SH</stp>
        <stp>LastPrice</stp>
        <stp>Yield_To_Maturity</stp>
        <tr r="O305" s="2"/>
      </tp>
      <tp>
        <v>2.7007000000000003</v>
        <stp/>
        <stp>110072.SH</stp>
        <stp>LastPrice</stp>
        <stp>Yield_To_Maturity</stp>
        <tr r="O120" s="2"/>
      </tp>
      <tp>
        <v>-2.0064000000000002</v>
        <stp/>
        <stp>110075.SH</stp>
        <stp>LastPrice</stp>
        <stp>Yield_To_Maturity</stp>
        <tr r="O153" s="2"/>
      </tp>
      <tp>
        <v>-10.282400000000001</v>
        <stp/>
        <stp>110074.SH</stp>
        <stp>LastPrice</stp>
        <stp>Yield_To_Maturity</stp>
        <tr r="O352" s="2"/>
      </tp>
      <tp>
        <v>-3.1365000000000003</v>
        <stp/>
        <stp>110077.SH</stp>
        <stp>LastPrice</stp>
        <stp>Yield_To_Maturity</stp>
        <tr r="O285" s="2"/>
      </tp>
      <tp>
        <v>1.4020000000000001</v>
        <stp/>
        <stp>110076.SH</stp>
        <stp>LastPrice</stp>
        <stp>Yield_To_Maturity</stp>
        <tr r="O49" s="2"/>
      </tp>
      <tp>
        <v>-1.8261000000000001</v>
        <stp/>
        <stp>110079.SH</stp>
        <stp>LastPrice</stp>
        <stp>Yield_To_Maturity</stp>
        <tr r="O25" s="2"/>
      </tp>
      <tp>
        <v>-7.4160000000000004</v>
        <stp/>
        <stp>110061.SH</stp>
        <stp>LastPrice</stp>
        <stp>Yield_To_Maturity</stp>
        <tr r="O283" s="2"/>
      </tp>
      <tp>
        <v>-1.3987000000000001</v>
        <stp/>
        <stp>110060.SH</stp>
        <stp>LastPrice</stp>
        <stp>Yield_To_Maturity</stp>
        <tr r="O181" s="2"/>
      </tp>
      <tp>
        <v>-1.6426000000000001</v>
        <stp/>
        <stp>110063.SH</stp>
        <stp>LastPrice</stp>
        <stp>Yield_To_Maturity</stp>
        <tr r="O100" s="2"/>
      </tp>
      <tp>
        <v>-0.1447</v>
        <stp/>
        <stp>110062.SH</stp>
        <stp>LastPrice</stp>
        <stp>Yield_To_Maturity</stp>
        <tr r="O82" s="2"/>
      </tp>
      <tp>
        <v>2.7366000000000001</v>
        <stp/>
        <stp>110064.SH</stp>
        <stp>LastPrice</stp>
        <stp>Yield_To_Maturity</stp>
        <tr r="O172" s="2"/>
      </tp>
      <tp>
        <v>-0.6492</v>
        <stp/>
        <stp>110067.SH</stp>
        <stp>LastPrice</stp>
        <stp>Yield_To_Maturity</stp>
        <tr r="O306" s="2"/>
      </tp>
      <tp>
        <v>-19.084800000000001</v>
        <stp/>
        <stp>110066.SH</stp>
        <stp>LastPrice</stp>
        <stp>Yield_To_Maturity</stp>
        <tr r="O7" s="2"/>
      </tp>
      <tp>
        <v>0.29870000000000002</v>
        <stp/>
        <stp>110068.SH</stp>
        <stp>LastPrice</stp>
        <stp>Yield_To_Maturity</stp>
        <tr r="O219" s="2"/>
      </tp>
      <tp>
        <v>-57.972700000000003</v>
        <stp/>
        <stp>110033.SH</stp>
        <stp>LastPrice</stp>
        <stp>Yield_To_Maturity</stp>
        <tr r="O91" s="2"/>
      </tp>
      <tp>
        <v>-11.3969</v>
        <stp/>
        <stp>110034.SH</stp>
        <stp>LastPrice</stp>
        <stp>Yield_To_Maturity</stp>
        <tr r="O72" s="2"/>
      </tp>
      <tp>
        <v>-0.73150000000000004</v>
        <stp/>
        <stp>110038.SH</stp>
        <stp>LastPrice</stp>
        <stp>Yield_To_Maturity</stp>
        <tr r="O62" s="2"/>
      </tp>
      <tp>
        <v>-0.18000000000000002</v>
        <stp/>
        <stp>T.CFE</stp>
        <stp>PctChg</stp>
        <tr r="J3" s="2"/>
      </tp>
      <tp>
        <v>-4.6141000000000005</v>
        <stp/>
        <stp>118001.SH</stp>
        <stp>LastPrice</stp>
        <stp>Yield_To_Maturity</stp>
        <tr r="O23" s="2"/>
      </tp>
      <tp>
        <v>-6.6446000000000005</v>
        <stp/>
        <stp>118000.SH</stp>
        <stp>LastPrice</stp>
        <stp>Yield_To_Maturity</stp>
        <tr r="O8" s="2"/>
      </tp>
      <tp>
        <v>-2.2357</v>
        <stp/>
        <stp>118002.SH</stp>
        <stp>LastPrice</stp>
        <stp>Yield_To_Maturity</stp>
        <tr r="O367" s="2"/>
      </tp>
      <tp>
        <v>-19.452300000000001</v>
        <stp/>
        <stp>128093.SZ</stp>
        <stp>LastPrice</stp>
        <stp>Yield_To_Maturity</stp>
        <tr r="O261" s="2"/>
      </tp>
      <tp>
        <v>-0.66649999999999998</v>
        <stp/>
        <stp>128090.SZ</stp>
        <stp>LastPrice</stp>
        <stp>Yield_To_Maturity</stp>
        <tr r="O138" s="2"/>
      </tp>
      <tp>
        <v>-1.0972999999999999</v>
        <stp/>
        <stp>128091.SZ</stp>
        <stp>LastPrice</stp>
        <stp>Yield_To_Maturity</stp>
        <tr r="O70" s="2"/>
      </tp>
      <tp>
        <v>-3.8374000000000001</v>
        <stp/>
        <stp>128096.SZ</stp>
        <stp>LastPrice</stp>
        <stp>Yield_To_Maturity</stp>
        <tr r="O115" s="2"/>
      </tp>
      <tp>
        <v>-6.1154000000000002</v>
        <stp/>
        <stp>128097.SZ</stp>
        <stp>LastPrice</stp>
        <stp>Yield_To_Maturity</stp>
        <tr r="O187" s="2"/>
      </tp>
      <tp>
        <v>-2.7521</v>
        <stp/>
        <stp>128094.SZ</stp>
        <stp>LastPrice</stp>
        <stp>Yield_To_Maturity</stp>
        <tr r="O189" s="2"/>
      </tp>
      <tp>
        <v>-29.474900000000002</v>
        <stp/>
        <stp>128095.SZ</stp>
        <stp>LastPrice</stp>
        <stp>Yield_To_Maturity</stp>
        <tr r="O243" s="2"/>
      </tp>
      <tp>
        <v>-6.7012</v>
        <stp/>
        <stp>128082.SZ</stp>
        <stp>LastPrice</stp>
        <stp>Yield_To_Maturity</stp>
        <tr r="O21" s="2"/>
      </tp>
      <tp>
        <v>2.0910000000000002</v>
        <stp/>
        <stp>128083.SZ</stp>
        <stp>LastPrice</stp>
        <stp>Yield_To_Maturity</stp>
        <tr r="O203" s="2"/>
      </tp>
      <tp>
        <v>-2.5783</v>
        <stp/>
        <stp>128081.SZ</stp>
        <stp>LastPrice</stp>
        <stp>Yield_To_Maturity</stp>
        <tr r="O16" s="2"/>
      </tp>
      <tp>
        <v>1.5213000000000001</v>
        <stp/>
        <stp>128087.SZ</stp>
        <stp>LastPrice</stp>
        <stp>Yield_To_Maturity</stp>
        <tr r="O314" s="2"/>
      </tp>
      <tp>
        <v>-5.4058000000000002</v>
        <stp/>
        <stp>128085.SZ</stp>
        <stp>LastPrice</stp>
        <stp>Yield_To_Maturity</stp>
        <tr r="O239" s="2"/>
      </tp>
      <tp>
        <v>0.81330000000000002</v>
        <stp/>
        <stp>128072.SZ</stp>
        <stp>LastPrice</stp>
        <stp>Yield_To_Maturity</stp>
        <tr r="O19" s="2"/>
      </tp>
      <tp>
        <v>0.1555</v>
        <stp/>
        <stp>128073.SZ</stp>
        <stp>LastPrice</stp>
        <stp>Yield_To_Maturity</stp>
        <tr r="O105" s="2"/>
      </tp>
      <tp>
        <v>1.1842000000000001</v>
        <stp/>
        <stp>128070.SZ</stp>
        <stp>LastPrice</stp>
        <stp>Yield_To_Maturity</stp>
        <tr r="O222" s="2"/>
      </tp>
      <tp>
        <v>0.66600000000000004</v>
        <stp/>
        <stp>128071.SZ</stp>
        <stp>LastPrice</stp>
        <stp>Yield_To_Maturity</stp>
        <tr r="O109" s="2"/>
      </tp>
      <tp>
        <v>0.27690000000000003</v>
        <stp/>
        <stp>128076.SZ</stp>
        <stp>LastPrice</stp>
        <stp>Yield_To_Maturity</stp>
        <tr r="O229" s="2"/>
      </tp>
      <tp>
        <v>2.7345000000000002</v>
        <stp/>
        <stp>128074.SZ</stp>
        <stp>LastPrice</stp>
        <stp>Yield_To_Maturity</stp>
        <tr r="O373" s="2"/>
      </tp>
      <tp>
        <v>-2.4094000000000002</v>
        <stp/>
        <stp>128075.SZ</stp>
        <stp>LastPrice</stp>
        <stp>Yield_To_Maturity</stp>
        <tr r="O126" s="2"/>
      </tp>
      <tp>
        <v>-3.3629000000000002</v>
        <stp/>
        <stp>128078.SZ</stp>
        <stp>LastPrice</stp>
        <stp>Yield_To_Maturity</stp>
        <tr r="O196" s="2"/>
      </tp>
      <tp>
        <v>-0.9778</v>
        <stp/>
        <stp>128079.SZ</stp>
        <stp>LastPrice</stp>
        <stp>Yield_To_Maturity</stp>
        <tr r="O111" s="2"/>
      </tp>
      <tp>
        <v>8.0492000000000008</v>
        <stp/>
        <stp>128062.SZ</stp>
        <stp>LastPrice</stp>
        <stp>Yield_To_Maturity</stp>
        <tr r="O47" s="2"/>
      </tp>
      <tp>
        <v>2.9861</v>
        <stp/>
        <stp>128063.SZ</stp>
        <stp>LastPrice</stp>
        <stp>Yield_To_Maturity</stp>
        <tr r="O107" s="2"/>
      </tp>
      <tp>
        <v>3.1152000000000002</v>
        <stp/>
        <stp>128066.SZ</stp>
        <stp>LastPrice</stp>
        <stp>Yield_To_Maturity</stp>
        <tr r="O177" s="2"/>
      </tp>
      <tp>
        <v>2.8441000000000001</v>
        <stp/>
        <stp>128069.SZ</stp>
        <stp>LastPrice</stp>
        <stp>Yield_To_Maturity</stp>
        <tr r="O51" s="2"/>
      </tp>
      <tp>
        <v>-4.3010999999999999</v>
        <stp/>
        <stp>128053.SZ</stp>
        <stp>LastPrice</stp>
        <stp>Yield_To_Maturity</stp>
        <tr r="O68" s="2"/>
      </tp>
      <tp>
        <v>-13.5542</v>
        <stp/>
        <stp>128050.SZ</stp>
        <stp>LastPrice</stp>
        <stp>Yield_To_Maturity</stp>
        <tr r="O140" s="2"/>
      </tp>
      <tp>
        <v>0</v>
        <stp/>
        <stp>128051.SZ</stp>
        <stp>LastPrice</stp>
        <stp>Yield_To_Maturity</stp>
        <tr r="O273" s="2"/>
      </tp>
      <tp>
        <v>2.1703999999999999</v>
        <stp/>
        <stp>128056.SZ</stp>
        <stp>LastPrice</stp>
        <stp>Yield_To_Maturity</stp>
        <tr r="O133" s="2"/>
      </tp>
      <tp>
        <v>-3.242</v>
        <stp/>
        <stp>128057.SZ</stp>
        <stp>LastPrice</stp>
        <stp>Yield_To_Maturity</stp>
        <tr r="O207" s="2"/>
      </tp>
      <tp>
        <v>1.9739</v>
        <stp/>
        <stp>128042.SZ</stp>
        <stp>LastPrice</stp>
        <stp>Yield_To_Maturity</stp>
        <tr r="O365" s="2"/>
      </tp>
      <tp>
        <v>-1.6572</v>
        <stp/>
        <stp>128040.SZ</stp>
        <stp>LastPrice</stp>
        <stp>Yield_To_Maturity</stp>
        <tr r="O53" s="2"/>
      </tp>
      <tp>
        <v>-27.901300000000003</v>
        <stp/>
        <stp>128041.SZ</stp>
        <stp>LastPrice</stp>
        <stp>Yield_To_Maturity</stp>
        <tr r="O79" s="2"/>
      </tp>
      <tp>
        <v>-15.176300000000001</v>
        <stp/>
        <stp>128046.SZ</stp>
        <stp>LastPrice</stp>
        <stp>Yield_To_Maturity</stp>
        <tr r="O238" s="2"/>
      </tp>
      <tp>
        <v>3.7698</v>
        <stp/>
        <stp>128044.SZ</stp>
        <stp>LastPrice</stp>
        <stp>Yield_To_Maturity</stp>
        <tr r="O167" s="2"/>
      </tp>
      <tp>
        <v>-1.3168</v>
        <stp/>
        <stp>128048.SZ</stp>
        <stp>LastPrice</stp>
        <stp>Yield_To_Maturity</stp>
        <tr r="O29" s="2"/>
      </tp>
      <tp>
        <v>2.5561000000000003</v>
        <stp/>
        <stp>128049.SZ</stp>
        <stp>LastPrice</stp>
        <stp>Yield_To_Maturity</stp>
        <tr r="O108" s="2"/>
      </tp>
      <tp>
        <v>-6.4563000000000006</v>
        <stp/>
        <stp>128033.SZ</stp>
        <stp>LastPrice</stp>
        <stp>Yield_To_Maturity</stp>
        <tr r="O298" s="2"/>
      </tp>
      <tp>
        <v>-27.1601</v>
        <stp/>
        <stp>128030.SZ</stp>
        <stp>LastPrice</stp>
        <stp>Yield_To_Maturity</stp>
        <tr r="O143" s="2"/>
      </tp>
      <tp>
        <v>-2.8976000000000002</v>
        <stp/>
        <stp>128036.SZ</stp>
        <stp>LastPrice</stp>
        <stp>Yield_To_Maturity</stp>
        <tr r="O150" s="2"/>
      </tp>
      <tp>
        <v>-1.0115000000000001</v>
        <stp/>
        <stp>128037.SZ</stp>
        <stp>LastPrice</stp>
        <stp>Yield_To_Maturity</stp>
        <tr r="O165" s="2"/>
      </tp>
      <tp>
        <v>0.14030000000000001</v>
        <stp/>
        <stp>128034.SZ</stp>
        <stp>LastPrice</stp>
        <stp>Yield_To_Maturity</stp>
        <tr r="O28" s="2"/>
      </tp>
      <tp>
        <v>-3.5212000000000003</v>
        <stp/>
        <stp>128035.SZ</stp>
        <stp>LastPrice</stp>
        <stp>Yield_To_Maturity</stp>
        <tr r="O342" s="2"/>
      </tp>
      <tp>
        <v>-1.2353000000000001</v>
        <stp/>
        <stp>128039.SZ</stp>
        <stp>LastPrice</stp>
        <stp>Yield_To_Maturity</stp>
        <tr r="O259" s="2"/>
      </tp>
      <tp>
        <v>2.1320000000000001</v>
        <stp/>
        <stp>128022.SZ</stp>
        <stp>LastPrice</stp>
        <stp>Yield_To_Maturity</stp>
        <tr r="O77" s="2"/>
      </tp>
      <tp>
        <v>0.54810000000000003</v>
        <stp/>
        <stp>128023.SZ</stp>
        <stp>LastPrice</stp>
        <stp>Yield_To_Maturity</stp>
        <tr r="O127" s="2"/>
      </tp>
      <tp>
        <v>-0.8841</v>
        <stp/>
        <stp>128021.SZ</stp>
        <stp>LastPrice</stp>
        <stp>Yield_To_Maturity</stp>
        <tr r="O256" s="2"/>
      </tp>
      <tp>
        <v>-2.9386000000000001</v>
        <stp/>
        <stp>128026.SZ</stp>
        <stp>LastPrice</stp>
        <stp>Yield_To_Maturity</stp>
        <tr r="O151" s="2"/>
      </tp>
      <tp>
        <v>-3.4741</v>
        <stp/>
        <stp>128025.SZ</stp>
        <stp>LastPrice</stp>
        <stp>Yield_To_Maturity</stp>
        <tr r="O50" s="2"/>
      </tp>
      <tp>
        <v>-33.355600000000003</v>
        <stp/>
        <stp>128029.SZ</stp>
        <stp>LastPrice</stp>
        <stp>Yield_To_Maturity</stp>
        <tr r="O98" s="2"/>
      </tp>
      <tp>
        <v>-5.4737</v>
        <stp/>
        <stp>128013.SZ</stp>
        <stp>LastPrice</stp>
        <stp>Yield_To_Maturity</stp>
        <tr r="O170" s="2"/>
      </tp>
      <tp>
        <v>-28.463200000000001</v>
        <stp/>
        <stp>128017.SZ</stp>
        <stp>LastPrice</stp>
        <stp>Yield_To_Maturity</stp>
        <tr r="O85" s="2"/>
      </tp>
      <tp>
        <v>-4.8552</v>
        <stp/>
        <stp>128014.SZ</stp>
        <stp>LastPrice</stp>
        <stp>Yield_To_Maturity</stp>
        <tr r="O246" s="2"/>
      </tp>
      <tp>
        <v>3.5503</v>
        <stp/>
        <stp>128015.SZ</stp>
        <stp>LastPrice</stp>
        <stp>Yield_To_Maturity</stp>
        <tr r="O198" s="2"/>
      </tp>
      <tp>
        <v>-1.4617</v>
        <stp/>
        <stp>128018.SZ</stp>
        <stp>LastPrice</stp>
        <stp>Yield_To_Maturity</stp>
        <tr r="O360" s="2"/>
      </tp>
      <tp>
        <v>2.6103000000000001</v>
        <stp/>
        <stp>128132.SZ</stp>
        <stp>LastPrice</stp>
        <stp>Yield_To_Maturity</stp>
        <tr r="O169" s="2"/>
      </tp>
      <tp>
        <v>-1.0737000000000001</v>
        <stp/>
        <stp>128133.SZ</stp>
        <stp>LastPrice</stp>
        <stp>Yield_To_Maturity</stp>
        <tr r="O43" s="2"/>
      </tp>
      <tp>
        <v>-2.8592</v>
        <stp/>
        <stp>128130.SZ</stp>
        <stp>LastPrice</stp>
        <stp>Yield_To_Maturity</stp>
        <tr r="O103" s="2"/>
      </tp>
      <tp>
        <v>1.6915</v>
        <stp/>
        <stp>128131.SZ</stp>
        <stp>LastPrice</stp>
        <stp>Yield_To_Maturity</stp>
        <tr r="O346" s="2"/>
      </tp>
      <tp>
        <v>-0.36940000000000001</v>
        <stp/>
        <stp>128136.SZ</stp>
        <stp>LastPrice</stp>
        <stp>Yield_To_Maturity</stp>
        <tr r="O334" s="2"/>
      </tp>
      <tp>
        <v>-2.0165000000000002</v>
        <stp/>
        <stp>128134.SZ</stp>
        <stp>LastPrice</stp>
        <stp>Yield_To_Maturity</stp>
        <tr r="O164" s="2"/>
      </tp>
      <tp>
        <v>0.44070000000000004</v>
        <stp/>
        <stp>128135.SZ</stp>
        <stp>LastPrice</stp>
        <stp>Yield_To_Maturity</stp>
        <tr r="O87" s="2"/>
      </tp>
      <tp>
        <v>-2.2067000000000001</v>
        <stp/>
        <stp>128122.SZ</stp>
        <stp>LastPrice</stp>
        <stp>Yield_To_Maturity</stp>
        <tr r="O350" s="2"/>
      </tp>
      <tp>
        <v>1.4579</v>
        <stp/>
        <stp>128123.SZ</stp>
        <stp>LastPrice</stp>
        <stp>Yield_To_Maturity</stp>
        <tr r="O268" s="2"/>
      </tp>
      <tp>
        <v>1.1143000000000001</v>
        <stp/>
        <stp>128120.SZ</stp>
        <stp>LastPrice</stp>
        <stp>Yield_To_Maturity</stp>
        <tr r="O124" s="2"/>
      </tp>
      <tp>
        <v>-1.0198</v>
        <stp/>
        <stp>128121.SZ</stp>
        <stp>LastPrice</stp>
        <stp>Yield_To_Maturity</stp>
        <tr r="O158" s="2"/>
      </tp>
      <tp>
        <v>4.2631000000000006</v>
        <stp/>
        <stp>128127.SZ</stp>
        <stp>LastPrice</stp>
        <stp>Yield_To_Maturity</stp>
        <tr r="O160" s="2"/>
      </tp>
      <tp>
        <v>1.1785000000000001</v>
        <stp/>
        <stp>128124.SZ</stp>
        <stp>LastPrice</stp>
        <stp>Yield_To_Maturity</stp>
        <tr r="O45" s="2"/>
      </tp>
      <tp>
        <v>2.8140000000000001</v>
        <stp/>
        <stp>128125.SZ</stp>
        <stp>LastPrice</stp>
        <stp>Yield_To_Maturity</stp>
        <tr r="O173" s="2"/>
      </tp>
      <tp>
        <v>-14.567300000000001</v>
        <stp/>
        <stp>128128.SZ</stp>
        <stp>LastPrice</stp>
        <stp>Yield_To_Maturity</stp>
        <tr r="O240" s="2"/>
      </tp>
      <tp>
        <v>0.70910000000000006</v>
        <stp/>
        <stp>128129.SZ</stp>
        <stp>LastPrice</stp>
        <stp>Yield_To_Maturity</stp>
        <tr r="O38" s="2"/>
      </tp>
      <tp>
        <v>-9.3156999999999996</v>
        <stp/>
        <stp>128113.SZ</stp>
        <stp>LastPrice</stp>
        <stp>Yield_To_Maturity</stp>
        <tr r="O317" s="2"/>
      </tp>
      <tp>
        <v>-23.3689</v>
        <stp/>
        <stp>128111.SZ</stp>
        <stp>LastPrice</stp>
        <stp>Yield_To_Maturity</stp>
        <tr r="O15" s="2"/>
      </tp>
      <tp>
        <v>-0.3866</v>
        <stp/>
        <stp>128116.SZ</stp>
        <stp>LastPrice</stp>
        <stp>Yield_To_Maturity</stp>
        <tr r="O304" s="2"/>
      </tp>
      <tp>
        <v>3.4553000000000003</v>
        <stp/>
        <stp>128117.SZ</stp>
        <stp>LastPrice</stp>
        <stp>Yield_To_Maturity</stp>
        <tr r="O252" s="2"/>
      </tp>
      <tp>
        <v>1.5067000000000002</v>
        <stp/>
        <stp>128114.SZ</stp>
        <stp>LastPrice</stp>
        <stp>Yield_To_Maturity</stp>
        <tr r="O141" s="2"/>
      </tp>
      <tp>
        <v>3.2315</v>
        <stp/>
        <stp>128118.SZ</stp>
        <stp>LastPrice</stp>
        <stp>Yield_To_Maturity</stp>
        <tr r="O330" s="2"/>
      </tp>
      <tp>
        <v>-1.0301</v>
        <stp/>
        <stp>128119.SZ</stp>
        <stp>LastPrice</stp>
        <stp>Yield_To_Maturity</stp>
        <tr r="O88" s="2"/>
      </tp>
      <tp>
        <v>-8.0699000000000005</v>
        <stp/>
        <stp>128103.SZ</stp>
        <stp>LastPrice</stp>
        <stp>Yield_To_Maturity</stp>
        <tr r="O250" s="2"/>
      </tp>
      <tp>
        <v>2.3652000000000002</v>
        <stp/>
        <stp>128100.SZ</stp>
        <stp>LastPrice</stp>
        <stp>Yield_To_Maturity</stp>
        <tr r="O312" s="2"/>
      </tp>
      <tp>
        <v>-6.2151000000000005</v>
        <stp/>
        <stp>128101.SZ</stp>
        <stp>LastPrice</stp>
        <stp>Yield_To_Maturity</stp>
        <tr r="O326" s="2"/>
      </tp>
      <tp>
        <v>-1.8335000000000001</v>
        <stp/>
        <stp>128106.SZ</stp>
        <stp>LastPrice</stp>
        <stp>Yield_To_Maturity</stp>
        <tr r="O89" s="2"/>
      </tp>
      <tp>
        <v>-0.3654</v>
        <stp/>
        <stp>128107.SZ</stp>
        <stp>LastPrice</stp>
        <stp>Yield_To_Maturity</stp>
        <tr r="O168" s="2"/>
      </tp>
      <tp>
        <v>1.0851999999999999</v>
        <stp/>
        <stp>128105.SZ</stp>
        <stp>LastPrice</stp>
        <stp>Yield_To_Maturity</stp>
        <tr r="O290" s="2"/>
      </tp>
      <tp>
        <v>-0.97740000000000005</v>
        <stp/>
        <stp>128108.SZ</stp>
        <stp>LastPrice</stp>
        <stp>Yield_To_Maturity</stp>
        <tr r="O60" s="2"/>
      </tp>
      <tp>
        <v>-4.2458999999999998</v>
        <stp/>
        <stp>128109.SZ</stp>
        <stp>LastPrice</stp>
        <stp>Yield_To_Maturity</stp>
        <tr r="O12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476320918069571E-2"/>
          <c:y val="7.3490333169609456E-2"/>
          <c:w val="0.88581732911341371"/>
          <c:h val="0.8505317236910550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iamond"/>
            <c:size val="9"/>
            <c:spPr>
              <a:solidFill>
                <a:schemeClr val="bg1"/>
              </a:solidFill>
              <a:ln w="0">
                <a:solidFill>
                  <a:srgbClr val="002060"/>
                </a:solidFill>
              </a:ln>
              <a:effectLst/>
            </c:spPr>
          </c:marker>
          <c:xVal>
            <c:numRef>
              <c:f>个券数据!$J$1:$J$859</c:f>
              <c:numCache>
                <c:formatCode>0.00</c:formatCode>
                <c:ptCount val="859"/>
                <c:pt idx="0">
                  <c:v>77.265799999999999</c:v>
                </c:pt>
                <c:pt idx="1">
                  <c:v>86.223500000000001</c:v>
                </c:pt>
                <c:pt idx="2">
                  <c:v>83.737899999999996</c:v>
                </c:pt>
                <c:pt idx="3">
                  <c:v>83.795699999999997</c:v>
                </c:pt>
                <c:pt idx="4">
                  <c:v>83.641599999999997</c:v>
                </c:pt>
                <c:pt idx="5">
                  <c:v>82.832400000000007</c:v>
                </c:pt>
                <c:pt idx="6">
                  <c:v>86.435400000000001</c:v>
                </c:pt>
                <c:pt idx="7">
                  <c:v>89.653199999999998</c:v>
                </c:pt>
                <c:pt idx="8">
                  <c:v>85.086699999999993</c:v>
                </c:pt>
                <c:pt idx="9">
                  <c:v>84.701300000000003</c:v>
                </c:pt>
                <c:pt idx="10">
                  <c:v>84.971100000000007</c:v>
                </c:pt>
                <c:pt idx="11">
                  <c:v>84.431600000000003</c:v>
                </c:pt>
                <c:pt idx="12">
                  <c:v>84.296700000000001</c:v>
                </c:pt>
                <c:pt idx="13">
                  <c:v>79.344899999999996</c:v>
                </c:pt>
                <c:pt idx="14">
                  <c:v>76.936400000000006</c:v>
                </c:pt>
                <c:pt idx="15">
                  <c:v>76.127200000000002</c:v>
                </c:pt>
                <c:pt idx="16">
                  <c:v>76.319800000000001</c:v>
                </c:pt>
                <c:pt idx="17">
                  <c:v>80.115600000000001</c:v>
                </c:pt>
                <c:pt idx="18">
                  <c:v>81.117500000000007</c:v>
                </c:pt>
                <c:pt idx="19">
                  <c:v>73.737899999999996</c:v>
                </c:pt>
                <c:pt idx="20">
                  <c:v>69.961500000000001</c:v>
                </c:pt>
                <c:pt idx="21">
                  <c:v>70.578000000000003</c:v>
                </c:pt>
                <c:pt idx="22">
                  <c:v>69.903700000000001</c:v>
                </c:pt>
                <c:pt idx="23">
                  <c:v>69.787999999999997</c:v>
                </c:pt>
                <c:pt idx="24">
                  <c:v>69.017300000000006</c:v>
                </c:pt>
                <c:pt idx="25">
                  <c:v>72.427700000000002</c:v>
                </c:pt>
                <c:pt idx="26">
                  <c:v>71.560699999999997</c:v>
                </c:pt>
                <c:pt idx="27">
                  <c:v>72.678200000000004</c:v>
                </c:pt>
                <c:pt idx="28">
                  <c:v>70.963399999999993</c:v>
                </c:pt>
                <c:pt idx="29">
                  <c:v>71.367999999999995</c:v>
                </c:pt>
                <c:pt idx="30">
                  <c:v>67.707099999999997</c:v>
                </c:pt>
                <c:pt idx="31">
                  <c:v>69.749499999999998</c:v>
                </c:pt>
                <c:pt idx="32">
                  <c:v>68.131</c:v>
                </c:pt>
                <c:pt idx="33">
                  <c:v>70</c:v>
                </c:pt>
                <c:pt idx="34">
                  <c:v>72.620400000000004</c:v>
                </c:pt>
                <c:pt idx="35">
                  <c:v>73.256299999999996</c:v>
                </c:pt>
                <c:pt idx="36">
                  <c:v>72.620400000000004</c:v>
                </c:pt>
                <c:pt idx="37">
                  <c:v>72.100200000000001</c:v>
                </c:pt>
                <c:pt idx="38">
                  <c:v>73.217699999999994</c:v>
                </c:pt>
                <c:pt idx="39">
                  <c:v>73.814999999999998</c:v>
                </c:pt>
                <c:pt idx="40">
                  <c:v>74.412300000000002</c:v>
                </c:pt>
                <c:pt idx="41">
                  <c:v>75.953699999999998</c:v>
                </c:pt>
                <c:pt idx="42">
                  <c:v>75.067400000000006</c:v>
                </c:pt>
                <c:pt idx="43">
                  <c:v>75.183000000000007</c:v>
                </c:pt>
                <c:pt idx="44">
                  <c:v>75.915199999999999</c:v>
                </c:pt>
                <c:pt idx="45">
                  <c:v>72.447000000000003</c:v>
                </c:pt>
                <c:pt idx="46">
                  <c:v>74.566500000000005</c:v>
                </c:pt>
                <c:pt idx="47">
                  <c:v>74.296700000000001</c:v>
                </c:pt>
                <c:pt idx="48">
                  <c:v>74.990399999999994</c:v>
                </c:pt>
                <c:pt idx="49">
                  <c:v>74.701300000000003</c:v>
                </c:pt>
                <c:pt idx="50">
                  <c:v>77.822699999999998</c:v>
                </c:pt>
                <c:pt idx="51">
                  <c:v>76.840100000000007</c:v>
                </c:pt>
                <c:pt idx="52">
                  <c:v>75.433499999999995</c:v>
                </c:pt>
                <c:pt idx="53">
                  <c:v>74.643500000000003</c:v>
                </c:pt>
                <c:pt idx="54">
                  <c:v>73.8536</c:v>
                </c:pt>
                <c:pt idx="55">
                  <c:v>74.585700000000003</c:v>
                </c:pt>
                <c:pt idx="56">
                  <c:v>73.236999999999995</c:v>
                </c:pt>
                <c:pt idx="57">
                  <c:v>74.027000000000001</c:v>
                </c:pt>
                <c:pt idx="58">
                  <c:v>74.373800000000003</c:v>
                </c:pt>
                <c:pt idx="59">
                  <c:v>71.965299999999999</c:v>
                </c:pt>
                <c:pt idx="60">
                  <c:v>69.132900000000006</c:v>
                </c:pt>
                <c:pt idx="61">
                  <c:v>71.522099999999995</c:v>
                </c:pt>
                <c:pt idx="62">
                  <c:v>72.716800000000006</c:v>
                </c:pt>
                <c:pt idx="63">
                  <c:v>74.0077</c:v>
                </c:pt>
                <c:pt idx="64">
                  <c:v>73.236999999999995</c:v>
                </c:pt>
                <c:pt idx="65">
                  <c:v>73.8536</c:v>
                </c:pt>
                <c:pt idx="66">
                  <c:v>75.279399999999995</c:v>
                </c:pt>
                <c:pt idx="67">
                  <c:v>74.393100000000004</c:v>
                </c:pt>
                <c:pt idx="68">
                  <c:v>73.448899999999995</c:v>
                </c:pt>
                <c:pt idx="69">
                  <c:v>71.965299999999999</c:v>
                </c:pt>
                <c:pt idx="70">
                  <c:v>71.772599999999997</c:v>
                </c:pt>
                <c:pt idx="71">
                  <c:v>72.254300000000001</c:v>
                </c:pt>
                <c:pt idx="72">
                  <c:v>71.869</c:v>
                </c:pt>
                <c:pt idx="73">
                  <c:v>71.271699999999996</c:v>
                </c:pt>
                <c:pt idx="74">
                  <c:v>69.113699999999994</c:v>
                </c:pt>
                <c:pt idx="75">
                  <c:v>70.2119</c:v>
                </c:pt>
                <c:pt idx="76">
                  <c:v>68.632000000000005</c:v>
                </c:pt>
                <c:pt idx="77">
                  <c:v>67.938299999999998</c:v>
                </c:pt>
                <c:pt idx="78">
                  <c:v>69.075100000000006</c:v>
                </c:pt>
                <c:pt idx="79">
                  <c:v>69.9422</c:v>
                </c:pt>
                <c:pt idx="80">
                  <c:v>68.246600000000001</c:v>
                </c:pt>
                <c:pt idx="81">
                  <c:v>68.882499999999993</c:v>
                </c:pt>
                <c:pt idx="82">
                  <c:v>68.458600000000004</c:v>
                </c:pt>
                <c:pt idx="83">
                  <c:v>66.127200000000002</c:v>
                </c:pt>
                <c:pt idx="84">
                  <c:v>66.756200000000007</c:v>
                </c:pt>
                <c:pt idx="85">
                  <c:v>67.082499999999996</c:v>
                </c:pt>
                <c:pt idx="86">
                  <c:v>66.641099999999994</c:v>
                </c:pt>
                <c:pt idx="87">
                  <c:v>69.136300000000006</c:v>
                </c:pt>
                <c:pt idx="88">
                  <c:v>71.420400000000001</c:v>
                </c:pt>
                <c:pt idx="89">
                  <c:v>77.101699999999994</c:v>
                </c:pt>
                <c:pt idx="90">
                  <c:v>78.119</c:v>
                </c:pt>
                <c:pt idx="91">
                  <c:v>78.080600000000004</c:v>
                </c:pt>
                <c:pt idx="92">
                  <c:v>76.967399999999998</c:v>
                </c:pt>
                <c:pt idx="93">
                  <c:v>80.057599999999994</c:v>
                </c:pt>
                <c:pt idx="94">
                  <c:v>81.765799999999999</c:v>
                </c:pt>
                <c:pt idx="95">
                  <c:v>80.998099999999994</c:v>
                </c:pt>
                <c:pt idx="96">
                  <c:v>81.765799999999999</c:v>
                </c:pt>
                <c:pt idx="97">
                  <c:v>82.303299999999993</c:v>
                </c:pt>
                <c:pt idx="98">
                  <c:v>82.917500000000004</c:v>
                </c:pt>
                <c:pt idx="99">
                  <c:v>79.712100000000007</c:v>
                </c:pt>
                <c:pt idx="100">
                  <c:v>79.635300000000001</c:v>
                </c:pt>
                <c:pt idx="101">
                  <c:v>77.62</c:v>
                </c:pt>
                <c:pt idx="102">
                  <c:v>76.7179</c:v>
                </c:pt>
                <c:pt idx="103">
                  <c:v>76.046099999999996</c:v>
                </c:pt>
                <c:pt idx="104">
                  <c:v>78.694800000000001</c:v>
                </c:pt>
                <c:pt idx="105">
                  <c:v>79.424199999999999</c:v>
                </c:pt>
                <c:pt idx="106">
                  <c:v>81.305199999999999</c:v>
                </c:pt>
                <c:pt idx="107">
                  <c:v>79.635300000000001</c:v>
                </c:pt>
                <c:pt idx="108">
                  <c:v>80.844499999999996</c:v>
                </c:pt>
                <c:pt idx="109">
                  <c:v>81.209199999999996</c:v>
                </c:pt>
                <c:pt idx="110">
                  <c:v>81.305199999999999</c:v>
                </c:pt>
                <c:pt idx="111">
                  <c:v>80.115200000000002</c:v>
                </c:pt>
                <c:pt idx="112">
                  <c:v>79.731300000000005</c:v>
                </c:pt>
                <c:pt idx="113">
                  <c:v>79.328199999999995</c:v>
                </c:pt>
                <c:pt idx="114">
                  <c:v>77.216899999999995</c:v>
                </c:pt>
                <c:pt idx="115">
                  <c:v>75.719800000000006</c:v>
                </c:pt>
                <c:pt idx="116">
                  <c:v>77.063299999999998</c:v>
                </c:pt>
                <c:pt idx="117">
                  <c:v>76.506699999999995</c:v>
                </c:pt>
                <c:pt idx="118">
                  <c:v>75.527799999999999</c:v>
                </c:pt>
                <c:pt idx="119">
                  <c:v>77.389600000000002</c:v>
                </c:pt>
                <c:pt idx="120">
                  <c:v>76.103700000000003</c:v>
                </c:pt>
                <c:pt idx="121">
                  <c:v>75.815700000000007</c:v>
                </c:pt>
                <c:pt idx="122">
                  <c:v>74.913600000000002</c:v>
                </c:pt>
                <c:pt idx="123">
                  <c:v>79.328199999999995</c:v>
                </c:pt>
                <c:pt idx="124">
                  <c:v>83.070999999999998</c:v>
                </c:pt>
                <c:pt idx="125">
                  <c:v>82.0154</c:v>
                </c:pt>
                <c:pt idx="126">
                  <c:v>80.115200000000002</c:v>
                </c:pt>
                <c:pt idx="127">
                  <c:v>79.846500000000006</c:v>
                </c:pt>
                <c:pt idx="128">
                  <c:v>83.090199999999996</c:v>
                </c:pt>
                <c:pt idx="129">
                  <c:v>81.631500000000003</c:v>
                </c:pt>
                <c:pt idx="130">
                  <c:v>85.643000000000001</c:v>
                </c:pt>
                <c:pt idx="131">
                  <c:v>84.184299999999993</c:v>
                </c:pt>
                <c:pt idx="132">
                  <c:v>85.623800000000003</c:v>
                </c:pt>
                <c:pt idx="133">
                  <c:v>82.744699999999995</c:v>
                </c:pt>
                <c:pt idx="134">
                  <c:v>85.8733</c:v>
                </c:pt>
                <c:pt idx="135">
                  <c:v>88.176599999999993</c:v>
                </c:pt>
                <c:pt idx="136">
                  <c:v>93.0518</c:v>
                </c:pt>
                <c:pt idx="137">
                  <c:v>92.687100000000001</c:v>
                </c:pt>
                <c:pt idx="138">
                  <c:v>95.8733</c:v>
                </c:pt>
                <c:pt idx="139">
                  <c:v>97.504800000000003</c:v>
                </c:pt>
                <c:pt idx="140">
                  <c:v>99.078699999999998</c:v>
                </c:pt>
                <c:pt idx="141">
                  <c:v>91.842600000000004</c:v>
                </c:pt>
                <c:pt idx="142">
                  <c:v>83.493300000000005</c:v>
                </c:pt>
                <c:pt idx="143">
                  <c:v>80.959699999999998</c:v>
                </c:pt>
                <c:pt idx="144">
                  <c:v>85.8733</c:v>
                </c:pt>
                <c:pt idx="145">
                  <c:v>85.355099999999993</c:v>
                </c:pt>
                <c:pt idx="146">
                  <c:v>87.236099999999993</c:v>
                </c:pt>
                <c:pt idx="147">
                  <c:v>85.201499999999996</c:v>
                </c:pt>
                <c:pt idx="148">
                  <c:v>82.264899999999997</c:v>
                </c:pt>
                <c:pt idx="149">
                  <c:v>85.028800000000004</c:v>
                </c:pt>
                <c:pt idx="150">
                  <c:v>90.115200000000002</c:v>
                </c:pt>
                <c:pt idx="151">
                  <c:v>92.072900000000004</c:v>
                </c:pt>
                <c:pt idx="152">
                  <c:v>96.929000000000002</c:v>
                </c:pt>
                <c:pt idx="153">
                  <c:v>99.040300000000002</c:v>
                </c:pt>
                <c:pt idx="154">
                  <c:v>96.065299999999993</c:v>
                </c:pt>
                <c:pt idx="155">
                  <c:v>94.510599999999997</c:v>
                </c:pt>
                <c:pt idx="156">
                  <c:v>89.232299999999995</c:v>
                </c:pt>
                <c:pt idx="157">
                  <c:v>92.149699999999996</c:v>
                </c:pt>
                <c:pt idx="158">
                  <c:v>90.422300000000007</c:v>
                </c:pt>
                <c:pt idx="159">
                  <c:v>89.462599999999995</c:v>
                </c:pt>
                <c:pt idx="160">
                  <c:v>90.614199999999997</c:v>
                </c:pt>
                <c:pt idx="161">
                  <c:v>92.840699999999998</c:v>
                </c:pt>
                <c:pt idx="162">
                  <c:v>90.211100000000002</c:v>
                </c:pt>
                <c:pt idx="163">
                  <c:v>90.978899999999996</c:v>
                </c:pt>
                <c:pt idx="164">
                  <c:v>90.211100000000002</c:v>
                </c:pt>
                <c:pt idx="165">
                  <c:v>85.604600000000005</c:v>
                </c:pt>
                <c:pt idx="166">
                  <c:v>85.124799999999993</c:v>
                </c:pt>
                <c:pt idx="167">
                  <c:v>84.222700000000003</c:v>
                </c:pt>
                <c:pt idx="168">
                  <c:v>82.053799999999995</c:v>
                </c:pt>
                <c:pt idx="169">
                  <c:v>81.881</c:v>
                </c:pt>
                <c:pt idx="170">
                  <c:v>74.433800000000005</c:v>
                </c:pt>
                <c:pt idx="171">
                  <c:v>73.493300000000005</c:v>
                </c:pt>
                <c:pt idx="172">
                  <c:v>75.182299999999998</c:v>
                </c:pt>
                <c:pt idx="173">
                  <c:v>76.238</c:v>
                </c:pt>
                <c:pt idx="174">
                  <c:v>78.886799999999994</c:v>
                </c:pt>
                <c:pt idx="175">
                  <c:v>76.046099999999996</c:v>
                </c:pt>
                <c:pt idx="176">
                  <c:v>78.483699999999999</c:v>
                </c:pt>
                <c:pt idx="177">
                  <c:v>76.602699999999999</c:v>
                </c:pt>
                <c:pt idx="178">
                  <c:v>76.391599999999997</c:v>
                </c:pt>
                <c:pt idx="179">
                  <c:v>72.994200000000006</c:v>
                </c:pt>
                <c:pt idx="180">
                  <c:v>73.512500000000003</c:v>
                </c:pt>
                <c:pt idx="181">
                  <c:v>71.612300000000005</c:v>
                </c:pt>
                <c:pt idx="182">
                  <c:v>70.998099999999994</c:v>
                </c:pt>
                <c:pt idx="183">
                  <c:v>72.9559</c:v>
                </c:pt>
                <c:pt idx="184">
                  <c:v>72.149699999999996</c:v>
                </c:pt>
                <c:pt idx="185">
                  <c:v>77.504800000000003</c:v>
                </c:pt>
                <c:pt idx="186">
                  <c:v>76.832999999999998</c:v>
                </c:pt>
                <c:pt idx="187">
                  <c:v>75.7774</c:v>
                </c:pt>
                <c:pt idx="188">
                  <c:v>76.199600000000004</c:v>
                </c:pt>
                <c:pt idx="189">
                  <c:v>77.005799999999994</c:v>
                </c:pt>
                <c:pt idx="190">
                  <c:v>77.293700000000001</c:v>
                </c:pt>
                <c:pt idx="191">
                  <c:v>75.892499999999998</c:v>
                </c:pt>
                <c:pt idx="192">
                  <c:v>76.257199999999997</c:v>
                </c:pt>
                <c:pt idx="193">
                  <c:v>76.756200000000007</c:v>
                </c:pt>
                <c:pt idx="194">
                  <c:v>76.103700000000003</c:v>
                </c:pt>
                <c:pt idx="195">
                  <c:v>77.6584</c:v>
                </c:pt>
                <c:pt idx="196">
                  <c:v>78.215000000000003</c:v>
                </c:pt>
                <c:pt idx="197">
                  <c:v>80.422300000000007</c:v>
                </c:pt>
                <c:pt idx="198">
                  <c:v>80.2303</c:v>
                </c:pt>
                <c:pt idx="199">
                  <c:v>80.268699999999995</c:v>
                </c:pt>
                <c:pt idx="200">
                  <c:v>82.975099999999998</c:v>
                </c:pt>
                <c:pt idx="201">
                  <c:v>83.570099999999996</c:v>
                </c:pt>
                <c:pt idx="202">
                  <c:v>82.783100000000005</c:v>
                </c:pt>
                <c:pt idx="203">
                  <c:v>80.326300000000003</c:v>
                </c:pt>
                <c:pt idx="204">
                  <c:v>78.349299999999999</c:v>
                </c:pt>
                <c:pt idx="205">
                  <c:v>81.823400000000007</c:v>
                </c:pt>
                <c:pt idx="206">
                  <c:v>86.545100000000005</c:v>
                </c:pt>
                <c:pt idx="207">
                  <c:v>82.514399999999995</c:v>
                </c:pt>
                <c:pt idx="208">
                  <c:v>80.345500000000001</c:v>
                </c:pt>
                <c:pt idx="209">
                  <c:v>80.383899999999997</c:v>
                </c:pt>
                <c:pt idx="210">
                  <c:v>78.656400000000005</c:v>
                </c:pt>
                <c:pt idx="211">
                  <c:v>79.577699999999993</c:v>
                </c:pt>
                <c:pt idx="212">
                  <c:v>77.159300000000002</c:v>
                </c:pt>
                <c:pt idx="213">
                  <c:v>79.001900000000006</c:v>
                </c:pt>
                <c:pt idx="214">
                  <c:v>77.485600000000005</c:v>
                </c:pt>
                <c:pt idx="215">
                  <c:v>73.877200000000002</c:v>
                </c:pt>
                <c:pt idx="216">
                  <c:v>72.130499999999998</c:v>
                </c:pt>
                <c:pt idx="217">
                  <c:v>67.562399999999997</c:v>
                </c:pt>
                <c:pt idx="218">
                  <c:v>68.310900000000004</c:v>
                </c:pt>
                <c:pt idx="219">
                  <c:v>66.353200000000001</c:v>
                </c:pt>
                <c:pt idx="220">
                  <c:v>67.332099999999997</c:v>
                </c:pt>
                <c:pt idx="221">
                  <c:v>66.161199999999994</c:v>
                </c:pt>
                <c:pt idx="222">
                  <c:v>66.852199999999996</c:v>
                </c:pt>
                <c:pt idx="223">
                  <c:v>68.349299999999999</c:v>
                </c:pt>
                <c:pt idx="224">
                  <c:v>66.641099999999994</c:v>
                </c:pt>
                <c:pt idx="225">
                  <c:v>68.042199999999994</c:v>
                </c:pt>
                <c:pt idx="226">
                  <c:v>67.581599999999995</c:v>
                </c:pt>
                <c:pt idx="227">
                  <c:v>66.046099999999996</c:v>
                </c:pt>
                <c:pt idx="228">
                  <c:v>63.147799999999997</c:v>
                </c:pt>
                <c:pt idx="229">
                  <c:v>63.608499999999999</c:v>
                </c:pt>
                <c:pt idx="230">
                  <c:v>63.339700000000001</c:v>
                </c:pt>
                <c:pt idx="231">
                  <c:v>63.320500000000003</c:v>
                </c:pt>
                <c:pt idx="232">
                  <c:v>62.648800000000001</c:v>
                </c:pt>
                <c:pt idx="233">
                  <c:v>64.625699999999995</c:v>
                </c:pt>
                <c:pt idx="234">
                  <c:v>64.088300000000004</c:v>
                </c:pt>
                <c:pt idx="235">
                  <c:v>66.103700000000003</c:v>
                </c:pt>
                <c:pt idx="236">
                  <c:v>68.291799999999995</c:v>
                </c:pt>
                <c:pt idx="237">
                  <c:v>67.773499999999999</c:v>
                </c:pt>
                <c:pt idx="238">
                  <c:v>66.929000000000002</c:v>
                </c:pt>
                <c:pt idx="239">
                  <c:v>66.641099999999994</c:v>
                </c:pt>
                <c:pt idx="240">
                  <c:v>67.159300000000002</c:v>
                </c:pt>
                <c:pt idx="241">
                  <c:v>65.911699999999996</c:v>
                </c:pt>
                <c:pt idx="242">
                  <c:v>64.683300000000003</c:v>
                </c:pt>
                <c:pt idx="243">
                  <c:v>65.355099999999993</c:v>
                </c:pt>
                <c:pt idx="244">
                  <c:v>67.427999999999997</c:v>
                </c:pt>
                <c:pt idx="245">
                  <c:v>68.022999999999996</c:v>
                </c:pt>
                <c:pt idx="246">
                  <c:v>69.136300000000006</c:v>
                </c:pt>
                <c:pt idx="247">
                  <c:v>68.272599999999997</c:v>
                </c:pt>
                <c:pt idx="248">
                  <c:v>71.113299999999995</c:v>
                </c:pt>
                <c:pt idx="249">
                  <c:v>70.959699999999998</c:v>
                </c:pt>
                <c:pt idx="250">
                  <c:v>71.324399999999997</c:v>
                </c:pt>
                <c:pt idx="251">
                  <c:v>71.881</c:v>
                </c:pt>
                <c:pt idx="252">
                  <c:v>71.209199999999996</c:v>
                </c:pt>
                <c:pt idx="253">
                  <c:v>71.343599999999995</c:v>
                </c:pt>
                <c:pt idx="254">
                  <c:v>73.320499999999996</c:v>
                </c:pt>
                <c:pt idx="255">
                  <c:v>73.953900000000004</c:v>
                </c:pt>
                <c:pt idx="256">
                  <c:v>71.804199999999994</c:v>
                </c:pt>
                <c:pt idx="257">
                  <c:v>71.458699999999993</c:v>
                </c:pt>
                <c:pt idx="258">
                  <c:v>72.859899999999996</c:v>
                </c:pt>
                <c:pt idx="259">
                  <c:v>76.103700000000003</c:v>
                </c:pt>
                <c:pt idx="260">
                  <c:v>77.140100000000004</c:v>
                </c:pt>
                <c:pt idx="261">
                  <c:v>76.353200000000001</c:v>
                </c:pt>
                <c:pt idx="262">
                  <c:v>75.662199999999999</c:v>
                </c:pt>
                <c:pt idx="263">
                  <c:v>75.911699999999996</c:v>
                </c:pt>
                <c:pt idx="264">
                  <c:v>74.990399999999994</c:v>
                </c:pt>
                <c:pt idx="265">
                  <c:v>77.543199999999999</c:v>
                </c:pt>
                <c:pt idx="266">
                  <c:v>78.445300000000003</c:v>
                </c:pt>
                <c:pt idx="267">
                  <c:v>81.094099999999997</c:v>
                </c:pt>
                <c:pt idx="268">
                  <c:v>81.938599999999994</c:v>
                </c:pt>
                <c:pt idx="269">
                  <c:v>82.994299999999996</c:v>
                </c:pt>
                <c:pt idx="270">
                  <c:v>79.0595</c:v>
                </c:pt>
                <c:pt idx="271">
                  <c:v>76.698700000000002</c:v>
                </c:pt>
                <c:pt idx="272">
                  <c:v>73.858000000000004</c:v>
                </c:pt>
                <c:pt idx="273">
                  <c:v>75.200800000000001</c:v>
                </c:pt>
                <c:pt idx="274">
                  <c:v>73.7667</c:v>
                </c:pt>
                <c:pt idx="275">
                  <c:v>71.453199999999995</c:v>
                </c:pt>
                <c:pt idx="276">
                  <c:v>72.695999999999998</c:v>
                </c:pt>
                <c:pt idx="277">
                  <c:v>80.038200000000003</c:v>
                </c:pt>
                <c:pt idx="278">
                  <c:v>81.663499999999999</c:v>
                </c:pt>
                <c:pt idx="279">
                  <c:v>74.837500000000006</c:v>
                </c:pt>
                <c:pt idx="280">
                  <c:v>75.506699999999995</c:v>
                </c:pt>
                <c:pt idx="281">
                  <c:v>78.011499999999998</c:v>
                </c:pt>
                <c:pt idx="282">
                  <c:v>74.5124</c:v>
                </c:pt>
                <c:pt idx="283">
                  <c:v>75.4876</c:v>
                </c:pt>
                <c:pt idx="284">
                  <c:v>75.755300000000005</c:v>
                </c:pt>
                <c:pt idx="285">
                  <c:v>79.196899999999999</c:v>
                </c:pt>
                <c:pt idx="286">
                  <c:v>77.590800000000002</c:v>
                </c:pt>
                <c:pt idx="287">
                  <c:v>78.164400000000001</c:v>
                </c:pt>
                <c:pt idx="288">
                  <c:v>74.722800000000007</c:v>
                </c:pt>
                <c:pt idx="289">
                  <c:v>72.619500000000002</c:v>
                </c:pt>
                <c:pt idx="290">
                  <c:v>72.619500000000002</c:v>
                </c:pt>
                <c:pt idx="291">
                  <c:v>69.445499999999996</c:v>
                </c:pt>
                <c:pt idx="292">
                  <c:v>70.267700000000005</c:v>
                </c:pt>
                <c:pt idx="293">
                  <c:v>70.1721</c:v>
                </c:pt>
                <c:pt idx="294">
                  <c:v>68.738100000000003</c:v>
                </c:pt>
                <c:pt idx="295">
                  <c:v>66.998099999999994</c:v>
                </c:pt>
                <c:pt idx="296">
                  <c:v>66.214200000000005</c:v>
                </c:pt>
                <c:pt idx="297">
                  <c:v>62.581299999999999</c:v>
                </c:pt>
                <c:pt idx="298">
                  <c:v>63.996200000000002</c:v>
                </c:pt>
                <c:pt idx="299">
                  <c:v>65.334599999999995</c:v>
                </c:pt>
                <c:pt idx="300">
                  <c:v>65.372900000000001</c:v>
                </c:pt>
                <c:pt idx="301">
                  <c:v>63.728499999999997</c:v>
                </c:pt>
                <c:pt idx="302">
                  <c:v>64.971299999999999</c:v>
                </c:pt>
                <c:pt idx="303">
                  <c:v>64.933099999999996</c:v>
                </c:pt>
                <c:pt idx="304">
                  <c:v>60.516300000000001</c:v>
                </c:pt>
                <c:pt idx="305">
                  <c:v>60.956000000000003</c:v>
                </c:pt>
                <c:pt idx="306">
                  <c:v>62.218000000000004</c:v>
                </c:pt>
                <c:pt idx="307">
                  <c:v>61.395800000000001</c:v>
                </c:pt>
                <c:pt idx="308">
                  <c:v>61.606099999999998</c:v>
                </c:pt>
                <c:pt idx="309">
                  <c:v>60.478000000000002</c:v>
                </c:pt>
                <c:pt idx="310">
                  <c:v>60.994300000000003</c:v>
                </c:pt>
                <c:pt idx="311">
                  <c:v>62.351799999999997</c:v>
                </c:pt>
                <c:pt idx="312">
                  <c:v>61.720799999999997</c:v>
                </c:pt>
                <c:pt idx="313">
                  <c:v>61.491399999999999</c:v>
                </c:pt>
                <c:pt idx="314">
                  <c:v>58.164400000000001</c:v>
                </c:pt>
                <c:pt idx="315">
                  <c:v>57.131900000000002</c:v>
                </c:pt>
                <c:pt idx="316">
                  <c:v>57.246699999999997</c:v>
                </c:pt>
                <c:pt idx="317">
                  <c:v>58.049700000000001</c:v>
                </c:pt>
                <c:pt idx="318">
                  <c:v>55.716999999999999</c:v>
                </c:pt>
                <c:pt idx="319">
                  <c:v>56.730400000000003</c:v>
                </c:pt>
                <c:pt idx="320">
                  <c:v>58.068800000000003</c:v>
                </c:pt>
                <c:pt idx="321">
                  <c:v>59.483800000000002</c:v>
                </c:pt>
                <c:pt idx="322">
                  <c:v>61.0899</c:v>
                </c:pt>
                <c:pt idx="323">
                  <c:v>59.024900000000002</c:v>
                </c:pt>
                <c:pt idx="324">
                  <c:v>60.592700000000001</c:v>
                </c:pt>
                <c:pt idx="325">
                  <c:v>61.567900000000002</c:v>
                </c:pt>
                <c:pt idx="326">
                  <c:v>62.409199999999998</c:v>
                </c:pt>
                <c:pt idx="327">
                  <c:v>62.581299999999999</c:v>
                </c:pt>
                <c:pt idx="328">
                  <c:v>63.824100000000001</c:v>
                </c:pt>
                <c:pt idx="329">
                  <c:v>64.0535</c:v>
                </c:pt>
                <c:pt idx="330">
                  <c:v>62.275300000000001</c:v>
                </c:pt>
                <c:pt idx="331">
                  <c:v>61.453200000000002</c:v>
                </c:pt>
                <c:pt idx="332">
                  <c:v>57.935000000000002</c:v>
                </c:pt>
                <c:pt idx="333">
                  <c:v>55.3155</c:v>
                </c:pt>
                <c:pt idx="334">
                  <c:v>54.3977</c:v>
                </c:pt>
                <c:pt idx="335">
                  <c:v>54.952199999999998</c:v>
                </c:pt>
                <c:pt idx="336">
                  <c:v>54.588900000000002</c:v>
                </c:pt>
                <c:pt idx="337">
                  <c:v>55.468499999999999</c:v>
                </c:pt>
                <c:pt idx="338">
                  <c:v>56.4054</c:v>
                </c:pt>
                <c:pt idx="339">
                  <c:v>56.003799999999998</c:v>
                </c:pt>
                <c:pt idx="340">
                  <c:v>57.3996</c:v>
                </c:pt>
                <c:pt idx="341">
                  <c:v>57.437899999999999</c:v>
                </c:pt>
                <c:pt idx="342">
                  <c:v>56.768599999999999</c:v>
                </c:pt>
                <c:pt idx="343">
                  <c:v>56.367100000000001</c:v>
                </c:pt>
                <c:pt idx="344">
                  <c:v>56.520099999999999</c:v>
                </c:pt>
                <c:pt idx="345">
                  <c:v>54.588900000000002</c:v>
                </c:pt>
                <c:pt idx="346">
                  <c:v>55.506700000000002</c:v>
                </c:pt>
                <c:pt idx="347">
                  <c:v>57.858499999999999</c:v>
                </c:pt>
                <c:pt idx="348">
                  <c:v>59.292499999999997</c:v>
                </c:pt>
                <c:pt idx="349">
                  <c:v>59.369</c:v>
                </c:pt>
                <c:pt idx="350">
                  <c:v>55.755299999999998</c:v>
                </c:pt>
                <c:pt idx="351">
                  <c:v>56.921599999999998</c:v>
                </c:pt>
                <c:pt idx="352">
                  <c:v>54.971299999999999</c:v>
                </c:pt>
                <c:pt idx="353">
                  <c:v>53.900599999999997</c:v>
                </c:pt>
                <c:pt idx="354">
                  <c:v>53.135800000000003</c:v>
                </c:pt>
                <c:pt idx="355">
                  <c:v>54.722799999999999</c:v>
                </c:pt>
                <c:pt idx="356">
                  <c:v>54.5124</c:v>
                </c:pt>
                <c:pt idx="357">
                  <c:v>56.118600000000001</c:v>
                </c:pt>
                <c:pt idx="358">
                  <c:v>53.193100000000001</c:v>
                </c:pt>
                <c:pt idx="359">
                  <c:v>52.466500000000003</c:v>
                </c:pt>
                <c:pt idx="360">
                  <c:v>56.214199999999998</c:v>
                </c:pt>
                <c:pt idx="361">
                  <c:v>56.749499999999998</c:v>
                </c:pt>
                <c:pt idx="362">
                  <c:v>56.558300000000003</c:v>
                </c:pt>
                <c:pt idx="363">
                  <c:v>57.705500000000001</c:v>
                </c:pt>
                <c:pt idx="364">
                  <c:v>58.298299999999998</c:v>
                </c:pt>
                <c:pt idx="365">
                  <c:v>63.632899999999999</c:v>
                </c:pt>
                <c:pt idx="366">
                  <c:v>65.391999999999996</c:v>
                </c:pt>
                <c:pt idx="367">
                  <c:v>68.183599999999998</c:v>
                </c:pt>
                <c:pt idx="368">
                  <c:v>70.1721</c:v>
                </c:pt>
                <c:pt idx="369">
                  <c:v>68.107100000000003</c:v>
                </c:pt>
                <c:pt idx="370">
                  <c:v>72.849000000000004</c:v>
                </c:pt>
                <c:pt idx="371">
                  <c:v>74.569800000000001</c:v>
                </c:pt>
                <c:pt idx="372">
                  <c:v>72.657700000000006</c:v>
                </c:pt>
                <c:pt idx="373">
                  <c:v>73.174000000000007</c:v>
                </c:pt>
                <c:pt idx="374">
                  <c:v>74.206500000000005</c:v>
                </c:pt>
                <c:pt idx="375">
                  <c:v>72.829800000000006</c:v>
                </c:pt>
                <c:pt idx="376">
                  <c:v>77.131900000000002</c:v>
                </c:pt>
                <c:pt idx="377">
                  <c:v>77.915899999999993</c:v>
                </c:pt>
                <c:pt idx="378">
                  <c:v>83.174000000000007</c:v>
                </c:pt>
                <c:pt idx="379">
                  <c:v>84.340299999999999</c:v>
                </c:pt>
                <c:pt idx="380">
                  <c:v>81.472300000000004</c:v>
                </c:pt>
                <c:pt idx="381">
                  <c:v>77.915899999999993</c:v>
                </c:pt>
                <c:pt idx="382">
                  <c:v>76.539199999999994</c:v>
                </c:pt>
                <c:pt idx="383">
                  <c:v>78.240899999999996</c:v>
                </c:pt>
                <c:pt idx="384">
                  <c:v>79.5411</c:v>
                </c:pt>
                <c:pt idx="385">
                  <c:v>78.049700000000001</c:v>
                </c:pt>
                <c:pt idx="386">
                  <c:v>77.017200000000003</c:v>
                </c:pt>
                <c:pt idx="387">
                  <c:v>76.539199999999994</c:v>
                </c:pt>
                <c:pt idx="388">
                  <c:v>76.099400000000003</c:v>
                </c:pt>
                <c:pt idx="389">
                  <c:v>73.843199999999996</c:v>
                </c:pt>
                <c:pt idx="390">
                  <c:v>74.13</c:v>
                </c:pt>
                <c:pt idx="391">
                  <c:v>76.673000000000002</c:v>
                </c:pt>
                <c:pt idx="392">
                  <c:v>76.864199999999997</c:v>
                </c:pt>
                <c:pt idx="393">
                  <c:v>76.615700000000004</c:v>
                </c:pt>
                <c:pt idx="394">
                  <c:v>74.780100000000004</c:v>
                </c:pt>
                <c:pt idx="395">
                  <c:v>83.097499999999997</c:v>
                </c:pt>
                <c:pt idx="396">
                  <c:v>86.902500000000003</c:v>
                </c:pt>
                <c:pt idx="397">
                  <c:v>83.957899999999995</c:v>
                </c:pt>
                <c:pt idx="398">
                  <c:v>85.525800000000004</c:v>
                </c:pt>
                <c:pt idx="399">
                  <c:v>82.0077</c:v>
                </c:pt>
                <c:pt idx="400">
                  <c:v>82.026799999999994</c:v>
                </c:pt>
                <c:pt idx="401">
                  <c:v>82.791600000000003</c:v>
                </c:pt>
                <c:pt idx="402">
                  <c:v>84.168300000000002</c:v>
                </c:pt>
                <c:pt idx="403">
                  <c:v>82.695999999999998</c:v>
                </c:pt>
                <c:pt idx="404">
                  <c:v>81.625200000000007</c:v>
                </c:pt>
                <c:pt idx="405">
                  <c:v>82.218000000000004</c:v>
                </c:pt>
                <c:pt idx="406">
                  <c:v>82.198899999999995</c:v>
                </c:pt>
                <c:pt idx="407">
                  <c:v>84.703599999999994</c:v>
                </c:pt>
                <c:pt idx="408">
                  <c:v>80.554500000000004</c:v>
                </c:pt>
                <c:pt idx="409">
                  <c:v>78.6233</c:v>
                </c:pt>
                <c:pt idx="410">
                  <c:v>79.885300000000001</c:v>
                </c:pt>
                <c:pt idx="411">
                  <c:v>76.481800000000007</c:v>
                </c:pt>
                <c:pt idx="412">
                  <c:v>73.977099999999993</c:v>
                </c:pt>
                <c:pt idx="413">
                  <c:v>73.652000000000001</c:v>
                </c:pt>
                <c:pt idx="414">
                  <c:v>74.436000000000007</c:v>
                </c:pt>
                <c:pt idx="415">
                  <c:v>76.2333</c:v>
                </c:pt>
                <c:pt idx="416">
                  <c:v>75.716999999999999</c:v>
                </c:pt>
                <c:pt idx="417">
                  <c:v>73.269599999999997</c:v>
                </c:pt>
                <c:pt idx="418">
                  <c:v>75.200800000000001</c:v>
                </c:pt>
                <c:pt idx="419">
                  <c:v>75.219899999999996</c:v>
                </c:pt>
                <c:pt idx="420">
                  <c:v>76.290599999999998</c:v>
                </c:pt>
                <c:pt idx="421">
                  <c:v>76.673000000000002</c:v>
                </c:pt>
                <c:pt idx="422">
                  <c:v>74.933099999999996</c:v>
                </c:pt>
                <c:pt idx="423">
                  <c:v>73.001900000000006</c:v>
                </c:pt>
                <c:pt idx="424">
                  <c:v>72.466499999999996</c:v>
                </c:pt>
                <c:pt idx="425">
                  <c:v>72.084100000000007</c:v>
                </c:pt>
                <c:pt idx="426">
                  <c:v>72.160600000000002</c:v>
                </c:pt>
                <c:pt idx="427">
                  <c:v>68.967500000000001</c:v>
                </c:pt>
                <c:pt idx="428">
                  <c:v>71.147199999999998</c:v>
                </c:pt>
                <c:pt idx="429">
                  <c:v>70.592699999999994</c:v>
                </c:pt>
                <c:pt idx="430">
                  <c:v>69.885300000000001</c:v>
                </c:pt>
                <c:pt idx="431">
                  <c:v>67.648200000000003</c:v>
                </c:pt>
                <c:pt idx="432">
                  <c:v>66.520099999999999</c:v>
                </c:pt>
                <c:pt idx="433">
                  <c:v>66.902500000000003</c:v>
                </c:pt>
                <c:pt idx="434">
                  <c:v>67.131900000000002</c:v>
                </c:pt>
                <c:pt idx="435">
                  <c:v>66.328900000000004</c:v>
                </c:pt>
                <c:pt idx="436">
                  <c:v>65.697900000000004</c:v>
                </c:pt>
                <c:pt idx="437">
                  <c:v>63.422600000000003</c:v>
                </c:pt>
                <c:pt idx="438">
                  <c:v>63.403399999999998</c:v>
                </c:pt>
                <c:pt idx="439">
                  <c:v>66.558300000000003</c:v>
                </c:pt>
                <c:pt idx="440">
                  <c:v>66.921599999999998</c:v>
                </c:pt>
                <c:pt idx="441">
                  <c:v>70.076499999999996</c:v>
                </c:pt>
                <c:pt idx="442">
                  <c:v>69.5411</c:v>
                </c:pt>
                <c:pt idx="443">
                  <c:v>70.305899999999994</c:v>
                </c:pt>
                <c:pt idx="444">
                  <c:v>69.655799999999999</c:v>
                </c:pt>
                <c:pt idx="445">
                  <c:v>69.885300000000001</c:v>
                </c:pt>
                <c:pt idx="446">
                  <c:v>69.445499999999996</c:v>
                </c:pt>
                <c:pt idx="447">
                  <c:v>69.043999999999997</c:v>
                </c:pt>
                <c:pt idx="448">
                  <c:v>71.166399999999996</c:v>
                </c:pt>
                <c:pt idx="449">
                  <c:v>70.9178</c:v>
                </c:pt>
                <c:pt idx="450">
                  <c:v>71.567899999999995</c:v>
                </c:pt>
                <c:pt idx="451">
                  <c:v>73.116600000000005</c:v>
                </c:pt>
                <c:pt idx="452">
                  <c:v>73.231399999999994</c:v>
                </c:pt>
                <c:pt idx="453">
                  <c:v>72.447400000000002</c:v>
                </c:pt>
                <c:pt idx="454">
                  <c:v>72.657700000000006</c:v>
                </c:pt>
                <c:pt idx="455">
                  <c:v>74.569800000000001</c:v>
                </c:pt>
                <c:pt idx="456">
                  <c:v>73.709400000000002</c:v>
                </c:pt>
                <c:pt idx="457">
                  <c:v>75.353700000000003</c:v>
                </c:pt>
                <c:pt idx="458">
                  <c:v>75.200800000000001</c:v>
                </c:pt>
                <c:pt idx="459">
                  <c:v>73.805000000000007</c:v>
                </c:pt>
                <c:pt idx="460">
                  <c:v>72.370900000000006</c:v>
                </c:pt>
                <c:pt idx="461">
                  <c:v>71.070700000000002</c:v>
                </c:pt>
                <c:pt idx="462">
                  <c:v>69.522000000000006</c:v>
                </c:pt>
                <c:pt idx="463">
                  <c:v>70.535399999999996</c:v>
                </c:pt>
                <c:pt idx="464">
                  <c:v>71.988500000000002</c:v>
                </c:pt>
                <c:pt idx="465">
                  <c:v>70.554500000000004</c:v>
                </c:pt>
                <c:pt idx="466">
                  <c:v>71.778199999999998</c:v>
                </c:pt>
                <c:pt idx="467">
                  <c:v>73.040199999999999</c:v>
                </c:pt>
                <c:pt idx="468">
                  <c:v>70.076499999999996</c:v>
                </c:pt>
                <c:pt idx="469">
                  <c:v>70.1721</c:v>
                </c:pt>
                <c:pt idx="470">
                  <c:v>66.921599999999998</c:v>
                </c:pt>
                <c:pt idx="471">
                  <c:v>68.068799999999996</c:v>
                </c:pt>
                <c:pt idx="472">
                  <c:v>67.973200000000006</c:v>
                </c:pt>
                <c:pt idx="473">
                  <c:v>71.319299999999998</c:v>
                </c:pt>
                <c:pt idx="474">
                  <c:v>70.363299999999995</c:v>
                </c:pt>
                <c:pt idx="475">
                  <c:v>71.223699999999994</c:v>
                </c:pt>
                <c:pt idx="476">
                  <c:v>73.7667</c:v>
                </c:pt>
                <c:pt idx="477">
                  <c:v>75.621399999999994</c:v>
                </c:pt>
                <c:pt idx="478">
                  <c:v>76.003799999999998</c:v>
                </c:pt>
                <c:pt idx="479">
                  <c:v>72.179699999999997</c:v>
                </c:pt>
                <c:pt idx="480">
                  <c:v>69.407300000000006</c:v>
                </c:pt>
                <c:pt idx="481">
                  <c:v>69.024900000000002</c:v>
                </c:pt>
                <c:pt idx="482">
                  <c:v>68.317400000000006</c:v>
                </c:pt>
                <c:pt idx="483">
                  <c:v>64.034400000000005</c:v>
                </c:pt>
                <c:pt idx="484">
                  <c:v>63.728499999999997</c:v>
                </c:pt>
                <c:pt idx="485">
                  <c:v>63.996200000000002</c:v>
                </c:pt>
                <c:pt idx="486">
                  <c:v>66.252399999999994</c:v>
                </c:pt>
                <c:pt idx="487">
                  <c:v>66.520099999999999</c:v>
                </c:pt>
                <c:pt idx="488">
                  <c:v>65.965599999999995</c:v>
                </c:pt>
                <c:pt idx="489">
                  <c:v>63.728499999999997</c:v>
                </c:pt>
                <c:pt idx="490">
                  <c:v>65.621399999999994</c:v>
                </c:pt>
                <c:pt idx="491">
                  <c:v>61.74</c:v>
                </c:pt>
                <c:pt idx="492">
                  <c:v>59.273400000000002</c:v>
                </c:pt>
                <c:pt idx="493">
                  <c:v>58.604199999999999</c:v>
                </c:pt>
                <c:pt idx="494">
                  <c:v>59.063099999999999</c:v>
                </c:pt>
                <c:pt idx="495">
                  <c:v>59.502899999999997</c:v>
                </c:pt>
                <c:pt idx="496">
                  <c:v>58.890999999999998</c:v>
                </c:pt>
                <c:pt idx="497">
                  <c:v>60.956000000000003</c:v>
                </c:pt>
                <c:pt idx="498">
                  <c:v>58.604199999999999</c:v>
                </c:pt>
                <c:pt idx="499">
                  <c:v>59.751399999999997</c:v>
                </c:pt>
                <c:pt idx="500">
                  <c:v>60.535400000000003</c:v>
                </c:pt>
                <c:pt idx="501">
                  <c:v>62.064999999999998</c:v>
                </c:pt>
                <c:pt idx="502">
                  <c:v>59.617600000000003</c:v>
                </c:pt>
                <c:pt idx="503">
                  <c:v>56.271500000000003</c:v>
                </c:pt>
                <c:pt idx="504">
                  <c:v>55.028700000000001</c:v>
                </c:pt>
                <c:pt idx="505">
                  <c:v>53.212200000000003</c:v>
                </c:pt>
                <c:pt idx="506">
                  <c:v>52.045900000000003</c:v>
                </c:pt>
                <c:pt idx="507">
                  <c:v>51.3767</c:v>
                </c:pt>
                <c:pt idx="508">
                  <c:v>50.248600000000003</c:v>
                </c:pt>
                <c:pt idx="509">
                  <c:v>49.980899999999998</c:v>
                </c:pt>
                <c:pt idx="510">
                  <c:v>47.667299999999997</c:v>
                </c:pt>
                <c:pt idx="511">
                  <c:v>48.183599999999998</c:v>
                </c:pt>
                <c:pt idx="512">
                  <c:v>49.866199999999999</c:v>
                </c:pt>
                <c:pt idx="513">
                  <c:v>54.6845</c:v>
                </c:pt>
                <c:pt idx="514">
                  <c:v>55.927300000000002</c:v>
                </c:pt>
                <c:pt idx="515">
                  <c:v>56.845100000000002</c:v>
                </c:pt>
                <c:pt idx="516">
                  <c:v>56.864199999999997</c:v>
                </c:pt>
                <c:pt idx="517">
                  <c:v>54.8566</c:v>
                </c:pt>
                <c:pt idx="518">
                  <c:v>53.288699999999999</c:v>
                </c:pt>
                <c:pt idx="519">
                  <c:v>53.575499999999998</c:v>
                </c:pt>
                <c:pt idx="520">
                  <c:v>51.988500000000002</c:v>
                </c:pt>
                <c:pt idx="521">
                  <c:v>52.906300000000002</c:v>
                </c:pt>
                <c:pt idx="522">
                  <c:v>52.7151</c:v>
                </c:pt>
                <c:pt idx="523">
                  <c:v>54.588900000000002</c:v>
                </c:pt>
                <c:pt idx="524">
                  <c:v>60.057400000000001</c:v>
                </c:pt>
                <c:pt idx="525">
                  <c:v>60.764800000000001</c:v>
                </c:pt>
                <c:pt idx="526">
                  <c:v>62.045900000000003</c:v>
                </c:pt>
                <c:pt idx="527">
                  <c:v>68.948400000000007</c:v>
                </c:pt>
                <c:pt idx="528">
                  <c:v>68.030600000000007</c:v>
                </c:pt>
                <c:pt idx="529">
                  <c:v>68.279200000000003</c:v>
                </c:pt>
                <c:pt idx="530">
                  <c:v>68.107100000000003</c:v>
                </c:pt>
                <c:pt idx="531">
                  <c:v>67.686400000000006</c:v>
                </c:pt>
                <c:pt idx="532">
                  <c:v>69.674999999999997</c:v>
                </c:pt>
                <c:pt idx="533">
                  <c:v>69.139600000000002</c:v>
                </c:pt>
                <c:pt idx="534">
                  <c:v>70.1721</c:v>
                </c:pt>
                <c:pt idx="535">
                  <c:v>71.835599999999999</c:v>
                </c:pt>
                <c:pt idx="536">
                  <c:v>71.281099999999995</c:v>
                </c:pt>
                <c:pt idx="537">
                  <c:v>65.736099999999993</c:v>
                </c:pt>
                <c:pt idx="538">
                  <c:v>66.902500000000003</c:v>
                </c:pt>
                <c:pt idx="539">
                  <c:v>65.506699999999995</c:v>
                </c:pt>
                <c:pt idx="540">
                  <c:v>65.391999999999996</c:v>
                </c:pt>
                <c:pt idx="541">
                  <c:v>66.883399999999995</c:v>
                </c:pt>
                <c:pt idx="542">
                  <c:v>68.432100000000005</c:v>
                </c:pt>
                <c:pt idx="543">
                  <c:v>67.705500000000001</c:v>
                </c:pt>
                <c:pt idx="544">
                  <c:v>66.003799999999998</c:v>
                </c:pt>
                <c:pt idx="545">
                  <c:v>64.072699999999998</c:v>
                </c:pt>
                <c:pt idx="546">
                  <c:v>63.7667</c:v>
                </c:pt>
                <c:pt idx="547">
                  <c:v>64.608000000000004</c:v>
                </c:pt>
                <c:pt idx="548">
                  <c:v>66.730400000000003</c:v>
                </c:pt>
                <c:pt idx="549">
                  <c:v>67.724699999999999</c:v>
                </c:pt>
                <c:pt idx="550">
                  <c:v>67.609899999999996</c:v>
                </c:pt>
                <c:pt idx="551">
                  <c:v>65.812600000000003</c:v>
                </c:pt>
                <c:pt idx="552">
                  <c:v>63.403399999999998</c:v>
                </c:pt>
                <c:pt idx="553">
                  <c:v>65.391999999999996</c:v>
                </c:pt>
                <c:pt idx="554">
                  <c:v>63.288699999999999</c:v>
                </c:pt>
                <c:pt idx="555">
                  <c:v>63.078400000000002</c:v>
                </c:pt>
                <c:pt idx="556">
                  <c:v>63.3461</c:v>
                </c:pt>
                <c:pt idx="557">
                  <c:v>61.682600000000001</c:v>
                </c:pt>
                <c:pt idx="558">
                  <c:v>62.533299999999997</c:v>
                </c:pt>
                <c:pt idx="559">
                  <c:v>62.247599999999998</c:v>
                </c:pt>
                <c:pt idx="560">
                  <c:v>63.447600000000001</c:v>
                </c:pt>
                <c:pt idx="561">
                  <c:v>62.057099999999998</c:v>
                </c:pt>
                <c:pt idx="562">
                  <c:v>61.7714</c:v>
                </c:pt>
                <c:pt idx="563">
                  <c:v>64.533299999999997</c:v>
                </c:pt>
                <c:pt idx="564">
                  <c:v>63.485700000000001</c:v>
                </c:pt>
                <c:pt idx="565">
                  <c:v>61.142899999999997</c:v>
                </c:pt>
                <c:pt idx="566">
                  <c:v>63.371400000000001</c:v>
                </c:pt>
                <c:pt idx="567">
                  <c:v>66.647599999999997</c:v>
                </c:pt>
                <c:pt idx="568">
                  <c:v>66.8</c:v>
                </c:pt>
                <c:pt idx="569">
                  <c:v>66.247600000000006</c:v>
                </c:pt>
                <c:pt idx="570">
                  <c:v>68.952399999999997</c:v>
                </c:pt>
                <c:pt idx="571">
                  <c:v>72.381</c:v>
                </c:pt>
                <c:pt idx="572">
                  <c:v>69.523799999999994</c:v>
                </c:pt>
                <c:pt idx="573">
                  <c:v>70.838099999999997</c:v>
                </c:pt>
                <c:pt idx="574">
                  <c:v>72.971400000000003</c:v>
                </c:pt>
                <c:pt idx="575">
                  <c:v>68.781000000000006</c:v>
                </c:pt>
                <c:pt idx="576">
                  <c:v>74.476200000000006</c:v>
                </c:pt>
                <c:pt idx="577">
                  <c:v>71.619100000000003</c:v>
                </c:pt>
                <c:pt idx="578">
                  <c:v>72.057100000000005</c:v>
                </c:pt>
                <c:pt idx="579">
                  <c:v>74.609499999999997</c:v>
                </c:pt>
                <c:pt idx="580">
                  <c:v>78.0762</c:v>
                </c:pt>
                <c:pt idx="581">
                  <c:v>77.219099999999997</c:v>
                </c:pt>
                <c:pt idx="582">
                  <c:v>78.457099999999997</c:v>
                </c:pt>
                <c:pt idx="583">
                  <c:v>81.6952</c:v>
                </c:pt>
                <c:pt idx="584">
                  <c:v>80.3429</c:v>
                </c:pt>
                <c:pt idx="585">
                  <c:v>81.542900000000003</c:v>
                </c:pt>
                <c:pt idx="586">
                  <c:v>81.333299999999994</c:v>
                </c:pt>
                <c:pt idx="587">
                  <c:v>78.8</c:v>
                </c:pt>
                <c:pt idx="588">
                  <c:v>77.333299999999994</c:v>
                </c:pt>
                <c:pt idx="589">
                  <c:v>77.980999999999995</c:v>
                </c:pt>
                <c:pt idx="590">
                  <c:v>79.180999999999997</c:v>
                </c:pt>
                <c:pt idx="591">
                  <c:v>81.238100000000003</c:v>
                </c:pt>
                <c:pt idx="592">
                  <c:v>81.123800000000003</c:v>
                </c:pt>
                <c:pt idx="593">
                  <c:v>83.104799999999997</c:v>
                </c:pt>
                <c:pt idx="594">
                  <c:v>83.523799999999994</c:v>
                </c:pt>
                <c:pt idx="595">
                  <c:v>84.933300000000003</c:v>
                </c:pt>
                <c:pt idx="596">
                  <c:v>81.8476</c:v>
                </c:pt>
                <c:pt idx="597">
                  <c:v>80.381</c:v>
                </c:pt>
                <c:pt idx="598">
                  <c:v>77.161900000000003</c:v>
                </c:pt>
                <c:pt idx="599">
                  <c:v>76.761899999999997</c:v>
                </c:pt>
                <c:pt idx="600">
                  <c:v>75.504800000000003</c:v>
                </c:pt>
                <c:pt idx="601">
                  <c:v>77.066699999999997</c:v>
                </c:pt>
                <c:pt idx="602">
                  <c:v>79.676199999999994</c:v>
                </c:pt>
                <c:pt idx="603">
                  <c:v>80.742900000000006</c:v>
                </c:pt>
                <c:pt idx="604">
                  <c:v>80.704800000000006</c:v>
                </c:pt>
                <c:pt idx="605">
                  <c:v>82.1524</c:v>
                </c:pt>
                <c:pt idx="606">
                  <c:v>82.628600000000006</c:v>
                </c:pt>
                <c:pt idx="607">
                  <c:v>80.3048</c:v>
                </c:pt>
                <c:pt idx="608">
                  <c:v>79.676199999999994</c:v>
                </c:pt>
                <c:pt idx="609">
                  <c:v>80.095200000000006</c:v>
                </c:pt>
                <c:pt idx="610">
                  <c:v>83.790499999999994</c:v>
                </c:pt>
                <c:pt idx="611">
                  <c:v>84.781000000000006</c:v>
                </c:pt>
                <c:pt idx="612">
                  <c:v>81.047600000000003</c:v>
                </c:pt>
                <c:pt idx="613">
                  <c:v>80.838099999999997</c:v>
                </c:pt>
                <c:pt idx="614">
                  <c:v>84.133300000000006</c:v>
                </c:pt>
                <c:pt idx="615">
                  <c:v>80.495199999999997</c:v>
                </c:pt>
                <c:pt idx="616">
                  <c:v>80</c:v>
                </c:pt>
                <c:pt idx="617">
                  <c:v>76.209500000000006</c:v>
                </c:pt>
                <c:pt idx="618">
                  <c:v>75.752399999999994</c:v>
                </c:pt>
                <c:pt idx="619">
                  <c:v>77.104799999999997</c:v>
                </c:pt>
                <c:pt idx="620">
                  <c:v>77.904799999999994</c:v>
                </c:pt>
                <c:pt idx="621">
                  <c:v>76.819100000000006</c:v>
                </c:pt>
                <c:pt idx="622">
                  <c:v>74.571399999999997</c:v>
                </c:pt>
                <c:pt idx="623">
                  <c:v>71.619100000000003</c:v>
                </c:pt>
                <c:pt idx="624">
                  <c:v>72.666700000000006</c:v>
                </c:pt>
                <c:pt idx="625">
                  <c:v>73.276200000000003</c:v>
                </c:pt>
                <c:pt idx="626">
                  <c:v>74.2667</c:v>
                </c:pt>
                <c:pt idx="627">
                  <c:v>69.409499999999994</c:v>
                </c:pt>
                <c:pt idx="628">
                  <c:v>70.723799999999997</c:v>
                </c:pt>
                <c:pt idx="629">
                  <c:v>71.238100000000003</c:v>
                </c:pt>
                <c:pt idx="630">
                  <c:v>66.971400000000003</c:v>
                </c:pt>
                <c:pt idx="631">
                  <c:v>66.1905</c:v>
                </c:pt>
                <c:pt idx="632">
                  <c:v>63.276200000000003</c:v>
                </c:pt>
                <c:pt idx="633">
                  <c:v>60.133299999999998</c:v>
                </c:pt>
                <c:pt idx="634">
                  <c:v>58.761899999999997</c:v>
                </c:pt>
                <c:pt idx="635">
                  <c:v>58.742899999999999</c:v>
                </c:pt>
                <c:pt idx="636">
                  <c:v>60.1143</c:v>
                </c:pt>
                <c:pt idx="637">
                  <c:v>59.619100000000003</c:v>
                </c:pt>
                <c:pt idx="638">
                  <c:v>57.295200000000001</c:v>
                </c:pt>
                <c:pt idx="639">
                  <c:v>57.142899999999997</c:v>
                </c:pt>
                <c:pt idx="640">
                  <c:v>57.371400000000001</c:v>
                </c:pt>
                <c:pt idx="641">
                  <c:v>57.866700000000002</c:v>
                </c:pt>
                <c:pt idx="642">
                  <c:v>56.933300000000003</c:v>
                </c:pt>
                <c:pt idx="643">
                  <c:v>54.933300000000003</c:v>
                </c:pt>
                <c:pt idx="644">
                  <c:v>54.609499999999997</c:v>
                </c:pt>
                <c:pt idx="645">
                  <c:v>55.428600000000003</c:v>
                </c:pt>
                <c:pt idx="646">
                  <c:v>52.133299999999998</c:v>
                </c:pt>
                <c:pt idx="647">
                  <c:v>54.685699999999997</c:v>
                </c:pt>
                <c:pt idx="648">
                  <c:v>54.780999999999999</c:v>
                </c:pt>
                <c:pt idx="649">
                  <c:v>54.990499999999997</c:v>
                </c:pt>
                <c:pt idx="650">
                  <c:v>54.590499999999999</c:v>
                </c:pt>
                <c:pt idx="651">
                  <c:v>54.990499999999997</c:v>
                </c:pt>
                <c:pt idx="652">
                  <c:v>53.066699999999997</c:v>
                </c:pt>
                <c:pt idx="653">
                  <c:v>52.495199999999997</c:v>
                </c:pt>
                <c:pt idx="654">
                  <c:v>55.828600000000002</c:v>
                </c:pt>
                <c:pt idx="655">
                  <c:v>57.828600000000002</c:v>
                </c:pt>
                <c:pt idx="656">
                  <c:v>57.180999999999997</c:v>
                </c:pt>
                <c:pt idx="657">
                  <c:v>56.857100000000003</c:v>
                </c:pt>
                <c:pt idx="658">
                  <c:v>57.390500000000003</c:v>
                </c:pt>
                <c:pt idx="659">
                  <c:v>57.7333</c:v>
                </c:pt>
                <c:pt idx="660">
                  <c:v>57.314300000000003</c:v>
                </c:pt>
                <c:pt idx="661">
                  <c:v>56.857100000000003</c:v>
                </c:pt>
                <c:pt idx="662">
                  <c:v>57.447600000000001</c:v>
                </c:pt>
                <c:pt idx="663">
                  <c:v>58.2286</c:v>
                </c:pt>
                <c:pt idx="664">
                  <c:v>59.9238</c:v>
                </c:pt>
                <c:pt idx="665">
                  <c:v>60.323799999999999</c:v>
                </c:pt>
                <c:pt idx="666">
                  <c:v>61.8857</c:v>
                </c:pt>
                <c:pt idx="667">
                  <c:v>60.1524</c:v>
                </c:pt>
                <c:pt idx="668">
                  <c:v>59.981000000000002</c:v>
                </c:pt>
                <c:pt idx="669">
                  <c:v>62.0762</c:v>
                </c:pt>
                <c:pt idx="670">
                  <c:v>62.8</c:v>
                </c:pt>
                <c:pt idx="671">
                  <c:v>62.647599999999997</c:v>
                </c:pt>
                <c:pt idx="672">
                  <c:v>65.123800000000003</c:v>
                </c:pt>
                <c:pt idx="673">
                  <c:v>66.1905</c:v>
                </c:pt>
                <c:pt idx="674">
                  <c:v>66.723799999999997</c:v>
                </c:pt>
                <c:pt idx="675">
                  <c:v>64.0381</c:v>
                </c:pt>
                <c:pt idx="676">
                  <c:v>62.285699999999999</c:v>
                </c:pt>
                <c:pt idx="677">
                  <c:v>63.066699999999997</c:v>
                </c:pt>
                <c:pt idx="678">
                  <c:v>61.219099999999997</c:v>
                </c:pt>
                <c:pt idx="679">
                  <c:v>60.876199999999997</c:v>
                </c:pt>
                <c:pt idx="680">
                  <c:v>61.428600000000003</c:v>
                </c:pt>
                <c:pt idx="681">
                  <c:v>63.581000000000003</c:v>
                </c:pt>
                <c:pt idx="682">
                  <c:v>64.381</c:v>
                </c:pt>
                <c:pt idx="683">
                  <c:v>64</c:v>
                </c:pt>
                <c:pt idx="684">
                  <c:v>67.314300000000003</c:v>
                </c:pt>
                <c:pt idx="685">
                  <c:v>66.914299999999997</c:v>
                </c:pt>
                <c:pt idx="686">
                  <c:v>63.676200000000001</c:v>
                </c:pt>
                <c:pt idx="687">
                  <c:v>62.971400000000003</c:v>
                </c:pt>
                <c:pt idx="688">
                  <c:v>63.752400000000002</c:v>
                </c:pt>
                <c:pt idx="689">
                  <c:v>64.2667</c:v>
                </c:pt>
                <c:pt idx="690">
                  <c:v>62.1524</c:v>
                </c:pt>
                <c:pt idx="691">
                  <c:v>62.1905</c:v>
                </c:pt>
                <c:pt idx="692">
                  <c:v>63.142899999999997</c:v>
                </c:pt>
                <c:pt idx="693">
                  <c:v>63.466700000000003</c:v>
                </c:pt>
                <c:pt idx="694">
                  <c:v>64.761899999999997</c:v>
                </c:pt>
                <c:pt idx="695">
                  <c:v>67.047600000000003</c:v>
                </c:pt>
                <c:pt idx="696">
                  <c:v>60.952399999999997</c:v>
                </c:pt>
                <c:pt idx="697">
                  <c:v>59.7333</c:v>
                </c:pt>
                <c:pt idx="698">
                  <c:v>58.323799999999999</c:v>
                </c:pt>
                <c:pt idx="699">
                  <c:v>57.238100000000003</c:v>
                </c:pt>
                <c:pt idx="700">
                  <c:v>57.428600000000003</c:v>
                </c:pt>
                <c:pt idx="701">
                  <c:v>57.676200000000001</c:v>
                </c:pt>
                <c:pt idx="702">
                  <c:v>60.2286</c:v>
                </c:pt>
                <c:pt idx="703">
                  <c:v>62.647599999999997</c:v>
                </c:pt>
                <c:pt idx="704">
                  <c:v>67.219099999999997</c:v>
                </c:pt>
                <c:pt idx="705">
                  <c:v>65.714299999999994</c:v>
                </c:pt>
                <c:pt idx="706">
                  <c:v>68.552400000000006</c:v>
                </c:pt>
                <c:pt idx="707">
                  <c:v>68.895200000000003</c:v>
                </c:pt>
                <c:pt idx="708">
                  <c:v>67.409499999999994</c:v>
                </c:pt>
                <c:pt idx="709">
                  <c:v>68.590500000000006</c:v>
                </c:pt>
                <c:pt idx="710">
                  <c:v>69.142899999999997</c:v>
                </c:pt>
                <c:pt idx="711">
                  <c:v>67.942899999999995</c:v>
                </c:pt>
                <c:pt idx="712">
                  <c:v>71.942899999999995</c:v>
                </c:pt>
                <c:pt idx="713">
                  <c:v>72.971400000000003</c:v>
                </c:pt>
                <c:pt idx="714">
                  <c:v>75.619100000000003</c:v>
                </c:pt>
                <c:pt idx="715">
                  <c:v>80.704800000000006</c:v>
                </c:pt>
                <c:pt idx="716">
                  <c:v>79.447599999999994</c:v>
                </c:pt>
                <c:pt idx="717">
                  <c:v>81.523799999999994</c:v>
                </c:pt>
                <c:pt idx="718">
                  <c:v>80.761899999999997</c:v>
                </c:pt>
                <c:pt idx="719">
                  <c:v>81.523799999999994</c:v>
                </c:pt>
                <c:pt idx="720">
                  <c:v>79.409499999999994</c:v>
                </c:pt>
                <c:pt idx="721">
                  <c:v>79.409499999999994</c:v>
                </c:pt>
                <c:pt idx="722">
                  <c:v>77.714299999999994</c:v>
                </c:pt>
                <c:pt idx="723">
                  <c:v>76.590500000000006</c:v>
                </c:pt>
                <c:pt idx="724">
                  <c:v>76.590500000000006</c:v>
                </c:pt>
                <c:pt idx="725">
                  <c:v>76.742900000000006</c:v>
                </c:pt>
                <c:pt idx="726">
                  <c:v>75.276200000000003</c:v>
                </c:pt>
                <c:pt idx="727">
                  <c:v>76.1524</c:v>
                </c:pt>
                <c:pt idx="728">
                  <c:v>75.599999999999994</c:v>
                </c:pt>
                <c:pt idx="729">
                  <c:v>79.047600000000003</c:v>
                </c:pt>
                <c:pt idx="730">
                  <c:v>79.104799999999997</c:v>
                </c:pt>
                <c:pt idx="731">
                  <c:v>79.904799999999994</c:v>
                </c:pt>
                <c:pt idx="732">
                  <c:v>82.285700000000006</c:v>
                </c:pt>
                <c:pt idx="733">
                  <c:v>81.466700000000003</c:v>
                </c:pt>
                <c:pt idx="734">
                  <c:v>83.2</c:v>
                </c:pt>
                <c:pt idx="735">
                  <c:v>85.161900000000003</c:v>
                </c:pt>
                <c:pt idx="736">
                  <c:v>84.761899999999997</c:v>
                </c:pt>
                <c:pt idx="737">
                  <c:v>85.8476</c:v>
                </c:pt>
                <c:pt idx="738">
                  <c:v>85.428600000000003</c:v>
                </c:pt>
                <c:pt idx="739">
                  <c:v>82.742900000000006</c:v>
                </c:pt>
                <c:pt idx="740">
                  <c:v>83.561899999999994</c:v>
                </c:pt>
                <c:pt idx="741">
                  <c:v>83.714299999999994</c:v>
                </c:pt>
                <c:pt idx="742">
                  <c:v>85.523799999999994</c:v>
                </c:pt>
                <c:pt idx="743">
                  <c:v>83.752399999999994</c:v>
                </c:pt>
                <c:pt idx="744">
                  <c:v>80.952399999999997</c:v>
                </c:pt>
                <c:pt idx="745">
                  <c:v>80.952399999999997</c:v>
                </c:pt>
                <c:pt idx="746">
                  <c:v>82.1143</c:v>
                </c:pt>
                <c:pt idx="747">
                  <c:v>83.523799999999994</c:v>
                </c:pt>
                <c:pt idx="748">
                  <c:v>83.980999999999995</c:v>
                </c:pt>
                <c:pt idx="749">
                  <c:v>82.761899999999997</c:v>
                </c:pt>
                <c:pt idx="750">
                  <c:v>80.171400000000006</c:v>
                </c:pt>
                <c:pt idx="751">
                  <c:v>76.209500000000006</c:v>
                </c:pt>
                <c:pt idx="752">
                  <c:v>80.571399999999997</c:v>
                </c:pt>
                <c:pt idx="753">
                  <c:v>77.542900000000003</c:v>
                </c:pt>
                <c:pt idx="754">
                  <c:v>78.381</c:v>
                </c:pt>
                <c:pt idx="755">
                  <c:v>83.638099999999994</c:v>
                </c:pt>
                <c:pt idx="756">
                  <c:v>87.314300000000003</c:v>
                </c:pt>
                <c:pt idx="757">
                  <c:v>91.790499999999994</c:v>
                </c:pt>
                <c:pt idx="758">
                  <c:v>89.352400000000003</c:v>
                </c:pt>
                <c:pt idx="759">
                  <c:v>92.361900000000006</c:v>
                </c:pt>
                <c:pt idx="760">
                  <c:v>90.781000000000006</c:v>
                </c:pt>
                <c:pt idx="761">
                  <c:v>95.2</c:v>
                </c:pt>
                <c:pt idx="762">
                  <c:v>96.914299999999997</c:v>
                </c:pt>
                <c:pt idx="763">
                  <c:v>96.685699999999997</c:v>
                </c:pt>
                <c:pt idx="764">
                  <c:v>96.609499999999997</c:v>
                </c:pt>
                <c:pt idx="765">
                  <c:v>93.6952</c:v>
                </c:pt>
                <c:pt idx="766">
                  <c:v>95.238100000000003</c:v>
                </c:pt>
                <c:pt idx="767">
                  <c:v>97.504800000000003</c:v>
                </c:pt>
                <c:pt idx="768">
                  <c:v>98.609499999999997</c:v>
                </c:pt>
                <c:pt idx="769">
                  <c:v>99.2</c:v>
                </c:pt>
                <c:pt idx="770">
                  <c:v>96.781000000000006</c:v>
                </c:pt>
                <c:pt idx="771">
                  <c:v>92.8</c:v>
                </c:pt>
                <c:pt idx="772">
                  <c:v>94.971400000000003</c:v>
                </c:pt>
                <c:pt idx="773">
                  <c:v>94.133300000000006</c:v>
                </c:pt>
                <c:pt idx="774">
                  <c:v>88.8</c:v>
                </c:pt>
                <c:pt idx="775">
                  <c:v>88.476200000000006</c:v>
                </c:pt>
                <c:pt idx="776">
                  <c:v>90.095200000000006</c:v>
                </c:pt>
                <c:pt idx="777">
                  <c:v>94.2286</c:v>
                </c:pt>
                <c:pt idx="778">
                  <c:v>96.933300000000003</c:v>
                </c:pt>
                <c:pt idx="779">
                  <c:v>101.3143</c:v>
                </c:pt>
                <c:pt idx="780">
                  <c:v>96.476200000000006</c:v>
                </c:pt>
                <c:pt idx="781">
                  <c:v>95.619100000000003</c:v>
                </c:pt>
                <c:pt idx="782">
                  <c:v>99.333299999999994</c:v>
                </c:pt>
                <c:pt idx="783">
                  <c:v>98.209500000000006</c:v>
                </c:pt>
                <c:pt idx="784">
                  <c:v>99.6571</c:v>
                </c:pt>
                <c:pt idx="785">
                  <c:v>98.057100000000005</c:v>
                </c:pt>
                <c:pt idx="786">
                  <c:v>102.09520000000001</c:v>
                </c:pt>
                <c:pt idx="787">
                  <c:v>101.1238</c:v>
                </c:pt>
                <c:pt idx="788">
                  <c:v>106.32380000000001</c:v>
                </c:pt>
                <c:pt idx="789">
                  <c:v>108.09520000000001</c:v>
                </c:pt>
                <c:pt idx="790">
                  <c:v>105.71429999999999</c:v>
                </c:pt>
                <c:pt idx="791">
                  <c:v>110.8571</c:v>
                </c:pt>
                <c:pt idx="792">
                  <c:v>111.33329999999999</c:v>
                </c:pt>
                <c:pt idx="793">
                  <c:v>114.09520000000001</c:v>
                </c:pt>
                <c:pt idx="794">
                  <c:v>110.5333</c:v>
                </c:pt>
                <c:pt idx="795">
                  <c:v>110.09520000000001</c:v>
                </c:pt>
                <c:pt idx="796">
                  <c:v>110.47620000000001</c:v>
                </c:pt>
                <c:pt idx="797">
                  <c:v>105.5429</c:v>
                </c:pt>
                <c:pt idx="798">
                  <c:v>102.5714</c:v>
                </c:pt>
                <c:pt idx="799">
                  <c:v>104.7619</c:v>
                </c:pt>
                <c:pt idx="800">
                  <c:v>100.7619</c:v>
                </c:pt>
                <c:pt idx="801">
                  <c:v>104.1143</c:v>
                </c:pt>
                <c:pt idx="802">
                  <c:v>105.1048</c:v>
                </c:pt>
                <c:pt idx="803">
                  <c:v>102.51430000000001</c:v>
                </c:pt>
                <c:pt idx="804">
                  <c:v>101.90479999999999</c:v>
                </c:pt>
                <c:pt idx="805">
                  <c:v>105.86669999999999</c:v>
                </c:pt>
                <c:pt idx="806">
                  <c:v>105.2762</c:v>
                </c:pt>
                <c:pt idx="807">
                  <c:v>104.0381</c:v>
                </c:pt>
                <c:pt idx="808">
                  <c:v>102.46680000000001</c:v>
                </c:pt>
                <c:pt idx="809">
                  <c:v>102.7894</c:v>
                </c:pt>
                <c:pt idx="810">
                  <c:v>102.06829999999999</c:v>
                </c:pt>
                <c:pt idx="811">
                  <c:v>100.1708</c:v>
                </c:pt>
                <c:pt idx="812">
                  <c:v>100</c:v>
                </c:pt>
                <c:pt idx="813">
                  <c:v>98.330200000000005</c:v>
                </c:pt>
                <c:pt idx="814">
                  <c:v>98.444000000000003</c:v>
                </c:pt>
                <c:pt idx="815">
                  <c:v>98.671700000000001</c:v>
                </c:pt>
                <c:pt idx="816">
                  <c:v>97.950699999999998</c:v>
                </c:pt>
                <c:pt idx="817">
                  <c:v>94.800700000000006</c:v>
                </c:pt>
                <c:pt idx="818">
                  <c:v>92.390900000000002</c:v>
                </c:pt>
                <c:pt idx="819">
                  <c:v>92.979100000000003</c:v>
                </c:pt>
                <c:pt idx="820">
                  <c:v>89.582499999999996</c:v>
                </c:pt>
                <c:pt idx="821">
                  <c:v>88.614800000000002</c:v>
                </c:pt>
                <c:pt idx="822">
                  <c:v>89.715400000000002</c:v>
                </c:pt>
                <c:pt idx="823">
                  <c:v>90.284599999999998</c:v>
                </c:pt>
                <c:pt idx="824">
                  <c:v>92.979100000000003</c:v>
                </c:pt>
                <c:pt idx="825">
                  <c:v>92.6755</c:v>
                </c:pt>
                <c:pt idx="826">
                  <c:v>99.487700000000004</c:v>
                </c:pt>
                <c:pt idx="827">
                  <c:v>99.905100000000004</c:v>
                </c:pt>
                <c:pt idx="828">
                  <c:v>97.191599999999994</c:v>
                </c:pt>
                <c:pt idx="829">
                  <c:v>96.963899999999995</c:v>
                </c:pt>
                <c:pt idx="830">
                  <c:v>104.74379999999999</c:v>
                </c:pt>
                <c:pt idx="831">
                  <c:v>104.4212</c:v>
                </c:pt>
                <c:pt idx="832">
                  <c:v>104.55410000000001</c:v>
                </c:pt>
                <c:pt idx="833">
                  <c:v>104.55410000000001</c:v>
                </c:pt>
                <c:pt idx="834">
                  <c:v>103.3776</c:v>
                </c:pt>
                <c:pt idx="835">
                  <c:v>100.5692</c:v>
                </c:pt>
                <c:pt idx="836">
                  <c:v>100.6641</c:v>
                </c:pt>
                <c:pt idx="837">
                  <c:v>103.41549999999999</c:v>
                </c:pt>
                <c:pt idx="838">
                  <c:v>103.6812</c:v>
                </c:pt>
                <c:pt idx="839">
                  <c:v>103.79510000000001</c:v>
                </c:pt>
                <c:pt idx="840">
                  <c:v>100.37949999999999</c:v>
                </c:pt>
                <c:pt idx="841">
                  <c:v>100.37949999999999</c:v>
                </c:pt>
                <c:pt idx="842">
                  <c:v>104.0607</c:v>
                </c:pt>
                <c:pt idx="843">
                  <c:v>102.18219999999999</c:v>
                </c:pt>
                <c:pt idx="844">
                  <c:v>99.146100000000004</c:v>
                </c:pt>
                <c:pt idx="845">
                  <c:v>102.18219999999999</c:v>
                </c:pt>
                <c:pt idx="846">
                  <c:v>107.2865</c:v>
                </c:pt>
                <c:pt idx="847">
                  <c:v>108.1973</c:v>
                </c:pt>
                <c:pt idx="848">
                  <c:v>107.9696</c:v>
                </c:pt>
                <c:pt idx="849">
                  <c:v>107.9696</c:v>
                </c:pt>
                <c:pt idx="850">
                  <c:v>110.03789999999999</c:v>
                </c:pt>
                <c:pt idx="851">
                  <c:v>110.6641</c:v>
                </c:pt>
                <c:pt idx="852">
                  <c:v>109.8861</c:v>
                </c:pt>
                <c:pt idx="853">
                  <c:v>112.1442</c:v>
                </c:pt>
                <c:pt idx="854">
                  <c:v>112.12520000000001</c:v>
                </c:pt>
                <c:pt idx="855">
                  <c:v>106.0911</c:v>
                </c:pt>
                <c:pt idx="856">
                  <c:v>104.8766</c:v>
                </c:pt>
                <c:pt idx="857">
                  <c:v>106.0911</c:v>
                </c:pt>
                <c:pt idx="858">
                  <c:v>106.4516</c:v>
                </c:pt>
              </c:numCache>
            </c:numRef>
          </c:xVal>
          <c:yVal>
            <c:numRef>
              <c:f>个券数据!$K$1:$K$859</c:f>
              <c:numCache>
                <c:formatCode>0.00</c:formatCode>
                <c:ptCount val="859"/>
                <c:pt idx="0">
                  <c:v>48.849800000000002</c:v>
                </c:pt>
                <c:pt idx="1">
                  <c:v>40.154400000000003</c:v>
                </c:pt>
                <c:pt idx="2">
                  <c:v>43.602800000000002</c:v>
                </c:pt>
                <c:pt idx="3">
                  <c:v>42.608699999999999</c:v>
                </c:pt>
                <c:pt idx="4">
                  <c:v>43.588799999999999</c:v>
                </c:pt>
                <c:pt idx="5">
                  <c:v>45.125599999999999</c:v>
                </c:pt>
                <c:pt idx="6">
                  <c:v>40.810400000000001</c:v>
                </c:pt>
                <c:pt idx="7">
                  <c:v>36.460299999999997</c:v>
                </c:pt>
                <c:pt idx="8">
                  <c:v>40.915100000000002</c:v>
                </c:pt>
                <c:pt idx="9">
                  <c:v>40.491399999999999</c:v>
                </c:pt>
                <c:pt idx="10">
                  <c:v>41.9071</c:v>
                </c:pt>
                <c:pt idx="11">
                  <c:v>41.191200000000002</c:v>
                </c:pt>
                <c:pt idx="12">
                  <c:v>41.192999999999998</c:v>
                </c:pt>
                <c:pt idx="13">
                  <c:v>45.928699999999999</c:v>
                </c:pt>
                <c:pt idx="14">
                  <c:v>49.747100000000003</c:v>
                </c:pt>
                <c:pt idx="15">
                  <c:v>50.3812</c:v>
                </c:pt>
                <c:pt idx="16">
                  <c:v>50.469499999999996</c:v>
                </c:pt>
                <c:pt idx="17">
                  <c:v>45.789299999999997</c:v>
                </c:pt>
                <c:pt idx="18">
                  <c:v>44.309199999999997</c:v>
                </c:pt>
                <c:pt idx="19">
                  <c:v>53.014899999999997</c:v>
                </c:pt>
                <c:pt idx="20">
                  <c:v>60.754100000000001</c:v>
                </c:pt>
                <c:pt idx="21">
                  <c:v>60.106499999999997</c:v>
                </c:pt>
                <c:pt idx="22">
                  <c:v>60.7941</c:v>
                </c:pt>
                <c:pt idx="23">
                  <c:v>59.769599999999997</c:v>
                </c:pt>
                <c:pt idx="24">
                  <c:v>60.322099999999999</c:v>
                </c:pt>
                <c:pt idx="25">
                  <c:v>53.049199999999999</c:v>
                </c:pt>
                <c:pt idx="26">
                  <c:v>54.600200000000001</c:v>
                </c:pt>
                <c:pt idx="27">
                  <c:v>52.191400000000002</c:v>
                </c:pt>
                <c:pt idx="28">
                  <c:v>55.2913</c:v>
                </c:pt>
                <c:pt idx="29">
                  <c:v>55.104500000000002</c:v>
                </c:pt>
                <c:pt idx="30">
                  <c:v>62.0214</c:v>
                </c:pt>
                <c:pt idx="31">
                  <c:v>58.695</c:v>
                </c:pt>
                <c:pt idx="32">
                  <c:v>60.426200000000001</c:v>
                </c:pt>
                <c:pt idx="33">
                  <c:v>57.481400000000001</c:v>
                </c:pt>
                <c:pt idx="34">
                  <c:v>52.271299999999997</c:v>
                </c:pt>
                <c:pt idx="35">
                  <c:v>51.454599999999999</c:v>
                </c:pt>
                <c:pt idx="36">
                  <c:v>52.656799999999997</c:v>
                </c:pt>
                <c:pt idx="37">
                  <c:v>53.494700000000002</c:v>
                </c:pt>
                <c:pt idx="38">
                  <c:v>52.0124</c:v>
                </c:pt>
                <c:pt idx="39">
                  <c:v>50.359699999999997</c:v>
                </c:pt>
                <c:pt idx="40">
                  <c:v>48.769799999999996</c:v>
                </c:pt>
                <c:pt idx="41">
                  <c:v>47.7545</c:v>
                </c:pt>
                <c:pt idx="42">
                  <c:v>48.665100000000002</c:v>
                </c:pt>
                <c:pt idx="43">
                  <c:v>47.650399999999998</c:v>
                </c:pt>
                <c:pt idx="44">
                  <c:v>46.518700000000003</c:v>
                </c:pt>
                <c:pt idx="45">
                  <c:v>50.523800000000001</c:v>
                </c:pt>
                <c:pt idx="46">
                  <c:v>46.2453</c:v>
                </c:pt>
                <c:pt idx="47">
                  <c:v>47.328200000000002</c:v>
                </c:pt>
                <c:pt idx="48">
                  <c:v>46.152000000000001</c:v>
                </c:pt>
                <c:pt idx="49">
                  <c:v>46.906399999999998</c:v>
                </c:pt>
                <c:pt idx="50">
                  <c:v>42.4392</c:v>
                </c:pt>
                <c:pt idx="51">
                  <c:v>44.0199</c:v>
                </c:pt>
                <c:pt idx="52">
                  <c:v>47.787100000000002</c:v>
                </c:pt>
                <c:pt idx="53">
                  <c:v>49.107399999999998</c:v>
                </c:pt>
                <c:pt idx="54">
                  <c:v>50.450400000000002</c:v>
                </c:pt>
                <c:pt idx="55">
                  <c:v>48.314</c:v>
                </c:pt>
                <c:pt idx="56">
                  <c:v>50.362499999999997</c:v>
                </c:pt>
                <c:pt idx="57">
                  <c:v>48.433700000000002</c:v>
                </c:pt>
                <c:pt idx="58">
                  <c:v>48.376199999999997</c:v>
                </c:pt>
                <c:pt idx="59">
                  <c:v>52.365099999999998</c:v>
                </c:pt>
                <c:pt idx="60">
                  <c:v>58.969200000000001</c:v>
                </c:pt>
                <c:pt idx="61">
                  <c:v>54.078200000000002</c:v>
                </c:pt>
                <c:pt idx="62">
                  <c:v>54.645099999999999</c:v>
                </c:pt>
                <c:pt idx="63">
                  <c:v>52.957099999999997</c:v>
                </c:pt>
                <c:pt idx="64">
                  <c:v>54.7196</c:v>
                </c:pt>
                <c:pt idx="65">
                  <c:v>54.274099999999997</c:v>
                </c:pt>
                <c:pt idx="66">
                  <c:v>51.435899999999997</c:v>
                </c:pt>
                <c:pt idx="67">
                  <c:v>52.128399999999999</c:v>
                </c:pt>
                <c:pt idx="68">
                  <c:v>53.848500000000001</c:v>
                </c:pt>
                <c:pt idx="69">
                  <c:v>54.384099999999997</c:v>
                </c:pt>
                <c:pt idx="70">
                  <c:v>54.933799999999998</c:v>
                </c:pt>
                <c:pt idx="71">
                  <c:v>53.9009</c:v>
                </c:pt>
                <c:pt idx="72">
                  <c:v>55.087699999999998</c:v>
                </c:pt>
                <c:pt idx="73">
                  <c:v>56.024099999999997</c:v>
                </c:pt>
                <c:pt idx="74">
                  <c:v>59.353400000000001</c:v>
                </c:pt>
                <c:pt idx="75">
                  <c:v>56.433599999999998</c:v>
                </c:pt>
                <c:pt idx="76">
                  <c:v>59.014699999999998</c:v>
                </c:pt>
                <c:pt idx="77">
                  <c:v>60.469099999999997</c:v>
                </c:pt>
                <c:pt idx="78">
                  <c:v>58.787999999999997</c:v>
                </c:pt>
                <c:pt idx="79">
                  <c:v>56.813800000000001</c:v>
                </c:pt>
                <c:pt idx="80">
                  <c:v>60.109099999999998</c:v>
                </c:pt>
                <c:pt idx="81">
                  <c:v>58.642600000000002</c:v>
                </c:pt>
                <c:pt idx="82">
                  <c:v>58.611199999999997</c:v>
                </c:pt>
                <c:pt idx="83">
                  <c:v>63.927999999999997</c:v>
                </c:pt>
                <c:pt idx="84">
                  <c:v>63.414000000000001</c:v>
                </c:pt>
                <c:pt idx="85">
                  <c:v>62.620699999999999</c:v>
                </c:pt>
                <c:pt idx="86">
                  <c:v>62.963999999999999</c:v>
                </c:pt>
                <c:pt idx="87">
                  <c:v>57.986499999999999</c:v>
                </c:pt>
                <c:pt idx="88">
                  <c:v>54.020400000000002</c:v>
                </c:pt>
                <c:pt idx="89">
                  <c:v>44.5364</c:v>
                </c:pt>
                <c:pt idx="90">
                  <c:v>43.586100000000002</c:v>
                </c:pt>
                <c:pt idx="91">
                  <c:v>43.185400000000001</c:v>
                </c:pt>
                <c:pt idx="92">
                  <c:v>45.123800000000003</c:v>
                </c:pt>
                <c:pt idx="93">
                  <c:v>41.147100000000002</c:v>
                </c:pt>
                <c:pt idx="94">
                  <c:v>38.566499999999998</c:v>
                </c:pt>
                <c:pt idx="95">
                  <c:v>40.077399999999997</c:v>
                </c:pt>
                <c:pt idx="96">
                  <c:v>40.907299999999999</c:v>
                </c:pt>
                <c:pt idx="97">
                  <c:v>41.039299999999997</c:v>
                </c:pt>
                <c:pt idx="98">
                  <c:v>38.641399999999997</c:v>
                </c:pt>
                <c:pt idx="99">
                  <c:v>41.145400000000002</c:v>
                </c:pt>
                <c:pt idx="100">
                  <c:v>40.829500000000003</c:v>
                </c:pt>
                <c:pt idx="101">
                  <c:v>43.906199999999998</c:v>
                </c:pt>
                <c:pt idx="102">
                  <c:v>45.967199999999998</c:v>
                </c:pt>
                <c:pt idx="103">
                  <c:v>46.490099999999998</c:v>
                </c:pt>
                <c:pt idx="104">
                  <c:v>43.198799999999999</c:v>
                </c:pt>
                <c:pt idx="105">
                  <c:v>41.7729</c:v>
                </c:pt>
                <c:pt idx="106">
                  <c:v>38.745100000000001</c:v>
                </c:pt>
                <c:pt idx="107">
                  <c:v>41.520200000000003</c:v>
                </c:pt>
                <c:pt idx="108">
                  <c:v>39.168399999999998</c:v>
                </c:pt>
                <c:pt idx="109">
                  <c:v>39.76</c:v>
                </c:pt>
                <c:pt idx="110">
                  <c:v>38.859499999999997</c:v>
                </c:pt>
                <c:pt idx="111">
                  <c:v>39.615200000000002</c:v>
                </c:pt>
                <c:pt idx="112">
                  <c:v>39.774500000000003</c:v>
                </c:pt>
                <c:pt idx="113">
                  <c:v>39.924999999999997</c:v>
                </c:pt>
                <c:pt idx="114">
                  <c:v>41.549300000000002</c:v>
                </c:pt>
                <c:pt idx="115">
                  <c:v>45.074300000000001</c:v>
                </c:pt>
                <c:pt idx="116">
                  <c:v>44.426699999999997</c:v>
                </c:pt>
                <c:pt idx="117">
                  <c:v>45.673499999999997</c:v>
                </c:pt>
                <c:pt idx="118">
                  <c:v>46.965800000000002</c:v>
                </c:pt>
                <c:pt idx="119">
                  <c:v>44.509099999999997</c:v>
                </c:pt>
                <c:pt idx="120">
                  <c:v>45.314900000000002</c:v>
                </c:pt>
                <c:pt idx="121">
                  <c:v>44.425199999999997</c:v>
                </c:pt>
                <c:pt idx="122">
                  <c:v>45.792000000000002</c:v>
                </c:pt>
                <c:pt idx="123">
                  <c:v>42.635300000000001</c:v>
                </c:pt>
                <c:pt idx="124">
                  <c:v>37.111600000000003</c:v>
                </c:pt>
                <c:pt idx="125">
                  <c:v>38.9983</c:v>
                </c:pt>
                <c:pt idx="126">
                  <c:v>41.427599999999998</c:v>
                </c:pt>
                <c:pt idx="127">
                  <c:v>42.1477</c:v>
                </c:pt>
                <c:pt idx="128">
                  <c:v>38.956200000000003</c:v>
                </c:pt>
                <c:pt idx="129">
                  <c:v>40.630800000000001</c:v>
                </c:pt>
                <c:pt idx="130">
                  <c:v>37.0807</c:v>
                </c:pt>
                <c:pt idx="131">
                  <c:v>37.5565</c:v>
                </c:pt>
                <c:pt idx="132">
                  <c:v>36.060299999999998</c:v>
                </c:pt>
                <c:pt idx="133">
                  <c:v>38.8596</c:v>
                </c:pt>
                <c:pt idx="134">
                  <c:v>33.697000000000003</c:v>
                </c:pt>
                <c:pt idx="135">
                  <c:v>31.554200000000002</c:v>
                </c:pt>
                <c:pt idx="136">
                  <c:v>27.311900000000001</c:v>
                </c:pt>
                <c:pt idx="137">
                  <c:v>28.036200000000001</c:v>
                </c:pt>
                <c:pt idx="138">
                  <c:v>26.526399999999999</c:v>
                </c:pt>
                <c:pt idx="139">
                  <c:v>23.070900000000002</c:v>
                </c:pt>
                <c:pt idx="140">
                  <c:v>25.152999999999999</c:v>
                </c:pt>
                <c:pt idx="141">
                  <c:v>29.025099999999998</c:v>
                </c:pt>
                <c:pt idx="142">
                  <c:v>33.280200000000001</c:v>
                </c:pt>
                <c:pt idx="143">
                  <c:v>34.986899999999999</c:v>
                </c:pt>
                <c:pt idx="144">
                  <c:v>31.1234</c:v>
                </c:pt>
                <c:pt idx="145">
                  <c:v>31.452000000000002</c:v>
                </c:pt>
                <c:pt idx="146">
                  <c:v>28.501799999999999</c:v>
                </c:pt>
                <c:pt idx="147">
                  <c:v>32.978900000000003</c:v>
                </c:pt>
                <c:pt idx="148">
                  <c:v>37.362400000000001</c:v>
                </c:pt>
                <c:pt idx="149">
                  <c:v>36.777200000000001</c:v>
                </c:pt>
                <c:pt idx="150">
                  <c:v>34.5334</c:v>
                </c:pt>
                <c:pt idx="151">
                  <c:v>31.812899999999999</c:v>
                </c:pt>
                <c:pt idx="152">
                  <c:v>27.5243</c:v>
                </c:pt>
                <c:pt idx="153">
                  <c:v>26.612100000000002</c:v>
                </c:pt>
                <c:pt idx="154">
                  <c:v>27.4133</c:v>
                </c:pt>
                <c:pt idx="155">
                  <c:v>29.5093</c:v>
                </c:pt>
                <c:pt idx="156">
                  <c:v>36.8339</c:v>
                </c:pt>
                <c:pt idx="157">
                  <c:v>31.536000000000001</c:v>
                </c:pt>
                <c:pt idx="158">
                  <c:v>33.152999999999999</c:v>
                </c:pt>
                <c:pt idx="159">
                  <c:v>34.134300000000003</c:v>
                </c:pt>
                <c:pt idx="160">
                  <c:v>31.7729</c:v>
                </c:pt>
                <c:pt idx="161">
                  <c:v>29.889199999999999</c:v>
                </c:pt>
                <c:pt idx="162">
                  <c:v>28.975300000000001</c:v>
                </c:pt>
                <c:pt idx="163">
                  <c:v>31.6844</c:v>
                </c:pt>
                <c:pt idx="164">
                  <c:v>30.915199999999999</c:v>
                </c:pt>
                <c:pt idx="165">
                  <c:v>32.82</c:v>
                </c:pt>
                <c:pt idx="166">
                  <c:v>35.660800000000002</c:v>
                </c:pt>
                <c:pt idx="167">
                  <c:v>34.163400000000003</c:v>
                </c:pt>
                <c:pt idx="168">
                  <c:v>34.119300000000003</c:v>
                </c:pt>
                <c:pt idx="169">
                  <c:v>32.7121</c:v>
                </c:pt>
                <c:pt idx="170">
                  <c:v>41.206000000000003</c:v>
                </c:pt>
                <c:pt idx="171">
                  <c:v>42.849800000000002</c:v>
                </c:pt>
                <c:pt idx="172">
                  <c:v>41.815300000000001</c:v>
                </c:pt>
                <c:pt idx="173">
                  <c:v>41.386200000000002</c:v>
                </c:pt>
                <c:pt idx="174">
                  <c:v>37.123100000000001</c:v>
                </c:pt>
                <c:pt idx="175">
                  <c:v>40.388500000000001</c:v>
                </c:pt>
                <c:pt idx="176">
                  <c:v>38.729399999999998</c:v>
                </c:pt>
                <c:pt idx="177">
                  <c:v>42.880099999999999</c:v>
                </c:pt>
                <c:pt idx="178">
                  <c:v>42.6858</c:v>
                </c:pt>
                <c:pt idx="179">
                  <c:v>45.418399999999998</c:v>
                </c:pt>
                <c:pt idx="180">
                  <c:v>45.485500000000002</c:v>
                </c:pt>
                <c:pt idx="181">
                  <c:v>49.484099999999998</c:v>
                </c:pt>
                <c:pt idx="182">
                  <c:v>51.835000000000001</c:v>
                </c:pt>
                <c:pt idx="183">
                  <c:v>48.843299999999999</c:v>
                </c:pt>
                <c:pt idx="184">
                  <c:v>51.074800000000003</c:v>
                </c:pt>
                <c:pt idx="185">
                  <c:v>41.913800000000002</c:v>
                </c:pt>
                <c:pt idx="186">
                  <c:v>44.027999999999999</c:v>
                </c:pt>
                <c:pt idx="187">
                  <c:v>46.484299999999998</c:v>
                </c:pt>
                <c:pt idx="188">
                  <c:v>46.982399999999998</c:v>
                </c:pt>
                <c:pt idx="189">
                  <c:v>45.586399999999998</c:v>
                </c:pt>
                <c:pt idx="190">
                  <c:v>44.578400000000002</c:v>
                </c:pt>
                <c:pt idx="191">
                  <c:v>46.901200000000003</c:v>
                </c:pt>
                <c:pt idx="192">
                  <c:v>46.1554</c:v>
                </c:pt>
                <c:pt idx="193">
                  <c:v>45.070999999999998</c:v>
                </c:pt>
                <c:pt idx="194">
                  <c:v>45.564500000000002</c:v>
                </c:pt>
                <c:pt idx="195">
                  <c:v>43.448700000000002</c:v>
                </c:pt>
                <c:pt idx="196">
                  <c:v>42.618400000000001</c:v>
                </c:pt>
                <c:pt idx="197">
                  <c:v>38.905500000000004</c:v>
                </c:pt>
                <c:pt idx="198">
                  <c:v>38.735599999999998</c:v>
                </c:pt>
                <c:pt idx="199">
                  <c:v>38.427599999999998</c:v>
                </c:pt>
                <c:pt idx="200">
                  <c:v>34.9803</c:v>
                </c:pt>
                <c:pt idx="201">
                  <c:v>35.969700000000003</c:v>
                </c:pt>
                <c:pt idx="202">
                  <c:v>37.479799999999997</c:v>
                </c:pt>
                <c:pt idx="203">
                  <c:v>41.049700000000001</c:v>
                </c:pt>
                <c:pt idx="204">
                  <c:v>43.843000000000004</c:v>
                </c:pt>
                <c:pt idx="205">
                  <c:v>39.935499999999998</c:v>
                </c:pt>
                <c:pt idx="206">
                  <c:v>33.224200000000003</c:v>
                </c:pt>
                <c:pt idx="207">
                  <c:v>37.7699</c:v>
                </c:pt>
                <c:pt idx="208">
                  <c:v>41.389400000000002</c:v>
                </c:pt>
                <c:pt idx="209">
                  <c:v>39.332599999999999</c:v>
                </c:pt>
                <c:pt idx="210">
                  <c:v>42.203299999999999</c:v>
                </c:pt>
                <c:pt idx="211">
                  <c:v>39.7866</c:v>
                </c:pt>
                <c:pt idx="212">
                  <c:v>43.181699999999999</c:v>
                </c:pt>
                <c:pt idx="213">
                  <c:v>40.6295</c:v>
                </c:pt>
                <c:pt idx="214">
                  <c:v>44.5443</c:v>
                </c:pt>
                <c:pt idx="215">
                  <c:v>50.180300000000003</c:v>
                </c:pt>
                <c:pt idx="216">
                  <c:v>53.061500000000002</c:v>
                </c:pt>
                <c:pt idx="217">
                  <c:v>60.858699999999999</c:v>
                </c:pt>
                <c:pt idx="218">
                  <c:v>59.813400000000001</c:v>
                </c:pt>
                <c:pt idx="219">
                  <c:v>63.639400000000002</c:v>
                </c:pt>
                <c:pt idx="220">
                  <c:v>61.7104</c:v>
                </c:pt>
                <c:pt idx="221">
                  <c:v>64.610100000000003</c:v>
                </c:pt>
                <c:pt idx="222">
                  <c:v>62.600499999999997</c:v>
                </c:pt>
                <c:pt idx="223">
                  <c:v>59.050600000000003</c:v>
                </c:pt>
                <c:pt idx="224">
                  <c:v>63.1126</c:v>
                </c:pt>
                <c:pt idx="225">
                  <c:v>59.605400000000003</c:v>
                </c:pt>
                <c:pt idx="226">
                  <c:v>60.366100000000003</c:v>
                </c:pt>
                <c:pt idx="227">
                  <c:v>63.793199999999999</c:v>
                </c:pt>
                <c:pt idx="228">
                  <c:v>70.235500000000002</c:v>
                </c:pt>
                <c:pt idx="229">
                  <c:v>68.199200000000005</c:v>
                </c:pt>
                <c:pt idx="230">
                  <c:v>67.035799999999995</c:v>
                </c:pt>
                <c:pt idx="231">
                  <c:v>68.683099999999996</c:v>
                </c:pt>
                <c:pt idx="232">
                  <c:v>70.793400000000005</c:v>
                </c:pt>
                <c:pt idx="233">
                  <c:v>67.119299999999996</c:v>
                </c:pt>
                <c:pt idx="234">
                  <c:v>69.065200000000004</c:v>
                </c:pt>
                <c:pt idx="235">
                  <c:v>64.287300000000002</c:v>
                </c:pt>
                <c:pt idx="236">
                  <c:v>58.437800000000003</c:v>
                </c:pt>
                <c:pt idx="237">
                  <c:v>59.310099999999998</c:v>
                </c:pt>
                <c:pt idx="238">
                  <c:v>62.020899999999997</c:v>
                </c:pt>
                <c:pt idx="239">
                  <c:v>62.737400000000001</c:v>
                </c:pt>
                <c:pt idx="240">
                  <c:v>62.002899999999997</c:v>
                </c:pt>
                <c:pt idx="241">
                  <c:v>64.007300000000001</c:v>
                </c:pt>
                <c:pt idx="242">
                  <c:v>67.735699999999994</c:v>
                </c:pt>
                <c:pt idx="243">
                  <c:v>66.475099999999998</c:v>
                </c:pt>
                <c:pt idx="244">
                  <c:v>63.196300000000001</c:v>
                </c:pt>
                <c:pt idx="245">
                  <c:v>61.4895</c:v>
                </c:pt>
                <c:pt idx="246">
                  <c:v>61.131</c:v>
                </c:pt>
                <c:pt idx="247">
                  <c:v>62.309600000000003</c:v>
                </c:pt>
                <c:pt idx="248">
                  <c:v>57.031100000000002</c:v>
                </c:pt>
                <c:pt idx="249">
                  <c:v>58.258800000000001</c:v>
                </c:pt>
                <c:pt idx="250">
                  <c:v>57.240699999999997</c:v>
                </c:pt>
                <c:pt idx="251">
                  <c:v>56.258299999999998</c:v>
                </c:pt>
                <c:pt idx="252">
                  <c:v>56.5809</c:v>
                </c:pt>
                <c:pt idx="253">
                  <c:v>55.641199999999998</c:v>
                </c:pt>
                <c:pt idx="254">
                  <c:v>51.649299999999997</c:v>
                </c:pt>
                <c:pt idx="255">
                  <c:v>50.9724</c:v>
                </c:pt>
                <c:pt idx="256">
                  <c:v>54.5871</c:v>
                </c:pt>
                <c:pt idx="257">
                  <c:v>55.349899999999998</c:v>
                </c:pt>
                <c:pt idx="258">
                  <c:v>53.856900000000003</c:v>
                </c:pt>
                <c:pt idx="259">
                  <c:v>49.6629</c:v>
                </c:pt>
                <c:pt idx="260">
                  <c:v>47.653399999999998</c:v>
                </c:pt>
                <c:pt idx="261">
                  <c:v>48.651299999999999</c:v>
                </c:pt>
                <c:pt idx="262">
                  <c:v>49.517200000000003</c:v>
                </c:pt>
                <c:pt idx="263">
                  <c:v>48.604199999999999</c:v>
                </c:pt>
                <c:pt idx="264">
                  <c:v>50.592599999999997</c:v>
                </c:pt>
                <c:pt idx="265">
                  <c:v>46.827800000000003</c:v>
                </c:pt>
                <c:pt idx="266">
                  <c:v>46.089100000000002</c:v>
                </c:pt>
                <c:pt idx="267">
                  <c:v>42.920400000000001</c:v>
                </c:pt>
                <c:pt idx="268">
                  <c:v>40.949399999999997</c:v>
                </c:pt>
                <c:pt idx="269">
                  <c:v>38.740900000000003</c:v>
                </c:pt>
                <c:pt idx="270">
                  <c:v>44.827599999999997</c:v>
                </c:pt>
                <c:pt idx="271">
                  <c:v>49.954300000000003</c:v>
                </c:pt>
                <c:pt idx="272">
                  <c:v>50.949100000000001</c:v>
                </c:pt>
                <c:pt idx="273">
                  <c:v>50.312199999999997</c:v>
                </c:pt>
                <c:pt idx="274">
                  <c:v>51.560299999999998</c:v>
                </c:pt>
                <c:pt idx="275">
                  <c:v>56.738999999999997</c:v>
                </c:pt>
                <c:pt idx="276">
                  <c:v>54.5092</c:v>
                </c:pt>
                <c:pt idx="277">
                  <c:v>43.781300000000002</c:v>
                </c:pt>
                <c:pt idx="278">
                  <c:v>39.731900000000003</c:v>
                </c:pt>
                <c:pt idx="279">
                  <c:v>49.991599999999998</c:v>
                </c:pt>
                <c:pt idx="280">
                  <c:v>49.398699999999998</c:v>
                </c:pt>
                <c:pt idx="281">
                  <c:v>44.813299999999998</c:v>
                </c:pt>
                <c:pt idx="282">
                  <c:v>49.773699999999998</c:v>
                </c:pt>
                <c:pt idx="283">
                  <c:v>50.433999999999997</c:v>
                </c:pt>
                <c:pt idx="284">
                  <c:v>47.117100000000001</c:v>
                </c:pt>
                <c:pt idx="285">
                  <c:v>40.7883</c:v>
                </c:pt>
                <c:pt idx="286">
                  <c:v>43.832799999999999</c:v>
                </c:pt>
                <c:pt idx="287">
                  <c:v>45.270699999999998</c:v>
                </c:pt>
                <c:pt idx="288">
                  <c:v>50.155000000000001</c:v>
                </c:pt>
                <c:pt idx="289">
                  <c:v>54.614100000000001</c:v>
                </c:pt>
                <c:pt idx="290">
                  <c:v>52.851500000000001</c:v>
                </c:pt>
                <c:pt idx="291">
                  <c:v>58.138399999999997</c:v>
                </c:pt>
                <c:pt idx="292">
                  <c:v>56.074599999999997</c:v>
                </c:pt>
                <c:pt idx="293">
                  <c:v>53.636600000000001</c:v>
                </c:pt>
                <c:pt idx="294">
                  <c:v>56.032800000000002</c:v>
                </c:pt>
                <c:pt idx="295">
                  <c:v>58.556699999999999</c:v>
                </c:pt>
                <c:pt idx="296">
                  <c:v>61.610300000000002</c:v>
                </c:pt>
                <c:pt idx="297">
                  <c:v>70.354399999999998</c:v>
                </c:pt>
                <c:pt idx="298">
                  <c:v>67.986500000000007</c:v>
                </c:pt>
                <c:pt idx="299">
                  <c:v>65.246300000000005</c:v>
                </c:pt>
                <c:pt idx="300">
                  <c:v>63.8018</c:v>
                </c:pt>
                <c:pt idx="301">
                  <c:v>66.722899999999996</c:v>
                </c:pt>
                <c:pt idx="302">
                  <c:v>63.6877</c:v>
                </c:pt>
                <c:pt idx="303">
                  <c:v>63.090899999999998</c:v>
                </c:pt>
                <c:pt idx="304">
                  <c:v>74.346400000000003</c:v>
                </c:pt>
                <c:pt idx="305">
                  <c:v>72.893600000000006</c:v>
                </c:pt>
                <c:pt idx="306">
                  <c:v>69.565100000000001</c:v>
                </c:pt>
                <c:pt idx="307">
                  <c:v>71.964500000000001</c:v>
                </c:pt>
                <c:pt idx="308">
                  <c:v>72.098200000000006</c:v>
                </c:pt>
                <c:pt idx="309">
                  <c:v>75.238900000000001</c:v>
                </c:pt>
                <c:pt idx="310">
                  <c:v>75.426199999999994</c:v>
                </c:pt>
                <c:pt idx="311">
                  <c:v>71.927700000000002</c:v>
                </c:pt>
                <c:pt idx="312">
                  <c:v>75.143500000000003</c:v>
                </c:pt>
                <c:pt idx="313">
                  <c:v>74.024299999999997</c:v>
                </c:pt>
                <c:pt idx="314">
                  <c:v>81.903400000000005</c:v>
                </c:pt>
                <c:pt idx="315">
                  <c:v>83.954999999999998</c:v>
                </c:pt>
                <c:pt idx="316">
                  <c:v>82.684799999999996</c:v>
                </c:pt>
                <c:pt idx="317">
                  <c:v>81.034499999999994</c:v>
                </c:pt>
                <c:pt idx="318">
                  <c:v>87.375500000000002</c:v>
                </c:pt>
                <c:pt idx="319">
                  <c:v>86.672399999999996</c:v>
                </c:pt>
                <c:pt idx="320">
                  <c:v>85.297399999999996</c:v>
                </c:pt>
                <c:pt idx="321">
                  <c:v>81.0745</c:v>
                </c:pt>
                <c:pt idx="322">
                  <c:v>77.328800000000001</c:v>
                </c:pt>
                <c:pt idx="323">
                  <c:v>83.498800000000003</c:v>
                </c:pt>
                <c:pt idx="324">
                  <c:v>79.411100000000005</c:v>
                </c:pt>
                <c:pt idx="325">
                  <c:v>76.552999999999997</c:v>
                </c:pt>
                <c:pt idx="326">
                  <c:v>75.134399999999999</c:v>
                </c:pt>
                <c:pt idx="327">
                  <c:v>74.205399999999997</c:v>
                </c:pt>
                <c:pt idx="328">
                  <c:v>71.638900000000007</c:v>
                </c:pt>
                <c:pt idx="329">
                  <c:v>70.170199999999994</c:v>
                </c:pt>
                <c:pt idx="330">
                  <c:v>75.366500000000002</c:v>
                </c:pt>
                <c:pt idx="331">
                  <c:v>77.963099999999997</c:v>
                </c:pt>
                <c:pt idx="332">
                  <c:v>88.832300000000004</c:v>
                </c:pt>
                <c:pt idx="333">
                  <c:v>95.460599999999999</c:v>
                </c:pt>
                <c:pt idx="334">
                  <c:v>98.501000000000005</c:v>
                </c:pt>
                <c:pt idx="335">
                  <c:v>96.539900000000003</c:v>
                </c:pt>
                <c:pt idx="336">
                  <c:v>98.188599999999994</c:v>
                </c:pt>
                <c:pt idx="337">
                  <c:v>95.245999999999995</c:v>
                </c:pt>
                <c:pt idx="338">
                  <c:v>92.802499999999995</c:v>
                </c:pt>
                <c:pt idx="339">
                  <c:v>94.093999999999994</c:v>
                </c:pt>
                <c:pt idx="340">
                  <c:v>91.293999999999997</c:v>
                </c:pt>
                <c:pt idx="341">
                  <c:v>90.311599999999999</c:v>
                </c:pt>
                <c:pt idx="342">
                  <c:v>90.580699999999993</c:v>
                </c:pt>
                <c:pt idx="343">
                  <c:v>91.159400000000005</c:v>
                </c:pt>
                <c:pt idx="344">
                  <c:v>91.606200000000001</c:v>
                </c:pt>
                <c:pt idx="345">
                  <c:v>98.153800000000004</c:v>
                </c:pt>
                <c:pt idx="346">
                  <c:v>96.016000000000005</c:v>
                </c:pt>
                <c:pt idx="347">
                  <c:v>90.101699999999994</c:v>
                </c:pt>
                <c:pt idx="348">
                  <c:v>83.9221</c:v>
                </c:pt>
                <c:pt idx="349">
                  <c:v>84.153300000000002</c:v>
                </c:pt>
                <c:pt idx="350">
                  <c:v>94.169899999999998</c:v>
                </c:pt>
                <c:pt idx="351">
                  <c:v>89.915599999999998</c:v>
                </c:pt>
                <c:pt idx="352">
                  <c:v>96.173299999999998</c:v>
                </c:pt>
                <c:pt idx="353">
                  <c:v>99.997799999999998</c:v>
                </c:pt>
                <c:pt idx="354">
                  <c:v>102.914</c:v>
                </c:pt>
                <c:pt idx="355">
                  <c:v>97.120800000000003</c:v>
                </c:pt>
                <c:pt idx="356">
                  <c:v>97.477999999999994</c:v>
                </c:pt>
                <c:pt idx="357">
                  <c:v>91.879300000000001</c:v>
                </c:pt>
                <c:pt idx="358">
                  <c:v>99.837900000000005</c:v>
                </c:pt>
                <c:pt idx="359">
                  <c:v>101.6525</c:v>
                </c:pt>
                <c:pt idx="360">
                  <c:v>91.5886</c:v>
                </c:pt>
                <c:pt idx="361">
                  <c:v>87.490600000000001</c:v>
                </c:pt>
                <c:pt idx="362">
                  <c:v>91.501499999999993</c:v>
                </c:pt>
                <c:pt idx="363">
                  <c:v>87.5471</c:v>
                </c:pt>
                <c:pt idx="364">
                  <c:v>91.427499999999995</c:v>
                </c:pt>
                <c:pt idx="365">
                  <c:v>79.152600000000007</c:v>
                </c:pt>
                <c:pt idx="366">
                  <c:v>73.744500000000002</c:v>
                </c:pt>
                <c:pt idx="367">
                  <c:v>67.826300000000003</c:v>
                </c:pt>
                <c:pt idx="368">
                  <c:v>62.883800000000001</c:v>
                </c:pt>
                <c:pt idx="369">
                  <c:v>68.117599999999996</c:v>
                </c:pt>
                <c:pt idx="370">
                  <c:v>62.116199999999999</c:v>
                </c:pt>
                <c:pt idx="371">
                  <c:v>56.995199999999997</c:v>
                </c:pt>
                <c:pt idx="372">
                  <c:v>59.694000000000003</c:v>
                </c:pt>
                <c:pt idx="373">
                  <c:v>62.343200000000003</c:v>
                </c:pt>
                <c:pt idx="374">
                  <c:v>57.723399999999998</c:v>
                </c:pt>
                <c:pt idx="375">
                  <c:v>62.018799999999999</c:v>
                </c:pt>
                <c:pt idx="376">
                  <c:v>56.874099999999999</c:v>
                </c:pt>
                <c:pt idx="377">
                  <c:v>59.017600000000002</c:v>
                </c:pt>
                <c:pt idx="378">
                  <c:v>50.287300000000002</c:v>
                </c:pt>
                <c:pt idx="379">
                  <c:v>47.7348</c:v>
                </c:pt>
                <c:pt idx="380">
                  <c:v>50.235100000000003</c:v>
                </c:pt>
                <c:pt idx="381">
                  <c:v>54.222700000000003</c:v>
                </c:pt>
                <c:pt idx="382">
                  <c:v>56.155299999999997</c:v>
                </c:pt>
                <c:pt idx="383">
                  <c:v>53.525799999999997</c:v>
                </c:pt>
                <c:pt idx="384">
                  <c:v>51.531700000000001</c:v>
                </c:pt>
                <c:pt idx="385">
                  <c:v>52.479799999999997</c:v>
                </c:pt>
                <c:pt idx="386">
                  <c:v>55.810699999999997</c:v>
                </c:pt>
                <c:pt idx="387">
                  <c:v>57.174399999999999</c:v>
                </c:pt>
                <c:pt idx="388">
                  <c:v>55.4283</c:v>
                </c:pt>
                <c:pt idx="389">
                  <c:v>57.6327</c:v>
                </c:pt>
                <c:pt idx="390">
                  <c:v>58.505299999999998</c:v>
                </c:pt>
                <c:pt idx="391">
                  <c:v>53.901600000000002</c:v>
                </c:pt>
                <c:pt idx="392">
                  <c:v>53.517499999999998</c:v>
                </c:pt>
                <c:pt idx="393">
                  <c:v>51.222299999999997</c:v>
                </c:pt>
                <c:pt idx="394">
                  <c:v>51.778300000000002</c:v>
                </c:pt>
                <c:pt idx="395">
                  <c:v>42.726300000000002</c:v>
                </c:pt>
                <c:pt idx="396">
                  <c:v>40.2089</c:v>
                </c:pt>
                <c:pt idx="397">
                  <c:v>42.690600000000003</c:v>
                </c:pt>
                <c:pt idx="398">
                  <c:v>40.308500000000002</c:v>
                </c:pt>
                <c:pt idx="399">
                  <c:v>42.937800000000003</c:v>
                </c:pt>
                <c:pt idx="400">
                  <c:v>42.575400000000002</c:v>
                </c:pt>
                <c:pt idx="401">
                  <c:v>41.3187</c:v>
                </c:pt>
                <c:pt idx="402">
                  <c:v>40.789299999999997</c:v>
                </c:pt>
                <c:pt idx="403">
                  <c:v>43.113300000000002</c:v>
                </c:pt>
                <c:pt idx="404">
                  <c:v>44.587699999999998</c:v>
                </c:pt>
                <c:pt idx="405">
                  <c:v>43.884599999999999</c:v>
                </c:pt>
                <c:pt idx="406">
                  <c:v>44.162500000000001</c:v>
                </c:pt>
                <c:pt idx="407">
                  <c:v>41.095500000000001</c:v>
                </c:pt>
                <c:pt idx="408">
                  <c:v>47.7273</c:v>
                </c:pt>
                <c:pt idx="409">
                  <c:v>48.808300000000003</c:v>
                </c:pt>
                <c:pt idx="410">
                  <c:v>46.447499999999998</c:v>
                </c:pt>
                <c:pt idx="411">
                  <c:v>52.389200000000002</c:v>
                </c:pt>
                <c:pt idx="412">
                  <c:v>55.683300000000003</c:v>
                </c:pt>
                <c:pt idx="413">
                  <c:v>56.139699999999998</c:v>
                </c:pt>
                <c:pt idx="414">
                  <c:v>54.763800000000003</c:v>
                </c:pt>
                <c:pt idx="415">
                  <c:v>51.115099999999998</c:v>
                </c:pt>
                <c:pt idx="416">
                  <c:v>51.075699999999998</c:v>
                </c:pt>
                <c:pt idx="417">
                  <c:v>53.951999999999998</c:v>
                </c:pt>
                <c:pt idx="418">
                  <c:v>50.514400000000002</c:v>
                </c:pt>
                <c:pt idx="419">
                  <c:v>50.387099999999997</c:v>
                </c:pt>
                <c:pt idx="420">
                  <c:v>48.735199999999999</c:v>
                </c:pt>
                <c:pt idx="421">
                  <c:v>46.0749</c:v>
                </c:pt>
                <c:pt idx="422">
                  <c:v>49.334499999999998</c:v>
                </c:pt>
                <c:pt idx="423">
                  <c:v>52.3947</c:v>
                </c:pt>
                <c:pt idx="424">
                  <c:v>52.553199999999997</c:v>
                </c:pt>
                <c:pt idx="425">
                  <c:v>52.668900000000001</c:v>
                </c:pt>
                <c:pt idx="426">
                  <c:v>52.7149</c:v>
                </c:pt>
                <c:pt idx="427">
                  <c:v>58.625399999999999</c:v>
                </c:pt>
                <c:pt idx="428">
                  <c:v>54.468499999999999</c:v>
                </c:pt>
                <c:pt idx="429">
                  <c:v>55.540199999999999</c:v>
                </c:pt>
                <c:pt idx="430">
                  <c:v>56.828400000000002</c:v>
                </c:pt>
                <c:pt idx="431">
                  <c:v>60.462499999999999</c:v>
                </c:pt>
                <c:pt idx="432">
                  <c:v>62.807899999999997</c:v>
                </c:pt>
                <c:pt idx="433">
                  <c:v>62.893799999999999</c:v>
                </c:pt>
                <c:pt idx="434">
                  <c:v>62.366900000000001</c:v>
                </c:pt>
                <c:pt idx="435">
                  <c:v>63.851700000000001</c:v>
                </c:pt>
                <c:pt idx="436">
                  <c:v>66.216899999999995</c:v>
                </c:pt>
                <c:pt idx="437">
                  <c:v>71.106200000000001</c:v>
                </c:pt>
                <c:pt idx="438">
                  <c:v>70.965599999999995</c:v>
                </c:pt>
                <c:pt idx="439">
                  <c:v>62.885800000000003</c:v>
                </c:pt>
                <c:pt idx="440">
                  <c:v>62.288400000000003</c:v>
                </c:pt>
                <c:pt idx="441">
                  <c:v>55.401600000000002</c:v>
                </c:pt>
                <c:pt idx="442">
                  <c:v>56.152299999999997</c:v>
                </c:pt>
                <c:pt idx="443">
                  <c:v>53.1877</c:v>
                </c:pt>
                <c:pt idx="444">
                  <c:v>57.0092</c:v>
                </c:pt>
                <c:pt idx="445">
                  <c:v>55.823900000000002</c:v>
                </c:pt>
                <c:pt idx="446">
                  <c:v>57.517800000000001</c:v>
                </c:pt>
                <c:pt idx="447">
                  <c:v>59.029000000000003</c:v>
                </c:pt>
                <c:pt idx="448">
                  <c:v>55.2699</c:v>
                </c:pt>
                <c:pt idx="449">
                  <c:v>55.264299999999999</c:v>
                </c:pt>
                <c:pt idx="450">
                  <c:v>53.700200000000002</c:v>
                </c:pt>
                <c:pt idx="451">
                  <c:v>50.445999999999998</c:v>
                </c:pt>
                <c:pt idx="452">
                  <c:v>50.2498</c:v>
                </c:pt>
                <c:pt idx="453">
                  <c:v>51.832900000000002</c:v>
                </c:pt>
                <c:pt idx="454">
                  <c:v>49.261499999999998</c:v>
                </c:pt>
                <c:pt idx="455">
                  <c:v>46.171799999999998</c:v>
                </c:pt>
                <c:pt idx="456">
                  <c:v>49.423299999999998</c:v>
                </c:pt>
                <c:pt idx="457">
                  <c:v>47.306600000000003</c:v>
                </c:pt>
                <c:pt idx="458">
                  <c:v>46.274999999999999</c:v>
                </c:pt>
                <c:pt idx="459">
                  <c:v>47.686500000000002</c:v>
                </c:pt>
                <c:pt idx="460">
                  <c:v>49.947000000000003</c:v>
                </c:pt>
                <c:pt idx="461">
                  <c:v>53.058900000000001</c:v>
                </c:pt>
                <c:pt idx="462">
                  <c:v>56.392200000000003</c:v>
                </c:pt>
                <c:pt idx="463">
                  <c:v>55.677900000000001</c:v>
                </c:pt>
                <c:pt idx="464">
                  <c:v>52.802199999999999</c:v>
                </c:pt>
                <c:pt idx="465">
                  <c:v>54.958199999999998</c:v>
                </c:pt>
                <c:pt idx="466">
                  <c:v>52.985199999999999</c:v>
                </c:pt>
                <c:pt idx="467">
                  <c:v>51.012700000000002</c:v>
                </c:pt>
                <c:pt idx="468">
                  <c:v>54.545400000000001</c:v>
                </c:pt>
                <c:pt idx="469">
                  <c:v>53.921599999999998</c:v>
                </c:pt>
                <c:pt idx="470">
                  <c:v>58.872500000000002</c:v>
                </c:pt>
                <c:pt idx="471">
                  <c:v>58.0901</c:v>
                </c:pt>
                <c:pt idx="472">
                  <c:v>57.414999999999999</c:v>
                </c:pt>
                <c:pt idx="473">
                  <c:v>50.183799999999998</c:v>
                </c:pt>
                <c:pt idx="474">
                  <c:v>50.362499999999997</c:v>
                </c:pt>
                <c:pt idx="475">
                  <c:v>51.355499999999999</c:v>
                </c:pt>
                <c:pt idx="476">
                  <c:v>46.136400000000002</c:v>
                </c:pt>
                <c:pt idx="477">
                  <c:v>41.495699999999999</c:v>
                </c:pt>
                <c:pt idx="478">
                  <c:v>40.769300000000001</c:v>
                </c:pt>
                <c:pt idx="479">
                  <c:v>48.102600000000002</c:v>
                </c:pt>
                <c:pt idx="480">
                  <c:v>51.280900000000003</c:v>
                </c:pt>
                <c:pt idx="481">
                  <c:v>51.829300000000003</c:v>
                </c:pt>
                <c:pt idx="482">
                  <c:v>52.422400000000003</c:v>
                </c:pt>
                <c:pt idx="483">
                  <c:v>61.691200000000002</c:v>
                </c:pt>
                <c:pt idx="484">
                  <c:v>63.192300000000003</c:v>
                </c:pt>
                <c:pt idx="485">
                  <c:v>62.723700000000001</c:v>
                </c:pt>
                <c:pt idx="486">
                  <c:v>58.469700000000003</c:v>
                </c:pt>
                <c:pt idx="487">
                  <c:v>57.3795</c:v>
                </c:pt>
                <c:pt idx="488">
                  <c:v>57.5548</c:v>
                </c:pt>
                <c:pt idx="489">
                  <c:v>61.285800000000002</c:v>
                </c:pt>
                <c:pt idx="490">
                  <c:v>56.960999999999999</c:v>
                </c:pt>
                <c:pt idx="491">
                  <c:v>66.791399999999996</c:v>
                </c:pt>
                <c:pt idx="492">
                  <c:v>73.436999999999998</c:v>
                </c:pt>
                <c:pt idx="493">
                  <c:v>75.315100000000001</c:v>
                </c:pt>
                <c:pt idx="494">
                  <c:v>73.924199999999999</c:v>
                </c:pt>
                <c:pt idx="495">
                  <c:v>72.764700000000005</c:v>
                </c:pt>
                <c:pt idx="496">
                  <c:v>73.540899999999993</c:v>
                </c:pt>
                <c:pt idx="497">
                  <c:v>68.908699999999996</c:v>
                </c:pt>
                <c:pt idx="498">
                  <c:v>74.390199999999993</c:v>
                </c:pt>
                <c:pt idx="499">
                  <c:v>71.995999999999995</c:v>
                </c:pt>
                <c:pt idx="500">
                  <c:v>69.808099999999996</c:v>
                </c:pt>
                <c:pt idx="501">
                  <c:v>65.326700000000002</c:v>
                </c:pt>
                <c:pt idx="502">
                  <c:v>68.742099999999994</c:v>
                </c:pt>
                <c:pt idx="503">
                  <c:v>77.548100000000005</c:v>
                </c:pt>
                <c:pt idx="504">
                  <c:v>81.390799999999999</c:v>
                </c:pt>
                <c:pt idx="505">
                  <c:v>87.738900000000001</c:v>
                </c:pt>
                <c:pt idx="506">
                  <c:v>91.953599999999994</c:v>
                </c:pt>
                <c:pt idx="507">
                  <c:v>94.465599999999995</c:v>
                </c:pt>
                <c:pt idx="508">
                  <c:v>98.214500000000001</c:v>
                </c:pt>
                <c:pt idx="509">
                  <c:v>99.104100000000003</c:v>
                </c:pt>
                <c:pt idx="510">
                  <c:v>106.78749999999999</c:v>
                </c:pt>
                <c:pt idx="511">
                  <c:v>104.0321</c:v>
                </c:pt>
                <c:pt idx="512">
                  <c:v>96.375500000000002</c:v>
                </c:pt>
                <c:pt idx="513">
                  <c:v>81.038499999999999</c:v>
                </c:pt>
                <c:pt idx="514">
                  <c:v>81.608999999999995</c:v>
                </c:pt>
                <c:pt idx="515">
                  <c:v>79.259100000000004</c:v>
                </c:pt>
                <c:pt idx="516">
                  <c:v>76.473100000000002</c:v>
                </c:pt>
                <c:pt idx="517">
                  <c:v>82.9315</c:v>
                </c:pt>
                <c:pt idx="518">
                  <c:v>87.208500000000001</c:v>
                </c:pt>
                <c:pt idx="519">
                  <c:v>84.461200000000005</c:v>
                </c:pt>
                <c:pt idx="520">
                  <c:v>88.703299999999999</c:v>
                </c:pt>
                <c:pt idx="521">
                  <c:v>85.422200000000004</c:v>
                </c:pt>
                <c:pt idx="522">
                  <c:v>87.896799999999999</c:v>
                </c:pt>
                <c:pt idx="523">
                  <c:v>82.637900000000002</c:v>
                </c:pt>
                <c:pt idx="524">
                  <c:v>69.404600000000002</c:v>
                </c:pt>
                <c:pt idx="525">
                  <c:v>68.024900000000002</c:v>
                </c:pt>
                <c:pt idx="526">
                  <c:v>64.2333</c:v>
                </c:pt>
                <c:pt idx="527">
                  <c:v>50.547400000000003</c:v>
                </c:pt>
                <c:pt idx="528">
                  <c:v>52.078600000000002</c:v>
                </c:pt>
                <c:pt idx="529">
                  <c:v>51.133899999999997</c:v>
                </c:pt>
                <c:pt idx="530">
                  <c:v>52.150100000000002</c:v>
                </c:pt>
                <c:pt idx="531">
                  <c:v>53.586199999999998</c:v>
                </c:pt>
                <c:pt idx="532">
                  <c:v>49.551499999999997</c:v>
                </c:pt>
                <c:pt idx="533">
                  <c:v>51.027799999999999</c:v>
                </c:pt>
                <c:pt idx="534">
                  <c:v>47.8508</c:v>
                </c:pt>
                <c:pt idx="535">
                  <c:v>44.218200000000003</c:v>
                </c:pt>
                <c:pt idx="536">
                  <c:v>46.198599999999999</c:v>
                </c:pt>
                <c:pt idx="537">
                  <c:v>57.424900000000001</c:v>
                </c:pt>
                <c:pt idx="538">
                  <c:v>55.0017</c:v>
                </c:pt>
                <c:pt idx="539">
                  <c:v>57.533499999999997</c:v>
                </c:pt>
                <c:pt idx="540">
                  <c:v>57.970399999999998</c:v>
                </c:pt>
                <c:pt idx="541">
                  <c:v>53.461100000000002</c:v>
                </c:pt>
                <c:pt idx="542">
                  <c:v>50.952599999999997</c:v>
                </c:pt>
                <c:pt idx="543">
                  <c:v>51.334800000000001</c:v>
                </c:pt>
                <c:pt idx="544">
                  <c:v>53.930500000000002</c:v>
                </c:pt>
                <c:pt idx="545">
                  <c:v>57.321300000000001</c:v>
                </c:pt>
                <c:pt idx="546">
                  <c:v>58.046399999999998</c:v>
                </c:pt>
                <c:pt idx="547">
                  <c:v>55.870800000000003</c:v>
                </c:pt>
                <c:pt idx="548">
                  <c:v>52.104599999999998</c:v>
                </c:pt>
                <c:pt idx="549">
                  <c:v>50.054600000000001</c:v>
                </c:pt>
                <c:pt idx="550">
                  <c:v>51.013399999999997</c:v>
                </c:pt>
                <c:pt idx="551">
                  <c:v>55.134399999999999</c:v>
                </c:pt>
                <c:pt idx="552">
                  <c:v>60.2438</c:v>
                </c:pt>
                <c:pt idx="553">
                  <c:v>56.181199999999997</c:v>
                </c:pt>
                <c:pt idx="554">
                  <c:v>61.638599999999997</c:v>
                </c:pt>
                <c:pt idx="555">
                  <c:v>62.575499999999998</c:v>
                </c:pt>
                <c:pt idx="556">
                  <c:v>62.984000000000002</c:v>
                </c:pt>
                <c:pt idx="557">
                  <c:v>67.453999999999994</c:v>
                </c:pt>
                <c:pt idx="558">
                  <c:v>65.974000000000004</c:v>
                </c:pt>
                <c:pt idx="559">
                  <c:v>66.753399999999999</c:v>
                </c:pt>
                <c:pt idx="560">
                  <c:v>64.781599999999997</c:v>
                </c:pt>
                <c:pt idx="561">
                  <c:v>68.3917</c:v>
                </c:pt>
                <c:pt idx="562">
                  <c:v>70.132099999999994</c:v>
                </c:pt>
                <c:pt idx="563">
                  <c:v>62.372</c:v>
                </c:pt>
                <c:pt idx="564">
                  <c:v>63.992800000000003</c:v>
                </c:pt>
                <c:pt idx="565">
                  <c:v>69.897099999999995</c:v>
                </c:pt>
                <c:pt idx="566">
                  <c:v>63.954099999999997</c:v>
                </c:pt>
                <c:pt idx="567">
                  <c:v>56.2697</c:v>
                </c:pt>
                <c:pt idx="568">
                  <c:v>55.839799999999997</c:v>
                </c:pt>
                <c:pt idx="569">
                  <c:v>57.125700000000002</c:v>
                </c:pt>
                <c:pt idx="570">
                  <c:v>51.481299999999997</c:v>
                </c:pt>
                <c:pt idx="571">
                  <c:v>44.803199999999997</c:v>
                </c:pt>
                <c:pt idx="572">
                  <c:v>49.228000000000002</c:v>
                </c:pt>
                <c:pt idx="573">
                  <c:v>47.251300000000001</c:v>
                </c:pt>
                <c:pt idx="574">
                  <c:v>41.290999999999997</c:v>
                </c:pt>
                <c:pt idx="575">
                  <c:v>48.4422</c:v>
                </c:pt>
                <c:pt idx="576">
                  <c:v>39.776200000000003</c:v>
                </c:pt>
                <c:pt idx="577">
                  <c:v>44.917999999999999</c:v>
                </c:pt>
                <c:pt idx="578">
                  <c:v>43.898400000000002</c:v>
                </c:pt>
                <c:pt idx="579">
                  <c:v>40.732700000000001</c:v>
                </c:pt>
                <c:pt idx="580">
                  <c:v>35.484299999999998</c:v>
                </c:pt>
                <c:pt idx="581">
                  <c:v>38.048699999999997</c:v>
                </c:pt>
                <c:pt idx="582">
                  <c:v>37.988799999999998</c:v>
                </c:pt>
                <c:pt idx="583">
                  <c:v>33.628399999999999</c:v>
                </c:pt>
                <c:pt idx="584">
                  <c:v>35.670999999999999</c:v>
                </c:pt>
                <c:pt idx="585">
                  <c:v>33.673200000000001</c:v>
                </c:pt>
                <c:pt idx="586">
                  <c:v>35.282800000000002</c:v>
                </c:pt>
                <c:pt idx="587">
                  <c:v>38.566000000000003</c:v>
                </c:pt>
                <c:pt idx="588">
                  <c:v>41.982799999999997</c:v>
                </c:pt>
                <c:pt idx="589">
                  <c:v>41.213900000000002</c:v>
                </c:pt>
                <c:pt idx="590">
                  <c:v>40.185099999999998</c:v>
                </c:pt>
                <c:pt idx="591">
                  <c:v>38.346400000000003</c:v>
                </c:pt>
                <c:pt idx="592">
                  <c:v>38.183900000000001</c:v>
                </c:pt>
                <c:pt idx="593">
                  <c:v>36.093200000000003</c:v>
                </c:pt>
                <c:pt idx="594">
                  <c:v>36.847200000000001</c:v>
                </c:pt>
                <c:pt idx="595">
                  <c:v>34.729300000000002</c:v>
                </c:pt>
                <c:pt idx="596">
                  <c:v>37.279499999999999</c:v>
                </c:pt>
                <c:pt idx="597">
                  <c:v>36.848300000000002</c:v>
                </c:pt>
                <c:pt idx="598">
                  <c:v>40.367199999999997</c:v>
                </c:pt>
                <c:pt idx="599">
                  <c:v>41.606699999999996</c:v>
                </c:pt>
                <c:pt idx="600">
                  <c:v>44.255699999999997</c:v>
                </c:pt>
                <c:pt idx="601">
                  <c:v>45.16</c:v>
                </c:pt>
                <c:pt idx="602">
                  <c:v>42.777900000000002</c:v>
                </c:pt>
                <c:pt idx="603">
                  <c:v>41.250799999999998</c:v>
                </c:pt>
                <c:pt idx="604">
                  <c:v>40.636000000000003</c:v>
                </c:pt>
                <c:pt idx="605">
                  <c:v>39.983699999999999</c:v>
                </c:pt>
                <c:pt idx="606">
                  <c:v>36.877499999999998</c:v>
                </c:pt>
                <c:pt idx="607">
                  <c:v>38.860900000000001</c:v>
                </c:pt>
                <c:pt idx="608">
                  <c:v>40.217500000000001</c:v>
                </c:pt>
                <c:pt idx="609">
                  <c:v>41.234400000000001</c:v>
                </c:pt>
                <c:pt idx="610">
                  <c:v>36.4116</c:v>
                </c:pt>
                <c:pt idx="611">
                  <c:v>34.051299999999998</c:v>
                </c:pt>
                <c:pt idx="612">
                  <c:v>36.463000000000001</c:v>
                </c:pt>
                <c:pt idx="613">
                  <c:v>37.8063</c:v>
                </c:pt>
                <c:pt idx="614">
                  <c:v>33.951700000000002</c:v>
                </c:pt>
                <c:pt idx="615">
                  <c:v>36.6417</c:v>
                </c:pt>
                <c:pt idx="616">
                  <c:v>35.375</c:v>
                </c:pt>
                <c:pt idx="617">
                  <c:v>40.9011</c:v>
                </c:pt>
                <c:pt idx="618">
                  <c:v>42.014000000000003</c:v>
                </c:pt>
                <c:pt idx="619">
                  <c:v>40.005600000000001</c:v>
                </c:pt>
                <c:pt idx="620">
                  <c:v>39.4009</c:v>
                </c:pt>
                <c:pt idx="621">
                  <c:v>41.891800000000003</c:v>
                </c:pt>
                <c:pt idx="622">
                  <c:v>44.3489</c:v>
                </c:pt>
                <c:pt idx="623">
                  <c:v>48.005200000000002</c:v>
                </c:pt>
                <c:pt idx="624">
                  <c:v>45.623800000000003</c:v>
                </c:pt>
                <c:pt idx="625">
                  <c:v>44.535299999999999</c:v>
                </c:pt>
                <c:pt idx="626">
                  <c:v>44.957299999999996</c:v>
                </c:pt>
                <c:pt idx="627">
                  <c:v>54.157600000000002</c:v>
                </c:pt>
                <c:pt idx="628">
                  <c:v>51.520400000000002</c:v>
                </c:pt>
                <c:pt idx="629">
                  <c:v>50.2286</c:v>
                </c:pt>
                <c:pt idx="630">
                  <c:v>58.097299999999997</c:v>
                </c:pt>
                <c:pt idx="631">
                  <c:v>59.388399999999997</c:v>
                </c:pt>
                <c:pt idx="632">
                  <c:v>65.465100000000007</c:v>
                </c:pt>
                <c:pt idx="633">
                  <c:v>69.290599999999998</c:v>
                </c:pt>
                <c:pt idx="634">
                  <c:v>72.050299999999993</c:v>
                </c:pt>
                <c:pt idx="635">
                  <c:v>71.767099999999999</c:v>
                </c:pt>
                <c:pt idx="636">
                  <c:v>68.844999999999999</c:v>
                </c:pt>
                <c:pt idx="637">
                  <c:v>70.264200000000002</c:v>
                </c:pt>
                <c:pt idx="638">
                  <c:v>75.965900000000005</c:v>
                </c:pt>
                <c:pt idx="639">
                  <c:v>75.892399999999995</c:v>
                </c:pt>
                <c:pt idx="640">
                  <c:v>75.522999999999996</c:v>
                </c:pt>
                <c:pt idx="641">
                  <c:v>74.19</c:v>
                </c:pt>
                <c:pt idx="642">
                  <c:v>75.644099999999995</c:v>
                </c:pt>
                <c:pt idx="643">
                  <c:v>81.485500000000002</c:v>
                </c:pt>
                <c:pt idx="644">
                  <c:v>83.132999999999996</c:v>
                </c:pt>
                <c:pt idx="645">
                  <c:v>80.628799999999998</c:v>
                </c:pt>
                <c:pt idx="646">
                  <c:v>90.856899999999996</c:v>
                </c:pt>
                <c:pt idx="647">
                  <c:v>82.303600000000003</c:v>
                </c:pt>
                <c:pt idx="648">
                  <c:v>80.7196</c:v>
                </c:pt>
                <c:pt idx="649">
                  <c:v>79.121799999999993</c:v>
                </c:pt>
                <c:pt idx="650">
                  <c:v>80.088099999999997</c:v>
                </c:pt>
                <c:pt idx="651">
                  <c:v>78.758099999999999</c:v>
                </c:pt>
                <c:pt idx="652">
                  <c:v>84.126800000000003</c:v>
                </c:pt>
                <c:pt idx="653">
                  <c:v>85.902699999999996</c:v>
                </c:pt>
                <c:pt idx="654">
                  <c:v>74.665000000000006</c:v>
                </c:pt>
                <c:pt idx="655">
                  <c:v>69.125699999999995</c:v>
                </c:pt>
                <c:pt idx="656">
                  <c:v>70.528700000000001</c:v>
                </c:pt>
                <c:pt idx="657">
                  <c:v>72.42</c:v>
                </c:pt>
                <c:pt idx="658">
                  <c:v>71.199100000000001</c:v>
                </c:pt>
                <c:pt idx="659">
                  <c:v>70.698700000000002</c:v>
                </c:pt>
                <c:pt idx="660">
                  <c:v>72.339200000000005</c:v>
                </c:pt>
                <c:pt idx="661">
                  <c:v>74.472499999999997</c:v>
                </c:pt>
                <c:pt idx="662">
                  <c:v>73.608599999999996</c:v>
                </c:pt>
                <c:pt idx="663">
                  <c:v>72.131900000000002</c:v>
                </c:pt>
                <c:pt idx="664">
                  <c:v>67.274100000000004</c:v>
                </c:pt>
                <c:pt idx="665">
                  <c:v>66.6357</c:v>
                </c:pt>
                <c:pt idx="666">
                  <c:v>62.8001</c:v>
                </c:pt>
                <c:pt idx="667">
                  <c:v>67.286799999999999</c:v>
                </c:pt>
                <c:pt idx="668">
                  <c:v>68.219899999999996</c:v>
                </c:pt>
                <c:pt idx="669">
                  <c:v>63.991999999999997</c:v>
                </c:pt>
                <c:pt idx="670">
                  <c:v>62.414000000000001</c:v>
                </c:pt>
                <c:pt idx="671">
                  <c:v>63.372599999999998</c:v>
                </c:pt>
                <c:pt idx="672">
                  <c:v>56.931899999999999</c:v>
                </c:pt>
                <c:pt idx="673">
                  <c:v>54.470799999999997</c:v>
                </c:pt>
                <c:pt idx="674">
                  <c:v>53.318600000000004</c:v>
                </c:pt>
                <c:pt idx="675">
                  <c:v>57.564</c:v>
                </c:pt>
                <c:pt idx="676">
                  <c:v>62.173699999999997</c:v>
                </c:pt>
                <c:pt idx="677">
                  <c:v>60.3065</c:v>
                </c:pt>
                <c:pt idx="678">
                  <c:v>65.160899999999998</c:v>
                </c:pt>
                <c:pt idx="679">
                  <c:v>66.239000000000004</c:v>
                </c:pt>
                <c:pt idx="680">
                  <c:v>64.581299999999999</c:v>
                </c:pt>
                <c:pt idx="681">
                  <c:v>59.167000000000002</c:v>
                </c:pt>
                <c:pt idx="682">
                  <c:v>57.810499999999998</c:v>
                </c:pt>
                <c:pt idx="683">
                  <c:v>58.4313</c:v>
                </c:pt>
                <c:pt idx="684">
                  <c:v>53.7712</c:v>
                </c:pt>
                <c:pt idx="685">
                  <c:v>53.778799999999997</c:v>
                </c:pt>
                <c:pt idx="686">
                  <c:v>59.054699999999997</c:v>
                </c:pt>
                <c:pt idx="687">
                  <c:v>59.124600000000001</c:v>
                </c:pt>
                <c:pt idx="688">
                  <c:v>57.627000000000002</c:v>
                </c:pt>
                <c:pt idx="689">
                  <c:v>56.544499999999999</c:v>
                </c:pt>
                <c:pt idx="690">
                  <c:v>60.738799999999998</c:v>
                </c:pt>
                <c:pt idx="691">
                  <c:v>61.121099999999998</c:v>
                </c:pt>
                <c:pt idx="692">
                  <c:v>60.035400000000003</c:v>
                </c:pt>
                <c:pt idx="693">
                  <c:v>57.9253</c:v>
                </c:pt>
                <c:pt idx="694">
                  <c:v>54.703600000000002</c:v>
                </c:pt>
                <c:pt idx="695">
                  <c:v>49.893500000000003</c:v>
                </c:pt>
                <c:pt idx="696">
                  <c:v>61.293100000000003</c:v>
                </c:pt>
                <c:pt idx="697">
                  <c:v>62.937600000000003</c:v>
                </c:pt>
                <c:pt idx="698">
                  <c:v>67.375900000000001</c:v>
                </c:pt>
                <c:pt idx="699">
                  <c:v>69.747100000000003</c:v>
                </c:pt>
                <c:pt idx="700">
                  <c:v>69.943200000000004</c:v>
                </c:pt>
                <c:pt idx="701">
                  <c:v>68.873800000000003</c:v>
                </c:pt>
                <c:pt idx="702">
                  <c:v>62.896000000000001</c:v>
                </c:pt>
                <c:pt idx="703">
                  <c:v>57.386699999999998</c:v>
                </c:pt>
                <c:pt idx="704">
                  <c:v>47.844900000000003</c:v>
                </c:pt>
                <c:pt idx="705">
                  <c:v>52.316899999999997</c:v>
                </c:pt>
                <c:pt idx="706">
                  <c:v>45.975900000000003</c:v>
                </c:pt>
                <c:pt idx="707">
                  <c:v>45.801200000000001</c:v>
                </c:pt>
                <c:pt idx="708">
                  <c:v>48.495399999999997</c:v>
                </c:pt>
                <c:pt idx="709">
                  <c:v>46.601900000000001</c:v>
                </c:pt>
                <c:pt idx="710">
                  <c:v>46.365000000000002</c:v>
                </c:pt>
                <c:pt idx="711">
                  <c:v>48.359900000000003</c:v>
                </c:pt>
                <c:pt idx="712">
                  <c:v>40.807499999999997</c:v>
                </c:pt>
                <c:pt idx="713">
                  <c:v>39.753399999999999</c:v>
                </c:pt>
                <c:pt idx="714">
                  <c:v>36.671799999999998</c:v>
                </c:pt>
                <c:pt idx="715">
                  <c:v>29.484200000000001</c:v>
                </c:pt>
                <c:pt idx="716">
                  <c:v>31.536999999999999</c:v>
                </c:pt>
                <c:pt idx="717">
                  <c:v>28.797999999999998</c:v>
                </c:pt>
                <c:pt idx="718">
                  <c:v>29.7654</c:v>
                </c:pt>
                <c:pt idx="719">
                  <c:v>29.4101</c:v>
                </c:pt>
                <c:pt idx="720">
                  <c:v>32.351900000000001</c:v>
                </c:pt>
                <c:pt idx="721">
                  <c:v>32.6038</c:v>
                </c:pt>
                <c:pt idx="722">
                  <c:v>35.406199999999998</c:v>
                </c:pt>
                <c:pt idx="723">
                  <c:v>37.408700000000003</c:v>
                </c:pt>
                <c:pt idx="724">
                  <c:v>38.616399999999999</c:v>
                </c:pt>
                <c:pt idx="725">
                  <c:v>37.994500000000002</c:v>
                </c:pt>
                <c:pt idx="726">
                  <c:v>40.153199999999998</c:v>
                </c:pt>
                <c:pt idx="727">
                  <c:v>39.847200000000001</c:v>
                </c:pt>
                <c:pt idx="728">
                  <c:v>40.370399999999997</c:v>
                </c:pt>
                <c:pt idx="729">
                  <c:v>35.424700000000001</c:v>
                </c:pt>
                <c:pt idx="730">
                  <c:v>35.516399999999997</c:v>
                </c:pt>
                <c:pt idx="731">
                  <c:v>34.159599999999998</c:v>
                </c:pt>
                <c:pt idx="732">
                  <c:v>30.29</c:v>
                </c:pt>
                <c:pt idx="733">
                  <c:v>31.411999999999999</c:v>
                </c:pt>
                <c:pt idx="734">
                  <c:v>29.606999999999999</c:v>
                </c:pt>
                <c:pt idx="735">
                  <c:v>26.785599999999999</c:v>
                </c:pt>
                <c:pt idx="736">
                  <c:v>28.634399999999999</c:v>
                </c:pt>
                <c:pt idx="737">
                  <c:v>27.380400000000002</c:v>
                </c:pt>
                <c:pt idx="738">
                  <c:v>27.006599999999999</c:v>
                </c:pt>
                <c:pt idx="739">
                  <c:v>29.304099999999998</c:v>
                </c:pt>
                <c:pt idx="740">
                  <c:v>28.0488</c:v>
                </c:pt>
                <c:pt idx="741">
                  <c:v>27.8157</c:v>
                </c:pt>
                <c:pt idx="742">
                  <c:v>25.112500000000001</c:v>
                </c:pt>
                <c:pt idx="743">
                  <c:v>26.921700000000001</c:v>
                </c:pt>
                <c:pt idx="744">
                  <c:v>31.0017</c:v>
                </c:pt>
                <c:pt idx="745">
                  <c:v>32.065300000000001</c:v>
                </c:pt>
                <c:pt idx="746">
                  <c:v>29.575500000000002</c:v>
                </c:pt>
                <c:pt idx="747">
                  <c:v>28.4664</c:v>
                </c:pt>
                <c:pt idx="748">
                  <c:v>28.6005</c:v>
                </c:pt>
                <c:pt idx="749">
                  <c:v>30.645900000000001</c:v>
                </c:pt>
                <c:pt idx="750">
                  <c:v>35.4024</c:v>
                </c:pt>
                <c:pt idx="751">
                  <c:v>38.697899999999997</c:v>
                </c:pt>
                <c:pt idx="752">
                  <c:v>33.444400000000002</c:v>
                </c:pt>
                <c:pt idx="753">
                  <c:v>36.827500000000001</c:v>
                </c:pt>
                <c:pt idx="754">
                  <c:v>35.007199999999997</c:v>
                </c:pt>
                <c:pt idx="755">
                  <c:v>28.470199999999998</c:v>
                </c:pt>
                <c:pt idx="756">
                  <c:v>25.0654</c:v>
                </c:pt>
                <c:pt idx="757">
                  <c:v>19.968800000000002</c:v>
                </c:pt>
                <c:pt idx="758">
                  <c:v>22.582000000000001</c:v>
                </c:pt>
                <c:pt idx="759">
                  <c:v>18.9451</c:v>
                </c:pt>
                <c:pt idx="760">
                  <c:v>22.050899999999999</c:v>
                </c:pt>
                <c:pt idx="761">
                  <c:v>19.6754</c:v>
                </c:pt>
                <c:pt idx="762">
                  <c:v>18.145600000000002</c:v>
                </c:pt>
                <c:pt idx="763">
                  <c:v>18.7363</c:v>
                </c:pt>
                <c:pt idx="764">
                  <c:v>17.895199999999999</c:v>
                </c:pt>
                <c:pt idx="765">
                  <c:v>20.978400000000001</c:v>
                </c:pt>
                <c:pt idx="766">
                  <c:v>19.07</c:v>
                </c:pt>
                <c:pt idx="767">
                  <c:v>16.622</c:v>
                </c:pt>
                <c:pt idx="768">
                  <c:v>16.237300000000001</c:v>
                </c:pt>
                <c:pt idx="769">
                  <c:v>15.735900000000001</c:v>
                </c:pt>
                <c:pt idx="770">
                  <c:v>18.566700000000001</c:v>
                </c:pt>
                <c:pt idx="771">
                  <c:v>20.673500000000001</c:v>
                </c:pt>
                <c:pt idx="772">
                  <c:v>18.0913</c:v>
                </c:pt>
                <c:pt idx="773">
                  <c:v>18.9802</c:v>
                </c:pt>
                <c:pt idx="774">
                  <c:v>23.277000000000001</c:v>
                </c:pt>
                <c:pt idx="775">
                  <c:v>22.787800000000001</c:v>
                </c:pt>
                <c:pt idx="776">
                  <c:v>20.805499999999999</c:v>
                </c:pt>
                <c:pt idx="777">
                  <c:v>17.055800000000001</c:v>
                </c:pt>
                <c:pt idx="778">
                  <c:v>15.5145</c:v>
                </c:pt>
                <c:pt idx="779">
                  <c:v>13.37</c:v>
                </c:pt>
                <c:pt idx="780">
                  <c:v>16.401800000000001</c:v>
                </c:pt>
                <c:pt idx="781">
                  <c:v>16.3993</c:v>
                </c:pt>
                <c:pt idx="782">
                  <c:v>14.449</c:v>
                </c:pt>
                <c:pt idx="783">
                  <c:v>15.7475</c:v>
                </c:pt>
                <c:pt idx="784">
                  <c:v>14.2819</c:v>
                </c:pt>
                <c:pt idx="785">
                  <c:v>15.616300000000001</c:v>
                </c:pt>
                <c:pt idx="786">
                  <c:v>11.1708</c:v>
                </c:pt>
                <c:pt idx="787">
                  <c:v>12.139799999999999</c:v>
                </c:pt>
                <c:pt idx="788">
                  <c:v>10.878299999999999</c:v>
                </c:pt>
                <c:pt idx="789">
                  <c:v>9.3388000000000009</c:v>
                </c:pt>
                <c:pt idx="790">
                  <c:v>12.5486</c:v>
                </c:pt>
                <c:pt idx="791">
                  <c:v>8.4079999999999995</c:v>
                </c:pt>
                <c:pt idx="792">
                  <c:v>6.6167999999999996</c:v>
                </c:pt>
                <c:pt idx="793">
                  <c:v>4.4215999999999998</c:v>
                </c:pt>
                <c:pt idx="794">
                  <c:v>7.8407999999999998</c:v>
                </c:pt>
                <c:pt idx="795">
                  <c:v>8.9512</c:v>
                </c:pt>
                <c:pt idx="796">
                  <c:v>9.3901000000000003</c:v>
                </c:pt>
                <c:pt idx="797">
                  <c:v>9.9922000000000004</c:v>
                </c:pt>
                <c:pt idx="798">
                  <c:v>13.8719</c:v>
                </c:pt>
                <c:pt idx="799">
                  <c:v>11.824999999999999</c:v>
                </c:pt>
                <c:pt idx="800">
                  <c:v>14.577</c:v>
                </c:pt>
                <c:pt idx="801">
                  <c:v>12.3573</c:v>
                </c:pt>
                <c:pt idx="802">
                  <c:v>11.365</c:v>
                </c:pt>
                <c:pt idx="803">
                  <c:v>14.0182</c:v>
                </c:pt>
                <c:pt idx="804">
                  <c:v>14.481400000000001</c:v>
                </c:pt>
                <c:pt idx="805">
                  <c:v>10.6911</c:v>
                </c:pt>
                <c:pt idx="806">
                  <c:v>11.7157</c:v>
                </c:pt>
                <c:pt idx="807">
                  <c:v>13.2278</c:v>
                </c:pt>
                <c:pt idx="808">
                  <c:v>14.115</c:v>
                </c:pt>
                <c:pt idx="809">
                  <c:v>14.213100000000001</c:v>
                </c:pt>
                <c:pt idx="810">
                  <c:v>14.1882</c:v>
                </c:pt>
                <c:pt idx="811">
                  <c:v>16.401199999999999</c:v>
                </c:pt>
                <c:pt idx="812">
                  <c:v>17.48</c:v>
                </c:pt>
                <c:pt idx="813">
                  <c:v>18.885100000000001</c:v>
                </c:pt>
                <c:pt idx="814">
                  <c:v>18.757899999999999</c:v>
                </c:pt>
                <c:pt idx="815">
                  <c:v>18.4909</c:v>
                </c:pt>
                <c:pt idx="816">
                  <c:v>19.621400000000001</c:v>
                </c:pt>
                <c:pt idx="817">
                  <c:v>22.889399999999998</c:v>
                </c:pt>
                <c:pt idx="818">
                  <c:v>25.6617</c:v>
                </c:pt>
                <c:pt idx="819">
                  <c:v>24.436599999999999</c:v>
                </c:pt>
                <c:pt idx="820">
                  <c:v>27.4803</c:v>
                </c:pt>
                <c:pt idx="821">
                  <c:v>30.339400000000001</c:v>
                </c:pt>
                <c:pt idx="822">
                  <c:v>26.611499999999999</c:v>
                </c:pt>
                <c:pt idx="823">
                  <c:v>26.169899999999998</c:v>
                </c:pt>
                <c:pt idx="824">
                  <c:v>23.585799999999999</c:v>
                </c:pt>
                <c:pt idx="825">
                  <c:v>23.2257</c:v>
                </c:pt>
                <c:pt idx="826">
                  <c:v>18.1051</c:v>
                </c:pt>
                <c:pt idx="827">
                  <c:v>17.812799999999999</c:v>
                </c:pt>
                <c:pt idx="828">
                  <c:v>19.0535</c:v>
                </c:pt>
                <c:pt idx="829">
                  <c:v>19.322800000000001</c:v>
                </c:pt>
                <c:pt idx="830">
                  <c:v>12.6654</c:v>
                </c:pt>
                <c:pt idx="831">
                  <c:v>12.6974</c:v>
                </c:pt>
                <c:pt idx="832">
                  <c:v>13.3528</c:v>
                </c:pt>
                <c:pt idx="833">
                  <c:v>13.816700000000001</c:v>
                </c:pt>
                <c:pt idx="834">
                  <c:v>14.636100000000001</c:v>
                </c:pt>
                <c:pt idx="835">
                  <c:v>17.246600000000001</c:v>
                </c:pt>
                <c:pt idx="836">
                  <c:v>17.807600000000001</c:v>
                </c:pt>
                <c:pt idx="837">
                  <c:v>14.6637</c:v>
                </c:pt>
                <c:pt idx="838">
                  <c:v>14.282999999999999</c:v>
                </c:pt>
                <c:pt idx="839">
                  <c:v>12.8184</c:v>
                </c:pt>
                <c:pt idx="840">
                  <c:v>14.366</c:v>
                </c:pt>
                <c:pt idx="841">
                  <c:v>14.62</c:v>
                </c:pt>
                <c:pt idx="842">
                  <c:v>12.962899999999999</c:v>
                </c:pt>
                <c:pt idx="843">
                  <c:v>14.2567</c:v>
                </c:pt>
                <c:pt idx="844">
                  <c:v>16.878</c:v>
                </c:pt>
                <c:pt idx="845">
                  <c:v>14.9907</c:v>
                </c:pt>
                <c:pt idx="846">
                  <c:v>10.843400000000001</c:v>
                </c:pt>
                <c:pt idx="847">
                  <c:v>10.0952</c:v>
                </c:pt>
                <c:pt idx="848">
                  <c:v>10.8719</c:v>
                </c:pt>
                <c:pt idx="849">
                  <c:v>11.049799999999999</c:v>
                </c:pt>
                <c:pt idx="850">
                  <c:v>8.6443999999999992</c:v>
                </c:pt>
                <c:pt idx="851">
                  <c:v>7.6681999999999997</c:v>
                </c:pt>
                <c:pt idx="852">
                  <c:v>8.2940000000000005</c:v>
                </c:pt>
                <c:pt idx="853">
                  <c:v>6.7643000000000004</c:v>
                </c:pt>
                <c:pt idx="854">
                  <c:v>5.7568000000000001</c:v>
                </c:pt>
                <c:pt idx="855">
                  <c:v>9.6463000000000001</c:v>
                </c:pt>
                <c:pt idx="856">
                  <c:v>10.6348</c:v>
                </c:pt>
                <c:pt idx="857">
                  <c:v>10.094099999999999</c:v>
                </c:pt>
                <c:pt idx="858">
                  <c:v>9.2890999999999995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02B-4142-95B7-6CDA8CB40CC4}"/>
            </c:ext>
          </c:extLst>
        </c:ser>
        <c:ser>
          <c:idx val="1"/>
          <c:order val="1"/>
          <c:tx>
            <c:v>当前值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9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90FF-4CF2-A6CC-A6304442BADB}"/>
              </c:ext>
            </c:extLst>
          </c:dPt>
          <c:xVal>
            <c:numRef>
              <c:f>个券数据!$J$1:$J$859</c:f>
              <c:numCache>
                <c:formatCode>0.00</c:formatCode>
                <c:ptCount val="859"/>
                <c:pt idx="0">
                  <c:v>77.265799999999999</c:v>
                </c:pt>
                <c:pt idx="1">
                  <c:v>86.223500000000001</c:v>
                </c:pt>
                <c:pt idx="2">
                  <c:v>83.737899999999996</c:v>
                </c:pt>
                <c:pt idx="3">
                  <c:v>83.795699999999997</c:v>
                </c:pt>
                <c:pt idx="4">
                  <c:v>83.641599999999997</c:v>
                </c:pt>
                <c:pt idx="5">
                  <c:v>82.832400000000007</c:v>
                </c:pt>
                <c:pt idx="6">
                  <c:v>86.435400000000001</c:v>
                </c:pt>
                <c:pt idx="7">
                  <c:v>89.653199999999998</c:v>
                </c:pt>
                <c:pt idx="8">
                  <c:v>85.086699999999993</c:v>
                </c:pt>
                <c:pt idx="9">
                  <c:v>84.701300000000003</c:v>
                </c:pt>
                <c:pt idx="10">
                  <c:v>84.971100000000007</c:v>
                </c:pt>
                <c:pt idx="11">
                  <c:v>84.431600000000003</c:v>
                </c:pt>
                <c:pt idx="12">
                  <c:v>84.296700000000001</c:v>
                </c:pt>
                <c:pt idx="13">
                  <c:v>79.344899999999996</c:v>
                </c:pt>
                <c:pt idx="14">
                  <c:v>76.936400000000006</c:v>
                </c:pt>
                <c:pt idx="15">
                  <c:v>76.127200000000002</c:v>
                </c:pt>
                <c:pt idx="16">
                  <c:v>76.319800000000001</c:v>
                </c:pt>
                <c:pt idx="17">
                  <c:v>80.115600000000001</c:v>
                </c:pt>
                <c:pt idx="18">
                  <c:v>81.117500000000007</c:v>
                </c:pt>
                <c:pt idx="19">
                  <c:v>73.737899999999996</c:v>
                </c:pt>
                <c:pt idx="20">
                  <c:v>69.961500000000001</c:v>
                </c:pt>
                <c:pt idx="21">
                  <c:v>70.578000000000003</c:v>
                </c:pt>
                <c:pt idx="22">
                  <c:v>69.903700000000001</c:v>
                </c:pt>
                <c:pt idx="23">
                  <c:v>69.787999999999997</c:v>
                </c:pt>
                <c:pt idx="24">
                  <c:v>69.017300000000006</c:v>
                </c:pt>
                <c:pt idx="25">
                  <c:v>72.427700000000002</c:v>
                </c:pt>
                <c:pt idx="26">
                  <c:v>71.560699999999997</c:v>
                </c:pt>
                <c:pt idx="27">
                  <c:v>72.678200000000004</c:v>
                </c:pt>
                <c:pt idx="28">
                  <c:v>70.963399999999993</c:v>
                </c:pt>
                <c:pt idx="29">
                  <c:v>71.367999999999995</c:v>
                </c:pt>
                <c:pt idx="30">
                  <c:v>67.707099999999997</c:v>
                </c:pt>
                <c:pt idx="31">
                  <c:v>69.749499999999998</c:v>
                </c:pt>
                <c:pt idx="32">
                  <c:v>68.131</c:v>
                </c:pt>
                <c:pt idx="33">
                  <c:v>70</c:v>
                </c:pt>
                <c:pt idx="34">
                  <c:v>72.620400000000004</c:v>
                </c:pt>
                <c:pt idx="35">
                  <c:v>73.256299999999996</c:v>
                </c:pt>
                <c:pt idx="36">
                  <c:v>72.620400000000004</c:v>
                </c:pt>
                <c:pt idx="37">
                  <c:v>72.100200000000001</c:v>
                </c:pt>
                <c:pt idx="38">
                  <c:v>73.217699999999994</c:v>
                </c:pt>
                <c:pt idx="39">
                  <c:v>73.814999999999998</c:v>
                </c:pt>
                <c:pt idx="40">
                  <c:v>74.412300000000002</c:v>
                </c:pt>
                <c:pt idx="41">
                  <c:v>75.953699999999998</c:v>
                </c:pt>
                <c:pt idx="42">
                  <c:v>75.067400000000006</c:v>
                </c:pt>
                <c:pt idx="43">
                  <c:v>75.183000000000007</c:v>
                </c:pt>
                <c:pt idx="44">
                  <c:v>75.915199999999999</c:v>
                </c:pt>
                <c:pt idx="45">
                  <c:v>72.447000000000003</c:v>
                </c:pt>
                <c:pt idx="46">
                  <c:v>74.566500000000005</c:v>
                </c:pt>
                <c:pt idx="47">
                  <c:v>74.296700000000001</c:v>
                </c:pt>
                <c:pt idx="48">
                  <c:v>74.990399999999994</c:v>
                </c:pt>
                <c:pt idx="49">
                  <c:v>74.701300000000003</c:v>
                </c:pt>
                <c:pt idx="50">
                  <c:v>77.822699999999998</c:v>
                </c:pt>
                <c:pt idx="51">
                  <c:v>76.840100000000007</c:v>
                </c:pt>
                <c:pt idx="52">
                  <c:v>75.433499999999995</c:v>
                </c:pt>
                <c:pt idx="53">
                  <c:v>74.643500000000003</c:v>
                </c:pt>
                <c:pt idx="54">
                  <c:v>73.8536</c:v>
                </c:pt>
                <c:pt idx="55">
                  <c:v>74.585700000000003</c:v>
                </c:pt>
                <c:pt idx="56">
                  <c:v>73.236999999999995</c:v>
                </c:pt>
                <c:pt idx="57">
                  <c:v>74.027000000000001</c:v>
                </c:pt>
                <c:pt idx="58">
                  <c:v>74.373800000000003</c:v>
                </c:pt>
                <c:pt idx="59">
                  <c:v>71.965299999999999</c:v>
                </c:pt>
                <c:pt idx="60">
                  <c:v>69.132900000000006</c:v>
                </c:pt>
                <c:pt idx="61">
                  <c:v>71.522099999999995</c:v>
                </c:pt>
                <c:pt idx="62">
                  <c:v>72.716800000000006</c:v>
                </c:pt>
                <c:pt idx="63">
                  <c:v>74.0077</c:v>
                </c:pt>
                <c:pt idx="64">
                  <c:v>73.236999999999995</c:v>
                </c:pt>
                <c:pt idx="65">
                  <c:v>73.8536</c:v>
                </c:pt>
                <c:pt idx="66">
                  <c:v>75.279399999999995</c:v>
                </c:pt>
                <c:pt idx="67">
                  <c:v>74.393100000000004</c:v>
                </c:pt>
                <c:pt idx="68">
                  <c:v>73.448899999999995</c:v>
                </c:pt>
                <c:pt idx="69">
                  <c:v>71.965299999999999</c:v>
                </c:pt>
                <c:pt idx="70">
                  <c:v>71.772599999999997</c:v>
                </c:pt>
                <c:pt idx="71">
                  <c:v>72.254300000000001</c:v>
                </c:pt>
                <c:pt idx="72">
                  <c:v>71.869</c:v>
                </c:pt>
                <c:pt idx="73">
                  <c:v>71.271699999999996</c:v>
                </c:pt>
                <c:pt idx="74">
                  <c:v>69.113699999999994</c:v>
                </c:pt>
                <c:pt idx="75">
                  <c:v>70.2119</c:v>
                </c:pt>
                <c:pt idx="76">
                  <c:v>68.632000000000005</c:v>
                </c:pt>
                <c:pt idx="77">
                  <c:v>67.938299999999998</c:v>
                </c:pt>
                <c:pt idx="78">
                  <c:v>69.075100000000006</c:v>
                </c:pt>
                <c:pt idx="79">
                  <c:v>69.9422</c:v>
                </c:pt>
                <c:pt idx="80">
                  <c:v>68.246600000000001</c:v>
                </c:pt>
                <c:pt idx="81">
                  <c:v>68.882499999999993</c:v>
                </c:pt>
                <c:pt idx="82">
                  <c:v>68.458600000000004</c:v>
                </c:pt>
                <c:pt idx="83">
                  <c:v>66.127200000000002</c:v>
                </c:pt>
                <c:pt idx="84">
                  <c:v>66.756200000000007</c:v>
                </c:pt>
                <c:pt idx="85">
                  <c:v>67.082499999999996</c:v>
                </c:pt>
                <c:pt idx="86">
                  <c:v>66.641099999999994</c:v>
                </c:pt>
                <c:pt idx="87">
                  <c:v>69.136300000000006</c:v>
                </c:pt>
                <c:pt idx="88">
                  <c:v>71.420400000000001</c:v>
                </c:pt>
                <c:pt idx="89">
                  <c:v>77.101699999999994</c:v>
                </c:pt>
                <c:pt idx="90">
                  <c:v>78.119</c:v>
                </c:pt>
                <c:pt idx="91">
                  <c:v>78.080600000000004</c:v>
                </c:pt>
                <c:pt idx="92">
                  <c:v>76.967399999999998</c:v>
                </c:pt>
                <c:pt idx="93">
                  <c:v>80.057599999999994</c:v>
                </c:pt>
                <c:pt idx="94">
                  <c:v>81.765799999999999</c:v>
                </c:pt>
                <c:pt idx="95">
                  <c:v>80.998099999999994</c:v>
                </c:pt>
                <c:pt idx="96">
                  <c:v>81.765799999999999</c:v>
                </c:pt>
                <c:pt idx="97">
                  <c:v>82.303299999999993</c:v>
                </c:pt>
                <c:pt idx="98">
                  <c:v>82.917500000000004</c:v>
                </c:pt>
                <c:pt idx="99">
                  <c:v>79.712100000000007</c:v>
                </c:pt>
                <c:pt idx="100">
                  <c:v>79.635300000000001</c:v>
                </c:pt>
                <c:pt idx="101">
                  <c:v>77.62</c:v>
                </c:pt>
                <c:pt idx="102">
                  <c:v>76.7179</c:v>
                </c:pt>
                <c:pt idx="103">
                  <c:v>76.046099999999996</c:v>
                </c:pt>
                <c:pt idx="104">
                  <c:v>78.694800000000001</c:v>
                </c:pt>
                <c:pt idx="105">
                  <c:v>79.424199999999999</c:v>
                </c:pt>
                <c:pt idx="106">
                  <c:v>81.305199999999999</c:v>
                </c:pt>
                <c:pt idx="107">
                  <c:v>79.635300000000001</c:v>
                </c:pt>
                <c:pt idx="108">
                  <c:v>80.844499999999996</c:v>
                </c:pt>
                <c:pt idx="109">
                  <c:v>81.209199999999996</c:v>
                </c:pt>
                <c:pt idx="110">
                  <c:v>81.305199999999999</c:v>
                </c:pt>
                <c:pt idx="111">
                  <c:v>80.115200000000002</c:v>
                </c:pt>
                <c:pt idx="112">
                  <c:v>79.731300000000005</c:v>
                </c:pt>
                <c:pt idx="113">
                  <c:v>79.328199999999995</c:v>
                </c:pt>
                <c:pt idx="114">
                  <c:v>77.216899999999995</c:v>
                </c:pt>
                <c:pt idx="115">
                  <c:v>75.719800000000006</c:v>
                </c:pt>
                <c:pt idx="116">
                  <c:v>77.063299999999998</c:v>
                </c:pt>
                <c:pt idx="117">
                  <c:v>76.506699999999995</c:v>
                </c:pt>
                <c:pt idx="118">
                  <c:v>75.527799999999999</c:v>
                </c:pt>
                <c:pt idx="119">
                  <c:v>77.389600000000002</c:v>
                </c:pt>
                <c:pt idx="120">
                  <c:v>76.103700000000003</c:v>
                </c:pt>
                <c:pt idx="121">
                  <c:v>75.815700000000007</c:v>
                </c:pt>
                <c:pt idx="122">
                  <c:v>74.913600000000002</c:v>
                </c:pt>
                <c:pt idx="123">
                  <c:v>79.328199999999995</c:v>
                </c:pt>
                <c:pt idx="124">
                  <c:v>83.070999999999998</c:v>
                </c:pt>
                <c:pt idx="125">
                  <c:v>82.0154</c:v>
                </c:pt>
                <c:pt idx="126">
                  <c:v>80.115200000000002</c:v>
                </c:pt>
                <c:pt idx="127">
                  <c:v>79.846500000000006</c:v>
                </c:pt>
                <c:pt idx="128">
                  <c:v>83.090199999999996</c:v>
                </c:pt>
                <c:pt idx="129">
                  <c:v>81.631500000000003</c:v>
                </c:pt>
                <c:pt idx="130">
                  <c:v>85.643000000000001</c:v>
                </c:pt>
                <c:pt idx="131">
                  <c:v>84.184299999999993</c:v>
                </c:pt>
                <c:pt idx="132">
                  <c:v>85.623800000000003</c:v>
                </c:pt>
                <c:pt idx="133">
                  <c:v>82.744699999999995</c:v>
                </c:pt>
                <c:pt idx="134">
                  <c:v>85.8733</c:v>
                </c:pt>
                <c:pt idx="135">
                  <c:v>88.176599999999993</c:v>
                </c:pt>
                <c:pt idx="136">
                  <c:v>93.0518</c:v>
                </c:pt>
                <c:pt idx="137">
                  <c:v>92.687100000000001</c:v>
                </c:pt>
                <c:pt idx="138">
                  <c:v>95.8733</c:v>
                </c:pt>
                <c:pt idx="139">
                  <c:v>97.504800000000003</c:v>
                </c:pt>
                <c:pt idx="140">
                  <c:v>99.078699999999998</c:v>
                </c:pt>
                <c:pt idx="141">
                  <c:v>91.842600000000004</c:v>
                </c:pt>
                <c:pt idx="142">
                  <c:v>83.493300000000005</c:v>
                </c:pt>
                <c:pt idx="143">
                  <c:v>80.959699999999998</c:v>
                </c:pt>
                <c:pt idx="144">
                  <c:v>85.8733</c:v>
                </c:pt>
                <c:pt idx="145">
                  <c:v>85.355099999999993</c:v>
                </c:pt>
                <c:pt idx="146">
                  <c:v>87.236099999999993</c:v>
                </c:pt>
                <c:pt idx="147">
                  <c:v>85.201499999999996</c:v>
                </c:pt>
                <c:pt idx="148">
                  <c:v>82.264899999999997</c:v>
                </c:pt>
                <c:pt idx="149">
                  <c:v>85.028800000000004</c:v>
                </c:pt>
                <c:pt idx="150">
                  <c:v>90.115200000000002</c:v>
                </c:pt>
                <c:pt idx="151">
                  <c:v>92.072900000000004</c:v>
                </c:pt>
                <c:pt idx="152">
                  <c:v>96.929000000000002</c:v>
                </c:pt>
                <c:pt idx="153">
                  <c:v>99.040300000000002</c:v>
                </c:pt>
                <c:pt idx="154">
                  <c:v>96.065299999999993</c:v>
                </c:pt>
                <c:pt idx="155">
                  <c:v>94.510599999999997</c:v>
                </c:pt>
                <c:pt idx="156">
                  <c:v>89.232299999999995</c:v>
                </c:pt>
                <c:pt idx="157">
                  <c:v>92.149699999999996</c:v>
                </c:pt>
                <c:pt idx="158">
                  <c:v>90.422300000000007</c:v>
                </c:pt>
                <c:pt idx="159">
                  <c:v>89.462599999999995</c:v>
                </c:pt>
                <c:pt idx="160">
                  <c:v>90.614199999999997</c:v>
                </c:pt>
                <c:pt idx="161">
                  <c:v>92.840699999999998</c:v>
                </c:pt>
                <c:pt idx="162">
                  <c:v>90.211100000000002</c:v>
                </c:pt>
                <c:pt idx="163">
                  <c:v>90.978899999999996</c:v>
                </c:pt>
                <c:pt idx="164">
                  <c:v>90.211100000000002</c:v>
                </c:pt>
                <c:pt idx="165">
                  <c:v>85.604600000000005</c:v>
                </c:pt>
                <c:pt idx="166">
                  <c:v>85.124799999999993</c:v>
                </c:pt>
                <c:pt idx="167">
                  <c:v>84.222700000000003</c:v>
                </c:pt>
                <c:pt idx="168">
                  <c:v>82.053799999999995</c:v>
                </c:pt>
                <c:pt idx="169">
                  <c:v>81.881</c:v>
                </c:pt>
                <c:pt idx="170">
                  <c:v>74.433800000000005</c:v>
                </c:pt>
                <c:pt idx="171">
                  <c:v>73.493300000000005</c:v>
                </c:pt>
                <c:pt idx="172">
                  <c:v>75.182299999999998</c:v>
                </c:pt>
                <c:pt idx="173">
                  <c:v>76.238</c:v>
                </c:pt>
                <c:pt idx="174">
                  <c:v>78.886799999999994</c:v>
                </c:pt>
                <c:pt idx="175">
                  <c:v>76.046099999999996</c:v>
                </c:pt>
                <c:pt idx="176">
                  <c:v>78.483699999999999</c:v>
                </c:pt>
                <c:pt idx="177">
                  <c:v>76.602699999999999</c:v>
                </c:pt>
                <c:pt idx="178">
                  <c:v>76.391599999999997</c:v>
                </c:pt>
                <c:pt idx="179">
                  <c:v>72.994200000000006</c:v>
                </c:pt>
                <c:pt idx="180">
                  <c:v>73.512500000000003</c:v>
                </c:pt>
                <c:pt idx="181">
                  <c:v>71.612300000000005</c:v>
                </c:pt>
                <c:pt idx="182">
                  <c:v>70.998099999999994</c:v>
                </c:pt>
                <c:pt idx="183">
                  <c:v>72.9559</c:v>
                </c:pt>
                <c:pt idx="184">
                  <c:v>72.149699999999996</c:v>
                </c:pt>
                <c:pt idx="185">
                  <c:v>77.504800000000003</c:v>
                </c:pt>
                <c:pt idx="186">
                  <c:v>76.832999999999998</c:v>
                </c:pt>
                <c:pt idx="187">
                  <c:v>75.7774</c:v>
                </c:pt>
                <c:pt idx="188">
                  <c:v>76.199600000000004</c:v>
                </c:pt>
                <c:pt idx="189">
                  <c:v>77.005799999999994</c:v>
                </c:pt>
                <c:pt idx="190">
                  <c:v>77.293700000000001</c:v>
                </c:pt>
                <c:pt idx="191">
                  <c:v>75.892499999999998</c:v>
                </c:pt>
                <c:pt idx="192">
                  <c:v>76.257199999999997</c:v>
                </c:pt>
                <c:pt idx="193">
                  <c:v>76.756200000000007</c:v>
                </c:pt>
                <c:pt idx="194">
                  <c:v>76.103700000000003</c:v>
                </c:pt>
                <c:pt idx="195">
                  <c:v>77.6584</c:v>
                </c:pt>
                <c:pt idx="196">
                  <c:v>78.215000000000003</c:v>
                </c:pt>
                <c:pt idx="197">
                  <c:v>80.422300000000007</c:v>
                </c:pt>
                <c:pt idx="198">
                  <c:v>80.2303</c:v>
                </c:pt>
                <c:pt idx="199">
                  <c:v>80.268699999999995</c:v>
                </c:pt>
                <c:pt idx="200">
                  <c:v>82.975099999999998</c:v>
                </c:pt>
                <c:pt idx="201">
                  <c:v>83.570099999999996</c:v>
                </c:pt>
                <c:pt idx="202">
                  <c:v>82.783100000000005</c:v>
                </c:pt>
                <c:pt idx="203">
                  <c:v>80.326300000000003</c:v>
                </c:pt>
                <c:pt idx="204">
                  <c:v>78.349299999999999</c:v>
                </c:pt>
                <c:pt idx="205">
                  <c:v>81.823400000000007</c:v>
                </c:pt>
                <c:pt idx="206">
                  <c:v>86.545100000000005</c:v>
                </c:pt>
                <c:pt idx="207">
                  <c:v>82.514399999999995</c:v>
                </c:pt>
                <c:pt idx="208">
                  <c:v>80.345500000000001</c:v>
                </c:pt>
                <c:pt idx="209">
                  <c:v>80.383899999999997</c:v>
                </c:pt>
                <c:pt idx="210">
                  <c:v>78.656400000000005</c:v>
                </c:pt>
                <c:pt idx="211">
                  <c:v>79.577699999999993</c:v>
                </c:pt>
                <c:pt idx="212">
                  <c:v>77.159300000000002</c:v>
                </c:pt>
                <c:pt idx="213">
                  <c:v>79.001900000000006</c:v>
                </c:pt>
                <c:pt idx="214">
                  <c:v>77.485600000000005</c:v>
                </c:pt>
                <c:pt idx="215">
                  <c:v>73.877200000000002</c:v>
                </c:pt>
                <c:pt idx="216">
                  <c:v>72.130499999999998</c:v>
                </c:pt>
                <c:pt idx="217">
                  <c:v>67.562399999999997</c:v>
                </c:pt>
                <c:pt idx="218">
                  <c:v>68.310900000000004</c:v>
                </c:pt>
                <c:pt idx="219">
                  <c:v>66.353200000000001</c:v>
                </c:pt>
                <c:pt idx="220">
                  <c:v>67.332099999999997</c:v>
                </c:pt>
                <c:pt idx="221">
                  <c:v>66.161199999999994</c:v>
                </c:pt>
                <c:pt idx="222">
                  <c:v>66.852199999999996</c:v>
                </c:pt>
                <c:pt idx="223">
                  <c:v>68.349299999999999</c:v>
                </c:pt>
                <c:pt idx="224">
                  <c:v>66.641099999999994</c:v>
                </c:pt>
                <c:pt idx="225">
                  <c:v>68.042199999999994</c:v>
                </c:pt>
                <c:pt idx="226">
                  <c:v>67.581599999999995</c:v>
                </c:pt>
                <c:pt idx="227">
                  <c:v>66.046099999999996</c:v>
                </c:pt>
                <c:pt idx="228">
                  <c:v>63.147799999999997</c:v>
                </c:pt>
                <c:pt idx="229">
                  <c:v>63.608499999999999</c:v>
                </c:pt>
                <c:pt idx="230">
                  <c:v>63.339700000000001</c:v>
                </c:pt>
                <c:pt idx="231">
                  <c:v>63.320500000000003</c:v>
                </c:pt>
                <c:pt idx="232">
                  <c:v>62.648800000000001</c:v>
                </c:pt>
                <c:pt idx="233">
                  <c:v>64.625699999999995</c:v>
                </c:pt>
                <c:pt idx="234">
                  <c:v>64.088300000000004</c:v>
                </c:pt>
                <c:pt idx="235">
                  <c:v>66.103700000000003</c:v>
                </c:pt>
                <c:pt idx="236">
                  <c:v>68.291799999999995</c:v>
                </c:pt>
                <c:pt idx="237">
                  <c:v>67.773499999999999</c:v>
                </c:pt>
                <c:pt idx="238">
                  <c:v>66.929000000000002</c:v>
                </c:pt>
                <c:pt idx="239">
                  <c:v>66.641099999999994</c:v>
                </c:pt>
                <c:pt idx="240">
                  <c:v>67.159300000000002</c:v>
                </c:pt>
                <c:pt idx="241">
                  <c:v>65.911699999999996</c:v>
                </c:pt>
                <c:pt idx="242">
                  <c:v>64.683300000000003</c:v>
                </c:pt>
                <c:pt idx="243">
                  <c:v>65.355099999999993</c:v>
                </c:pt>
                <c:pt idx="244">
                  <c:v>67.427999999999997</c:v>
                </c:pt>
                <c:pt idx="245">
                  <c:v>68.022999999999996</c:v>
                </c:pt>
                <c:pt idx="246">
                  <c:v>69.136300000000006</c:v>
                </c:pt>
                <c:pt idx="247">
                  <c:v>68.272599999999997</c:v>
                </c:pt>
                <c:pt idx="248">
                  <c:v>71.113299999999995</c:v>
                </c:pt>
                <c:pt idx="249">
                  <c:v>70.959699999999998</c:v>
                </c:pt>
                <c:pt idx="250">
                  <c:v>71.324399999999997</c:v>
                </c:pt>
                <c:pt idx="251">
                  <c:v>71.881</c:v>
                </c:pt>
                <c:pt idx="252">
                  <c:v>71.209199999999996</c:v>
                </c:pt>
                <c:pt idx="253">
                  <c:v>71.343599999999995</c:v>
                </c:pt>
                <c:pt idx="254">
                  <c:v>73.320499999999996</c:v>
                </c:pt>
                <c:pt idx="255">
                  <c:v>73.953900000000004</c:v>
                </c:pt>
                <c:pt idx="256">
                  <c:v>71.804199999999994</c:v>
                </c:pt>
                <c:pt idx="257">
                  <c:v>71.458699999999993</c:v>
                </c:pt>
                <c:pt idx="258">
                  <c:v>72.859899999999996</c:v>
                </c:pt>
                <c:pt idx="259">
                  <c:v>76.103700000000003</c:v>
                </c:pt>
                <c:pt idx="260">
                  <c:v>77.140100000000004</c:v>
                </c:pt>
                <c:pt idx="261">
                  <c:v>76.353200000000001</c:v>
                </c:pt>
                <c:pt idx="262">
                  <c:v>75.662199999999999</c:v>
                </c:pt>
                <c:pt idx="263">
                  <c:v>75.911699999999996</c:v>
                </c:pt>
                <c:pt idx="264">
                  <c:v>74.990399999999994</c:v>
                </c:pt>
                <c:pt idx="265">
                  <c:v>77.543199999999999</c:v>
                </c:pt>
                <c:pt idx="266">
                  <c:v>78.445300000000003</c:v>
                </c:pt>
                <c:pt idx="267">
                  <c:v>81.094099999999997</c:v>
                </c:pt>
                <c:pt idx="268">
                  <c:v>81.938599999999994</c:v>
                </c:pt>
                <c:pt idx="269">
                  <c:v>82.994299999999996</c:v>
                </c:pt>
                <c:pt idx="270">
                  <c:v>79.0595</c:v>
                </c:pt>
                <c:pt idx="271">
                  <c:v>76.698700000000002</c:v>
                </c:pt>
                <c:pt idx="272">
                  <c:v>73.858000000000004</c:v>
                </c:pt>
                <c:pt idx="273">
                  <c:v>75.200800000000001</c:v>
                </c:pt>
                <c:pt idx="274">
                  <c:v>73.7667</c:v>
                </c:pt>
                <c:pt idx="275">
                  <c:v>71.453199999999995</c:v>
                </c:pt>
                <c:pt idx="276">
                  <c:v>72.695999999999998</c:v>
                </c:pt>
                <c:pt idx="277">
                  <c:v>80.038200000000003</c:v>
                </c:pt>
                <c:pt idx="278">
                  <c:v>81.663499999999999</c:v>
                </c:pt>
                <c:pt idx="279">
                  <c:v>74.837500000000006</c:v>
                </c:pt>
                <c:pt idx="280">
                  <c:v>75.506699999999995</c:v>
                </c:pt>
                <c:pt idx="281">
                  <c:v>78.011499999999998</c:v>
                </c:pt>
                <c:pt idx="282">
                  <c:v>74.5124</c:v>
                </c:pt>
                <c:pt idx="283">
                  <c:v>75.4876</c:v>
                </c:pt>
                <c:pt idx="284">
                  <c:v>75.755300000000005</c:v>
                </c:pt>
                <c:pt idx="285">
                  <c:v>79.196899999999999</c:v>
                </c:pt>
                <c:pt idx="286">
                  <c:v>77.590800000000002</c:v>
                </c:pt>
                <c:pt idx="287">
                  <c:v>78.164400000000001</c:v>
                </c:pt>
                <c:pt idx="288">
                  <c:v>74.722800000000007</c:v>
                </c:pt>
                <c:pt idx="289">
                  <c:v>72.619500000000002</c:v>
                </c:pt>
                <c:pt idx="290">
                  <c:v>72.619500000000002</c:v>
                </c:pt>
                <c:pt idx="291">
                  <c:v>69.445499999999996</c:v>
                </c:pt>
                <c:pt idx="292">
                  <c:v>70.267700000000005</c:v>
                </c:pt>
                <c:pt idx="293">
                  <c:v>70.1721</c:v>
                </c:pt>
                <c:pt idx="294">
                  <c:v>68.738100000000003</c:v>
                </c:pt>
                <c:pt idx="295">
                  <c:v>66.998099999999994</c:v>
                </c:pt>
                <c:pt idx="296">
                  <c:v>66.214200000000005</c:v>
                </c:pt>
                <c:pt idx="297">
                  <c:v>62.581299999999999</c:v>
                </c:pt>
                <c:pt idx="298">
                  <c:v>63.996200000000002</c:v>
                </c:pt>
                <c:pt idx="299">
                  <c:v>65.334599999999995</c:v>
                </c:pt>
                <c:pt idx="300">
                  <c:v>65.372900000000001</c:v>
                </c:pt>
                <c:pt idx="301">
                  <c:v>63.728499999999997</c:v>
                </c:pt>
                <c:pt idx="302">
                  <c:v>64.971299999999999</c:v>
                </c:pt>
                <c:pt idx="303">
                  <c:v>64.933099999999996</c:v>
                </c:pt>
                <c:pt idx="304">
                  <c:v>60.516300000000001</c:v>
                </c:pt>
                <c:pt idx="305">
                  <c:v>60.956000000000003</c:v>
                </c:pt>
                <c:pt idx="306">
                  <c:v>62.218000000000004</c:v>
                </c:pt>
                <c:pt idx="307">
                  <c:v>61.395800000000001</c:v>
                </c:pt>
                <c:pt idx="308">
                  <c:v>61.606099999999998</c:v>
                </c:pt>
                <c:pt idx="309">
                  <c:v>60.478000000000002</c:v>
                </c:pt>
                <c:pt idx="310">
                  <c:v>60.994300000000003</c:v>
                </c:pt>
                <c:pt idx="311">
                  <c:v>62.351799999999997</c:v>
                </c:pt>
                <c:pt idx="312">
                  <c:v>61.720799999999997</c:v>
                </c:pt>
                <c:pt idx="313">
                  <c:v>61.491399999999999</c:v>
                </c:pt>
                <c:pt idx="314">
                  <c:v>58.164400000000001</c:v>
                </c:pt>
                <c:pt idx="315">
                  <c:v>57.131900000000002</c:v>
                </c:pt>
                <c:pt idx="316">
                  <c:v>57.246699999999997</c:v>
                </c:pt>
                <c:pt idx="317">
                  <c:v>58.049700000000001</c:v>
                </c:pt>
                <c:pt idx="318">
                  <c:v>55.716999999999999</c:v>
                </c:pt>
                <c:pt idx="319">
                  <c:v>56.730400000000003</c:v>
                </c:pt>
                <c:pt idx="320">
                  <c:v>58.068800000000003</c:v>
                </c:pt>
                <c:pt idx="321">
                  <c:v>59.483800000000002</c:v>
                </c:pt>
                <c:pt idx="322">
                  <c:v>61.0899</c:v>
                </c:pt>
                <c:pt idx="323">
                  <c:v>59.024900000000002</c:v>
                </c:pt>
                <c:pt idx="324">
                  <c:v>60.592700000000001</c:v>
                </c:pt>
                <c:pt idx="325">
                  <c:v>61.567900000000002</c:v>
                </c:pt>
                <c:pt idx="326">
                  <c:v>62.409199999999998</c:v>
                </c:pt>
                <c:pt idx="327">
                  <c:v>62.581299999999999</c:v>
                </c:pt>
                <c:pt idx="328">
                  <c:v>63.824100000000001</c:v>
                </c:pt>
                <c:pt idx="329">
                  <c:v>64.0535</c:v>
                </c:pt>
                <c:pt idx="330">
                  <c:v>62.275300000000001</c:v>
                </c:pt>
                <c:pt idx="331">
                  <c:v>61.453200000000002</c:v>
                </c:pt>
                <c:pt idx="332">
                  <c:v>57.935000000000002</c:v>
                </c:pt>
                <c:pt idx="333">
                  <c:v>55.3155</c:v>
                </c:pt>
                <c:pt idx="334">
                  <c:v>54.3977</c:v>
                </c:pt>
                <c:pt idx="335">
                  <c:v>54.952199999999998</c:v>
                </c:pt>
                <c:pt idx="336">
                  <c:v>54.588900000000002</c:v>
                </c:pt>
                <c:pt idx="337">
                  <c:v>55.468499999999999</c:v>
                </c:pt>
                <c:pt idx="338">
                  <c:v>56.4054</c:v>
                </c:pt>
                <c:pt idx="339">
                  <c:v>56.003799999999998</c:v>
                </c:pt>
                <c:pt idx="340">
                  <c:v>57.3996</c:v>
                </c:pt>
                <c:pt idx="341">
                  <c:v>57.437899999999999</c:v>
                </c:pt>
                <c:pt idx="342">
                  <c:v>56.768599999999999</c:v>
                </c:pt>
                <c:pt idx="343">
                  <c:v>56.367100000000001</c:v>
                </c:pt>
                <c:pt idx="344">
                  <c:v>56.520099999999999</c:v>
                </c:pt>
                <c:pt idx="345">
                  <c:v>54.588900000000002</c:v>
                </c:pt>
                <c:pt idx="346">
                  <c:v>55.506700000000002</c:v>
                </c:pt>
                <c:pt idx="347">
                  <c:v>57.858499999999999</c:v>
                </c:pt>
                <c:pt idx="348">
                  <c:v>59.292499999999997</c:v>
                </c:pt>
                <c:pt idx="349">
                  <c:v>59.369</c:v>
                </c:pt>
                <c:pt idx="350">
                  <c:v>55.755299999999998</c:v>
                </c:pt>
                <c:pt idx="351">
                  <c:v>56.921599999999998</c:v>
                </c:pt>
                <c:pt idx="352">
                  <c:v>54.971299999999999</c:v>
                </c:pt>
                <c:pt idx="353">
                  <c:v>53.900599999999997</c:v>
                </c:pt>
                <c:pt idx="354">
                  <c:v>53.135800000000003</c:v>
                </c:pt>
                <c:pt idx="355">
                  <c:v>54.722799999999999</c:v>
                </c:pt>
                <c:pt idx="356">
                  <c:v>54.5124</c:v>
                </c:pt>
                <c:pt idx="357">
                  <c:v>56.118600000000001</c:v>
                </c:pt>
                <c:pt idx="358">
                  <c:v>53.193100000000001</c:v>
                </c:pt>
                <c:pt idx="359">
                  <c:v>52.466500000000003</c:v>
                </c:pt>
                <c:pt idx="360">
                  <c:v>56.214199999999998</c:v>
                </c:pt>
                <c:pt idx="361">
                  <c:v>56.749499999999998</c:v>
                </c:pt>
                <c:pt idx="362">
                  <c:v>56.558300000000003</c:v>
                </c:pt>
                <c:pt idx="363">
                  <c:v>57.705500000000001</c:v>
                </c:pt>
                <c:pt idx="364">
                  <c:v>58.298299999999998</c:v>
                </c:pt>
                <c:pt idx="365">
                  <c:v>63.632899999999999</c:v>
                </c:pt>
                <c:pt idx="366">
                  <c:v>65.391999999999996</c:v>
                </c:pt>
                <c:pt idx="367">
                  <c:v>68.183599999999998</c:v>
                </c:pt>
                <c:pt idx="368">
                  <c:v>70.1721</c:v>
                </c:pt>
                <c:pt idx="369">
                  <c:v>68.107100000000003</c:v>
                </c:pt>
                <c:pt idx="370">
                  <c:v>72.849000000000004</c:v>
                </c:pt>
                <c:pt idx="371">
                  <c:v>74.569800000000001</c:v>
                </c:pt>
                <c:pt idx="372">
                  <c:v>72.657700000000006</c:v>
                </c:pt>
                <c:pt idx="373">
                  <c:v>73.174000000000007</c:v>
                </c:pt>
                <c:pt idx="374">
                  <c:v>74.206500000000005</c:v>
                </c:pt>
                <c:pt idx="375">
                  <c:v>72.829800000000006</c:v>
                </c:pt>
                <c:pt idx="376">
                  <c:v>77.131900000000002</c:v>
                </c:pt>
                <c:pt idx="377">
                  <c:v>77.915899999999993</c:v>
                </c:pt>
                <c:pt idx="378">
                  <c:v>83.174000000000007</c:v>
                </c:pt>
                <c:pt idx="379">
                  <c:v>84.340299999999999</c:v>
                </c:pt>
                <c:pt idx="380">
                  <c:v>81.472300000000004</c:v>
                </c:pt>
                <c:pt idx="381">
                  <c:v>77.915899999999993</c:v>
                </c:pt>
                <c:pt idx="382">
                  <c:v>76.539199999999994</c:v>
                </c:pt>
                <c:pt idx="383">
                  <c:v>78.240899999999996</c:v>
                </c:pt>
                <c:pt idx="384">
                  <c:v>79.5411</c:v>
                </c:pt>
                <c:pt idx="385">
                  <c:v>78.049700000000001</c:v>
                </c:pt>
                <c:pt idx="386">
                  <c:v>77.017200000000003</c:v>
                </c:pt>
                <c:pt idx="387">
                  <c:v>76.539199999999994</c:v>
                </c:pt>
                <c:pt idx="388">
                  <c:v>76.099400000000003</c:v>
                </c:pt>
                <c:pt idx="389">
                  <c:v>73.843199999999996</c:v>
                </c:pt>
                <c:pt idx="390">
                  <c:v>74.13</c:v>
                </c:pt>
                <c:pt idx="391">
                  <c:v>76.673000000000002</c:v>
                </c:pt>
                <c:pt idx="392">
                  <c:v>76.864199999999997</c:v>
                </c:pt>
                <c:pt idx="393">
                  <c:v>76.615700000000004</c:v>
                </c:pt>
                <c:pt idx="394">
                  <c:v>74.780100000000004</c:v>
                </c:pt>
                <c:pt idx="395">
                  <c:v>83.097499999999997</c:v>
                </c:pt>
                <c:pt idx="396">
                  <c:v>86.902500000000003</c:v>
                </c:pt>
                <c:pt idx="397">
                  <c:v>83.957899999999995</c:v>
                </c:pt>
                <c:pt idx="398">
                  <c:v>85.525800000000004</c:v>
                </c:pt>
                <c:pt idx="399">
                  <c:v>82.0077</c:v>
                </c:pt>
                <c:pt idx="400">
                  <c:v>82.026799999999994</c:v>
                </c:pt>
                <c:pt idx="401">
                  <c:v>82.791600000000003</c:v>
                </c:pt>
                <c:pt idx="402">
                  <c:v>84.168300000000002</c:v>
                </c:pt>
                <c:pt idx="403">
                  <c:v>82.695999999999998</c:v>
                </c:pt>
                <c:pt idx="404">
                  <c:v>81.625200000000007</c:v>
                </c:pt>
                <c:pt idx="405">
                  <c:v>82.218000000000004</c:v>
                </c:pt>
                <c:pt idx="406">
                  <c:v>82.198899999999995</c:v>
                </c:pt>
                <c:pt idx="407">
                  <c:v>84.703599999999994</c:v>
                </c:pt>
                <c:pt idx="408">
                  <c:v>80.554500000000004</c:v>
                </c:pt>
                <c:pt idx="409">
                  <c:v>78.6233</c:v>
                </c:pt>
                <c:pt idx="410">
                  <c:v>79.885300000000001</c:v>
                </c:pt>
                <c:pt idx="411">
                  <c:v>76.481800000000007</c:v>
                </c:pt>
                <c:pt idx="412">
                  <c:v>73.977099999999993</c:v>
                </c:pt>
                <c:pt idx="413">
                  <c:v>73.652000000000001</c:v>
                </c:pt>
                <c:pt idx="414">
                  <c:v>74.436000000000007</c:v>
                </c:pt>
                <c:pt idx="415">
                  <c:v>76.2333</c:v>
                </c:pt>
                <c:pt idx="416">
                  <c:v>75.716999999999999</c:v>
                </c:pt>
                <c:pt idx="417">
                  <c:v>73.269599999999997</c:v>
                </c:pt>
                <c:pt idx="418">
                  <c:v>75.200800000000001</c:v>
                </c:pt>
                <c:pt idx="419">
                  <c:v>75.219899999999996</c:v>
                </c:pt>
                <c:pt idx="420">
                  <c:v>76.290599999999998</c:v>
                </c:pt>
                <c:pt idx="421">
                  <c:v>76.673000000000002</c:v>
                </c:pt>
                <c:pt idx="422">
                  <c:v>74.933099999999996</c:v>
                </c:pt>
                <c:pt idx="423">
                  <c:v>73.001900000000006</c:v>
                </c:pt>
                <c:pt idx="424">
                  <c:v>72.466499999999996</c:v>
                </c:pt>
                <c:pt idx="425">
                  <c:v>72.084100000000007</c:v>
                </c:pt>
                <c:pt idx="426">
                  <c:v>72.160600000000002</c:v>
                </c:pt>
                <c:pt idx="427">
                  <c:v>68.967500000000001</c:v>
                </c:pt>
                <c:pt idx="428">
                  <c:v>71.147199999999998</c:v>
                </c:pt>
                <c:pt idx="429">
                  <c:v>70.592699999999994</c:v>
                </c:pt>
                <c:pt idx="430">
                  <c:v>69.885300000000001</c:v>
                </c:pt>
                <c:pt idx="431">
                  <c:v>67.648200000000003</c:v>
                </c:pt>
                <c:pt idx="432">
                  <c:v>66.520099999999999</c:v>
                </c:pt>
                <c:pt idx="433">
                  <c:v>66.902500000000003</c:v>
                </c:pt>
                <c:pt idx="434">
                  <c:v>67.131900000000002</c:v>
                </c:pt>
                <c:pt idx="435">
                  <c:v>66.328900000000004</c:v>
                </c:pt>
                <c:pt idx="436">
                  <c:v>65.697900000000004</c:v>
                </c:pt>
                <c:pt idx="437">
                  <c:v>63.422600000000003</c:v>
                </c:pt>
                <c:pt idx="438">
                  <c:v>63.403399999999998</c:v>
                </c:pt>
                <c:pt idx="439">
                  <c:v>66.558300000000003</c:v>
                </c:pt>
                <c:pt idx="440">
                  <c:v>66.921599999999998</c:v>
                </c:pt>
                <c:pt idx="441">
                  <c:v>70.076499999999996</c:v>
                </c:pt>
                <c:pt idx="442">
                  <c:v>69.5411</c:v>
                </c:pt>
                <c:pt idx="443">
                  <c:v>70.305899999999994</c:v>
                </c:pt>
                <c:pt idx="444">
                  <c:v>69.655799999999999</c:v>
                </c:pt>
                <c:pt idx="445">
                  <c:v>69.885300000000001</c:v>
                </c:pt>
                <c:pt idx="446">
                  <c:v>69.445499999999996</c:v>
                </c:pt>
                <c:pt idx="447">
                  <c:v>69.043999999999997</c:v>
                </c:pt>
                <c:pt idx="448">
                  <c:v>71.166399999999996</c:v>
                </c:pt>
                <c:pt idx="449">
                  <c:v>70.9178</c:v>
                </c:pt>
                <c:pt idx="450">
                  <c:v>71.567899999999995</c:v>
                </c:pt>
                <c:pt idx="451">
                  <c:v>73.116600000000005</c:v>
                </c:pt>
                <c:pt idx="452">
                  <c:v>73.231399999999994</c:v>
                </c:pt>
                <c:pt idx="453">
                  <c:v>72.447400000000002</c:v>
                </c:pt>
                <c:pt idx="454">
                  <c:v>72.657700000000006</c:v>
                </c:pt>
                <c:pt idx="455">
                  <c:v>74.569800000000001</c:v>
                </c:pt>
                <c:pt idx="456">
                  <c:v>73.709400000000002</c:v>
                </c:pt>
                <c:pt idx="457">
                  <c:v>75.353700000000003</c:v>
                </c:pt>
                <c:pt idx="458">
                  <c:v>75.200800000000001</c:v>
                </c:pt>
                <c:pt idx="459">
                  <c:v>73.805000000000007</c:v>
                </c:pt>
                <c:pt idx="460">
                  <c:v>72.370900000000006</c:v>
                </c:pt>
                <c:pt idx="461">
                  <c:v>71.070700000000002</c:v>
                </c:pt>
                <c:pt idx="462">
                  <c:v>69.522000000000006</c:v>
                </c:pt>
                <c:pt idx="463">
                  <c:v>70.535399999999996</c:v>
                </c:pt>
                <c:pt idx="464">
                  <c:v>71.988500000000002</c:v>
                </c:pt>
                <c:pt idx="465">
                  <c:v>70.554500000000004</c:v>
                </c:pt>
                <c:pt idx="466">
                  <c:v>71.778199999999998</c:v>
                </c:pt>
                <c:pt idx="467">
                  <c:v>73.040199999999999</c:v>
                </c:pt>
                <c:pt idx="468">
                  <c:v>70.076499999999996</c:v>
                </c:pt>
                <c:pt idx="469">
                  <c:v>70.1721</c:v>
                </c:pt>
                <c:pt idx="470">
                  <c:v>66.921599999999998</c:v>
                </c:pt>
                <c:pt idx="471">
                  <c:v>68.068799999999996</c:v>
                </c:pt>
                <c:pt idx="472">
                  <c:v>67.973200000000006</c:v>
                </c:pt>
                <c:pt idx="473">
                  <c:v>71.319299999999998</c:v>
                </c:pt>
                <c:pt idx="474">
                  <c:v>70.363299999999995</c:v>
                </c:pt>
                <c:pt idx="475">
                  <c:v>71.223699999999994</c:v>
                </c:pt>
                <c:pt idx="476">
                  <c:v>73.7667</c:v>
                </c:pt>
                <c:pt idx="477">
                  <c:v>75.621399999999994</c:v>
                </c:pt>
                <c:pt idx="478">
                  <c:v>76.003799999999998</c:v>
                </c:pt>
                <c:pt idx="479">
                  <c:v>72.179699999999997</c:v>
                </c:pt>
                <c:pt idx="480">
                  <c:v>69.407300000000006</c:v>
                </c:pt>
                <c:pt idx="481">
                  <c:v>69.024900000000002</c:v>
                </c:pt>
                <c:pt idx="482">
                  <c:v>68.317400000000006</c:v>
                </c:pt>
                <c:pt idx="483">
                  <c:v>64.034400000000005</c:v>
                </c:pt>
                <c:pt idx="484">
                  <c:v>63.728499999999997</c:v>
                </c:pt>
                <c:pt idx="485">
                  <c:v>63.996200000000002</c:v>
                </c:pt>
                <c:pt idx="486">
                  <c:v>66.252399999999994</c:v>
                </c:pt>
                <c:pt idx="487">
                  <c:v>66.520099999999999</c:v>
                </c:pt>
                <c:pt idx="488">
                  <c:v>65.965599999999995</c:v>
                </c:pt>
                <c:pt idx="489">
                  <c:v>63.728499999999997</c:v>
                </c:pt>
                <c:pt idx="490">
                  <c:v>65.621399999999994</c:v>
                </c:pt>
                <c:pt idx="491">
                  <c:v>61.74</c:v>
                </c:pt>
                <c:pt idx="492">
                  <c:v>59.273400000000002</c:v>
                </c:pt>
                <c:pt idx="493">
                  <c:v>58.604199999999999</c:v>
                </c:pt>
                <c:pt idx="494">
                  <c:v>59.063099999999999</c:v>
                </c:pt>
                <c:pt idx="495">
                  <c:v>59.502899999999997</c:v>
                </c:pt>
                <c:pt idx="496">
                  <c:v>58.890999999999998</c:v>
                </c:pt>
                <c:pt idx="497">
                  <c:v>60.956000000000003</c:v>
                </c:pt>
                <c:pt idx="498">
                  <c:v>58.604199999999999</c:v>
                </c:pt>
                <c:pt idx="499">
                  <c:v>59.751399999999997</c:v>
                </c:pt>
                <c:pt idx="500">
                  <c:v>60.535400000000003</c:v>
                </c:pt>
                <c:pt idx="501">
                  <c:v>62.064999999999998</c:v>
                </c:pt>
                <c:pt idx="502">
                  <c:v>59.617600000000003</c:v>
                </c:pt>
                <c:pt idx="503">
                  <c:v>56.271500000000003</c:v>
                </c:pt>
                <c:pt idx="504">
                  <c:v>55.028700000000001</c:v>
                </c:pt>
                <c:pt idx="505">
                  <c:v>53.212200000000003</c:v>
                </c:pt>
                <c:pt idx="506">
                  <c:v>52.045900000000003</c:v>
                </c:pt>
                <c:pt idx="507">
                  <c:v>51.3767</c:v>
                </c:pt>
                <c:pt idx="508">
                  <c:v>50.248600000000003</c:v>
                </c:pt>
                <c:pt idx="509">
                  <c:v>49.980899999999998</c:v>
                </c:pt>
                <c:pt idx="510">
                  <c:v>47.667299999999997</c:v>
                </c:pt>
                <c:pt idx="511">
                  <c:v>48.183599999999998</c:v>
                </c:pt>
                <c:pt idx="512">
                  <c:v>49.866199999999999</c:v>
                </c:pt>
                <c:pt idx="513">
                  <c:v>54.6845</c:v>
                </c:pt>
                <c:pt idx="514">
                  <c:v>55.927300000000002</c:v>
                </c:pt>
                <c:pt idx="515">
                  <c:v>56.845100000000002</c:v>
                </c:pt>
                <c:pt idx="516">
                  <c:v>56.864199999999997</c:v>
                </c:pt>
                <c:pt idx="517">
                  <c:v>54.8566</c:v>
                </c:pt>
                <c:pt idx="518">
                  <c:v>53.288699999999999</c:v>
                </c:pt>
                <c:pt idx="519">
                  <c:v>53.575499999999998</c:v>
                </c:pt>
                <c:pt idx="520">
                  <c:v>51.988500000000002</c:v>
                </c:pt>
                <c:pt idx="521">
                  <c:v>52.906300000000002</c:v>
                </c:pt>
                <c:pt idx="522">
                  <c:v>52.7151</c:v>
                </c:pt>
                <c:pt idx="523">
                  <c:v>54.588900000000002</c:v>
                </c:pt>
                <c:pt idx="524">
                  <c:v>60.057400000000001</c:v>
                </c:pt>
                <c:pt idx="525">
                  <c:v>60.764800000000001</c:v>
                </c:pt>
                <c:pt idx="526">
                  <c:v>62.045900000000003</c:v>
                </c:pt>
                <c:pt idx="527">
                  <c:v>68.948400000000007</c:v>
                </c:pt>
                <c:pt idx="528">
                  <c:v>68.030600000000007</c:v>
                </c:pt>
                <c:pt idx="529">
                  <c:v>68.279200000000003</c:v>
                </c:pt>
                <c:pt idx="530">
                  <c:v>68.107100000000003</c:v>
                </c:pt>
                <c:pt idx="531">
                  <c:v>67.686400000000006</c:v>
                </c:pt>
                <c:pt idx="532">
                  <c:v>69.674999999999997</c:v>
                </c:pt>
                <c:pt idx="533">
                  <c:v>69.139600000000002</c:v>
                </c:pt>
                <c:pt idx="534">
                  <c:v>70.1721</c:v>
                </c:pt>
                <c:pt idx="535">
                  <c:v>71.835599999999999</c:v>
                </c:pt>
                <c:pt idx="536">
                  <c:v>71.281099999999995</c:v>
                </c:pt>
                <c:pt idx="537">
                  <c:v>65.736099999999993</c:v>
                </c:pt>
                <c:pt idx="538">
                  <c:v>66.902500000000003</c:v>
                </c:pt>
                <c:pt idx="539">
                  <c:v>65.506699999999995</c:v>
                </c:pt>
                <c:pt idx="540">
                  <c:v>65.391999999999996</c:v>
                </c:pt>
                <c:pt idx="541">
                  <c:v>66.883399999999995</c:v>
                </c:pt>
                <c:pt idx="542">
                  <c:v>68.432100000000005</c:v>
                </c:pt>
                <c:pt idx="543">
                  <c:v>67.705500000000001</c:v>
                </c:pt>
                <c:pt idx="544">
                  <c:v>66.003799999999998</c:v>
                </c:pt>
                <c:pt idx="545">
                  <c:v>64.072699999999998</c:v>
                </c:pt>
                <c:pt idx="546">
                  <c:v>63.7667</c:v>
                </c:pt>
                <c:pt idx="547">
                  <c:v>64.608000000000004</c:v>
                </c:pt>
                <c:pt idx="548">
                  <c:v>66.730400000000003</c:v>
                </c:pt>
                <c:pt idx="549">
                  <c:v>67.724699999999999</c:v>
                </c:pt>
                <c:pt idx="550">
                  <c:v>67.609899999999996</c:v>
                </c:pt>
                <c:pt idx="551">
                  <c:v>65.812600000000003</c:v>
                </c:pt>
                <c:pt idx="552">
                  <c:v>63.403399999999998</c:v>
                </c:pt>
                <c:pt idx="553">
                  <c:v>65.391999999999996</c:v>
                </c:pt>
                <c:pt idx="554">
                  <c:v>63.288699999999999</c:v>
                </c:pt>
                <c:pt idx="555">
                  <c:v>63.078400000000002</c:v>
                </c:pt>
                <c:pt idx="556">
                  <c:v>63.3461</c:v>
                </c:pt>
                <c:pt idx="557">
                  <c:v>61.682600000000001</c:v>
                </c:pt>
                <c:pt idx="558">
                  <c:v>62.533299999999997</c:v>
                </c:pt>
                <c:pt idx="559">
                  <c:v>62.247599999999998</c:v>
                </c:pt>
                <c:pt idx="560">
                  <c:v>63.447600000000001</c:v>
                </c:pt>
                <c:pt idx="561">
                  <c:v>62.057099999999998</c:v>
                </c:pt>
                <c:pt idx="562">
                  <c:v>61.7714</c:v>
                </c:pt>
                <c:pt idx="563">
                  <c:v>64.533299999999997</c:v>
                </c:pt>
                <c:pt idx="564">
                  <c:v>63.485700000000001</c:v>
                </c:pt>
                <c:pt idx="565">
                  <c:v>61.142899999999997</c:v>
                </c:pt>
                <c:pt idx="566">
                  <c:v>63.371400000000001</c:v>
                </c:pt>
                <c:pt idx="567">
                  <c:v>66.647599999999997</c:v>
                </c:pt>
                <c:pt idx="568">
                  <c:v>66.8</c:v>
                </c:pt>
                <c:pt idx="569">
                  <c:v>66.247600000000006</c:v>
                </c:pt>
                <c:pt idx="570">
                  <c:v>68.952399999999997</c:v>
                </c:pt>
                <c:pt idx="571">
                  <c:v>72.381</c:v>
                </c:pt>
                <c:pt idx="572">
                  <c:v>69.523799999999994</c:v>
                </c:pt>
                <c:pt idx="573">
                  <c:v>70.838099999999997</c:v>
                </c:pt>
                <c:pt idx="574">
                  <c:v>72.971400000000003</c:v>
                </c:pt>
                <c:pt idx="575">
                  <c:v>68.781000000000006</c:v>
                </c:pt>
                <c:pt idx="576">
                  <c:v>74.476200000000006</c:v>
                </c:pt>
                <c:pt idx="577">
                  <c:v>71.619100000000003</c:v>
                </c:pt>
                <c:pt idx="578">
                  <c:v>72.057100000000005</c:v>
                </c:pt>
                <c:pt idx="579">
                  <c:v>74.609499999999997</c:v>
                </c:pt>
                <c:pt idx="580">
                  <c:v>78.0762</c:v>
                </c:pt>
                <c:pt idx="581">
                  <c:v>77.219099999999997</c:v>
                </c:pt>
                <c:pt idx="582">
                  <c:v>78.457099999999997</c:v>
                </c:pt>
                <c:pt idx="583">
                  <c:v>81.6952</c:v>
                </c:pt>
                <c:pt idx="584">
                  <c:v>80.3429</c:v>
                </c:pt>
                <c:pt idx="585">
                  <c:v>81.542900000000003</c:v>
                </c:pt>
                <c:pt idx="586">
                  <c:v>81.333299999999994</c:v>
                </c:pt>
                <c:pt idx="587">
                  <c:v>78.8</c:v>
                </c:pt>
                <c:pt idx="588">
                  <c:v>77.333299999999994</c:v>
                </c:pt>
                <c:pt idx="589">
                  <c:v>77.980999999999995</c:v>
                </c:pt>
                <c:pt idx="590">
                  <c:v>79.180999999999997</c:v>
                </c:pt>
                <c:pt idx="591">
                  <c:v>81.238100000000003</c:v>
                </c:pt>
                <c:pt idx="592">
                  <c:v>81.123800000000003</c:v>
                </c:pt>
                <c:pt idx="593">
                  <c:v>83.104799999999997</c:v>
                </c:pt>
                <c:pt idx="594">
                  <c:v>83.523799999999994</c:v>
                </c:pt>
                <c:pt idx="595">
                  <c:v>84.933300000000003</c:v>
                </c:pt>
                <c:pt idx="596">
                  <c:v>81.8476</c:v>
                </c:pt>
                <c:pt idx="597">
                  <c:v>80.381</c:v>
                </c:pt>
                <c:pt idx="598">
                  <c:v>77.161900000000003</c:v>
                </c:pt>
                <c:pt idx="599">
                  <c:v>76.761899999999997</c:v>
                </c:pt>
                <c:pt idx="600">
                  <c:v>75.504800000000003</c:v>
                </c:pt>
                <c:pt idx="601">
                  <c:v>77.066699999999997</c:v>
                </c:pt>
                <c:pt idx="602">
                  <c:v>79.676199999999994</c:v>
                </c:pt>
                <c:pt idx="603">
                  <c:v>80.742900000000006</c:v>
                </c:pt>
                <c:pt idx="604">
                  <c:v>80.704800000000006</c:v>
                </c:pt>
                <c:pt idx="605">
                  <c:v>82.1524</c:v>
                </c:pt>
                <c:pt idx="606">
                  <c:v>82.628600000000006</c:v>
                </c:pt>
                <c:pt idx="607">
                  <c:v>80.3048</c:v>
                </c:pt>
                <c:pt idx="608">
                  <c:v>79.676199999999994</c:v>
                </c:pt>
                <c:pt idx="609">
                  <c:v>80.095200000000006</c:v>
                </c:pt>
                <c:pt idx="610">
                  <c:v>83.790499999999994</c:v>
                </c:pt>
                <c:pt idx="611">
                  <c:v>84.781000000000006</c:v>
                </c:pt>
                <c:pt idx="612">
                  <c:v>81.047600000000003</c:v>
                </c:pt>
                <c:pt idx="613">
                  <c:v>80.838099999999997</c:v>
                </c:pt>
                <c:pt idx="614">
                  <c:v>84.133300000000006</c:v>
                </c:pt>
                <c:pt idx="615">
                  <c:v>80.495199999999997</c:v>
                </c:pt>
                <c:pt idx="616">
                  <c:v>80</c:v>
                </c:pt>
                <c:pt idx="617">
                  <c:v>76.209500000000006</c:v>
                </c:pt>
                <c:pt idx="618">
                  <c:v>75.752399999999994</c:v>
                </c:pt>
                <c:pt idx="619">
                  <c:v>77.104799999999997</c:v>
                </c:pt>
                <c:pt idx="620">
                  <c:v>77.904799999999994</c:v>
                </c:pt>
                <c:pt idx="621">
                  <c:v>76.819100000000006</c:v>
                </c:pt>
                <c:pt idx="622">
                  <c:v>74.571399999999997</c:v>
                </c:pt>
                <c:pt idx="623">
                  <c:v>71.619100000000003</c:v>
                </c:pt>
                <c:pt idx="624">
                  <c:v>72.666700000000006</c:v>
                </c:pt>
                <c:pt idx="625">
                  <c:v>73.276200000000003</c:v>
                </c:pt>
                <c:pt idx="626">
                  <c:v>74.2667</c:v>
                </c:pt>
                <c:pt idx="627">
                  <c:v>69.409499999999994</c:v>
                </c:pt>
                <c:pt idx="628">
                  <c:v>70.723799999999997</c:v>
                </c:pt>
                <c:pt idx="629">
                  <c:v>71.238100000000003</c:v>
                </c:pt>
                <c:pt idx="630">
                  <c:v>66.971400000000003</c:v>
                </c:pt>
                <c:pt idx="631">
                  <c:v>66.1905</c:v>
                </c:pt>
                <c:pt idx="632">
                  <c:v>63.276200000000003</c:v>
                </c:pt>
                <c:pt idx="633">
                  <c:v>60.133299999999998</c:v>
                </c:pt>
                <c:pt idx="634">
                  <c:v>58.761899999999997</c:v>
                </c:pt>
                <c:pt idx="635">
                  <c:v>58.742899999999999</c:v>
                </c:pt>
                <c:pt idx="636">
                  <c:v>60.1143</c:v>
                </c:pt>
                <c:pt idx="637">
                  <c:v>59.619100000000003</c:v>
                </c:pt>
                <c:pt idx="638">
                  <c:v>57.295200000000001</c:v>
                </c:pt>
                <c:pt idx="639">
                  <c:v>57.142899999999997</c:v>
                </c:pt>
                <c:pt idx="640">
                  <c:v>57.371400000000001</c:v>
                </c:pt>
                <c:pt idx="641">
                  <c:v>57.866700000000002</c:v>
                </c:pt>
                <c:pt idx="642">
                  <c:v>56.933300000000003</c:v>
                </c:pt>
                <c:pt idx="643">
                  <c:v>54.933300000000003</c:v>
                </c:pt>
                <c:pt idx="644">
                  <c:v>54.609499999999997</c:v>
                </c:pt>
                <c:pt idx="645">
                  <c:v>55.428600000000003</c:v>
                </c:pt>
                <c:pt idx="646">
                  <c:v>52.133299999999998</c:v>
                </c:pt>
                <c:pt idx="647">
                  <c:v>54.685699999999997</c:v>
                </c:pt>
                <c:pt idx="648">
                  <c:v>54.780999999999999</c:v>
                </c:pt>
                <c:pt idx="649">
                  <c:v>54.990499999999997</c:v>
                </c:pt>
                <c:pt idx="650">
                  <c:v>54.590499999999999</c:v>
                </c:pt>
                <c:pt idx="651">
                  <c:v>54.990499999999997</c:v>
                </c:pt>
                <c:pt idx="652">
                  <c:v>53.066699999999997</c:v>
                </c:pt>
                <c:pt idx="653">
                  <c:v>52.495199999999997</c:v>
                </c:pt>
                <c:pt idx="654">
                  <c:v>55.828600000000002</c:v>
                </c:pt>
                <c:pt idx="655">
                  <c:v>57.828600000000002</c:v>
                </c:pt>
                <c:pt idx="656">
                  <c:v>57.180999999999997</c:v>
                </c:pt>
                <c:pt idx="657">
                  <c:v>56.857100000000003</c:v>
                </c:pt>
                <c:pt idx="658">
                  <c:v>57.390500000000003</c:v>
                </c:pt>
                <c:pt idx="659">
                  <c:v>57.7333</c:v>
                </c:pt>
                <c:pt idx="660">
                  <c:v>57.314300000000003</c:v>
                </c:pt>
                <c:pt idx="661">
                  <c:v>56.857100000000003</c:v>
                </c:pt>
                <c:pt idx="662">
                  <c:v>57.447600000000001</c:v>
                </c:pt>
                <c:pt idx="663">
                  <c:v>58.2286</c:v>
                </c:pt>
                <c:pt idx="664">
                  <c:v>59.9238</c:v>
                </c:pt>
                <c:pt idx="665">
                  <c:v>60.323799999999999</c:v>
                </c:pt>
                <c:pt idx="666">
                  <c:v>61.8857</c:v>
                </c:pt>
                <c:pt idx="667">
                  <c:v>60.1524</c:v>
                </c:pt>
                <c:pt idx="668">
                  <c:v>59.981000000000002</c:v>
                </c:pt>
                <c:pt idx="669">
                  <c:v>62.0762</c:v>
                </c:pt>
                <c:pt idx="670">
                  <c:v>62.8</c:v>
                </c:pt>
                <c:pt idx="671">
                  <c:v>62.647599999999997</c:v>
                </c:pt>
                <c:pt idx="672">
                  <c:v>65.123800000000003</c:v>
                </c:pt>
                <c:pt idx="673">
                  <c:v>66.1905</c:v>
                </c:pt>
                <c:pt idx="674">
                  <c:v>66.723799999999997</c:v>
                </c:pt>
                <c:pt idx="675">
                  <c:v>64.0381</c:v>
                </c:pt>
                <c:pt idx="676">
                  <c:v>62.285699999999999</c:v>
                </c:pt>
                <c:pt idx="677">
                  <c:v>63.066699999999997</c:v>
                </c:pt>
                <c:pt idx="678">
                  <c:v>61.219099999999997</c:v>
                </c:pt>
                <c:pt idx="679">
                  <c:v>60.876199999999997</c:v>
                </c:pt>
                <c:pt idx="680">
                  <c:v>61.428600000000003</c:v>
                </c:pt>
                <c:pt idx="681">
                  <c:v>63.581000000000003</c:v>
                </c:pt>
                <c:pt idx="682">
                  <c:v>64.381</c:v>
                </c:pt>
                <c:pt idx="683">
                  <c:v>64</c:v>
                </c:pt>
                <c:pt idx="684">
                  <c:v>67.314300000000003</c:v>
                </c:pt>
                <c:pt idx="685">
                  <c:v>66.914299999999997</c:v>
                </c:pt>
                <c:pt idx="686">
                  <c:v>63.676200000000001</c:v>
                </c:pt>
                <c:pt idx="687">
                  <c:v>62.971400000000003</c:v>
                </c:pt>
                <c:pt idx="688">
                  <c:v>63.752400000000002</c:v>
                </c:pt>
                <c:pt idx="689">
                  <c:v>64.2667</c:v>
                </c:pt>
                <c:pt idx="690">
                  <c:v>62.1524</c:v>
                </c:pt>
                <c:pt idx="691">
                  <c:v>62.1905</c:v>
                </c:pt>
                <c:pt idx="692">
                  <c:v>63.142899999999997</c:v>
                </c:pt>
                <c:pt idx="693">
                  <c:v>63.466700000000003</c:v>
                </c:pt>
                <c:pt idx="694">
                  <c:v>64.761899999999997</c:v>
                </c:pt>
                <c:pt idx="695">
                  <c:v>67.047600000000003</c:v>
                </c:pt>
                <c:pt idx="696">
                  <c:v>60.952399999999997</c:v>
                </c:pt>
                <c:pt idx="697">
                  <c:v>59.7333</c:v>
                </c:pt>
                <c:pt idx="698">
                  <c:v>58.323799999999999</c:v>
                </c:pt>
                <c:pt idx="699">
                  <c:v>57.238100000000003</c:v>
                </c:pt>
                <c:pt idx="700">
                  <c:v>57.428600000000003</c:v>
                </c:pt>
                <c:pt idx="701">
                  <c:v>57.676200000000001</c:v>
                </c:pt>
                <c:pt idx="702">
                  <c:v>60.2286</c:v>
                </c:pt>
                <c:pt idx="703">
                  <c:v>62.647599999999997</c:v>
                </c:pt>
                <c:pt idx="704">
                  <c:v>67.219099999999997</c:v>
                </c:pt>
                <c:pt idx="705">
                  <c:v>65.714299999999994</c:v>
                </c:pt>
                <c:pt idx="706">
                  <c:v>68.552400000000006</c:v>
                </c:pt>
                <c:pt idx="707">
                  <c:v>68.895200000000003</c:v>
                </c:pt>
                <c:pt idx="708">
                  <c:v>67.409499999999994</c:v>
                </c:pt>
                <c:pt idx="709">
                  <c:v>68.590500000000006</c:v>
                </c:pt>
                <c:pt idx="710">
                  <c:v>69.142899999999997</c:v>
                </c:pt>
                <c:pt idx="711">
                  <c:v>67.942899999999995</c:v>
                </c:pt>
                <c:pt idx="712">
                  <c:v>71.942899999999995</c:v>
                </c:pt>
                <c:pt idx="713">
                  <c:v>72.971400000000003</c:v>
                </c:pt>
                <c:pt idx="714">
                  <c:v>75.619100000000003</c:v>
                </c:pt>
                <c:pt idx="715">
                  <c:v>80.704800000000006</c:v>
                </c:pt>
                <c:pt idx="716">
                  <c:v>79.447599999999994</c:v>
                </c:pt>
                <c:pt idx="717">
                  <c:v>81.523799999999994</c:v>
                </c:pt>
                <c:pt idx="718">
                  <c:v>80.761899999999997</c:v>
                </c:pt>
                <c:pt idx="719">
                  <c:v>81.523799999999994</c:v>
                </c:pt>
                <c:pt idx="720">
                  <c:v>79.409499999999994</c:v>
                </c:pt>
                <c:pt idx="721">
                  <c:v>79.409499999999994</c:v>
                </c:pt>
                <c:pt idx="722">
                  <c:v>77.714299999999994</c:v>
                </c:pt>
                <c:pt idx="723">
                  <c:v>76.590500000000006</c:v>
                </c:pt>
                <c:pt idx="724">
                  <c:v>76.590500000000006</c:v>
                </c:pt>
                <c:pt idx="725">
                  <c:v>76.742900000000006</c:v>
                </c:pt>
                <c:pt idx="726">
                  <c:v>75.276200000000003</c:v>
                </c:pt>
                <c:pt idx="727">
                  <c:v>76.1524</c:v>
                </c:pt>
                <c:pt idx="728">
                  <c:v>75.599999999999994</c:v>
                </c:pt>
                <c:pt idx="729">
                  <c:v>79.047600000000003</c:v>
                </c:pt>
                <c:pt idx="730">
                  <c:v>79.104799999999997</c:v>
                </c:pt>
                <c:pt idx="731">
                  <c:v>79.904799999999994</c:v>
                </c:pt>
                <c:pt idx="732">
                  <c:v>82.285700000000006</c:v>
                </c:pt>
                <c:pt idx="733">
                  <c:v>81.466700000000003</c:v>
                </c:pt>
                <c:pt idx="734">
                  <c:v>83.2</c:v>
                </c:pt>
                <c:pt idx="735">
                  <c:v>85.161900000000003</c:v>
                </c:pt>
                <c:pt idx="736">
                  <c:v>84.761899999999997</c:v>
                </c:pt>
                <c:pt idx="737">
                  <c:v>85.8476</c:v>
                </c:pt>
                <c:pt idx="738">
                  <c:v>85.428600000000003</c:v>
                </c:pt>
                <c:pt idx="739">
                  <c:v>82.742900000000006</c:v>
                </c:pt>
                <c:pt idx="740">
                  <c:v>83.561899999999994</c:v>
                </c:pt>
                <c:pt idx="741">
                  <c:v>83.714299999999994</c:v>
                </c:pt>
                <c:pt idx="742">
                  <c:v>85.523799999999994</c:v>
                </c:pt>
                <c:pt idx="743">
                  <c:v>83.752399999999994</c:v>
                </c:pt>
                <c:pt idx="744">
                  <c:v>80.952399999999997</c:v>
                </c:pt>
                <c:pt idx="745">
                  <c:v>80.952399999999997</c:v>
                </c:pt>
                <c:pt idx="746">
                  <c:v>82.1143</c:v>
                </c:pt>
                <c:pt idx="747">
                  <c:v>83.523799999999994</c:v>
                </c:pt>
                <c:pt idx="748">
                  <c:v>83.980999999999995</c:v>
                </c:pt>
                <c:pt idx="749">
                  <c:v>82.761899999999997</c:v>
                </c:pt>
                <c:pt idx="750">
                  <c:v>80.171400000000006</c:v>
                </c:pt>
                <c:pt idx="751">
                  <c:v>76.209500000000006</c:v>
                </c:pt>
                <c:pt idx="752">
                  <c:v>80.571399999999997</c:v>
                </c:pt>
                <c:pt idx="753">
                  <c:v>77.542900000000003</c:v>
                </c:pt>
                <c:pt idx="754">
                  <c:v>78.381</c:v>
                </c:pt>
                <c:pt idx="755">
                  <c:v>83.638099999999994</c:v>
                </c:pt>
                <c:pt idx="756">
                  <c:v>87.314300000000003</c:v>
                </c:pt>
                <c:pt idx="757">
                  <c:v>91.790499999999994</c:v>
                </c:pt>
                <c:pt idx="758">
                  <c:v>89.352400000000003</c:v>
                </c:pt>
                <c:pt idx="759">
                  <c:v>92.361900000000006</c:v>
                </c:pt>
                <c:pt idx="760">
                  <c:v>90.781000000000006</c:v>
                </c:pt>
                <c:pt idx="761">
                  <c:v>95.2</c:v>
                </c:pt>
                <c:pt idx="762">
                  <c:v>96.914299999999997</c:v>
                </c:pt>
                <c:pt idx="763">
                  <c:v>96.685699999999997</c:v>
                </c:pt>
                <c:pt idx="764">
                  <c:v>96.609499999999997</c:v>
                </c:pt>
                <c:pt idx="765">
                  <c:v>93.6952</c:v>
                </c:pt>
                <c:pt idx="766">
                  <c:v>95.238100000000003</c:v>
                </c:pt>
                <c:pt idx="767">
                  <c:v>97.504800000000003</c:v>
                </c:pt>
                <c:pt idx="768">
                  <c:v>98.609499999999997</c:v>
                </c:pt>
                <c:pt idx="769">
                  <c:v>99.2</c:v>
                </c:pt>
                <c:pt idx="770">
                  <c:v>96.781000000000006</c:v>
                </c:pt>
                <c:pt idx="771">
                  <c:v>92.8</c:v>
                </c:pt>
                <c:pt idx="772">
                  <c:v>94.971400000000003</c:v>
                </c:pt>
                <c:pt idx="773">
                  <c:v>94.133300000000006</c:v>
                </c:pt>
                <c:pt idx="774">
                  <c:v>88.8</c:v>
                </c:pt>
                <c:pt idx="775">
                  <c:v>88.476200000000006</c:v>
                </c:pt>
                <c:pt idx="776">
                  <c:v>90.095200000000006</c:v>
                </c:pt>
                <c:pt idx="777">
                  <c:v>94.2286</c:v>
                </c:pt>
                <c:pt idx="778">
                  <c:v>96.933300000000003</c:v>
                </c:pt>
                <c:pt idx="779">
                  <c:v>101.3143</c:v>
                </c:pt>
                <c:pt idx="780">
                  <c:v>96.476200000000006</c:v>
                </c:pt>
                <c:pt idx="781">
                  <c:v>95.619100000000003</c:v>
                </c:pt>
                <c:pt idx="782">
                  <c:v>99.333299999999994</c:v>
                </c:pt>
                <c:pt idx="783">
                  <c:v>98.209500000000006</c:v>
                </c:pt>
                <c:pt idx="784">
                  <c:v>99.6571</c:v>
                </c:pt>
                <c:pt idx="785">
                  <c:v>98.057100000000005</c:v>
                </c:pt>
                <c:pt idx="786">
                  <c:v>102.09520000000001</c:v>
                </c:pt>
                <c:pt idx="787">
                  <c:v>101.1238</c:v>
                </c:pt>
                <c:pt idx="788">
                  <c:v>106.32380000000001</c:v>
                </c:pt>
                <c:pt idx="789">
                  <c:v>108.09520000000001</c:v>
                </c:pt>
                <c:pt idx="790">
                  <c:v>105.71429999999999</c:v>
                </c:pt>
                <c:pt idx="791">
                  <c:v>110.8571</c:v>
                </c:pt>
                <c:pt idx="792">
                  <c:v>111.33329999999999</c:v>
                </c:pt>
                <c:pt idx="793">
                  <c:v>114.09520000000001</c:v>
                </c:pt>
                <c:pt idx="794">
                  <c:v>110.5333</c:v>
                </c:pt>
                <c:pt idx="795">
                  <c:v>110.09520000000001</c:v>
                </c:pt>
                <c:pt idx="796">
                  <c:v>110.47620000000001</c:v>
                </c:pt>
                <c:pt idx="797">
                  <c:v>105.5429</c:v>
                </c:pt>
                <c:pt idx="798">
                  <c:v>102.5714</c:v>
                </c:pt>
                <c:pt idx="799">
                  <c:v>104.7619</c:v>
                </c:pt>
                <c:pt idx="800">
                  <c:v>100.7619</c:v>
                </c:pt>
                <c:pt idx="801">
                  <c:v>104.1143</c:v>
                </c:pt>
                <c:pt idx="802">
                  <c:v>105.1048</c:v>
                </c:pt>
                <c:pt idx="803">
                  <c:v>102.51430000000001</c:v>
                </c:pt>
                <c:pt idx="804">
                  <c:v>101.90479999999999</c:v>
                </c:pt>
                <c:pt idx="805">
                  <c:v>105.86669999999999</c:v>
                </c:pt>
                <c:pt idx="806">
                  <c:v>105.2762</c:v>
                </c:pt>
                <c:pt idx="807">
                  <c:v>104.0381</c:v>
                </c:pt>
                <c:pt idx="808">
                  <c:v>102.46680000000001</c:v>
                </c:pt>
                <c:pt idx="809">
                  <c:v>102.7894</c:v>
                </c:pt>
                <c:pt idx="810">
                  <c:v>102.06829999999999</c:v>
                </c:pt>
                <c:pt idx="811">
                  <c:v>100.1708</c:v>
                </c:pt>
                <c:pt idx="812">
                  <c:v>100</c:v>
                </c:pt>
                <c:pt idx="813">
                  <c:v>98.330200000000005</c:v>
                </c:pt>
                <c:pt idx="814">
                  <c:v>98.444000000000003</c:v>
                </c:pt>
                <c:pt idx="815">
                  <c:v>98.671700000000001</c:v>
                </c:pt>
                <c:pt idx="816">
                  <c:v>97.950699999999998</c:v>
                </c:pt>
                <c:pt idx="817">
                  <c:v>94.800700000000006</c:v>
                </c:pt>
                <c:pt idx="818">
                  <c:v>92.390900000000002</c:v>
                </c:pt>
                <c:pt idx="819">
                  <c:v>92.979100000000003</c:v>
                </c:pt>
                <c:pt idx="820">
                  <c:v>89.582499999999996</c:v>
                </c:pt>
                <c:pt idx="821">
                  <c:v>88.614800000000002</c:v>
                </c:pt>
                <c:pt idx="822">
                  <c:v>89.715400000000002</c:v>
                </c:pt>
                <c:pt idx="823">
                  <c:v>90.284599999999998</c:v>
                </c:pt>
                <c:pt idx="824">
                  <c:v>92.979100000000003</c:v>
                </c:pt>
                <c:pt idx="825">
                  <c:v>92.6755</c:v>
                </c:pt>
                <c:pt idx="826">
                  <c:v>99.487700000000004</c:v>
                </c:pt>
                <c:pt idx="827">
                  <c:v>99.905100000000004</c:v>
                </c:pt>
                <c:pt idx="828">
                  <c:v>97.191599999999994</c:v>
                </c:pt>
                <c:pt idx="829">
                  <c:v>96.963899999999995</c:v>
                </c:pt>
                <c:pt idx="830">
                  <c:v>104.74379999999999</c:v>
                </c:pt>
                <c:pt idx="831">
                  <c:v>104.4212</c:v>
                </c:pt>
                <c:pt idx="832">
                  <c:v>104.55410000000001</c:v>
                </c:pt>
                <c:pt idx="833">
                  <c:v>104.55410000000001</c:v>
                </c:pt>
                <c:pt idx="834">
                  <c:v>103.3776</c:v>
                </c:pt>
                <c:pt idx="835">
                  <c:v>100.5692</c:v>
                </c:pt>
                <c:pt idx="836">
                  <c:v>100.6641</c:v>
                </c:pt>
                <c:pt idx="837">
                  <c:v>103.41549999999999</c:v>
                </c:pt>
                <c:pt idx="838">
                  <c:v>103.6812</c:v>
                </c:pt>
                <c:pt idx="839">
                  <c:v>103.79510000000001</c:v>
                </c:pt>
                <c:pt idx="840">
                  <c:v>100.37949999999999</c:v>
                </c:pt>
                <c:pt idx="841">
                  <c:v>100.37949999999999</c:v>
                </c:pt>
                <c:pt idx="842">
                  <c:v>104.0607</c:v>
                </c:pt>
                <c:pt idx="843">
                  <c:v>102.18219999999999</c:v>
                </c:pt>
                <c:pt idx="844">
                  <c:v>99.146100000000004</c:v>
                </c:pt>
                <c:pt idx="845">
                  <c:v>102.18219999999999</c:v>
                </c:pt>
                <c:pt idx="846">
                  <c:v>107.2865</c:v>
                </c:pt>
                <c:pt idx="847">
                  <c:v>108.1973</c:v>
                </c:pt>
                <c:pt idx="848">
                  <c:v>107.9696</c:v>
                </c:pt>
                <c:pt idx="849">
                  <c:v>107.9696</c:v>
                </c:pt>
                <c:pt idx="850">
                  <c:v>110.03789999999999</c:v>
                </c:pt>
                <c:pt idx="851">
                  <c:v>110.6641</c:v>
                </c:pt>
                <c:pt idx="852">
                  <c:v>109.8861</c:v>
                </c:pt>
                <c:pt idx="853">
                  <c:v>112.1442</c:v>
                </c:pt>
                <c:pt idx="854">
                  <c:v>112.12520000000001</c:v>
                </c:pt>
                <c:pt idx="855">
                  <c:v>106.0911</c:v>
                </c:pt>
                <c:pt idx="856">
                  <c:v>104.8766</c:v>
                </c:pt>
                <c:pt idx="857">
                  <c:v>106.0911</c:v>
                </c:pt>
                <c:pt idx="858">
                  <c:v>106.4516</c:v>
                </c:pt>
              </c:numCache>
            </c:numRef>
          </c:xVal>
          <c:yVal>
            <c:numRef>
              <c:f>个券数据!$Y$2</c:f>
              <c:numCache>
                <c:formatCode>0.00</c:formatCode>
                <c:ptCount val="1"/>
                <c:pt idx="0">
                  <c:v>40.154400000000003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0FF-4CF2-A6CC-A6304442B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82720"/>
        <c:axId val="208083280"/>
      </c:scatterChart>
      <c:valAx>
        <c:axId val="208082720"/>
        <c:scaling>
          <c:orientation val="minMax"/>
          <c:min val="60"/>
        </c:scaling>
        <c:delete val="0"/>
        <c:axPos val="b"/>
        <c:numFmt formatCode="#,##0_);[Red]\(#,##0\)" sourceLinked="0"/>
        <c:majorTickMark val="out"/>
        <c:minorTickMark val="none"/>
        <c:tickLblPos val="low"/>
        <c:spPr>
          <a:noFill/>
          <a:ln w="6350" cap="flat" cmpd="sng" algn="ctr">
            <a:solidFill>
              <a:srgbClr val="01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8083280"/>
        <c:crosses val="autoZero"/>
        <c:crossBetween val="midCat"/>
      </c:valAx>
      <c:valAx>
        <c:axId val="208083280"/>
        <c:scaling>
          <c:orientation val="minMax"/>
        </c:scaling>
        <c:delete val="0"/>
        <c:axPos val="l"/>
        <c:numFmt formatCode="#,##0_);\(#,##0\)" sourceLinked="0"/>
        <c:majorTickMark val="out"/>
        <c:minorTickMark val="none"/>
        <c:tickLblPos val="nextTo"/>
        <c:spPr>
          <a:noFill/>
          <a:ln w="6350" cap="flat" cmpd="sng" algn="ctr">
            <a:solidFill>
              <a:srgbClr val="01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08082720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73177989426596757"/>
          <c:y val="2.5656565656565652E-2"/>
          <c:w val="0.16832579185520363"/>
          <c:h val="0.14060606060606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楷体" panose="02010609060101010101" pitchFamily="49" charset="-122"/>
              <a:ea typeface="楷体" panose="02010609060101010101" pitchFamily="49" charset="-122"/>
              <a:cs typeface="Arial"/>
            </a:defRPr>
          </a:pPr>
          <a:endParaRPr lang="zh-CN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375927687882327E-2"/>
          <c:y val="2.9613944314610213E-2"/>
          <c:w val="0.83807866443625578"/>
          <c:h val="0.8945502094628619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41949"/>
              </a:solidFill>
              <a:prstDash val="solid"/>
            </a:ln>
          </c:spPr>
          <c:marker>
            <c:symbol val="none"/>
          </c:marker>
          <c:cat>
            <c:numRef>
              <c:f>个券数据!$A$1:$A$859</c:f>
              <c:numCache>
                <c:formatCode>yyyy/mm/dd\(aaa\)</c:formatCode>
                <c:ptCount val="859"/>
                <c:pt idx="0">
                  <c:v>44446</c:v>
                </c:pt>
                <c:pt idx="1">
                  <c:v>44446</c:v>
                </c:pt>
                <c:pt idx="2">
                  <c:v>44445</c:v>
                </c:pt>
                <c:pt idx="3">
                  <c:v>44442</c:v>
                </c:pt>
                <c:pt idx="4">
                  <c:v>44441</c:v>
                </c:pt>
                <c:pt idx="5">
                  <c:v>44440</c:v>
                </c:pt>
                <c:pt idx="6">
                  <c:v>44439</c:v>
                </c:pt>
                <c:pt idx="7">
                  <c:v>44438</c:v>
                </c:pt>
                <c:pt idx="8">
                  <c:v>44435</c:v>
                </c:pt>
                <c:pt idx="9">
                  <c:v>44434</c:v>
                </c:pt>
                <c:pt idx="10">
                  <c:v>44433</c:v>
                </c:pt>
                <c:pt idx="11">
                  <c:v>44432</c:v>
                </c:pt>
                <c:pt idx="12">
                  <c:v>44431</c:v>
                </c:pt>
                <c:pt idx="13">
                  <c:v>44428</c:v>
                </c:pt>
                <c:pt idx="14">
                  <c:v>44427</c:v>
                </c:pt>
                <c:pt idx="15">
                  <c:v>44426</c:v>
                </c:pt>
                <c:pt idx="16">
                  <c:v>44425</c:v>
                </c:pt>
                <c:pt idx="17">
                  <c:v>44424</c:v>
                </c:pt>
                <c:pt idx="18">
                  <c:v>44421</c:v>
                </c:pt>
                <c:pt idx="19">
                  <c:v>44420</c:v>
                </c:pt>
                <c:pt idx="20">
                  <c:v>44419</c:v>
                </c:pt>
                <c:pt idx="21">
                  <c:v>44418</c:v>
                </c:pt>
                <c:pt idx="22">
                  <c:v>44417</c:v>
                </c:pt>
                <c:pt idx="23">
                  <c:v>44414</c:v>
                </c:pt>
                <c:pt idx="24">
                  <c:v>44413</c:v>
                </c:pt>
                <c:pt idx="25">
                  <c:v>44412</c:v>
                </c:pt>
                <c:pt idx="26">
                  <c:v>44411</c:v>
                </c:pt>
                <c:pt idx="27">
                  <c:v>44410</c:v>
                </c:pt>
                <c:pt idx="28">
                  <c:v>44407</c:v>
                </c:pt>
                <c:pt idx="29">
                  <c:v>44406</c:v>
                </c:pt>
                <c:pt idx="30">
                  <c:v>44405</c:v>
                </c:pt>
                <c:pt idx="31">
                  <c:v>44404</c:v>
                </c:pt>
                <c:pt idx="32">
                  <c:v>44403</c:v>
                </c:pt>
                <c:pt idx="33">
                  <c:v>44400</c:v>
                </c:pt>
                <c:pt idx="34">
                  <c:v>44399</c:v>
                </c:pt>
                <c:pt idx="35">
                  <c:v>44398</c:v>
                </c:pt>
                <c:pt idx="36">
                  <c:v>44397</c:v>
                </c:pt>
                <c:pt idx="37">
                  <c:v>44396</c:v>
                </c:pt>
                <c:pt idx="38">
                  <c:v>44393</c:v>
                </c:pt>
                <c:pt idx="39">
                  <c:v>44392</c:v>
                </c:pt>
                <c:pt idx="40">
                  <c:v>44391</c:v>
                </c:pt>
                <c:pt idx="41">
                  <c:v>44390</c:v>
                </c:pt>
                <c:pt idx="42">
                  <c:v>44389</c:v>
                </c:pt>
                <c:pt idx="43">
                  <c:v>44386</c:v>
                </c:pt>
                <c:pt idx="44">
                  <c:v>44385</c:v>
                </c:pt>
                <c:pt idx="45">
                  <c:v>44384</c:v>
                </c:pt>
                <c:pt idx="46">
                  <c:v>44383</c:v>
                </c:pt>
                <c:pt idx="47">
                  <c:v>44382</c:v>
                </c:pt>
                <c:pt idx="48">
                  <c:v>44379</c:v>
                </c:pt>
                <c:pt idx="49">
                  <c:v>44378</c:v>
                </c:pt>
                <c:pt idx="50">
                  <c:v>44377</c:v>
                </c:pt>
                <c:pt idx="51">
                  <c:v>44376</c:v>
                </c:pt>
                <c:pt idx="52">
                  <c:v>44375</c:v>
                </c:pt>
                <c:pt idx="53">
                  <c:v>44372</c:v>
                </c:pt>
                <c:pt idx="54">
                  <c:v>44371</c:v>
                </c:pt>
                <c:pt idx="55">
                  <c:v>44370</c:v>
                </c:pt>
                <c:pt idx="56">
                  <c:v>44369</c:v>
                </c:pt>
                <c:pt idx="57">
                  <c:v>44368</c:v>
                </c:pt>
                <c:pt idx="58">
                  <c:v>44365</c:v>
                </c:pt>
                <c:pt idx="59">
                  <c:v>44364</c:v>
                </c:pt>
                <c:pt idx="60">
                  <c:v>44363</c:v>
                </c:pt>
                <c:pt idx="61">
                  <c:v>44362</c:v>
                </c:pt>
                <c:pt idx="62">
                  <c:v>44358</c:v>
                </c:pt>
                <c:pt idx="63">
                  <c:v>44357</c:v>
                </c:pt>
                <c:pt idx="64">
                  <c:v>44356</c:v>
                </c:pt>
                <c:pt idx="65">
                  <c:v>44355</c:v>
                </c:pt>
                <c:pt idx="66">
                  <c:v>44354</c:v>
                </c:pt>
                <c:pt idx="67">
                  <c:v>44351</c:v>
                </c:pt>
                <c:pt idx="68">
                  <c:v>44350</c:v>
                </c:pt>
                <c:pt idx="69">
                  <c:v>44349</c:v>
                </c:pt>
                <c:pt idx="70">
                  <c:v>44348</c:v>
                </c:pt>
                <c:pt idx="71">
                  <c:v>44347</c:v>
                </c:pt>
                <c:pt idx="72">
                  <c:v>44344</c:v>
                </c:pt>
                <c:pt idx="73">
                  <c:v>44343</c:v>
                </c:pt>
                <c:pt idx="74">
                  <c:v>44342</c:v>
                </c:pt>
                <c:pt idx="75">
                  <c:v>44341</c:v>
                </c:pt>
                <c:pt idx="76">
                  <c:v>44340</c:v>
                </c:pt>
                <c:pt idx="77">
                  <c:v>44337</c:v>
                </c:pt>
                <c:pt idx="78">
                  <c:v>44336</c:v>
                </c:pt>
                <c:pt idx="79">
                  <c:v>44335</c:v>
                </c:pt>
                <c:pt idx="80">
                  <c:v>44334</c:v>
                </c:pt>
                <c:pt idx="81">
                  <c:v>44333</c:v>
                </c:pt>
                <c:pt idx="82">
                  <c:v>44330</c:v>
                </c:pt>
                <c:pt idx="83">
                  <c:v>44329</c:v>
                </c:pt>
                <c:pt idx="84">
                  <c:v>44328</c:v>
                </c:pt>
                <c:pt idx="85">
                  <c:v>44327</c:v>
                </c:pt>
                <c:pt idx="86">
                  <c:v>44326</c:v>
                </c:pt>
                <c:pt idx="87">
                  <c:v>44323</c:v>
                </c:pt>
                <c:pt idx="88">
                  <c:v>44322</c:v>
                </c:pt>
                <c:pt idx="89">
                  <c:v>44316</c:v>
                </c:pt>
                <c:pt idx="90">
                  <c:v>44315</c:v>
                </c:pt>
                <c:pt idx="91">
                  <c:v>44314</c:v>
                </c:pt>
                <c:pt idx="92">
                  <c:v>44313</c:v>
                </c:pt>
                <c:pt idx="93">
                  <c:v>44312</c:v>
                </c:pt>
                <c:pt idx="94">
                  <c:v>44309</c:v>
                </c:pt>
                <c:pt idx="95">
                  <c:v>44308</c:v>
                </c:pt>
                <c:pt idx="96">
                  <c:v>44307</c:v>
                </c:pt>
                <c:pt idx="97">
                  <c:v>44306</c:v>
                </c:pt>
                <c:pt idx="98">
                  <c:v>44305</c:v>
                </c:pt>
                <c:pt idx="99">
                  <c:v>44302</c:v>
                </c:pt>
                <c:pt idx="100">
                  <c:v>44301</c:v>
                </c:pt>
                <c:pt idx="101">
                  <c:v>44300</c:v>
                </c:pt>
                <c:pt idx="102">
                  <c:v>44299</c:v>
                </c:pt>
                <c:pt idx="103">
                  <c:v>44298</c:v>
                </c:pt>
                <c:pt idx="104">
                  <c:v>44295</c:v>
                </c:pt>
                <c:pt idx="105">
                  <c:v>44294</c:v>
                </c:pt>
                <c:pt idx="106">
                  <c:v>44293</c:v>
                </c:pt>
                <c:pt idx="107">
                  <c:v>44292</c:v>
                </c:pt>
                <c:pt idx="108">
                  <c:v>44288</c:v>
                </c:pt>
                <c:pt idx="109">
                  <c:v>44287</c:v>
                </c:pt>
                <c:pt idx="110">
                  <c:v>44286</c:v>
                </c:pt>
                <c:pt idx="111">
                  <c:v>44285</c:v>
                </c:pt>
                <c:pt idx="112">
                  <c:v>44284</c:v>
                </c:pt>
                <c:pt idx="113">
                  <c:v>44281</c:v>
                </c:pt>
                <c:pt idx="114">
                  <c:v>44280</c:v>
                </c:pt>
                <c:pt idx="115">
                  <c:v>44279</c:v>
                </c:pt>
                <c:pt idx="116">
                  <c:v>44278</c:v>
                </c:pt>
                <c:pt idx="117">
                  <c:v>44277</c:v>
                </c:pt>
                <c:pt idx="118">
                  <c:v>44274</c:v>
                </c:pt>
                <c:pt idx="119">
                  <c:v>44273</c:v>
                </c:pt>
                <c:pt idx="120">
                  <c:v>44272</c:v>
                </c:pt>
                <c:pt idx="121">
                  <c:v>44271</c:v>
                </c:pt>
                <c:pt idx="122">
                  <c:v>44270</c:v>
                </c:pt>
                <c:pt idx="123">
                  <c:v>44267</c:v>
                </c:pt>
                <c:pt idx="124">
                  <c:v>44266</c:v>
                </c:pt>
                <c:pt idx="125">
                  <c:v>44265</c:v>
                </c:pt>
                <c:pt idx="126">
                  <c:v>44264</c:v>
                </c:pt>
                <c:pt idx="127">
                  <c:v>44263</c:v>
                </c:pt>
                <c:pt idx="128">
                  <c:v>44260</c:v>
                </c:pt>
                <c:pt idx="129">
                  <c:v>44259</c:v>
                </c:pt>
                <c:pt idx="130">
                  <c:v>44258</c:v>
                </c:pt>
                <c:pt idx="131">
                  <c:v>44257</c:v>
                </c:pt>
                <c:pt idx="132">
                  <c:v>44256</c:v>
                </c:pt>
                <c:pt idx="133">
                  <c:v>44253</c:v>
                </c:pt>
                <c:pt idx="134">
                  <c:v>44252</c:v>
                </c:pt>
                <c:pt idx="135">
                  <c:v>44251</c:v>
                </c:pt>
                <c:pt idx="136">
                  <c:v>44250</c:v>
                </c:pt>
                <c:pt idx="137">
                  <c:v>44249</c:v>
                </c:pt>
                <c:pt idx="138">
                  <c:v>44246</c:v>
                </c:pt>
                <c:pt idx="139">
                  <c:v>44245</c:v>
                </c:pt>
                <c:pt idx="140">
                  <c:v>44237</c:v>
                </c:pt>
                <c:pt idx="141">
                  <c:v>44236</c:v>
                </c:pt>
                <c:pt idx="142">
                  <c:v>44235</c:v>
                </c:pt>
                <c:pt idx="143">
                  <c:v>44232</c:v>
                </c:pt>
                <c:pt idx="144">
                  <c:v>44231</c:v>
                </c:pt>
                <c:pt idx="145">
                  <c:v>44230</c:v>
                </c:pt>
                <c:pt idx="146">
                  <c:v>44229</c:v>
                </c:pt>
                <c:pt idx="147">
                  <c:v>44228</c:v>
                </c:pt>
                <c:pt idx="148">
                  <c:v>44225</c:v>
                </c:pt>
                <c:pt idx="149">
                  <c:v>44224</c:v>
                </c:pt>
                <c:pt idx="150">
                  <c:v>44223</c:v>
                </c:pt>
                <c:pt idx="151">
                  <c:v>44222</c:v>
                </c:pt>
                <c:pt idx="152">
                  <c:v>44221</c:v>
                </c:pt>
                <c:pt idx="153">
                  <c:v>44218</c:v>
                </c:pt>
                <c:pt idx="154">
                  <c:v>44217</c:v>
                </c:pt>
                <c:pt idx="155">
                  <c:v>44216</c:v>
                </c:pt>
                <c:pt idx="156">
                  <c:v>44215</c:v>
                </c:pt>
                <c:pt idx="157">
                  <c:v>44214</c:v>
                </c:pt>
                <c:pt idx="158">
                  <c:v>44211</c:v>
                </c:pt>
                <c:pt idx="159">
                  <c:v>44210</c:v>
                </c:pt>
                <c:pt idx="160">
                  <c:v>44209</c:v>
                </c:pt>
                <c:pt idx="161">
                  <c:v>44208</c:v>
                </c:pt>
                <c:pt idx="162">
                  <c:v>44207</c:v>
                </c:pt>
                <c:pt idx="163">
                  <c:v>44204</c:v>
                </c:pt>
                <c:pt idx="164">
                  <c:v>44203</c:v>
                </c:pt>
                <c:pt idx="165">
                  <c:v>44202</c:v>
                </c:pt>
                <c:pt idx="166">
                  <c:v>44201</c:v>
                </c:pt>
                <c:pt idx="167">
                  <c:v>44200</c:v>
                </c:pt>
                <c:pt idx="168">
                  <c:v>44196</c:v>
                </c:pt>
                <c:pt idx="169">
                  <c:v>44195</c:v>
                </c:pt>
                <c:pt idx="170">
                  <c:v>44194</c:v>
                </c:pt>
                <c:pt idx="171">
                  <c:v>44193</c:v>
                </c:pt>
                <c:pt idx="172">
                  <c:v>44190</c:v>
                </c:pt>
                <c:pt idx="173">
                  <c:v>44189</c:v>
                </c:pt>
                <c:pt idx="174">
                  <c:v>44188</c:v>
                </c:pt>
                <c:pt idx="175">
                  <c:v>44187</c:v>
                </c:pt>
                <c:pt idx="176">
                  <c:v>44186</c:v>
                </c:pt>
                <c:pt idx="177">
                  <c:v>44183</c:v>
                </c:pt>
                <c:pt idx="178">
                  <c:v>44182</c:v>
                </c:pt>
                <c:pt idx="179">
                  <c:v>44181</c:v>
                </c:pt>
                <c:pt idx="180">
                  <c:v>44180</c:v>
                </c:pt>
                <c:pt idx="181">
                  <c:v>44179</c:v>
                </c:pt>
                <c:pt idx="182">
                  <c:v>44176</c:v>
                </c:pt>
                <c:pt idx="183">
                  <c:v>44175</c:v>
                </c:pt>
                <c:pt idx="184">
                  <c:v>44174</c:v>
                </c:pt>
                <c:pt idx="185">
                  <c:v>44173</c:v>
                </c:pt>
                <c:pt idx="186">
                  <c:v>44172</c:v>
                </c:pt>
                <c:pt idx="187">
                  <c:v>44169</c:v>
                </c:pt>
                <c:pt idx="188">
                  <c:v>44168</c:v>
                </c:pt>
                <c:pt idx="189">
                  <c:v>44167</c:v>
                </c:pt>
                <c:pt idx="190">
                  <c:v>44166</c:v>
                </c:pt>
                <c:pt idx="191">
                  <c:v>44165</c:v>
                </c:pt>
                <c:pt idx="192">
                  <c:v>44162</c:v>
                </c:pt>
                <c:pt idx="193">
                  <c:v>44161</c:v>
                </c:pt>
                <c:pt idx="194">
                  <c:v>44160</c:v>
                </c:pt>
                <c:pt idx="195">
                  <c:v>44159</c:v>
                </c:pt>
                <c:pt idx="196">
                  <c:v>44158</c:v>
                </c:pt>
                <c:pt idx="197">
                  <c:v>44155</c:v>
                </c:pt>
                <c:pt idx="198">
                  <c:v>44154</c:v>
                </c:pt>
                <c:pt idx="199">
                  <c:v>44153</c:v>
                </c:pt>
                <c:pt idx="200">
                  <c:v>44152</c:v>
                </c:pt>
                <c:pt idx="201">
                  <c:v>44151</c:v>
                </c:pt>
                <c:pt idx="202">
                  <c:v>44148</c:v>
                </c:pt>
                <c:pt idx="203">
                  <c:v>44147</c:v>
                </c:pt>
                <c:pt idx="204">
                  <c:v>44146</c:v>
                </c:pt>
                <c:pt idx="205">
                  <c:v>44145</c:v>
                </c:pt>
                <c:pt idx="206">
                  <c:v>44144</c:v>
                </c:pt>
                <c:pt idx="207">
                  <c:v>44141</c:v>
                </c:pt>
                <c:pt idx="208">
                  <c:v>44140</c:v>
                </c:pt>
                <c:pt idx="209">
                  <c:v>44139</c:v>
                </c:pt>
                <c:pt idx="210">
                  <c:v>44138</c:v>
                </c:pt>
                <c:pt idx="211">
                  <c:v>44137</c:v>
                </c:pt>
                <c:pt idx="212">
                  <c:v>44134</c:v>
                </c:pt>
                <c:pt idx="213">
                  <c:v>44133</c:v>
                </c:pt>
                <c:pt idx="214">
                  <c:v>44132</c:v>
                </c:pt>
                <c:pt idx="215">
                  <c:v>44131</c:v>
                </c:pt>
                <c:pt idx="216">
                  <c:v>44130</c:v>
                </c:pt>
                <c:pt idx="217">
                  <c:v>44127</c:v>
                </c:pt>
                <c:pt idx="218">
                  <c:v>44126</c:v>
                </c:pt>
                <c:pt idx="219">
                  <c:v>44125</c:v>
                </c:pt>
                <c:pt idx="220">
                  <c:v>44124</c:v>
                </c:pt>
                <c:pt idx="221">
                  <c:v>44123</c:v>
                </c:pt>
                <c:pt idx="222">
                  <c:v>44120</c:v>
                </c:pt>
                <c:pt idx="223">
                  <c:v>44119</c:v>
                </c:pt>
                <c:pt idx="224">
                  <c:v>44118</c:v>
                </c:pt>
                <c:pt idx="225">
                  <c:v>44117</c:v>
                </c:pt>
                <c:pt idx="226">
                  <c:v>44116</c:v>
                </c:pt>
                <c:pt idx="227">
                  <c:v>44113</c:v>
                </c:pt>
                <c:pt idx="228">
                  <c:v>44104</c:v>
                </c:pt>
                <c:pt idx="229">
                  <c:v>44103</c:v>
                </c:pt>
                <c:pt idx="230">
                  <c:v>44102</c:v>
                </c:pt>
                <c:pt idx="231">
                  <c:v>44099</c:v>
                </c:pt>
                <c:pt idx="232">
                  <c:v>44098</c:v>
                </c:pt>
                <c:pt idx="233">
                  <c:v>44097</c:v>
                </c:pt>
                <c:pt idx="234">
                  <c:v>44096</c:v>
                </c:pt>
                <c:pt idx="235">
                  <c:v>44095</c:v>
                </c:pt>
                <c:pt idx="236">
                  <c:v>44092</c:v>
                </c:pt>
                <c:pt idx="237">
                  <c:v>44091</c:v>
                </c:pt>
                <c:pt idx="238">
                  <c:v>44090</c:v>
                </c:pt>
                <c:pt idx="239">
                  <c:v>44089</c:v>
                </c:pt>
                <c:pt idx="240">
                  <c:v>44088</c:v>
                </c:pt>
                <c:pt idx="241">
                  <c:v>44085</c:v>
                </c:pt>
                <c:pt idx="242">
                  <c:v>44084</c:v>
                </c:pt>
                <c:pt idx="243">
                  <c:v>44083</c:v>
                </c:pt>
                <c:pt idx="244">
                  <c:v>44082</c:v>
                </c:pt>
                <c:pt idx="245">
                  <c:v>44081</c:v>
                </c:pt>
                <c:pt idx="246">
                  <c:v>44078</c:v>
                </c:pt>
                <c:pt idx="247">
                  <c:v>44077</c:v>
                </c:pt>
                <c:pt idx="248">
                  <c:v>44076</c:v>
                </c:pt>
                <c:pt idx="249">
                  <c:v>44075</c:v>
                </c:pt>
                <c:pt idx="250">
                  <c:v>44074</c:v>
                </c:pt>
                <c:pt idx="251">
                  <c:v>44071</c:v>
                </c:pt>
                <c:pt idx="252">
                  <c:v>44070</c:v>
                </c:pt>
                <c:pt idx="253">
                  <c:v>44069</c:v>
                </c:pt>
                <c:pt idx="254">
                  <c:v>44068</c:v>
                </c:pt>
                <c:pt idx="255">
                  <c:v>44067</c:v>
                </c:pt>
                <c:pt idx="256">
                  <c:v>44064</c:v>
                </c:pt>
                <c:pt idx="257">
                  <c:v>44063</c:v>
                </c:pt>
                <c:pt idx="258">
                  <c:v>44062</c:v>
                </c:pt>
                <c:pt idx="259">
                  <c:v>44061</c:v>
                </c:pt>
                <c:pt idx="260">
                  <c:v>44060</c:v>
                </c:pt>
                <c:pt idx="261">
                  <c:v>44057</c:v>
                </c:pt>
                <c:pt idx="262">
                  <c:v>44056</c:v>
                </c:pt>
                <c:pt idx="263">
                  <c:v>44055</c:v>
                </c:pt>
                <c:pt idx="264">
                  <c:v>44054</c:v>
                </c:pt>
                <c:pt idx="265">
                  <c:v>44053</c:v>
                </c:pt>
                <c:pt idx="266">
                  <c:v>44050</c:v>
                </c:pt>
                <c:pt idx="267">
                  <c:v>44049</c:v>
                </c:pt>
                <c:pt idx="268">
                  <c:v>44048</c:v>
                </c:pt>
                <c:pt idx="269">
                  <c:v>44047</c:v>
                </c:pt>
                <c:pt idx="270">
                  <c:v>44046</c:v>
                </c:pt>
                <c:pt idx="271">
                  <c:v>44043</c:v>
                </c:pt>
                <c:pt idx="272">
                  <c:v>44042</c:v>
                </c:pt>
                <c:pt idx="273">
                  <c:v>44041</c:v>
                </c:pt>
                <c:pt idx="274">
                  <c:v>44040</c:v>
                </c:pt>
                <c:pt idx="275">
                  <c:v>44039</c:v>
                </c:pt>
                <c:pt idx="276">
                  <c:v>44036</c:v>
                </c:pt>
                <c:pt idx="277">
                  <c:v>44035</c:v>
                </c:pt>
                <c:pt idx="278">
                  <c:v>44034</c:v>
                </c:pt>
                <c:pt idx="279">
                  <c:v>44033</c:v>
                </c:pt>
                <c:pt idx="280">
                  <c:v>44032</c:v>
                </c:pt>
                <c:pt idx="281">
                  <c:v>44029</c:v>
                </c:pt>
                <c:pt idx="282">
                  <c:v>44028</c:v>
                </c:pt>
                <c:pt idx="283">
                  <c:v>44027</c:v>
                </c:pt>
                <c:pt idx="284">
                  <c:v>44026</c:v>
                </c:pt>
                <c:pt idx="285">
                  <c:v>44025</c:v>
                </c:pt>
                <c:pt idx="286">
                  <c:v>44022</c:v>
                </c:pt>
                <c:pt idx="287">
                  <c:v>44021</c:v>
                </c:pt>
                <c:pt idx="288">
                  <c:v>44020</c:v>
                </c:pt>
                <c:pt idx="289">
                  <c:v>44019</c:v>
                </c:pt>
                <c:pt idx="290">
                  <c:v>44018</c:v>
                </c:pt>
                <c:pt idx="291">
                  <c:v>44015</c:v>
                </c:pt>
                <c:pt idx="292">
                  <c:v>44014</c:v>
                </c:pt>
                <c:pt idx="293">
                  <c:v>44013</c:v>
                </c:pt>
                <c:pt idx="294">
                  <c:v>44012</c:v>
                </c:pt>
                <c:pt idx="295">
                  <c:v>44011</c:v>
                </c:pt>
                <c:pt idx="296">
                  <c:v>44006</c:v>
                </c:pt>
                <c:pt idx="297">
                  <c:v>44005</c:v>
                </c:pt>
                <c:pt idx="298">
                  <c:v>44004</c:v>
                </c:pt>
                <c:pt idx="299">
                  <c:v>44001</c:v>
                </c:pt>
                <c:pt idx="300">
                  <c:v>44000</c:v>
                </c:pt>
                <c:pt idx="301">
                  <c:v>43999</c:v>
                </c:pt>
                <c:pt idx="302">
                  <c:v>43998</c:v>
                </c:pt>
                <c:pt idx="303">
                  <c:v>43997</c:v>
                </c:pt>
                <c:pt idx="304">
                  <c:v>43994</c:v>
                </c:pt>
                <c:pt idx="305">
                  <c:v>43993</c:v>
                </c:pt>
                <c:pt idx="306">
                  <c:v>43992</c:v>
                </c:pt>
                <c:pt idx="307">
                  <c:v>43991</c:v>
                </c:pt>
                <c:pt idx="308">
                  <c:v>43990</c:v>
                </c:pt>
                <c:pt idx="309">
                  <c:v>43987</c:v>
                </c:pt>
                <c:pt idx="310">
                  <c:v>43986</c:v>
                </c:pt>
                <c:pt idx="311">
                  <c:v>43985</c:v>
                </c:pt>
                <c:pt idx="312">
                  <c:v>43984</c:v>
                </c:pt>
                <c:pt idx="313">
                  <c:v>43983</c:v>
                </c:pt>
                <c:pt idx="314">
                  <c:v>43980</c:v>
                </c:pt>
                <c:pt idx="315">
                  <c:v>43979</c:v>
                </c:pt>
                <c:pt idx="316">
                  <c:v>43978</c:v>
                </c:pt>
                <c:pt idx="317">
                  <c:v>43977</c:v>
                </c:pt>
                <c:pt idx="318">
                  <c:v>43976</c:v>
                </c:pt>
                <c:pt idx="319">
                  <c:v>43973</c:v>
                </c:pt>
                <c:pt idx="320">
                  <c:v>43972</c:v>
                </c:pt>
                <c:pt idx="321">
                  <c:v>43971</c:v>
                </c:pt>
                <c:pt idx="322">
                  <c:v>43970</c:v>
                </c:pt>
                <c:pt idx="323">
                  <c:v>43969</c:v>
                </c:pt>
                <c:pt idx="324">
                  <c:v>43966</c:v>
                </c:pt>
                <c:pt idx="325">
                  <c:v>43965</c:v>
                </c:pt>
                <c:pt idx="326">
                  <c:v>43964</c:v>
                </c:pt>
                <c:pt idx="327">
                  <c:v>43963</c:v>
                </c:pt>
                <c:pt idx="328">
                  <c:v>43962</c:v>
                </c:pt>
                <c:pt idx="329">
                  <c:v>43959</c:v>
                </c:pt>
                <c:pt idx="330">
                  <c:v>43958</c:v>
                </c:pt>
                <c:pt idx="331">
                  <c:v>43957</c:v>
                </c:pt>
                <c:pt idx="332">
                  <c:v>43951</c:v>
                </c:pt>
                <c:pt idx="333">
                  <c:v>43950</c:v>
                </c:pt>
                <c:pt idx="334">
                  <c:v>43949</c:v>
                </c:pt>
                <c:pt idx="335">
                  <c:v>43948</c:v>
                </c:pt>
                <c:pt idx="336">
                  <c:v>43945</c:v>
                </c:pt>
                <c:pt idx="337">
                  <c:v>43944</c:v>
                </c:pt>
                <c:pt idx="338">
                  <c:v>43943</c:v>
                </c:pt>
                <c:pt idx="339">
                  <c:v>43942</c:v>
                </c:pt>
                <c:pt idx="340">
                  <c:v>43941</c:v>
                </c:pt>
                <c:pt idx="341">
                  <c:v>43938</c:v>
                </c:pt>
                <c:pt idx="342">
                  <c:v>43937</c:v>
                </c:pt>
                <c:pt idx="343">
                  <c:v>43936</c:v>
                </c:pt>
                <c:pt idx="344">
                  <c:v>43935</c:v>
                </c:pt>
                <c:pt idx="345">
                  <c:v>43934</c:v>
                </c:pt>
                <c:pt idx="346">
                  <c:v>43931</c:v>
                </c:pt>
                <c:pt idx="347">
                  <c:v>43930</c:v>
                </c:pt>
                <c:pt idx="348">
                  <c:v>43929</c:v>
                </c:pt>
                <c:pt idx="349">
                  <c:v>43928</c:v>
                </c:pt>
                <c:pt idx="350">
                  <c:v>43924</c:v>
                </c:pt>
                <c:pt idx="351">
                  <c:v>43923</c:v>
                </c:pt>
                <c:pt idx="352">
                  <c:v>43922</c:v>
                </c:pt>
                <c:pt idx="353">
                  <c:v>43921</c:v>
                </c:pt>
                <c:pt idx="354">
                  <c:v>43920</c:v>
                </c:pt>
                <c:pt idx="355">
                  <c:v>43917</c:v>
                </c:pt>
                <c:pt idx="356">
                  <c:v>43916</c:v>
                </c:pt>
                <c:pt idx="357">
                  <c:v>43915</c:v>
                </c:pt>
                <c:pt idx="358">
                  <c:v>43914</c:v>
                </c:pt>
                <c:pt idx="359">
                  <c:v>43913</c:v>
                </c:pt>
                <c:pt idx="360">
                  <c:v>43910</c:v>
                </c:pt>
                <c:pt idx="361">
                  <c:v>43909</c:v>
                </c:pt>
                <c:pt idx="362">
                  <c:v>43908</c:v>
                </c:pt>
                <c:pt idx="363">
                  <c:v>43907</c:v>
                </c:pt>
                <c:pt idx="364">
                  <c:v>43906</c:v>
                </c:pt>
                <c:pt idx="365">
                  <c:v>43903</c:v>
                </c:pt>
                <c:pt idx="366">
                  <c:v>43902</c:v>
                </c:pt>
                <c:pt idx="367">
                  <c:v>43901</c:v>
                </c:pt>
                <c:pt idx="368">
                  <c:v>43900</c:v>
                </c:pt>
                <c:pt idx="369">
                  <c:v>43899</c:v>
                </c:pt>
                <c:pt idx="370">
                  <c:v>43896</c:v>
                </c:pt>
                <c:pt idx="371">
                  <c:v>43895</c:v>
                </c:pt>
                <c:pt idx="372">
                  <c:v>43894</c:v>
                </c:pt>
                <c:pt idx="373">
                  <c:v>43893</c:v>
                </c:pt>
                <c:pt idx="374">
                  <c:v>43892</c:v>
                </c:pt>
                <c:pt idx="375">
                  <c:v>43889</c:v>
                </c:pt>
                <c:pt idx="376">
                  <c:v>43888</c:v>
                </c:pt>
                <c:pt idx="377">
                  <c:v>43887</c:v>
                </c:pt>
                <c:pt idx="378">
                  <c:v>43886</c:v>
                </c:pt>
                <c:pt idx="379">
                  <c:v>43885</c:v>
                </c:pt>
                <c:pt idx="380">
                  <c:v>43882</c:v>
                </c:pt>
                <c:pt idx="381">
                  <c:v>43881</c:v>
                </c:pt>
                <c:pt idx="382">
                  <c:v>43880</c:v>
                </c:pt>
                <c:pt idx="383">
                  <c:v>43879</c:v>
                </c:pt>
                <c:pt idx="384">
                  <c:v>43878</c:v>
                </c:pt>
                <c:pt idx="385">
                  <c:v>43875</c:v>
                </c:pt>
                <c:pt idx="386">
                  <c:v>43874</c:v>
                </c:pt>
                <c:pt idx="387">
                  <c:v>43873</c:v>
                </c:pt>
                <c:pt idx="388">
                  <c:v>43872</c:v>
                </c:pt>
                <c:pt idx="389">
                  <c:v>43871</c:v>
                </c:pt>
                <c:pt idx="390">
                  <c:v>43868</c:v>
                </c:pt>
                <c:pt idx="391">
                  <c:v>43867</c:v>
                </c:pt>
                <c:pt idx="392">
                  <c:v>43866</c:v>
                </c:pt>
                <c:pt idx="393">
                  <c:v>43865</c:v>
                </c:pt>
                <c:pt idx="394">
                  <c:v>43864</c:v>
                </c:pt>
                <c:pt idx="395">
                  <c:v>43853</c:v>
                </c:pt>
                <c:pt idx="396">
                  <c:v>43852</c:v>
                </c:pt>
                <c:pt idx="397">
                  <c:v>43851</c:v>
                </c:pt>
                <c:pt idx="398">
                  <c:v>43850</c:v>
                </c:pt>
                <c:pt idx="399">
                  <c:v>43847</c:v>
                </c:pt>
                <c:pt idx="400">
                  <c:v>43846</c:v>
                </c:pt>
                <c:pt idx="401">
                  <c:v>43845</c:v>
                </c:pt>
                <c:pt idx="402">
                  <c:v>43844</c:v>
                </c:pt>
                <c:pt idx="403">
                  <c:v>43843</c:v>
                </c:pt>
                <c:pt idx="404">
                  <c:v>43840</c:v>
                </c:pt>
                <c:pt idx="405">
                  <c:v>43839</c:v>
                </c:pt>
                <c:pt idx="406">
                  <c:v>43838</c:v>
                </c:pt>
                <c:pt idx="407">
                  <c:v>43837</c:v>
                </c:pt>
                <c:pt idx="408">
                  <c:v>43836</c:v>
                </c:pt>
                <c:pt idx="409">
                  <c:v>43833</c:v>
                </c:pt>
                <c:pt idx="410">
                  <c:v>43832</c:v>
                </c:pt>
                <c:pt idx="411">
                  <c:v>43830</c:v>
                </c:pt>
                <c:pt idx="412">
                  <c:v>43829</c:v>
                </c:pt>
                <c:pt idx="413">
                  <c:v>43826</c:v>
                </c:pt>
                <c:pt idx="414">
                  <c:v>43825</c:v>
                </c:pt>
                <c:pt idx="415">
                  <c:v>43824</c:v>
                </c:pt>
                <c:pt idx="416">
                  <c:v>43823</c:v>
                </c:pt>
                <c:pt idx="417">
                  <c:v>43822</c:v>
                </c:pt>
                <c:pt idx="418">
                  <c:v>43819</c:v>
                </c:pt>
                <c:pt idx="419">
                  <c:v>43818</c:v>
                </c:pt>
                <c:pt idx="420">
                  <c:v>43817</c:v>
                </c:pt>
                <c:pt idx="421">
                  <c:v>43816</c:v>
                </c:pt>
                <c:pt idx="422">
                  <c:v>43815</c:v>
                </c:pt>
                <c:pt idx="423">
                  <c:v>43812</c:v>
                </c:pt>
                <c:pt idx="424">
                  <c:v>43811</c:v>
                </c:pt>
                <c:pt idx="425">
                  <c:v>43810</c:v>
                </c:pt>
                <c:pt idx="426">
                  <c:v>43809</c:v>
                </c:pt>
                <c:pt idx="427">
                  <c:v>43808</c:v>
                </c:pt>
                <c:pt idx="428">
                  <c:v>43805</c:v>
                </c:pt>
                <c:pt idx="429">
                  <c:v>43804</c:v>
                </c:pt>
                <c:pt idx="430">
                  <c:v>43803</c:v>
                </c:pt>
                <c:pt idx="431">
                  <c:v>43802</c:v>
                </c:pt>
                <c:pt idx="432">
                  <c:v>43801</c:v>
                </c:pt>
                <c:pt idx="433">
                  <c:v>43798</c:v>
                </c:pt>
                <c:pt idx="434">
                  <c:v>43797</c:v>
                </c:pt>
                <c:pt idx="435">
                  <c:v>43796</c:v>
                </c:pt>
                <c:pt idx="436">
                  <c:v>43795</c:v>
                </c:pt>
                <c:pt idx="437">
                  <c:v>43794</c:v>
                </c:pt>
                <c:pt idx="438">
                  <c:v>43791</c:v>
                </c:pt>
                <c:pt idx="439">
                  <c:v>43790</c:v>
                </c:pt>
                <c:pt idx="440">
                  <c:v>43789</c:v>
                </c:pt>
                <c:pt idx="441">
                  <c:v>43788</c:v>
                </c:pt>
                <c:pt idx="442">
                  <c:v>43787</c:v>
                </c:pt>
                <c:pt idx="443">
                  <c:v>43784</c:v>
                </c:pt>
                <c:pt idx="444">
                  <c:v>43783</c:v>
                </c:pt>
                <c:pt idx="445">
                  <c:v>43782</c:v>
                </c:pt>
                <c:pt idx="446">
                  <c:v>43781</c:v>
                </c:pt>
                <c:pt idx="447">
                  <c:v>43780</c:v>
                </c:pt>
                <c:pt idx="448">
                  <c:v>43777</c:v>
                </c:pt>
                <c:pt idx="449">
                  <c:v>43776</c:v>
                </c:pt>
                <c:pt idx="450">
                  <c:v>43775</c:v>
                </c:pt>
                <c:pt idx="451">
                  <c:v>43774</c:v>
                </c:pt>
                <c:pt idx="452">
                  <c:v>43773</c:v>
                </c:pt>
                <c:pt idx="453">
                  <c:v>43770</c:v>
                </c:pt>
                <c:pt idx="454">
                  <c:v>43769</c:v>
                </c:pt>
                <c:pt idx="455">
                  <c:v>43768</c:v>
                </c:pt>
                <c:pt idx="456">
                  <c:v>43767</c:v>
                </c:pt>
                <c:pt idx="457">
                  <c:v>43766</c:v>
                </c:pt>
                <c:pt idx="458">
                  <c:v>43763</c:v>
                </c:pt>
                <c:pt idx="459">
                  <c:v>43762</c:v>
                </c:pt>
                <c:pt idx="460">
                  <c:v>43761</c:v>
                </c:pt>
                <c:pt idx="461">
                  <c:v>43760</c:v>
                </c:pt>
                <c:pt idx="462">
                  <c:v>43759</c:v>
                </c:pt>
                <c:pt idx="463">
                  <c:v>43756</c:v>
                </c:pt>
                <c:pt idx="464">
                  <c:v>43755</c:v>
                </c:pt>
                <c:pt idx="465">
                  <c:v>43754</c:v>
                </c:pt>
                <c:pt idx="466">
                  <c:v>43753</c:v>
                </c:pt>
                <c:pt idx="467">
                  <c:v>43752</c:v>
                </c:pt>
                <c:pt idx="468">
                  <c:v>43749</c:v>
                </c:pt>
                <c:pt idx="469">
                  <c:v>43748</c:v>
                </c:pt>
                <c:pt idx="470">
                  <c:v>43747</c:v>
                </c:pt>
                <c:pt idx="471">
                  <c:v>43746</c:v>
                </c:pt>
                <c:pt idx="472">
                  <c:v>43738</c:v>
                </c:pt>
                <c:pt idx="473">
                  <c:v>43735</c:v>
                </c:pt>
                <c:pt idx="474">
                  <c:v>43734</c:v>
                </c:pt>
                <c:pt idx="475">
                  <c:v>43733</c:v>
                </c:pt>
                <c:pt idx="476">
                  <c:v>43732</c:v>
                </c:pt>
                <c:pt idx="477">
                  <c:v>43731</c:v>
                </c:pt>
                <c:pt idx="478">
                  <c:v>43728</c:v>
                </c:pt>
                <c:pt idx="479">
                  <c:v>43727</c:v>
                </c:pt>
                <c:pt idx="480">
                  <c:v>43726</c:v>
                </c:pt>
                <c:pt idx="481">
                  <c:v>43725</c:v>
                </c:pt>
                <c:pt idx="482">
                  <c:v>43724</c:v>
                </c:pt>
                <c:pt idx="483">
                  <c:v>43720</c:v>
                </c:pt>
                <c:pt idx="484">
                  <c:v>43719</c:v>
                </c:pt>
                <c:pt idx="485">
                  <c:v>43718</c:v>
                </c:pt>
                <c:pt idx="486">
                  <c:v>43717</c:v>
                </c:pt>
                <c:pt idx="487">
                  <c:v>43714</c:v>
                </c:pt>
                <c:pt idx="488">
                  <c:v>43713</c:v>
                </c:pt>
                <c:pt idx="489">
                  <c:v>43712</c:v>
                </c:pt>
                <c:pt idx="490">
                  <c:v>43711</c:v>
                </c:pt>
                <c:pt idx="491">
                  <c:v>43710</c:v>
                </c:pt>
                <c:pt idx="492">
                  <c:v>43707</c:v>
                </c:pt>
                <c:pt idx="493">
                  <c:v>43706</c:v>
                </c:pt>
                <c:pt idx="494">
                  <c:v>43705</c:v>
                </c:pt>
                <c:pt idx="495">
                  <c:v>43704</c:v>
                </c:pt>
                <c:pt idx="496">
                  <c:v>43703</c:v>
                </c:pt>
                <c:pt idx="497">
                  <c:v>43700</c:v>
                </c:pt>
                <c:pt idx="498">
                  <c:v>43699</c:v>
                </c:pt>
                <c:pt idx="499">
                  <c:v>43698</c:v>
                </c:pt>
                <c:pt idx="500">
                  <c:v>43697</c:v>
                </c:pt>
                <c:pt idx="501">
                  <c:v>43696</c:v>
                </c:pt>
                <c:pt idx="502">
                  <c:v>43693</c:v>
                </c:pt>
                <c:pt idx="503">
                  <c:v>43692</c:v>
                </c:pt>
                <c:pt idx="504">
                  <c:v>43691</c:v>
                </c:pt>
                <c:pt idx="505">
                  <c:v>43690</c:v>
                </c:pt>
                <c:pt idx="506">
                  <c:v>43689</c:v>
                </c:pt>
                <c:pt idx="507">
                  <c:v>43686</c:v>
                </c:pt>
                <c:pt idx="508">
                  <c:v>43685</c:v>
                </c:pt>
                <c:pt idx="509">
                  <c:v>43684</c:v>
                </c:pt>
                <c:pt idx="510">
                  <c:v>43683</c:v>
                </c:pt>
                <c:pt idx="511">
                  <c:v>43682</c:v>
                </c:pt>
                <c:pt idx="512">
                  <c:v>43679</c:v>
                </c:pt>
                <c:pt idx="513">
                  <c:v>43678</c:v>
                </c:pt>
                <c:pt idx="514">
                  <c:v>43677</c:v>
                </c:pt>
                <c:pt idx="515">
                  <c:v>43676</c:v>
                </c:pt>
                <c:pt idx="516">
                  <c:v>43675</c:v>
                </c:pt>
                <c:pt idx="517">
                  <c:v>43672</c:v>
                </c:pt>
                <c:pt idx="518">
                  <c:v>43671</c:v>
                </c:pt>
                <c:pt idx="519">
                  <c:v>43670</c:v>
                </c:pt>
                <c:pt idx="520">
                  <c:v>43669</c:v>
                </c:pt>
                <c:pt idx="521">
                  <c:v>43668</c:v>
                </c:pt>
                <c:pt idx="522">
                  <c:v>43665</c:v>
                </c:pt>
                <c:pt idx="523">
                  <c:v>43664</c:v>
                </c:pt>
                <c:pt idx="524">
                  <c:v>43663</c:v>
                </c:pt>
                <c:pt idx="525">
                  <c:v>43662</c:v>
                </c:pt>
                <c:pt idx="526">
                  <c:v>43661</c:v>
                </c:pt>
                <c:pt idx="527">
                  <c:v>43658</c:v>
                </c:pt>
                <c:pt idx="528">
                  <c:v>43657</c:v>
                </c:pt>
                <c:pt idx="529">
                  <c:v>43656</c:v>
                </c:pt>
                <c:pt idx="530">
                  <c:v>43655</c:v>
                </c:pt>
                <c:pt idx="531">
                  <c:v>43654</c:v>
                </c:pt>
                <c:pt idx="532">
                  <c:v>43651</c:v>
                </c:pt>
                <c:pt idx="533">
                  <c:v>43650</c:v>
                </c:pt>
                <c:pt idx="534">
                  <c:v>43649</c:v>
                </c:pt>
                <c:pt idx="535">
                  <c:v>43648</c:v>
                </c:pt>
                <c:pt idx="536">
                  <c:v>43647</c:v>
                </c:pt>
                <c:pt idx="537">
                  <c:v>43644</c:v>
                </c:pt>
                <c:pt idx="538">
                  <c:v>43643</c:v>
                </c:pt>
                <c:pt idx="539">
                  <c:v>43642</c:v>
                </c:pt>
                <c:pt idx="540">
                  <c:v>43641</c:v>
                </c:pt>
                <c:pt idx="541">
                  <c:v>43640</c:v>
                </c:pt>
                <c:pt idx="542">
                  <c:v>43637</c:v>
                </c:pt>
                <c:pt idx="543">
                  <c:v>43636</c:v>
                </c:pt>
                <c:pt idx="544">
                  <c:v>43635</c:v>
                </c:pt>
                <c:pt idx="545">
                  <c:v>43634</c:v>
                </c:pt>
                <c:pt idx="546">
                  <c:v>43633</c:v>
                </c:pt>
                <c:pt idx="547">
                  <c:v>43630</c:v>
                </c:pt>
                <c:pt idx="548">
                  <c:v>43629</c:v>
                </c:pt>
                <c:pt idx="549">
                  <c:v>43628</c:v>
                </c:pt>
                <c:pt idx="550">
                  <c:v>43627</c:v>
                </c:pt>
                <c:pt idx="551">
                  <c:v>43626</c:v>
                </c:pt>
                <c:pt idx="552">
                  <c:v>43622</c:v>
                </c:pt>
                <c:pt idx="553">
                  <c:v>43621</c:v>
                </c:pt>
                <c:pt idx="554">
                  <c:v>43620</c:v>
                </c:pt>
                <c:pt idx="555">
                  <c:v>43619</c:v>
                </c:pt>
                <c:pt idx="556">
                  <c:v>43616</c:v>
                </c:pt>
                <c:pt idx="557">
                  <c:v>43615</c:v>
                </c:pt>
                <c:pt idx="558">
                  <c:v>43614</c:v>
                </c:pt>
                <c:pt idx="559">
                  <c:v>43613</c:v>
                </c:pt>
                <c:pt idx="560">
                  <c:v>43612</c:v>
                </c:pt>
                <c:pt idx="561">
                  <c:v>43609</c:v>
                </c:pt>
                <c:pt idx="562">
                  <c:v>43608</c:v>
                </c:pt>
                <c:pt idx="563">
                  <c:v>43607</c:v>
                </c:pt>
                <c:pt idx="564">
                  <c:v>43606</c:v>
                </c:pt>
                <c:pt idx="565">
                  <c:v>43605</c:v>
                </c:pt>
                <c:pt idx="566">
                  <c:v>43602</c:v>
                </c:pt>
                <c:pt idx="567">
                  <c:v>43601</c:v>
                </c:pt>
                <c:pt idx="568">
                  <c:v>43600</c:v>
                </c:pt>
                <c:pt idx="569">
                  <c:v>43599</c:v>
                </c:pt>
                <c:pt idx="570">
                  <c:v>43598</c:v>
                </c:pt>
                <c:pt idx="571">
                  <c:v>43595</c:v>
                </c:pt>
                <c:pt idx="572">
                  <c:v>43594</c:v>
                </c:pt>
                <c:pt idx="573">
                  <c:v>43593</c:v>
                </c:pt>
                <c:pt idx="574">
                  <c:v>43592</c:v>
                </c:pt>
                <c:pt idx="575">
                  <c:v>43591</c:v>
                </c:pt>
                <c:pt idx="576">
                  <c:v>43585</c:v>
                </c:pt>
                <c:pt idx="577">
                  <c:v>43584</c:v>
                </c:pt>
                <c:pt idx="578">
                  <c:v>43581</c:v>
                </c:pt>
                <c:pt idx="579">
                  <c:v>43580</c:v>
                </c:pt>
                <c:pt idx="580">
                  <c:v>43579</c:v>
                </c:pt>
                <c:pt idx="581">
                  <c:v>43578</c:v>
                </c:pt>
                <c:pt idx="582">
                  <c:v>43577</c:v>
                </c:pt>
                <c:pt idx="583">
                  <c:v>43574</c:v>
                </c:pt>
                <c:pt idx="584">
                  <c:v>43573</c:v>
                </c:pt>
                <c:pt idx="585">
                  <c:v>43572</c:v>
                </c:pt>
                <c:pt idx="586">
                  <c:v>43571</c:v>
                </c:pt>
                <c:pt idx="587">
                  <c:v>43570</c:v>
                </c:pt>
                <c:pt idx="588">
                  <c:v>43567</c:v>
                </c:pt>
                <c:pt idx="589">
                  <c:v>43566</c:v>
                </c:pt>
                <c:pt idx="590">
                  <c:v>43565</c:v>
                </c:pt>
                <c:pt idx="591">
                  <c:v>43564</c:v>
                </c:pt>
                <c:pt idx="592">
                  <c:v>43563</c:v>
                </c:pt>
                <c:pt idx="593">
                  <c:v>43559</c:v>
                </c:pt>
                <c:pt idx="594">
                  <c:v>43558</c:v>
                </c:pt>
                <c:pt idx="595">
                  <c:v>43557</c:v>
                </c:pt>
                <c:pt idx="596">
                  <c:v>43556</c:v>
                </c:pt>
                <c:pt idx="597">
                  <c:v>43553</c:v>
                </c:pt>
                <c:pt idx="598">
                  <c:v>43552</c:v>
                </c:pt>
                <c:pt idx="599">
                  <c:v>43551</c:v>
                </c:pt>
                <c:pt idx="600">
                  <c:v>43550</c:v>
                </c:pt>
                <c:pt idx="601">
                  <c:v>43549</c:v>
                </c:pt>
                <c:pt idx="602">
                  <c:v>43546</c:v>
                </c:pt>
                <c:pt idx="603">
                  <c:v>43545</c:v>
                </c:pt>
                <c:pt idx="604">
                  <c:v>43544</c:v>
                </c:pt>
                <c:pt idx="605">
                  <c:v>43543</c:v>
                </c:pt>
                <c:pt idx="606">
                  <c:v>43542</c:v>
                </c:pt>
                <c:pt idx="607">
                  <c:v>43539</c:v>
                </c:pt>
                <c:pt idx="608">
                  <c:v>43538</c:v>
                </c:pt>
                <c:pt idx="609">
                  <c:v>43537</c:v>
                </c:pt>
                <c:pt idx="610">
                  <c:v>43536</c:v>
                </c:pt>
                <c:pt idx="611">
                  <c:v>43535</c:v>
                </c:pt>
                <c:pt idx="612">
                  <c:v>43532</c:v>
                </c:pt>
                <c:pt idx="613">
                  <c:v>43531</c:v>
                </c:pt>
                <c:pt idx="614">
                  <c:v>43530</c:v>
                </c:pt>
                <c:pt idx="615">
                  <c:v>43529</c:v>
                </c:pt>
                <c:pt idx="616">
                  <c:v>43528</c:v>
                </c:pt>
                <c:pt idx="617">
                  <c:v>43525</c:v>
                </c:pt>
                <c:pt idx="618">
                  <c:v>43524</c:v>
                </c:pt>
                <c:pt idx="619">
                  <c:v>43523</c:v>
                </c:pt>
                <c:pt idx="620">
                  <c:v>43522</c:v>
                </c:pt>
                <c:pt idx="621">
                  <c:v>43521</c:v>
                </c:pt>
                <c:pt idx="622">
                  <c:v>43518</c:v>
                </c:pt>
                <c:pt idx="623">
                  <c:v>43517</c:v>
                </c:pt>
                <c:pt idx="624">
                  <c:v>43516</c:v>
                </c:pt>
                <c:pt idx="625">
                  <c:v>43515</c:v>
                </c:pt>
                <c:pt idx="626">
                  <c:v>43514</c:v>
                </c:pt>
                <c:pt idx="627">
                  <c:v>43511</c:v>
                </c:pt>
                <c:pt idx="628">
                  <c:v>43510</c:v>
                </c:pt>
                <c:pt idx="629">
                  <c:v>43509</c:v>
                </c:pt>
                <c:pt idx="630">
                  <c:v>43508</c:v>
                </c:pt>
                <c:pt idx="631">
                  <c:v>43507</c:v>
                </c:pt>
                <c:pt idx="632">
                  <c:v>43497</c:v>
                </c:pt>
                <c:pt idx="633">
                  <c:v>43496</c:v>
                </c:pt>
                <c:pt idx="634">
                  <c:v>43495</c:v>
                </c:pt>
                <c:pt idx="635">
                  <c:v>43494</c:v>
                </c:pt>
                <c:pt idx="636">
                  <c:v>43493</c:v>
                </c:pt>
                <c:pt idx="637">
                  <c:v>43490</c:v>
                </c:pt>
                <c:pt idx="638">
                  <c:v>43489</c:v>
                </c:pt>
                <c:pt idx="639">
                  <c:v>43488</c:v>
                </c:pt>
                <c:pt idx="640">
                  <c:v>43487</c:v>
                </c:pt>
                <c:pt idx="641">
                  <c:v>43486</c:v>
                </c:pt>
                <c:pt idx="642">
                  <c:v>43483</c:v>
                </c:pt>
                <c:pt idx="643">
                  <c:v>43482</c:v>
                </c:pt>
                <c:pt idx="644">
                  <c:v>43481</c:v>
                </c:pt>
                <c:pt idx="645">
                  <c:v>43480</c:v>
                </c:pt>
                <c:pt idx="646">
                  <c:v>43479</c:v>
                </c:pt>
                <c:pt idx="647">
                  <c:v>43476</c:v>
                </c:pt>
                <c:pt idx="648">
                  <c:v>43475</c:v>
                </c:pt>
                <c:pt idx="649">
                  <c:v>43474</c:v>
                </c:pt>
                <c:pt idx="650">
                  <c:v>43473</c:v>
                </c:pt>
                <c:pt idx="651">
                  <c:v>43472</c:v>
                </c:pt>
                <c:pt idx="652">
                  <c:v>43469</c:v>
                </c:pt>
                <c:pt idx="653">
                  <c:v>43468</c:v>
                </c:pt>
                <c:pt idx="654">
                  <c:v>43467</c:v>
                </c:pt>
                <c:pt idx="655">
                  <c:v>43462</c:v>
                </c:pt>
                <c:pt idx="656">
                  <c:v>43461</c:v>
                </c:pt>
                <c:pt idx="657">
                  <c:v>43460</c:v>
                </c:pt>
                <c:pt idx="658">
                  <c:v>43459</c:v>
                </c:pt>
                <c:pt idx="659">
                  <c:v>43458</c:v>
                </c:pt>
                <c:pt idx="660">
                  <c:v>43455</c:v>
                </c:pt>
                <c:pt idx="661">
                  <c:v>43454</c:v>
                </c:pt>
                <c:pt idx="662">
                  <c:v>43453</c:v>
                </c:pt>
                <c:pt idx="663">
                  <c:v>43452</c:v>
                </c:pt>
                <c:pt idx="664">
                  <c:v>43451</c:v>
                </c:pt>
                <c:pt idx="665">
                  <c:v>43448</c:v>
                </c:pt>
                <c:pt idx="666">
                  <c:v>43447</c:v>
                </c:pt>
                <c:pt idx="667">
                  <c:v>43446</c:v>
                </c:pt>
                <c:pt idx="668">
                  <c:v>43445</c:v>
                </c:pt>
                <c:pt idx="669">
                  <c:v>43444</c:v>
                </c:pt>
                <c:pt idx="670">
                  <c:v>43441</c:v>
                </c:pt>
                <c:pt idx="671">
                  <c:v>43440</c:v>
                </c:pt>
                <c:pt idx="672">
                  <c:v>43439</c:v>
                </c:pt>
                <c:pt idx="673">
                  <c:v>43438</c:v>
                </c:pt>
                <c:pt idx="674">
                  <c:v>43437</c:v>
                </c:pt>
                <c:pt idx="675">
                  <c:v>43434</c:v>
                </c:pt>
                <c:pt idx="676">
                  <c:v>43433</c:v>
                </c:pt>
                <c:pt idx="677">
                  <c:v>43432</c:v>
                </c:pt>
                <c:pt idx="678">
                  <c:v>43431</c:v>
                </c:pt>
                <c:pt idx="679">
                  <c:v>43430</c:v>
                </c:pt>
                <c:pt idx="680">
                  <c:v>43427</c:v>
                </c:pt>
                <c:pt idx="681">
                  <c:v>43426</c:v>
                </c:pt>
                <c:pt idx="682">
                  <c:v>43425</c:v>
                </c:pt>
                <c:pt idx="683">
                  <c:v>43424</c:v>
                </c:pt>
                <c:pt idx="684">
                  <c:v>43423</c:v>
                </c:pt>
                <c:pt idx="685">
                  <c:v>43420</c:v>
                </c:pt>
                <c:pt idx="686">
                  <c:v>43419</c:v>
                </c:pt>
                <c:pt idx="687">
                  <c:v>43418</c:v>
                </c:pt>
                <c:pt idx="688">
                  <c:v>43417</c:v>
                </c:pt>
                <c:pt idx="689">
                  <c:v>43416</c:v>
                </c:pt>
                <c:pt idx="690">
                  <c:v>43413</c:v>
                </c:pt>
                <c:pt idx="691">
                  <c:v>43412</c:v>
                </c:pt>
                <c:pt idx="692">
                  <c:v>43411</c:v>
                </c:pt>
                <c:pt idx="693">
                  <c:v>43410</c:v>
                </c:pt>
                <c:pt idx="694">
                  <c:v>43409</c:v>
                </c:pt>
                <c:pt idx="695">
                  <c:v>43406</c:v>
                </c:pt>
                <c:pt idx="696">
                  <c:v>43405</c:v>
                </c:pt>
                <c:pt idx="697">
                  <c:v>43404</c:v>
                </c:pt>
                <c:pt idx="698">
                  <c:v>43403</c:v>
                </c:pt>
                <c:pt idx="699">
                  <c:v>43402</c:v>
                </c:pt>
                <c:pt idx="700">
                  <c:v>43399</c:v>
                </c:pt>
                <c:pt idx="701">
                  <c:v>43398</c:v>
                </c:pt>
                <c:pt idx="702">
                  <c:v>43397</c:v>
                </c:pt>
                <c:pt idx="703">
                  <c:v>43396</c:v>
                </c:pt>
                <c:pt idx="704">
                  <c:v>43395</c:v>
                </c:pt>
                <c:pt idx="705">
                  <c:v>43392</c:v>
                </c:pt>
                <c:pt idx="706">
                  <c:v>43391</c:v>
                </c:pt>
                <c:pt idx="707">
                  <c:v>43390</c:v>
                </c:pt>
                <c:pt idx="708">
                  <c:v>43389</c:v>
                </c:pt>
                <c:pt idx="709">
                  <c:v>43388</c:v>
                </c:pt>
                <c:pt idx="710">
                  <c:v>43385</c:v>
                </c:pt>
                <c:pt idx="711">
                  <c:v>43384</c:v>
                </c:pt>
                <c:pt idx="712">
                  <c:v>43383</c:v>
                </c:pt>
                <c:pt idx="713">
                  <c:v>43382</c:v>
                </c:pt>
                <c:pt idx="714">
                  <c:v>43381</c:v>
                </c:pt>
                <c:pt idx="715">
                  <c:v>43371</c:v>
                </c:pt>
                <c:pt idx="716">
                  <c:v>43370</c:v>
                </c:pt>
                <c:pt idx="717">
                  <c:v>43369</c:v>
                </c:pt>
                <c:pt idx="718">
                  <c:v>43368</c:v>
                </c:pt>
                <c:pt idx="719">
                  <c:v>43364</c:v>
                </c:pt>
                <c:pt idx="720">
                  <c:v>43363</c:v>
                </c:pt>
                <c:pt idx="721">
                  <c:v>43362</c:v>
                </c:pt>
                <c:pt idx="722">
                  <c:v>43361</c:v>
                </c:pt>
                <c:pt idx="723">
                  <c:v>43360</c:v>
                </c:pt>
                <c:pt idx="724">
                  <c:v>43357</c:v>
                </c:pt>
                <c:pt idx="725">
                  <c:v>43356</c:v>
                </c:pt>
                <c:pt idx="726">
                  <c:v>43355</c:v>
                </c:pt>
                <c:pt idx="727">
                  <c:v>43354</c:v>
                </c:pt>
                <c:pt idx="728">
                  <c:v>43353</c:v>
                </c:pt>
                <c:pt idx="729">
                  <c:v>43350</c:v>
                </c:pt>
                <c:pt idx="730">
                  <c:v>43349</c:v>
                </c:pt>
                <c:pt idx="731">
                  <c:v>43348</c:v>
                </c:pt>
                <c:pt idx="732">
                  <c:v>43347</c:v>
                </c:pt>
                <c:pt idx="733">
                  <c:v>43346</c:v>
                </c:pt>
                <c:pt idx="734">
                  <c:v>43343</c:v>
                </c:pt>
                <c:pt idx="735">
                  <c:v>43342</c:v>
                </c:pt>
                <c:pt idx="736">
                  <c:v>43341</c:v>
                </c:pt>
                <c:pt idx="737">
                  <c:v>43340</c:v>
                </c:pt>
                <c:pt idx="738">
                  <c:v>43339</c:v>
                </c:pt>
                <c:pt idx="739">
                  <c:v>43336</c:v>
                </c:pt>
                <c:pt idx="740">
                  <c:v>43335</c:v>
                </c:pt>
                <c:pt idx="741">
                  <c:v>43334</c:v>
                </c:pt>
                <c:pt idx="742">
                  <c:v>43333</c:v>
                </c:pt>
                <c:pt idx="743">
                  <c:v>43332</c:v>
                </c:pt>
                <c:pt idx="744">
                  <c:v>43329</c:v>
                </c:pt>
                <c:pt idx="745">
                  <c:v>43328</c:v>
                </c:pt>
                <c:pt idx="746">
                  <c:v>43327</c:v>
                </c:pt>
                <c:pt idx="747">
                  <c:v>43326</c:v>
                </c:pt>
                <c:pt idx="748">
                  <c:v>43325</c:v>
                </c:pt>
                <c:pt idx="749">
                  <c:v>43322</c:v>
                </c:pt>
                <c:pt idx="750">
                  <c:v>43321</c:v>
                </c:pt>
                <c:pt idx="751">
                  <c:v>43320</c:v>
                </c:pt>
                <c:pt idx="752">
                  <c:v>43319</c:v>
                </c:pt>
                <c:pt idx="753">
                  <c:v>43318</c:v>
                </c:pt>
                <c:pt idx="754">
                  <c:v>43315</c:v>
                </c:pt>
                <c:pt idx="755">
                  <c:v>43314</c:v>
                </c:pt>
                <c:pt idx="756">
                  <c:v>43313</c:v>
                </c:pt>
                <c:pt idx="757">
                  <c:v>43312</c:v>
                </c:pt>
                <c:pt idx="758">
                  <c:v>43311</c:v>
                </c:pt>
                <c:pt idx="759">
                  <c:v>43308</c:v>
                </c:pt>
                <c:pt idx="760">
                  <c:v>43307</c:v>
                </c:pt>
                <c:pt idx="761">
                  <c:v>43306</c:v>
                </c:pt>
                <c:pt idx="762">
                  <c:v>43305</c:v>
                </c:pt>
                <c:pt idx="763">
                  <c:v>43304</c:v>
                </c:pt>
                <c:pt idx="764">
                  <c:v>43301</c:v>
                </c:pt>
                <c:pt idx="765">
                  <c:v>43300</c:v>
                </c:pt>
                <c:pt idx="766">
                  <c:v>43299</c:v>
                </c:pt>
                <c:pt idx="767">
                  <c:v>43298</c:v>
                </c:pt>
                <c:pt idx="768">
                  <c:v>43297</c:v>
                </c:pt>
                <c:pt idx="769">
                  <c:v>43294</c:v>
                </c:pt>
                <c:pt idx="770">
                  <c:v>43293</c:v>
                </c:pt>
                <c:pt idx="771">
                  <c:v>43292</c:v>
                </c:pt>
                <c:pt idx="772">
                  <c:v>43291</c:v>
                </c:pt>
                <c:pt idx="773">
                  <c:v>43290</c:v>
                </c:pt>
                <c:pt idx="774">
                  <c:v>43287</c:v>
                </c:pt>
                <c:pt idx="775">
                  <c:v>43286</c:v>
                </c:pt>
                <c:pt idx="776">
                  <c:v>43285</c:v>
                </c:pt>
                <c:pt idx="777">
                  <c:v>43284</c:v>
                </c:pt>
                <c:pt idx="778">
                  <c:v>43283</c:v>
                </c:pt>
                <c:pt idx="779">
                  <c:v>43280</c:v>
                </c:pt>
                <c:pt idx="780">
                  <c:v>43279</c:v>
                </c:pt>
                <c:pt idx="781">
                  <c:v>43278</c:v>
                </c:pt>
                <c:pt idx="782">
                  <c:v>43277</c:v>
                </c:pt>
                <c:pt idx="783">
                  <c:v>43276</c:v>
                </c:pt>
                <c:pt idx="784">
                  <c:v>43273</c:v>
                </c:pt>
                <c:pt idx="785">
                  <c:v>43272</c:v>
                </c:pt>
                <c:pt idx="786">
                  <c:v>43271</c:v>
                </c:pt>
                <c:pt idx="787">
                  <c:v>43270</c:v>
                </c:pt>
                <c:pt idx="788">
                  <c:v>43266</c:v>
                </c:pt>
                <c:pt idx="789">
                  <c:v>43265</c:v>
                </c:pt>
                <c:pt idx="790">
                  <c:v>43264</c:v>
                </c:pt>
                <c:pt idx="791">
                  <c:v>43263</c:v>
                </c:pt>
                <c:pt idx="792">
                  <c:v>43262</c:v>
                </c:pt>
                <c:pt idx="793">
                  <c:v>43259</c:v>
                </c:pt>
                <c:pt idx="794">
                  <c:v>43258</c:v>
                </c:pt>
                <c:pt idx="795">
                  <c:v>43257</c:v>
                </c:pt>
                <c:pt idx="796">
                  <c:v>43256</c:v>
                </c:pt>
                <c:pt idx="797">
                  <c:v>43255</c:v>
                </c:pt>
                <c:pt idx="798">
                  <c:v>43252</c:v>
                </c:pt>
                <c:pt idx="799">
                  <c:v>43251</c:v>
                </c:pt>
                <c:pt idx="800">
                  <c:v>43250</c:v>
                </c:pt>
                <c:pt idx="801">
                  <c:v>43249</c:v>
                </c:pt>
                <c:pt idx="802">
                  <c:v>43248</c:v>
                </c:pt>
                <c:pt idx="803">
                  <c:v>43245</c:v>
                </c:pt>
                <c:pt idx="804">
                  <c:v>43244</c:v>
                </c:pt>
                <c:pt idx="805">
                  <c:v>43243</c:v>
                </c:pt>
                <c:pt idx="806">
                  <c:v>43242</c:v>
                </c:pt>
                <c:pt idx="807">
                  <c:v>43241</c:v>
                </c:pt>
                <c:pt idx="808">
                  <c:v>43238</c:v>
                </c:pt>
                <c:pt idx="809">
                  <c:v>43237</c:v>
                </c:pt>
                <c:pt idx="810">
                  <c:v>43236</c:v>
                </c:pt>
                <c:pt idx="811">
                  <c:v>43235</c:v>
                </c:pt>
                <c:pt idx="812">
                  <c:v>43234</c:v>
                </c:pt>
                <c:pt idx="813">
                  <c:v>43231</c:v>
                </c:pt>
                <c:pt idx="814">
                  <c:v>43230</c:v>
                </c:pt>
                <c:pt idx="815">
                  <c:v>43229</c:v>
                </c:pt>
                <c:pt idx="816">
                  <c:v>43228</c:v>
                </c:pt>
                <c:pt idx="817">
                  <c:v>43227</c:v>
                </c:pt>
                <c:pt idx="818">
                  <c:v>43224</c:v>
                </c:pt>
                <c:pt idx="819">
                  <c:v>43223</c:v>
                </c:pt>
                <c:pt idx="820">
                  <c:v>43222</c:v>
                </c:pt>
                <c:pt idx="821">
                  <c:v>43217</c:v>
                </c:pt>
                <c:pt idx="822">
                  <c:v>43216</c:v>
                </c:pt>
                <c:pt idx="823">
                  <c:v>43215</c:v>
                </c:pt>
                <c:pt idx="824">
                  <c:v>43214</c:v>
                </c:pt>
                <c:pt idx="825">
                  <c:v>43213</c:v>
                </c:pt>
                <c:pt idx="826">
                  <c:v>43210</c:v>
                </c:pt>
                <c:pt idx="827">
                  <c:v>43209</c:v>
                </c:pt>
                <c:pt idx="828">
                  <c:v>43208</c:v>
                </c:pt>
                <c:pt idx="829">
                  <c:v>43207</c:v>
                </c:pt>
                <c:pt idx="830">
                  <c:v>43206</c:v>
                </c:pt>
                <c:pt idx="831">
                  <c:v>43203</c:v>
                </c:pt>
                <c:pt idx="832">
                  <c:v>43202</c:v>
                </c:pt>
                <c:pt idx="833">
                  <c:v>43201</c:v>
                </c:pt>
                <c:pt idx="834">
                  <c:v>43200</c:v>
                </c:pt>
                <c:pt idx="835">
                  <c:v>43199</c:v>
                </c:pt>
                <c:pt idx="836">
                  <c:v>43194</c:v>
                </c:pt>
                <c:pt idx="837">
                  <c:v>43193</c:v>
                </c:pt>
                <c:pt idx="838">
                  <c:v>43192</c:v>
                </c:pt>
                <c:pt idx="839">
                  <c:v>43189</c:v>
                </c:pt>
                <c:pt idx="840">
                  <c:v>43188</c:v>
                </c:pt>
                <c:pt idx="841">
                  <c:v>43187</c:v>
                </c:pt>
                <c:pt idx="842">
                  <c:v>43186</c:v>
                </c:pt>
                <c:pt idx="843">
                  <c:v>43185</c:v>
                </c:pt>
                <c:pt idx="844">
                  <c:v>43182</c:v>
                </c:pt>
                <c:pt idx="845">
                  <c:v>43181</c:v>
                </c:pt>
                <c:pt idx="846">
                  <c:v>43180</c:v>
                </c:pt>
                <c:pt idx="847">
                  <c:v>43179</c:v>
                </c:pt>
                <c:pt idx="848">
                  <c:v>43178</c:v>
                </c:pt>
                <c:pt idx="849">
                  <c:v>43175</c:v>
                </c:pt>
                <c:pt idx="850">
                  <c:v>43174</c:v>
                </c:pt>
                <c:pt idx="851">
                  <c:v>43173</c:v>
                </c:pt>
                <c:pt idx="852">
                  <c:v>43172</c:v>
                </c:pt>
                <c:pt idx="853">
                  <c:v>43171</c:v>
                </c:pt>
                <c:pt idx="854">
                  <c:v>43168</c:v>
                </c:pt>
                <c:pt idx="855">
                  <c:v>43167</c:v>
                </c:pt>
                <c:pt idx="856">
                  <c:v>43166</c:v>
                </c:pt>
                <c:pt idx="857">
                  <c:v>43165</c:v>
                </c:pt>
                <c:pt idx="858">
                  <c:v>43164</c:v>
                </c:pt>
              </c:numCache>
            </c:numRef>
          </c:cat>
          <c:val>
            <c:numRef>
              <c:f>个券数据!$B$1:$B$859</c:f>
              <c:numCache>
                <c:formatCode>0.00</c:formatCode>
                <c:ptCount val="859"/>
                <c:pt idx="0">
                  <c:v>39.35217526535164</c:v>
                </c:pt>
                <c:pt idx="1">
                  <c:v>46.651429009195311</c:v>
                </c:pt>
                <c:pt idx="2">
                  <c:v>48.215588290737266</c:v>
                </c:pt>
                <c:pt idx="3">
                  <c:v>46.660852143395267</c:v>
                </c:pt>
                <c:pt idx="4">
                  <c:v>48.015958281963449</c:v>
                </c:pt>
                <c:pt idx="5">
                  <c:v>49.133743543878708</c:v>
                </c:pt>
                <c:pt idx="6">
                  <c:v>47.988951398266934</c:v>
                </c:pt>
                <c:pt idx="7">
                  <c:v>45.611048016411694</c:v>
                </c:pt>
                <c:pt idx="8">
                  <c:v>46.026247376555169</c:v>
                </c:pt>
                <c:pt idx="9">
                  <c:v>44.590147445567546</c:v>
                </c:pt>
                <c:pt idx="10">
                  <c:v>47.307890183003657</c:v>
                </c:pt>
                <c:pt idx="11">
                  <c:v>45.226100490351172</c:v>
                </c:pt>
                <c:pt idx="12">
                  <c:v>44.967814836347905</c:v>
                </c:pt>
                <c:pt idx="13">
                  <c:v>43.940523325263605</c:v>
                </c:pt>
                <c:pt idx="14">
                  <c:v>45.384000670467664</c:v>
                </c:pt>
                <c:pt idx="15">
                  <c:v>44.791652086662218</c:v>
                </c:pt>
                <c:pt idx="16">
                  <c:v>45.330890373321289</c:v>
                </c:pt>
                <c:pt idx="17">
                  <c:v>45.180408865234625</c:v>
                </c:pt>
                <c:pt idx="18">
                  <c:v>44.44783233827728</c:v>
                </c:pt>
                <c:pt idx="19">
                  <c:v>43.678082666746562</c:v>
                </c:pt>
                <c:pt idx="20">
                  <c:v>46.787281322112143</c:v>
                </c:pt>
                <c:pt idx="21">
                  <c:v>47.302593387835302</c:v>
                </c:pt>
                <c:pt idx="22">
                  <c:v>46.791795047508785</c:v>
                </c:pt>
                <c:pt idx="23">
                  <c:v>44.681066795746169</c:v>
                </c:pt>
                <c:pt idx="24">
                  <c:v>43.629177055624275</c:v>
                </c:pt>
                <c:pt idx="25">
                  <c:v>40.483354518689815</c:v>
                </c:pt>
                <c:pt idx="26">
                  <c:v>40.960404643521144</c:v>
                </c:pt>
                <c:pt idx="27">
                  <c:v>39.72128604455424</c:v>
                </c:pt>
                <c:pt idx="28">
                  <c:v>40.655332696254661</c:v>
                </c:pt>
                <c:pt idx="29">
                  <c:v>41.355210068672491</c:v>
                </c:pt>
                <c:pt idx="30">
                  <c:v>42.603306894466073</c:v>
                </c:pt>
                <c:pt idx="31">
                  <c:v>42.973944805791106</c:v>
                </c:pt>
                <c:pt idx="32">
                  <c:v>41.502571520508809</c:v>
                </c:pt>
                <c:pt idx="33">
                  <c:v>41.804806430401101</c:v>
                </c:pt>
                <c:pt idx="34">
                  <c:v>39.822969019412994</c:v>
                </c:pt>
                <c:pt idx="35">
                  <c:v>40.202808155972093</c:v>
                </c:pt>
                <c:pt idx="36">
                  <c:v>40.96684991978335</c:v>
                </c:pt>
                <c:pt idx="37">
                  <c:v>41.204319952015013</c:v>
                </c:pt>
                <c:pt idx="38">
                  <c:v>41.333721188943755</c:v>
                </c:pt>
                <c:pt idx="39">
                  <c:v>40.26381155619638</c:v>
                </c:pt>
                <c:pt idx="40">
                  <c:v>39.252280047737813</c:v>
                </c:pt>
                <c:pt idx="41">
                  <c:v>40.921814075390458</c:v>
                </c:pt>
                <c:pt idx="42">
                  <c:v>40.652934138524977</c:v>
                </c:pt>
                <c:pt idx="43">
                  <c:v>39.388557411093295</c:v>
                </c:pt>
                <c:pt idx="44">
                  <c:v>39.31652732962975</c:v>
                </c:pt>
                <c:pt idx="45">
                  <c:v>38.323763144376606</c:v>
                </c:pt>
                <c:pt idx="46">
                  <c:v>36.328229314382376</c:v>
                </c:pt>
                <c:pt idx="47">
                  <c:v>37.531816109707854</c:v>
                </c:pt>
                <c:pt idx="48">
                  <c:v>37.184677284731329</c:v>
                </c:pt>
                <c:pt idx="49">
                  <c:v>37.85092081279798</c:v>
                </c:pt>
                <c:pt idx="50">
                  <c:v>37.260077702628912</c:v>
                </c:pt>
                <c:pt idx="51">
                  <c:v>37.792128697958759</c:v>
                </c:pt>
                <c:pt idx="52">
                  <c:v>40.983210656759191</c:v>
                </c:pt>
                <c:pt idx="53">
                  <c:v>41.167020270544221</c:v>
                </c:pt>
                <c:pt idx="54">
                  <c:v>41.703856435196023</c:v>
                </c:pt>
                <c:pt idx="55">
                  <c:v>40.19033108947356</c:v>
                </c:pt>
                <c:pt idx="56">
                  <c:v>40.566530511726413</c:v>
                </c:pt>
                <c:pt idx="57">
                  <c:v>39.121010955246113</c:v>
                </c:pt>
                <c:pt idx="58">
                  <c:v>39.731619252191749</c:v>
                </c:pt>
                <c:pt idx="59">
                  <c:v>40.563525738160614</c:v>
                </c:pt>
                <c:pt idx="60">
                  <c:v>43.813308751420699</c:v>
                </c:pt>
                <c:pt idx="61">
                  <c:v>41.957243438509224</c:v>
                </c:pt>
                <c:pt idx="62">
                  <c:v>45.641606133208796</c:v>
                </c:pt>
                <c:pt idx="63">
                  <c:v>45.83807319567633</c:v>
                </c:pt>
                <c:pt idx="64">
                  <c:v>46.940525287260826</c:v>
                </c:pt>
                <c:pt idx="65">
                  <c:v>47.472185562734126</c:v>
                </c:pt>
                <c:pt idx="66">
                  <c:v>45.84710047168825</c:v>
                </c:pt>
                <c:pt idx="67">
                  <c:v>44.932367106037589</c:v>
                </c:pt>
                <c:pt idx="68">
                  <c:v>45.576404576121874</c:v>
                </c:pt>
                <c:pt idx="69">
                  <c:v>43.177580921227623</c:v>
                </c:pt>
                <c:pt idx="70">
                  <c:v>43.674241550276179</c:v>
                </c:pt>
                <c:pt idx="71">
                  <c:v>43.030311590162555</c:v>
                </c:pt>
                <c:pt idx="72">
                  <c:v>43.900492438188905</c:v>
                </c:pt>
                <c:pt idx="73">
                  <c:v>44.038391389790846</c:v>
                </c:pt>
                <c:pt idx="74">
                  <c:v>44.08585745450889</c:v>
                </c:pt>
                <c:pt idx="75">
                  <c:v>42.320047076314424</c:v>
                </c:pt>
                <c:pt idx="76">
                  <c:v>42.471924232891531</c:v>
                </c:pt>
                <c:pt idx="77">
                  <c:v>42.882477505722875</c:v>
                </c:pt>
                <c:pt idx="78">
                  <c:v>43.442999911365419</c:v>
                </c:pt>
                <c:pt idx="79">
                  <c:v>42.586497960697692</c:v>
                </c:pt>
                <c:pt idx="80">
                  <c:v>43.513458507101852</c:v>
                </c:pt>
                <c:pt idx="81">
                  <c:v>42.971596249796868</c:v>
                </c:pt>
                <c:pt idx="82">
                  <c:v>41.902449124525795</c:v>
                </c:pt>
                <c:pt idx="83">
                  <c:v>43.848183171559782</c:v>
                </c:pt>
                <c:pt idx="84">
                  <c:v>45.012489560717128</c:v>
                </c:pt>
                <c:pt idx="85">
                  <c:v>45.038832825319986</c:v>
                </c:pt>
                <c:pt idx="86">
                  <c:v>44.409233983123478</c:v>
                </c:pt>
                <c:pt idx="87">
                  <c:v>43.453025328329851</c:v>
                </c:pt>
                <c:pt idx="88">
                  <c:v>42.79366550033906</c:v>
                </c:pt>
                <c:pt idx="89">
                  <c:v>39.918065733167396</c:v>
                </c:pt>
                <c:pt idx="90">
                  <c:v>40.238280509984278</c:v>
                </c:pt>
                <c:pt idx="91">
                  <c:v>39.488510528885897</c:v>
                </c:pt>
                <c:pt idx="92">
                  <c:v>40.543879467801943</c:v>
                </c:pt>
                <c:pt idx="93">
                  <c:v>39.84009313739201</c:v>
                </c:pt>
                <c:pt idx="94">
                  <c:v>38.91921161756165</c:v>
                </c:pt>
                <c:pt idx="95">
                  <c:v>39.929619743510877</c:v>
                </c:pt>
                <c:pt idx="96">
                  <c:v>42.404006223627214</c:v>
                </c:pt>
                <c:pt idx="97">
                  <c:v>43.367245799922529</c:v>
                </c:pt>
                <c:pt idx="98">
                  <c:v>40.66221432298444</c:v>
                </c:pt>
                <c:pt idx="99">
                  <c:v>39.311641274988858</c:v>
                </c:pt>
                <c:pt idx="100">
                  <c:v>38.718456193731789</c:v>
                </c:pt>
                <c:pt idx="101">
                  <c:v>39.857832636486137</c:v>
                </c:pt>
                <c:pt idx="102">
                  <c:v>41.375104843503266</c:v>
                </c:pt>
                <c:pt idx="103">
                  <c:v>41.071775019168854</c:v>
                </c:pt>
                <c:pt idx="104">
                  <c:v>40.922052887918497</c:v>
                </c:pt>
                <c:pt idx="105">
                  <c:v>40.103327388528868</c:v>
                </c:pt>
                <c:pt idx="106">
                  <c:v>38.746230920377336</c:v>
                </c:pt>
                <c:pt idx="107">
                  <c:v>40.166531448567802</c:v>
                </c:pt>
                <c:pt idx="108">
                  <c:v>38.591003204420318</c:v>
                </c:pt>
                <c:pt idx="109">
                  <c:v>40.170185747111603</c:v>
                </c:pt>
                <c:pt idx="110">
                  <c:v>38.980939621636153</c:v>
                </c:pt>
                <c:pt idx="111">
                  <c:v>38.113447149638326</c:v>
                </c:pt>
                <c:pt idx="112">
                  <c:v>37.675628723592638</c:v>
                </c:pt>
                <c:pt idx="113">
                  <c:v>37.188009230882116</c:v>
                </c:pt>
                <c:pt idx="114">
                  <c:v>35.994538157331242</c:v>
                </c:pt>
                <c:pt idx="115">
                  <c:v>38.487018670811118</c:v>
                </c:pt>
                <c:pt idx="116">
                  <c:v>40.121630192140636</c:v>
                </c:pt>
                <c:pt idx="117">
                  <c:v>41.100181002379188</c:v>
                </c:pt>
                <c:pt idx="118">
                  <c:v>41.272491624175288</c:v>
                </c:pt>
                <c:pt idx="119">
                  <c:v>40.972295873247944</c:v>
                </c:pt>
                <c:pt idx="120">
                  <c:v>39.869426351421019</c:v>
                </c:pt>
                <c:pt idx="121">
                  <c:v>38.131913769747854</c:v>
                </c:pt>
                <c:pt idx="122">
                  <c:v>38.508092801588383</c:v>
                </c:pt>
                <c:pt idx="123">
                  <c:v>41.621816789579938</c:v>
                </c:pt>
                <c:pt idx="124">
                  <c:v>39.333323801251311</c:v>
                </c:pt>
                <c:pt idx="125">
                  <c:v>40.557710811120906</c:v>
                </c:pt>
                <c:pt idx="126">
                  <c:v>41.055194268165593</c:v>
                </c:pt>
                <c:pt idx="127">
                  <c:v>41.515190144114641</c:v>
                </c:pt>
                <c:pt idx="128">
                  <c:v>42.162540851768412</c:v>
                </c:pt>
                <c:pt idx="129">
                  <c:v>42.418597558629905</c:v>
                </c:pt>
                <c:pt idx="130">
                  <c:v>42.851566379165675</c:v>
                </c:pt>
                <c:pt idx="131">
                  <c:v>41.527545641634532</c:v>
                </c:pt>
                <c:pt idx="132">
                  <c:v>41.544977456146711</c:v>
                </c:pt>
                <c:pt idx="133">
                  <c:v>41.802090299297014</c:v>
                </c:pt>
                <c:pt idx="134">
                  <c:v>38.360571847795534</c:v>
                </c:pt>
                <c:pt idx="135">
                  <c:v>38.136215041601261</c:v>
                </c:pt>
                <c:pt idx="136">
                  <c:v>37.494239499846124</c:v>
                </c:pt>
                <c:pt idx="137">
                  <c:v>38.184247552024949</c:v>
                </c:pt>
                <c:pt idx="138">
                  <c:v>39.412787479124034</c:v>
                </c:pt>
                <c:pt idx="139">
                  <c:v>35.718745311665856</c:v>
                </c:pt>
                <c:pt idx="140">
                  <c:v>40.197101302193708</c:v>
                </c:pt>
                <c:pt idx="141">
                  <c:v>38.635103794155832</c:v>
                </c:pt>
                <c:pt idx="142">
                  <c:v>34.515188699562415</c:v>
                </c:pt>
                <c:pt idx="143">
                  <c:v>32.463013436893654</c:v>
                </c:pt>
                <c:pt idx="144">
                  <c:v>33.546424316107874</c:v>
                </c:pt>
                <c:pt idx="145">
                  <c:v>33.327419291228686</c:v>
                </c:pt>
                <c:pt idx="146">
                  <c:v>31.369184757978726</c:v>
                </c:pt>
                <c:pt idx="147">
                  <c:v>35.456076907541274</c:v>
                </c:pt>
                <c:pt idx="148">
                  <c:v>37.45666190366574</c:v>
                </c:pt>
                <c:pt idx="149">
                  <c:v>40.251386709022114</c:v>
                </c:pt>
                <c:pt idx="150">
                  <c:v>43.364434095274277</c:v>
                </c:pt>
                <c:pt idx="151">
                  <c:v>41.71361501014065</c:v>
                </c:pt>
                <c:pt idx="152">
                  <c:v>40.290079128818704</c:v>
                </c:pt>
                <c:pt idx="153">
                  <c:v>41.045877964645392</c:v>
                </c:pt>
                <c:pt idx="154">
                  <c:v>39.262307941423195</c:v>
                </c:pt>
                <c:pt idx="155">
                  <c:v>40.970809527795581</c:v>
                </c:pt>
                <c:pt idx="156">
                  <c:v>45.926251620156542</c:v>
                </c:pt>
                <c:pt idx="157">
                  <c:v>41.627567757244783</c:v>
                </c:pt>
                <c:pt idx="158">
                  <c:v>42.071703058157425</c:v>
                </c:pt>
                <c:pt idx="159">
                  <c:v>42.276186308685958</c:v>
                </c:pt>
                <c:pt idx="160">
                  <c:v>40.369446978981472</c:v>
                </c:pt>
                <c:pt idx="161">
                  <c:v>39.975817643583575</c:v>
                </c:pt>
                <c:pt idx="162">
                  <c:v>35.873096916759025</c:v>
                </c:pt>
                <c:pt idx="163">
                  <c:v>40.935528684624323</c:v>
                </c:pt>
                <c:pt idx="164">
                  <c:v>39.040755901647664</c:v>
                </c:pt>
                <c:pt idx="165">
                  <c:v>36.284110274773269</c:v>
                </c:pt>
                <c:pt idx="166">
                  <c:v>39.73205275160538</c:v>
                </c:pt>
                <c:pt idx="167">
                  <c:v>36.233241826146802</c:v>
                </c:pt>
                <c:pt idx="168">
                  <c:v>33.210732482994629</c:v>
                </c:pt>
                <c:pt idx="169">
                  <c:v>31.015865531569471</c:v>
                </c:pt>
                <c:pt idx="170">
                  <c:v>30.678578813012685</c:v>
                </c:pt>
                <c:pt idx="171">
                  <c:v>31.229173868093106</c:v>
                </c:pt>
                <c:pt idx="172">
                  <c:v>33.107694229324778</c:v>
                </c:pt>
                <c:pt idx="173">
                  <c:v>34.27574820799677</c:v>
                </c:pt>
                <c:pt idx="174">
                  <c:v>32.746662864891924</c:v>
                </c:pt>
                <c:pt idx="175">
                  <c:v>32.729040029122316</c:v>
                </c:pt>
                <c:pt idx="176">
                  <c:v>34.677110826245226</c:v>
                </c:pt>
                <c:pt idx="177">
                  <c:v>37.625156176425456</c:v>
                </c:pt>
                <c:pt idx="178">
                  <c:v>36.913217383633615</c:v>
                </c:pt>
                <c:pt idx="179">
                  <c:v>34.42628419274152</c:v>
                </c:pt>
                <c:pt idx="180">
                  <c:v>35.696709617526913</c:v>
                </c:pt>
                <c:pt idx="181">
                  <c:v>37.664674082167842</c:v>
                </c:pt>
                <c:pt idx="182">
                  <c:v>39.640986339390508</c:v>
                </c:pt>
                <c:pt idx="183">
                  <c:v>39.358369240112644</c:v>
                </c:pt>
                <c:pt idx="184">
                  <c:v>40.913355251774369</c:v>
                </c:pt>
                <c:pt idx="185">
                  <c:v>37.885599351032404</c:v>
                </c:pt>
                <c:pt idx="186">
                  <c:v>39.758942421056645</c:v>
                </c:pt>
                <c:pt idx="187">
                  <c:v>41.410387766972143</c:v>
                </c:pt>
                <c:pt idx="188">
                  <c:v>42.78902518231947</c:v>
                </c:pt>
                <c:pt idx="189">
                  <c:v>42.308136958111717</c:v>
                </c:pt>
                <c:pt idx="190">
                  <c:v>41.423967826855502</c:v>
                </c:pt>
                <c:pt idx="191">
                  <c:v>42.418332350647674</c:v>
                </c:pt>
                <c:pt idx="192">
                  <c:v>41.932817198726987</c:v>
                </c:pt>
                <c:pt idx="193">
                  <c:v>41.286748059004417</c:v>
                </c:pt>
                <c:pt idx="194">
                  <c:v>40.96795099331856</c:v>
                </c:pt>
                <c:pt idx="195">
                  <c:v>40.569864860810199</c:v>
                </c:pt>
                <c:pt idx="196">
                  <c:v>40.212758388813867</c:v>
                </c:pt>
                <c:pt idx="197">
                  <c:v>38.165030486024484</c:v>
                </c:pt>
                <c:pt idx="198">
                  <c:v>37.405220642233857</c:v>
                </c:pt>
                <c:pt idx="199">
                  <c:v>36.656126605418763</c:v>
                </c:pt>
                <c:pt idx="200">
                  <c:v>35.600652389723635</c:v>
                </c:pt>
                <c:pt idx="201">
                  <c:v>37.516851903856427</c:v>
                </c:pt>
                <c:pt idx="202">
                  <c:v>38.295596062679216</c:v>
                </c:pt>
                <c:pt idx="203">
                  <c:v>39.488619389699899</c:v>
                </c:pt>
                <c:pt idx="204">
                  <c:v>40.250878425167542</c:v>
                </c:pt>
                <c:pt idx="205">
                  <c:v>39.895013636796072</c:v>
                </c:pt>
                <c:pt idx="206">
                  <c:v>36.823852732279214</c:v>
                </c:pt>
                <c:pt idx="207">
                  <c:v>38.016138858067592</c:v>
                </c:pt>
                <c:pt idx="208">
                  <c:v>39.928126659262006</c:v>
                </c:pt>
                <c:pt idx="209">
                  <c:v>37.213650552760306</c:v>
                </c:pt>
                <c:pt idx="210">
                  <c:v>38.605402616879623</c:v>
                </c:pt>
                <c:pt idx="211">
                  <c:v>36.761953742782119</c:v>
                </c:pt>
                <c:pt idx="212">
                  <c:v>37.578610069309214</c:v>
                </c:pt>
                <c:pt idx="213">
                  <c:v>37.021166585485162</c:v>
                </c:pt>
                <c:pt idx="214">
                  <c:v>40.13692352992723</c:v>
                </c:pt>
                <c:pt idx="215">
                  <c:v>41.717258348897602</c:v>
                </c:pt>
                <c:pt idx="216">
                  <c:v>42.253445396708656</c:v>
                </c:pt>
                <c:pt idx="217">
                  <c:v>43.440640087399416</c:v>
                </c:pt>
                <c:pt idx="218">
                  <c:v>43.749654993892818</c:v>
                </c:pt>
                <c:pt idx="219">
                  <c:v>44.549353480899782</c:v>
                </c:pt>
                <c:pt idx="220">
                  <c:v>44.410726577078975</c:v>
                </c:pt>
                <c:pt idx="221">
                  <c:v>45.842682927993287</c:v>
                </c:pt>
                <c:pt idx="222">
                  <c:v>44.527738264377184</c:v>
                </c:pt>
                <c:pt idx="223">
                  <c:v>43.315096159203762</c:v>
                </c:pt>
                <c:pt idx="224">
                  <c:v>45.139872870875294</c:v>
                </c:pt>
                <c:pt idx="225">
                  <c:v>43.532644235196685</c:v>
                </c:pt>
                <c:pt idx="226">
                  <c:v>43.624459869336654</c:v>
                </c:pt>
                <c:pt idx="227">
                  <c:v>44.502352678522243</c:v>
                </c:pt>
                <c:pt idx="228">
                  <c:v>46.159932289627086</c:v>
                </c:pt>
                <c:pt idx="229">
                  <c:v>44.563866291023729</c:v>
                </c:pt>
                <c:pt idx="230">
                  <c:v>42.058091229717114</c:v>
                </c:pt>
                <c:pt idx="231">
                  <c:v>44.338252089385612</c:v>
                </c:pt>
                <c:pt idx="232">
                  <c:v>45.412195543307391</c:v>
                </c:pt>
                <c:pt idx="233">
                  <c:v>45.613235210015347</c:v>
                </c:pt>
                <c:pt idx="234">
                  <c:v>46.969803420086365</c:v>
                </c:pt>
                <c:pt idx="235">
                  <c:v>45.453654250552376</c:v>
                </c:pt>
                <c:pt idx="236">
                  <c:v>42.348386264649932</c:v>
                </c:pt>
                <c:pt idx="237">
                  <c:v>42.416880148859441</c:v>
                </c:pt>
                <c:pt idx="238">
                  <c:v>44.213562667617992</c:v>
                </c:pt>
                <c:pt idx="239">
                  <c:v>44.5851054030271</c:v>
                </c:pt>
                <c:pt idx="240">
                  <c:v>44.805707514128827</c:v>
                </c:pt>
                <c:pt idx="241">
                  <c:v>44.676157675870634</c:v>
                </c:pt>
                <c:pt idx="242">
                  <c:v>46.859065046423062</c:v>
                </c:pt>
                <c:pt idx="243">
                  <c:v>46.708489592380602</c:v>
                </c:pt>
                <c:pt idx="244">
                  <c:v>47.143610567031629</c:v>
                </c:pt>
                <c:pt idx="245">
                  <c:v>46.082455341481172</c:v>
                </c:pt>
                <c:pt idx="246">
                  <c:v>47.871641998096251</c:v>
                </c:pt>
                <c:pt idx="247">
                  <c:v>47.429049700186972</c:v>
                </c:pt>
                <c:pt idx="248">
                  <c:v>46.175305501253163</c:v>
                </c:pt>
                <c:pt idx="249">
                  <c:v>47.195327677733211</c:v>
                </c:pt>
                <c:pt idx="250">
                  <c:v>46.760669048864806</c:v>
                </c:pt>
                <c:pt idx="251">
                  <c:v>46.387850483938578</c:v>
                </c:pt>
                <c:pt idx="252">
                  <c:v>45.245318684039951</c:v>
                </c:pt>
                <c:pt idx="253">
                  <c:v>44.095063723927609</c:v>
                </c:pt>
                <c:pt idx="254">
                  <c:v>42.314795848881104</c:v>
                </c:pt>
                <c:pt idx="255">
                  <c:v>42.353231904506259</c:v>
                </c:pt>
                <c:pt idx="256">
                  <c:v>43.201182086540463</c:v>
                </c:pt>
                <c:pt idx="257">
                  <c:v>43.355556084089571</c:v>
                </c:pt>
                <c:pt idx="258">
                  <c:v>43.844844848898276</c:v>
                </c:pt>
                <c:pt idx="259">
                  <c:v>44.140046021216847</c:v>
                </c:pt>
                <c:pt idx="260">
                  <c:v>43.139516746754275</c:v>
                </c:pt>
                <c:pt idx="261">
                  <c:v>43.291981054864792</c:v>
                </c:pt>
                <c:pt idx="262">
                  <c:v>43.308000550128192</c:v>
                </c:pt>
                <c:pt idx="263">
                  <c:v>42.525398388404135</c:v>
                </c:pt>
                <c:pt idx="264">
                  <c:v>43.627629126593675</c:v>
                </c:pt>
                <c:pt idx="265">
                  <c:v>42.895818709816211</c:v>
                </c:pt>
                <c:pt idx="266">
                  <c:v>43.275136331026495</c:v>
                </c:pt>
                <c:pt idx="267">
                  <c:v>42.921097185744379</c:v>
                </c:pt>
                <c:pt idx="268">
                  <c:v>41.510599642316478</c:v>
                </c:pt>
                <c:pt idx="269">
                  <c:v>40.044027884460618</c:v>
                </c:pt>
                <c:pt idx="270">
                  <c:v>42.928171665931764</c:v>
                </c:pt>
                <c:pt idx="271">
                  <c:v>45.90868643660577</c:v>
                </c:pt>
                <c:pt idx="272">
                  <c:v>42.395842595291178</c:v>
                </c:pt>
                <c:pt idx="273">
                  <c:v>43.604888545098639</c:v>
                </c:pt>
                <c:pt idx="274">
                  <c:v>42.589032666687011</c:v>
                </c:pt>
                <c:pt idx="275">
                  <c:v>45.21416617307554</c:v>
                </c:pt>
                <c:pt idx="276">
                  <c:v>44.733728927545734</c:v>
                </c:pt>
                <c:pt idx="277">
                  <c:v>42.651290197873138</c:v>
                </c:pt>
                <c:pt idx="278">
                  <c:v>39.535979563807061</c:v>
                </c:pt>
                <c:pt idx="279">
                  <c:v>43.039537043040916</c:v>
                </c:pt>
                <c:pt idx="280">
                  <c:v>44.138811069787174</c:v>
                </c:pt>
                <c:pt idx="281">
                  <c:v>41.795026871623968</c:v>
                </c:pt>
                <c:pt idx="282">
                  <c:v>42.942622254460439</c:v>
                </c:pt>
                <c:pt idx="283">
                  <c:v>45.629654909791348</c:v>
                </c:pt>
                <c:pt idx="284">
                  <c:v>41.683859738419315</c:v>
                </c:pt>
                <c:pt idx="285">
                  <c:v>38.22347583188899</c:v>
                </c:pt>
                <c:pt idx="286">
                  <c:v>39.502758349946774</c:v>
                </c:pt>
                <c:pt idx="287">
                  <c:v>42.125118637190383</c:v>
                </c:pt>
                <c:pt idx="288">
                  <c:v>42.315921341963659</c:v>
                </c:pt>
                <c:pt idx="289">
                  <c:v>44.371776567470143</c:v>
                </c:pt>
                <c:pt idx="290">
                  <c:v>41.58606155386353</c:v>
                </c:pt>
                <c:pt idx="291">
                  <c:v>41.950801102839137</c:v>
                </c:pt>
                <c:pt idx="292">
                  <c:v>40.890454948911717</c:v>
                </c:pt>
                <c:pt idx="293">
                  <c:v>37.52944062662624</c:v>
                </c:pt>
                <c:pt idx="294">
                  <c:v>37.914079707480461</c:v>
                </c:pt>
                <c:pt idx="295">
                  <c:v>37.337308788944071</c:v>
                </c:pt>
                <c:pt idx="296">
                  <c:v>39.797905116598486</c:v>
                </c:pt>
                <c:pt idx="297">
                  <c:v>42.126677349013285</c:v>
                </c:pt>
                <c:pt idx="298">
                  <c:v>42.108546239900797</c:v>
                </c:pt>
                <c:pt idx="299">
                  <c:v>41.490412822035758</c:v>
                </c:pt>
                <c:pt idx="300">
                  <c:v>39.842032974026402</c:v>
                </c:pt>
                <c:pt idx="301">
                  <c:v>39.795701340664138</c:v>
                </c:pt>
                <c:pt idx="302">
                  <c:v>38.613406092806898</c:v>
                </c:pt>
                <c:pt idx="303">
                  <c:v>37.35079203096268</c:v>
                </c:pt>
                <c:pt idx="304">
                  <c:v>41.198599068270852</c:v>
                </c:pt>
                <c:pt idx="305">
                  <c:v>40.84450689967499</c:v>
                </c:pt>
                <c:pt idx="306">
                  <c:v>39.863155342180789</c:v>
                </c:pt>
                <c:pt idx="307">
                  <c:v>41.227604532220489</c:v>
                </c:pt>
                <c:pt idx="308">
                  <c:v>41.958505991212562</c:v>
                </c:pt>
                <c:pt idx="309">
                  <c:v>42.318681466049789</c:v>
                </c:pt>
                <c:pt idx="310">
                  <c:v>44.093045323818849</c:v>
                </c:pt>
                <c:pt idx="311">
                  <c:v>43.313635670225395</c:v>
                </c:pt>
                <c:pt idx="312">
                  <c:v>44.518341639774668</c:v>
                </c:pt>
                <c:pt idx="313">
                  <c:v>41.406562664300516</c:v>
                </c:pt>
                <c:pt idx="314">
                  <c:v>42.028136700978862</c:v>
                </c:pt>
                <c:pt idx="315">
                  <c:v>41.470926459169206</c:v>
                </c:pt>
                <c:pt idx="316">
                  <c:v>39.872859415880271</c:v>
                </c:pt>
                <c:pt idx="317">
                  <c:v>40.008238218660452</c:v>
                </c:pt>
                <c:pt idx="318">
                  <c:v>40.329711649617252</c:v>
                </c:pt>
                <c:pt idx="319">
                  <c:v>42.857765633063281</c:v>
                </c:pt>
                <c:pt idx="320">
                  <c:v>45.456536296394617</c:v>
                </c:pt>
                <c:pt idx="321">
                  <c:v>44.305983499217497</c:v>
                </c:pt>
                <c:pt idx="322">
                  <c:v>44.030252181830399</c:v>
                </c:pt>
                <c:pt idx="323">
                  <c:v>45.950862778731668</c:v>
                </c:pt>
                <c:pt idx="324">
                  <c:v>45.3352967159976</c:v>
                </c:pt>
                <c:pt idx="325">
                  <c:v>44.372318724537664</c:v>
                </c:pt>
                <c:pt idx="326">
                  <c:v>44.785341862467867</c:v>
                </c:pt>
                <c:pt idx="327">
                  <c:v>43.734285456909582</c:v>
                </c:pt>
                <c:pt idx="328">
                  <c:v>43.239964201984307</c:v>
                </c:pt>
                <c:pt idx="329">
                  <c:v>41.902787208537475</c:v>
                </c:pt>
                <c:pt idx="330">
                  <c:v>43.686920202042998</c:v>
                </c:pt>
                <c:pt idx="331">
                  <c:v>44.614642261159581</c:v>
                </c:pt>
                <c:pt idx="332">
                  <c:v>48.335236900997899</c:v>
                </c:pt>
                <c:pt idx="333">
                  <c:v>48.569679527709148</c:v>
                </c:pt>
                <c:pt idx="334">
                  <c:v>49.142888997510703</c:v>
                </c:pt>
                <c:pt idx="335">
                  <c:v>48.778677410118256</c:v>
                </c:pt>
                <c:pt idx="336">
                  <c:v>49.338009515745171</c:v>
                </c:pt>
                <c:pt idx="337">
                  <c:v>49.018712800285343</c:v>
                </c:pt>
                <c:pt idx="338">
                  <c:v>49.066756826952954</c:v>
                </c:pt>
                <c:pt idx="339">
                  <c:v>49.364170472605743</c:v>
                </c:pt>
                <c:pt idx="340">
                  <c:v>50.787321222437718</c:v>
                </c:pt>
                <c:pt idx="341">
                  <c:v>49.308980754239926</c:v>
                </c:pt>
                <c:pt idx="342">
                  <c:v>47.580339808945297</c:v>
                </c:pt>
                <c:pt idx="343">
                  <c:v>47.11375239427808</c:v>
                </c:pt>
                <c:pt idx="344">
                  <c:v>48.38798530046212</c:v>
                </c:pt>
                <c:pt idx="345">
                  <c:v>49.714202974187302</c:v>
                </c:pt>
                <c:pt idx="346">
                  <c:v>50.552197008164271</c:v>
                </c:pt>
                <c:pt idx="347">
                  <c:v>50.567219785164305</c:v>
                </c:pt>
                <c:pt idx="348">
                  <c:v>47.008075651891176</c:v>
                </c:pt>
                <c:pt idx="349">
                  <c:v>47.703478853997858</c:v>
                </c:pt>
                <c:pt idx="350">
                  <c:v>50.415171283159609</c:v>
                </c:pt>
                <c:pt idx="351">
                  <c:v>48.821990067232022</c:v>
                </c:pt>
                <c:pt idx="352">
                  <c:v>50.668442786583789</c:v>
                </c:pt>
                <c:pt idx="353">
                  <c:v>51.948319561220316</c:v>
                </c:pt>
                <c:pt idx="354">
                  <c:v>52.726186269343657</c:v>
                </c:pt>
                <c:pt idx="355">
                  <c:v>51.372547349121831</c:v>
                </c:pt>
                <c:pt idx="356">
                  <c:v>51.361008375726904</c:v>
                </c:pt>
                <c:pt idx="357">
                  <c:v>50.025935870638214</c:v>
                </c:pt>
                <c:pt idx="358">
                  <c:v>49.75808513644531</c:v>
                </c:pt>
                <c:pt idx="359">
                  <c:v>49.757161655419516</c:v>
                </c:pt>
                <c:pt idx="360">
                  <c:v>50.528451715977994</c:v>
                </c:pt>
                <c:pt idx="361">
                  <c:v>46.876549014324368</c:v>
                </c:pt>
                <c:pt idx="362">
                  <c:v>51.328998240424184</c:v>
                </c:pt>
                <c:pt idx="363">
                  <c:v>49.673338324916351</c:v>
                </c:pt>
                <c:pt idx="364">
                  <c:v>56.07196966777056</c:v>
                </c:pt>
                <c:pt idx="365">
                  <c:v>54.285103072107866</c:v>
                </c:pt>
                <c:pt idx="366">
                  <c:v>51.358661289069786</c:v>
                </c:pt>
                <c:pt idx="367">
                  <c:v>49.621604384634502</c:v>
                </c:pt>
                <c:pt idx="368">
                  <c:v>47.074841781710042</c:v>
                </c:pt>
                <c:pt idx="369">
                  <c:v>49.478582692266365</c:v>
                </c:pt>
                <c:pt idx="370">
                  <c:v>51.456743279633486</c:v>
                </c:pt>
                <c:pt idx="371">
                  <c:v>47.788167273508385</c:v>
                </c:pt>
                <c:pt idx="372">
                  <c:v>48.017930826159571</c:v>
                </c:pt>
                <c:pt idx="373">
                  <c:v>52.60257641070455</c:v>
                </c:pt>
                <c:pt idx="374">
                  <c:v>48.466303229331622</c:v>
                </c:pt>
                <c:pt idx="375">
                  <c:v>51.64068867445247</c:v>
                </c:pt>
                <c:pt idx="376">
                  <c:v>52.323883874361357</c:v>
                </c:pt>
                <c:pt idx="377">
                  <c:v>56.683652292677692</c:v>
                </c:pt>
                <c:pt idx="378">
                  <c:v>52.91570701388116</c:v>
                </c:pt>
                <c:pt idx="379">
                  <c:v>51.067956394349281</c:v>
                </c:pt>
                <c:pt idx="380">
                  <c:v>50.572655264406748</c:v>
                </c:pt>
                <c:pt idx="381">
                  <c:v>50.716145417645009</c:v>
                </c:pt>
                <c:pt idx="382">
                  <c:v>51.006121781775704</c:v>
                </c:pt>
                <c:pt idx="383">
                  <c:v>50.274244284056856</c:v>
                </c:pt>
                <c:pt idx="384">
                  <c:v>49.725606624374805</c:v>
                </c:pt>
                <c:pt idx="385">
                  <c:v>48.815285466732384</c:v>
                </c:pt>
                <c:pt idx="386">
                  <c:v>51.565390369672059</c:v>
                </c:pt>
                <c:pt idx="387">
                  <c:v>52.73759080818283</c:v>
                </c:pt>
                <c:pt idx="388">
                  <c:v>49.789953586171976</c:v>
                </c:pt>
                <c:pt idx="389">
                  <c:v>49.207664084195088</c:v>
                </c:pt>
                <c:pt idx="390">
                  <c:v>50.741207106733242</c:v>
                </c:pt>
                <c:pt idx="391">
                  <c:v>49.055312957769139</c:v>
                </c:pt>
                <c:pt idx="392">
                  <c:v>48.20508698252651</c:v>
                </c:pt>
                <c:pt idx="393">
                  <c:v>44.969921496952168</c:v>
                </c:pt>
                <c:pt idx="394">
                  <c:v>42.625391291717612</c:v>
                </c:pt>
                <c:pt idx="395">
                  <c:v>43.832489099806629</c:v>
                </c:pt>
                <c:pt idx="396">
                  <c:v>45.020003254332124</c:v>
                </c:pt>
                <c:pt idx="397">
                  <c:v>44.923632235701774</c:v>
                </c:pt>
                <c:pt idx="398">
                  <c:v>43.850390255816876</c:v>
                </c:pt>
                <c:pt idx="399">
                  <c:v>42.869556771563374</c:v>
                </c:pt>
                <c:pt idx="400">
                  <c:v>42.559498960469469</c:v>
                </c:pt>
                <c:pt idx="401">
                  <c:v>42.000358747404412</c:v>
                </c:pt>
                <c:pt idx="402">
                  <c:v>43.026687948019614</c:v>
                </c:pt>
                <c:pt idx="403">
                  <c:v>44.19992500544376</c:v>
                </c:pt>
                <c:pt idx="404">
                  <c:v>44.966681838244241</c:v>
                </c:pt>
                <c:pt idx="405">
                  <c:v>44.899976023454755</c:v>
                </c:pt>
                <c:pt idx="406">
                  <c:v>45.38760211754834</c:v>
                </c:pt>
                <c:pt idx="407">
                  <c:v>44.693864377728161</c:v>
                </c:pt>
                <c:pt idx="408">
                  <c:v>47.91174272430365</c:v>
                </c:pt>
                <c:pt idx="409">
                  <c:v>46.509192187870539</c:v>
                </c:pt>
                <c:pt idx="410">
                  <c:v>45.279452706567504</c:v>
                </c:pt>
                <c:pt idx="411">
                  <c:v>47.921637746365576</c:v>
                </c:pt>
                <c:pt idx="412">
                  <c:v>48.110978674520908</c:v>
                </c:pt>
                <c:pt idx="413">
                  <c:v>48.258829588611839</c:v>
                </c:pt>
                <c:pt idx="414">
                  <c:v>47.8663574320802</c:v>
                </c:pt>
                <c:pt idx="415">
                  <c:v>46.194982983149032</c:v>
                </c:pt>
                <c:pt idx="416">
                  <c:v>45.363417969439901</c:v>
                </c:pt>
                <c:pt idx="417">
                  <c:v>45.137505818938237</c:v>
                </c:pt>
                <c:pt idx="418">
                  <c:v>43.922763870901335</c:v>
                </c:pt>
                <c:pt idx="419">
                  <c:v>43.820853166416612</c:v>
                </c:pt>
                <c:pt idx="420">
                  <c:v>43.390703221488394</c:v>
                </c:pt>
                <c:pt idx="421">
                  <c:v>40.521102808967619</c:v>
                </c:pt>
                <c:pt idx="422">
                  <c:v>41.879367066200423</c:v>
                </c:pt>
                <c:pt idx="423">
                  <c:v>42.628098894719471</c:v>
                </c:pt>
                <c:pt idx="424">
                  <c:v>41.85522719591394</c:v>
                </c:pt>
                <c:pt idx="425">
                  <c:v>41.338599694537322</c:v>
                </c:pt>
                <c:pt idx="426">
                  <c:v>41.62348736459586</c:v>
                </c:pt>
                <c:pt idx="427">
                  <c:v>43.203534515261524</c:v>
                </c:pt>
                <c:pt idx="428">
                  <c:v>42.037297823422783</c:v>
                </c:pt>
                <c:pt idx="429">
                  <c:v>42.461180517502228</c:v>
                </c:pt>
                <c:pt idx="430">
                  <c:v>42.839829390868267</c:v>
                </c:pt>
                <c:pt idx="431">
                  <c:v>43.131364583044153</c:v>
                </c:pt>
                <c:pt idx="432">
                  <c:v>43.815943552990774</c:v>
                </c:pt>
                <c:pt idx="433">
                  <c:v>44.70375461463059</c:v>
                </c:pt>
                <c:pt idx="434">
                  <c:v>44.573761270698412</c:v>
                </c:pt>
                <c:pt idx="435">
                  <c:v>44.763821694916473</c:v>
                </c:pt>
                <c:pt idx="436">
                  <c:v>46.330813155606457</c:v>
                </c:pt>
                <c:pt idx="437">
                  <c:v>47.216347045928707</c:v>
                </c:pt>
                <c:pt idx="438">
                  <c:v>47.011839627637301</c:v>
                </c:pt>
                <c:pt idx="439">
                  <c:v>43.947222188668299</c:v>
                </c:pt>
                <c:pt idx="440">
                  <c:v>44.15035253876006</c:v>
                </c:pt>
                <c:pt idx="441">
                  <c:v>41.825910151004791</c:v>
                </c:pt>
                <c:pt idx="442">
                  <c:v>42.062739675097603</c:v>
                </c:pt>
                <c:pt idx="443">
                  <c:v>39.877662853639237</c:v>
                </c:pt>
                <c:pt idx="444">
                  <c:v>43.419018714120881</c:v>
                </c:pt>
                <c:pt idx="445">
                  <c:v>42.358298717622304</c:v>
                </c:pt>
                <c:pt idx="446">
                  <c:v>43.639614802583658</c:v>
                </c:pt>
                <c:pt idx="447">
                  <c:v>44.917395471595832</c:v>
                </c:pt>
                <c:pt idx="448">
                  <c:v>44.106245234902467</c:v>
                </c:pt>
                <c:pt idx="449">
                  <c:v>43.887399503607028</c:v>
                </c:pt>
                <c:pt idx="450">
                  <c:v>43.257698304084755</c:v>
                </c:pt>
                <c:pt idx="451">
                  <c:v>41.996281405245917</c:v>
                </c:pt>
                <c:pt idx="452">
                  <c:v>41.94439444981731</c:v>
                </c:pt>
                <c:pt idx="453">
                  <c:v>42.817905067394136</c:v>
                </c:pt>
                <c:pt idx="454">
                  <c:v>39.790268668630965</c:v>
                </c:pt>
                <c:pt idx="455">
                  <c:v>38.699973351932549</c:v>
                </c:pt>
                <c:pt idx="456">
                  <c:v>41.227189595800546</c:v>
                </c:pt>
                <c:pt idx="457">
                  <c:v>41.031887735863357</c:v>
                </c:pt>
                <c:pt idx="458">
                  <c:v>39.423143684295638</c:v>
                </c:pt>
                <c:pt idx="459">
                  <c:v>39.034394730917782</c:v>
                </c:pt>
                <c:pt idx="460">
                  <c:v>39.31305090254272</c:v>
                </c:pt>
                <c:pt idx="461">
                  <c:v>40.892304258889091</c:v>
                </c:pt>
                <c:pt idx="462">
                  <c:v>42.317429910122648</c:v>
                </c:pt>
                <c:pt idx="463">
                  <c:v>43.111718667598737</c:v>
                </c:pt>
                <c:pt idx="464">
                  <c:v>42.041183455322781</c:v>
                </c:pt>
                <c:pt idx="465">
                  <c:v>42.260579680585138</c:v>
                </c:pt>
                <c:pt idx="466">
                  <c:v>41.943361555709728</c:v>
                </c:pt>
                <c:pt idx="467">
                  <c:v>41.58413445373678</c:v>
                </c:pt>
                <c:pt idx="468">
                  <c:v>40.946881188969932</c:v>
                </c:pt>
                <c:pt idx="469">
                  <c:v>40.366135974819819</c:v>
                </c:pt>
                <c:pt idx="470">
                  <c:v>40.379924502150608</c:v>
                </c:pt>
                <c:pt idx="471">
                  <c:v>41.628448578850396</c:v>
                </c:pt>
                <c:pt idx="472">
                  <c:v>40.723542631534656</c:v>
                </c:pt>
                <c:pt idx="473">
                  <c:v>37.88502159116549</c:v>
                </c:pt>
                <c:pt idx="474">
                  <c:v>36.376409450661733</c:v>
                </c:pt>
                <c:pt idx="475">
                  <c:v>39.072566634420191</c:v>
                </c:pt>
                <c:pt idx="476">
                  <c:v>36.676884898301701</c:v>
                </c:pt>
                <c:pt idx="477">
                  <c:v>33.884373522867506</c:v>
                </c:pt>
                <c:pt idx="478">
                  <c:v>33.468326743095211</c:v>
                </c:pt>
                <c:pt idx="479">
                  <c:v>36.46899700928563</c:v>
                </c:pt>
                <c:pt idx="480">
                  <c:v>35.591342318731293</c:v>
                </c:pt>
                <c:pt idx="481">
                  <c:v>35.440205589100593</c:v>
                </c:pt>
                <c:pt idx="482">
                  <c:v>34.959480513153586</c:v>
                </c:pt>
                <c:pt idx="483">
                  <c:v>37.525032497124236</c:v>
                </c:pt>
                <c:pt idx="484">
                  <c:v>38.530862891248027</c:v>
                </c:pt>
                <c:pt idx="485">
                  <c:v>38.549202138442439</c:v>
                </c:pt>
                <c:pt idx="486">
                  <c:v>38.088208479043473</c:v>
                </c:pt>
                <c:pt idx="487">
                  <c:v>37.315446387739769</c:v>
                </c:pt>
                <c:pt idx="488">
                  <c:v>36.595114526121499</c:v>
                </c:pt>
                <c:pt idx="489">
                  <c:v>36.372330909450355</c:v>
                </c:pt>
                <c:pt idx="490">
                  <c:v>35.175645167963708</c:v>
                </c:pt>
                <c:pt idx="491">
                  <c:v>38.255892274735167</c:v>
                </c:pt>
                <c:pt idx="492">
                  <c:v>40.208964325198451</c:v>
                </c:pt>
                <c:pt idx="493">
                  <c:v>40.771001483340562</c:v>
                </c:pt>
                <c:pt idx="494">
                  <c:v>40.243382085113552</c:v>
                </c:pt>
                <c:pt idx="495">
                  <c:v>39.858322730476729</c:v>
                </c:pt>
                <c:pt idx="496">
                  <c:v>39.121525446290292</c:v>
                </c:pt>
                <c:pt idx="497">
                  <c:v>38.759702030578865</c:v>
                </c:pt>
                <c:pt idx="498">
                  <c:v>39.315596906089709</c:v>
                </c:pt>
                <c:pt idx="499">
                  <c:v>39.314018160570299</c:v>
                </c:pt>
                <c:pt idx="500">
                  <c:v>38.650799462279998</c:v>
                </c:pt>
                <c:pt idx="501">
                  <c:v>36.987200551663399</c:v>
                </c:pt>
                <c:pt idx="502">
                  <c:v>34.853109736562388</c:v>
                </c:pt>
                <c:pt idx="503">
                  <c:v>36.409358365136043</c:v>
                </c:pt>
                <c:pt idx="504">
                  <c:v>37.569682326138079</c:v>
                </c:pt>
                <c:pt idx="505">
                  <c:v>39.493746778681484</c:v>
                </c:pt>
                <c:pt idx="506">
                  <c:v>40.605095898625777</c:v>
                </c:pt>
                <c:pt idx="507">
                  <c:v>41.459020512947866</c:v>
                </c:pt>
                <c:pt idx="508">
                  <c:v>42.158479940505167</c:v>
                </c:pt>
                <c:pt idx="509">
                  <c:v>42.247315426943182</c:v>
                </c:pt>
                <c:pt idx="510">
                  <c:v>42.42828468511604</c:v>
                </c:pt>
                <c:pt idx="511">
                  <c:v>41.468678864906629</c:v>
                </c:pt>
                <c:pt idx="512">
                  <c:v>39.326569639275206</c:v>
                </c:pt>
                <c:pt idx="513">
                  <c:v>38.05742676153352</c:v>
                </c:pt>
                <c:pt idx="514">
                  <c:v>42.654382805797958</c:v>
                </c:pt>
                <c:pt idx="515">
                  <c:v>42.669575133370188</c:v>
                </c:pt>
                <c:pt idx="516">
                  <c:v>39.407384879897322</c:v>
                </c:pt>
                <c:pt idx="517">
                  <c:v>41.440440399591097</c:v>
                </c:pt>
                <c:pt idx="518">
                  <c:v>41.716216978670978</c:v>
                </c:pt>
                <c:pt idx="519">
                  <c:v>39.308692961045296</c:v>
                </c:pt>
                <c:pt idx="520">
                  <c:v>39.100941561364579</c:v>
                </c:pt>
                <c:pt idx="521">
                  <c:v>38.232410253617665</c:v>
                </c:pt>
                <c:pt idx="522">
                  <c:v>40.742173913102384</c:v>
                </c:pt>
                <c:pt idx="523">
                  <c:v>40.500199854373932</c:v>
                </c:pt>
                <c:pt idx="524">
                  <c:v>39.725811816462226</c:v>
                </c:pt>
                <c:pt idx="525">
                  <c:v>39.839379242432813</c:v>
                </c:pt>
                <c:pt idx="526">
                  <c:v>38.480811215370878</c:v>
                </c:pt>
                <c:pt idx="527">
                  <c:v>35.950327195308837</c:v>
                </c:pt>
                <c:pt idx="528">
                  <c:v>36.131899525343769</c:v>
                </c:pt>
                <c:pt idx="529">
                  <c:v>35.430408745121731</c:v>
                </c:pt>
                <c:pt idx="530">
                  <c:v>36.477538559289513</c:v>
                </c:pt>
                <c:pt idx="531">
                  <c:v>37.288486545734415</c:v>
                </c:pt>
                <c:pt idx="532">
                  <c:v>36.147840252484514</c:v>
                </c:pt>
                <c:pt idx="533">
                  <c:v>36.975113501536363</c:v>
                </c:pt>
                <c:pt idx="534">
                  <c:v>35.26793103126932</c:v>
                </c:pt>
                <c:pt idx="535">
                  <c:v>33.925153919093411</c:v>
                </c:pt>
                <c:pt idx="536">
                  <c:v>35.441641291505853</c:v>
                </c:pt>
                <c:pt idx="537">
                  <c:v>38.934593193966656</c:v>
                </c:pt>
                <c:pt idx="538">
                  <c:v>38.386838556318594</c:v>
                </c:pt>
                <c:pt idx="539">
                  <c:v>38.894392089193538</c:v>
                </c:pt>
                <c:pt idx="540">
                  <c:v>39.269612934083604</c:v>
                </c:pt>
                <c:pt idx="541">
                  <c:v>36.806069471222457</c:v>
                </c:pt>
                <c:pt idx="542">
                  <c:v>36.616832821215169</c:v>
                </c:pt>
                <c:pt idx="543">
                  <c:v>36.027440122413736</c:v>
                </c:pt>
                <c:pt idx="544">
                  <c:v>36.14816377849187</c:v>
                </c:pt>
                <c:pt idx="545">
                  <c:v>36.38461960714227</c:v>
                </c:pt>
                <c:pt idx="546">
                  <c:v>36.690727339109273</c:v>
                </c:pt>
                <c:pt idx="547">
                  <c:v>35.648862444052583</c:v>
                </c:pt>
                <c:pt idx="548">
                  <c:v>35.133264968510261</c:v>
                </c:pt>
                <c:pt idx="549">
                  <c:v>34.509207152599366</c:v>
                </c:pt>
                <c:pt idx="550">
                  <c:v>35.479916011779395</c:v>
                </c:pt>
                <c:pt idx="551">
                  <c:v>36.932343575720864</c:v>
                </c:pt>
                <c:pt idx="552">
                  <c:v>38.129557497992437</c:v>
                </c:pt>
                <c:pt idx="553">
                  <c:v>37.325670677968439</c:v>
                </c:pt>
                <c:pt idx="554">
                  <c:v>39.502870858932418</c:v>
                </c:pt>
                <c:pt idx="555">
                  <c:v>40.097279632885929</c:v>
                </c:pt>
                <c:pt idx="556">
                  <c:v>41.070444767112356</c:v>
                </c:pt>
                <c:pt idx="557">
                  <c:v>42.867353269673266</c:v>
                </c:pt>
                <c:pt idx="558">
                  <c:v>43.164415744101959</c:v>
                </c:pt>
                <c:pt idx="559">
                  <c:v>43.325832916065131</c:v>
                </c:pt>
                <c:pt idx="560">
                  <c:v>43.57767930766844</c:v>
                </c:pt>
                <c:pt idx="561">
                  <c:v>44.488926618631396</c:v>
                </c:pt>
                <c:pt idx="562">
                  <c:v>45.967607621484966</c:v>
                </c:pt>
                <c:pt idx="563">
                  <c:v>42.598943256723146</c:v>
                </c:pt>
                <c:pt idx="564">
                  <c:v>42.466589776828663</c:v>
                </c:pt>
                <c:pt idx="565">
                  <c:v>44.318681536732988</c:v>
                </c:pt>
                <c:pt idx="566">
                  <c:v>42.334477559901053</c:v>
                </c:pt>
                <c:pt idx="567">
                  <c:v>39.896047213682969</c:v>
                </c:pt>
                <c:pt idx="568">
                  <c:v>39.681700016202051</c:v>
                </c:pt>
                <c:pt idx="569">
                  <c:v>40.254924601397093</c:v>
                </c:pt>
                <c:pt idx="570">
                  <c:v>38.711014641491289</c:v>
                </c:pt>
                <c:pt idx="571">
                  <c:v>36.57760306794092</c:v>
                </c:pt>
                <c:pt idx="572">
                  <c:v>37.403587562499325</c:v>
                </c:pt>
                <c:pt idx="573">
                  <c:v>37.451908977941024</c:v>
                </c:pt>
                <c:pt idx="574">
                  <c:v>33.704744313746424</c:v>
                </c:pt>
                <c:pt idx="575">
                  <c:v>35.749930021087003</c:v>
                </c:pt>
                <c:pt idx="576">
                  <c:v>34.545777676474785</c:v>
                </c:pt>
                <c:pt idx="577">
                  <c:v>36.618560268526906</c:v>
                </c:pt>
                <c:pt idx="578">
                  <c:v>35.699751258107462</c:v>
                </c:pt>
                <c:pt idx="579">
                  <c:v>35.60799983466665</c:v>
                </c:pt>
                <c:pt idx="580">
                  <c:v>34.012721218966149</c:v>
                </c:pt>
                <c:pt idx="581">
                  <c:v>35.89350369345302</c:v>
                </c:pt>
                <c:pt idx="582">
                  <c:v>37.366282792569187</c:v>
                </c:pt>
                <c:pt idx="583">
                  <c:v>35.945249172148394</c:v>
                </c:pt>
                <c:pt idx="584">
                  <c:v>36.98145222742459</c:v>
                </c:pt>
                <c:pt idx="585">
                  <c:v>35.922526021139532</c:v>
                </c:pt>
                <c:pt idx="586">
                  <c:v>37.422679661927724</c:v>
                </c:pt>
                <c:pt idx="587">
                  <c:v>38.109396780350366</c:v>
                </c:pt>
                <c:pt idx="588">
                  <c:v>39.916135539371048</c:v>
                </c:pt>
                <c:pt idx="589">
                  <c:v>39.892025831694866</c:v>
                </c:pt>
                <c:pt idx="590">
                  <c:v>39.806990411238971</c:v>
                </c:pt>
                <c:pt idx="591">
                  <c:v>39.912026622404142</c:v>
                </c:pt>
                <c:pt idx="592">
                  <c:v>39.399480987999759</c:v>
                </c:pt>
                <c:pt idx="593">
                  <c:v>38.915155897628487</c:v>
                </c:pt>
                <c:pt idx="594">
                  <c:v>40.350382185014347</c:v>
                </c:pt>
                <c:pt idx="595">
                  <c:v>39.248723671950096</c:v>
                </c:pt>
                <c:pt idx="596">
                  <c:v>39.015388730649718</c:v>
                </c:pt>
                <c:pt idx="597">
                  <c:v>36.698288188998184</c:v>
                </c:pt>
                <c:pt idx="598">
                  <c:v>36.943147582248649</c:v>
                </c:pt>
                <c:pt idx="599">
                  <c:v>37.932566883032315</c:v>
                </c:pt>
                <c:pt idx="600">
                  <c:v>39.456845420151851</c:v>
                </c:pt>
                <c:pt idx="601">
                  <c:v>42.723198258640522</c:v>
                </c:pt>
                <c:pt idx="602">
                  <c:v>43.103442754766114</c:v>
                </c:pt>
                <c:pt idx="603">
                  <c:v>42.814683167923675</c:v>
                </c:pt>
                <c:pt idx="604">
                  <c:v>42.004571398704577</c:v>
                </c:pt>
                <c:pt idx="605">
                  <c:v>42.890758097161168</c:v>
                </c:pt>
                <c:pt idx="606">
                  <c:v>39.765999079814343</c:v>
                </c:pt>
                <c:pt idx="607">
                  <c:v>39.46672867492174</c:v>
                </c:pt>
                <c:pt idx="608">
                  <c:v>40.154351220463973</c:v>
                </c:pt>
                <c:pt idx="609">
                  <c:v>41.77075806973771</c:v>
                </c:pt>
                <c:pt idx="610">
                  <c:v>39.980084827461553</c:v>
                </c:pt>
                <c:pt idx="611">
                  <c:v>38.18726897084094</c:v>
                </c:pt>
                <c:pt idx="612">
                  <c:v>37.026434977934116</c:v>
                </c:pt>
                <c:pt idx="613">
                  <c:v>38.806927797950017</c:v>
                </c:pt>
                <c:pt idx="614">
                  <c:v>37.775600429677638</c:v>
                </c:pt>
                <c:pt idx="615">
                  <c:v>36.676023469868809</c:v>
                </c:pt>
                <c:pt idx="616">
                  <c:v>34.432462784167875</c:v>
                </c:pt>
                <c:pt idx="617">
                  <c:v>36.284846478988072</c:v>
                </c:pt>
                <c:pt idx="618">
                  <c:v>36.852054677790193</c:v>
                </c:pt>
                <c:pt idx="619">
                  <c:v>36.330289755800358</c:v>
                </c:pt>
                <c:pt idx="620">
                  <c:v>36.059240758319284</c:v>
                </c:pt>
                <c:pt idx="621">
                  <c:v>37.647209478601141</c:v>
                </c:pt>
                <c:pt idx="622">
                  <c:v>37.502096641853946</c:v>
                </c:pt>
                <c:pt idx="623">
                  <c:v>37.35225178509571</c:v>
                </c:pt>
                <c:pt idx="624">
                  <c:v>36.135390983314828</c:v>
                </c:pt>
                <c:pt idx="625">
                  <c:v>35.799766762322626</c:v>
                </c:pt>
                <c:pt idx="626">
                  <c:v>37.446850034631247</c:v>
                </c:pt>
                <c:pt idx="627">
                  <c:v>40.702727131321105</c:v>
                </c:pt>
                <c:pt idx="628">
                  <c:v>39.869121556398071</c:v>
                </c:pt>
                <c:pt idx="629">
                  <c:v>39.278312233229293</c:v>
                </c:pt>
                <c:pt idx="630">
                  <c:v>41.347619570535556</c:v>
                </c:pt>
                <c:pt idx="631">
                  <c:v>41.483588718236589</c:v>
                </c:pt>
                <c:pt idx="632">
                  <c:v>42.376267477665017</c:v>
                </c:pt>
                <c:pt idx="633">
                  <c:v>40.099306159196416</c:v>
                </c:pt>
                <c:pt idx="634">
                  <c:v>40.021676579519507</c:v>
                </c:pt>
                <c:pt idx="635">
                  <c:v>39.648942211310803</c:v>
                </c:pt>
                <c:pt idx="636">
                  <c:v>39.545022875996153</c:v>
                </c:pt>
                <c:pt idx="637">
                  <c:v>40.239891127073506</c:v>
                </c:pt>
                <c:pt idx="638">
                  <c:v>41.125924918545152</c:v>
                </c:pt>
                <c:pt idx="639">
                  <c:v>40.664457842868664</c:v>
                </c:pt>
                <c:pt idx="640">
                  <c:v>40.515104683940606</c:v>
                </c:pt>
                <c:pt idx="641">
                  <c:v>40.086094213957431</c:v>
                </c:pt>
                <c:pt idx="642">
                  <c:v>39.718687486060617</c:v>
                </c:pt>
                <c:pt idx="643">
                  <c:v>40.949424914253996</c:v>
                </c:pt>
                <c:pt idx="644">
                  <c:v>41.878563816964629</c:v>
                </c:pt>
                <c:pt idx="645">
                  <c:v>41.22206770109937</c:v>
                </c:pt>
                <c:pt idx="646">
                  <c:v>42.816641738833525</c:v>
                </c:pt>
                <c:pt idx="647">
                  <c:v>40.733044813874479</c:v>
                </c:pt>
                <c:pt idx="648">
                  <c:v>39.239909137719948</c:v>
                </c:pt>
                <c:pt idx="649">
                  <c:v>38.281468658427606</c:v>
                </c:pt>
                <c:pt idx="650">
                  <c:v>38.916503304486831</c:v>
                </c:pt>
                <c:pt idx="651">
                  <c:v>38.747094417188841</c:v>
                </c:pt>
                <c:pt idx="652">
                  <c:v>39.974838626566154</c:v>
                </c:pt>
                <c:pt idx="653">
                  <c:v>40.845510584295184</c:v>
                </c:pt>
                <c:pt idx="654">
                  <c:v>38.28587934230621</c:v>
                </c:pt>
                <c:pt idx="655">
                  <c:v>37.375592330215895</c:v>
                </c:pt>
                <c:pt idx="656">
                  <c:v>37.47730133323914</c:v>
                </c:pt>
                <c:pt idx="657">
                  <c:v>38.947116348965274</c:v>
                </c:pt>
                <c:pt idx="658">
                  <c:v>38.959746161440997</c:v>
                </c:pt>
                <c:pt idx="659">
                  <c:v>39.198793964602359</c:v>
                </c:pt>
                <c:pt idx="660">
                  <c:v>40.284422745130904</c:v>
                </c:pt>
                <c:pt idx="661">
                  <c:v>41.664444542670921</c:v>
                </c:pt>
                <c:pt idx="662">
                  <c:v>42.218072123747504</c:v>
                </c:pt>
                <c:pt idx="663">
                  <c:v>42.249047274372032</c:v>
                </c:pt>
                <c:pt idx="664">
                  <c:v>40.344880206472652</c:v>
                </c:pt>
                <c:pt idx="665">
                  <c:v>40.221365185723329</c:v>
                </c:pt>
                <c:pt idx="666">
                  <c:v>39.190815531685516</c:v>
                </c:pt>
                <c:pt idx="667">
                  <c:v>40.661891602306156</c:v>
                </c:pt>
                <c:pt idx="668">
                  <c:v>41.402446509534322</c:v>
                </c:pt>
                <c:pt idx="669">
                  <c:v>40.860155563727986</c:v>
                </c:pt>
                <c:pt idx="670">
                  <c:v>40.757152097345219</c:v>
                </c:pt>
                <c:pt idx="671">
                  <c:v>41.791215385538557</c:v>
                </c:pt>
                <c:pt idx="672">
                  <c:v>39.192342662597071</c:v>
                </c:pt>
                <c:pt idx="673">
                  <c:v>38.402066775871162</c:v>
                </c:pt>
                <c:pt idx="674">
                  <c:v>37.983319761029385</c:v>
                </c:pt>
                <c:pt idx="675">
                  <c:v>37.970544444063769</c:v>
                </c:pt>
                <c:pt idx="676">
                  <c:v>39.508387125944978</c:v>
                </c:pt>
                <c:pt idx="677">
                  <c:v>38.897396607600307</c:v>
                </c:pt>
                <c:pt idx="678">
                  <c:v>40.584769286114785</c:v>
                </c:pt>
                <c:pt idx="679">
                  <c:v>41.078737407918176</c:v>
                </c:pt>
                <c:pt idx="680">
                  <c:v>40.320057976931864</c:v>
                </c:pt>
                <c:pt idx="681">
                  <c:v>38.571705523421748</c:v>
                </c:pt>
                <c:pt idx="682">
                  <c:v>38.701019059455845</c:v>
                </c:pt>
                <c:pt idx="683">
                  <c:v>38.804053921136564</c:v>
                </c:pt>
                <c:pt idx="684">
                  <c:v>39.856509939716048</c:v>
                </c:pt>
                <c:pt idx="685">
                  <c:v>39.479356321370375</c:v>
                </c:pt>
                <c:pt idx="686">
                  <c:v>39.831952598854571</c:v>
                </c:pt>
                <c:pt idx="687">
                  <c:v>38.748615438496813</c:v>
                </c:pt>
                <c:pt idx="688">
                  <c:v>38.887324801743659</c:v>
                </c:pt>
                <c:pt idx="689">
                  <c:v>38.833700912920364</c:v>
                </c:pt>
                <c:pt idx="690">
                  <c:v>39.342985626958601</c:v>
                </c:pt>
                <c:pt idx="691">
                  <c:v>39.896131774551947</c:v>
                </c:pt>
                <c:pt idx="692">
                  <c:v>41.204392247962105</c:v>
                </c:pt>
                <c:pt idx="693">
                  <c:v>39.644377865749256</c:v>
                </c:pt>
                <c:pt idx="694">
                  <c:v>38.409642377334265</c:v>
                </c:pt>
                <c:pt idx="695">
                  <c:v>36.932918410728647</c:v>
                </c:pt>
                <c:pt idx="696">
                  <c:v>38.467411315034013</c:v>
                </c:pt>
                <c:pt idx="697">
                  <c:v>37.763349676976979</c:v>
                </c:pt>
                <c:pt idx="698">
                  <c:v>39.976415500449001</c:v>
                </c:pt>
                <c:pt idx="699">
                  <c:v>39.823561297858319</c:v>
                </c:pt>
                <c:pt idx="700">
                  <c:v>40.197603020411172</c:v>
                </c:pt>
                <c:pt idx="701">
                  <c:v>39.651703179725892</c:v>
                </c:pt>
                <c:pt idx="702">
                  <c:v>38.86638426045419</c:v>
                </c:pt>
                <c:pt idx="703">
                  <c:v>37.628937609071386</c:v>
                </c:pt>
                <c:pt idx="704">
                  <c:v>35.195722075325499</c:v>
                </c:pt>
                <c:pt idx="705">
                  <c:v>37.594099224283326</c:v>
                </c:pt>
                <c:pt idx="706">
                  <c:v>35.388411900587144</c:v>
                </c:pt>
                <c:pt idx="707">
                  <c:v>35.889850419381119</c:v>
                </c:pt>
                <c:pt idx="708">
                  <c:v>36.671239637237164</c:v>
                </c:pt>
                <c:pt idx="709">
                  <c:v>36.7692919054209</c:v>
                </c:pt>
                <c:pt idx="710">
                  <c:v>37.087762750489922</c:v>
                </c:pt>
                <c:pt idx="711">
                  <c:v>37.554866719268745</c:v>
                </c:pt>
                <c:pt idx="712">
                  <c:v>35.149159343560001</c:v>
                </c:pt>
                <c:pt idx="713">
                  <c:v>35.695954001985349</c:v>
                </c:pt>
                <c:pt idx="714">
                  <c:v>35.624913461101656</c:v>
                </c:pt>
                <c:pt idx="715">
                  <c:v>33.643209159092322</c:v>
                </c:pt>
                <c:pt idx="716">
                  <c:v>34.635372040210306</c:v>
                </c:pt>
                <c:pt idx="717">
                  <c:v>33.82151360647164</c:v>
                </c:pt>
                <c:pt idx="718">
                  <c:v>34.013516758085174</c:v>
                </c:pt>
                <c:pt idx="719">
                  <c:v>34.484817115922276</c:v>
                </c:pt>
                <c:pt idx="720">
                  <c:v>35.660425108659773</c:v>
                </c:pt>
                <c:pt idx="721">
                  <c:v>35.732820562565941</c:v>
                </c:pt>
                <c:pt idx="722">
                  <c:v>37.073073686431563</c:v>
                </c:pt>
                <c:pt idx="723">
                  <c:v>37.710219264815329</c:v>
                </c:pt>
                <c:pt idx="724">
                  <c:v>39.038874991103825</c:v>
                </c:pt>
                <c:pt idx="725">
                  <c:v>38.856250004091727</c:v>
                </c:pt>
                <c:pt idx="726">
                  <c:v>39.537077016292116</c:v>
                </c:pt>
                <c:pt idx="727">
                  <c:v>40.207650850049227</c:v>
                </c:pt>
                <c:pt idx="728">
                  <c:v>39.892589677295014</c:v>
                </c:pt>
                <c:pt idx="729">
                  <c:v>38.31888682639871</c:v>
                </c:pt>
                <c:pt idx="730">
                  <c:v>38.360227415787193</c:v>
                </c:pt>
                <c:pt idx="731">
                  <c:v>37.490950194510113</c:v>
                </c:pt>
                <c:pt idx="732">
                  <c:v>35.402772543783158</c:v>
                </c:pt>
                <c:pt idx="733">
                  <c:v>36.047804630178753</c:v>
                </c:pt>
                <c:pt idx="734">
                  <c:v>35.775107554315014</c:v>
                </c:pt>
                <c:pt idx="735">
                  <c:v>34.373690650743441</c:v>
                </c:pt>
                <c:pt idx="736">
                  <c:v>36.046325068163952</c:v>
                </c:pt>
                <c:pt idx="737">
                  <c:v>35.462139958094753</c:v>
                </c:pt>
                <c:pt idx="738">
                  <c:v>34.844922891630262</c:v>
                </c:pt>
                <c:pt idx="739">
                  <c:v>35.243426661945222</c:v>
                </c:pt>
                <c:pt idx="740">
                  <c:v>34.828755226304992</c:v>
                </c:pt>
                <c:pt idx="741">
                  <c:v>34.735390876286658</c:v>
                </c:pt>
                <c:pt idx="742">
                  <c:v>33.0770662387229</c:v>
                </c:pt>
                <c:pt idx="743">
                  <c:v>33.606349273480831</c:v>
                </c:pt>
                <c:pt idx="744">
                  <c:v>34.946355264549048</c:v>
                </c:pt>
                <c:pt idx="745">
                  <c:v>35.76444848426091</c:v>
                </c:pt>
                <c:pt idx="746">
                  <c:v>33.889290604157672</c:v>
                </c:pt>
                <c:pt idx="747">
                  <c:v>34.146071732718319</c:v>
                </c:pt>
                <c:pt idx="748">
                  <c:v>34.40213097023436</c:v>
                </c:pt>
                <c:pt idx="749">
                  <c:v>35.076031942978425</c:v>
                </c:pt>
                <c:pt idx="750">
                  <c:v>37.925956424383017</c:v>
                </c:pt>
                <c:pt idx="751">
                  <c:v>36.92604334324956</c:v>
                </c:pt>
                <c:pt idx="752">
                  <c:v>36.013635852078856</c:v>
                </c:pt>
                <c:pt idx="753">
                  <c:v>36.758856824561171</c:v>
                </c:pt>
                <c:pt idx="754">
                  <c:v>35.758948623891563</c:v>
                </c:pt>
                <c:pt idx="755">
                  <c:v>33.980685169693587</c:v>
                </c:pt>
                <c:pt idx="756">
                  <c:v>33.416312326457117</c:v>
                </c:pt>
                <c:pt idx="757">
                  <c:v>31.14532090928337</c:v>
                </c:pt>
                <c:pt idx="758">
                  <c:v>32.625220670076324</c:v>
                </c:pt>
                <c:pt idx="759">
                  <c:v>30.695729615069379</c:v>
                </c:pt>
                <c:pt idx="760">
                  <c:v>33.554536736675111</c:v>
                </c:pt>
                <c:pt idx="761">
                  <c:v>33.957641695515655</c:v>
                </c:pt>
                <c:pt idx="762">
                  <c:v>33.273844851520401</c:v>
                </c:pt>
                <c:pt idx="763">
                  <c:v>33.929452734983499</c:v>
                </c:pt>
                <c:pt idx="764">
                  <c:v>33.141666719533909</c:v>
                </c:pt>
                <c:pt idx="765">
                  <c:v>34.942025419234369</c:v>
                </c:pt>
                <c:pt idx="766">
                  <c:v>33.743308920596107</c:v>
                </c:pt>
                <c:pt idx="767">
                  <c:v>32.305018343923983</c:v>
                </c:pt>
                <c:pt idx="768">
                  <c:v>32.556508059245424</c:v>
                </c:pt>
                <c:pt idx="769">
                  <c:v>32.238574065110711</c:v>
                </c:pt>
                <c:pt idx="770">
                  <c:v>34.207970112328105</c:v>
                </c:pt>
                <c:pt idx="771">
                  <c:v>34.113619258758064</c:v>
                </c:pt>
                <c:pt idx="772">
                  <c:v>32.453470247318819</c:v>
                </c:pt>
                <c:pt idx="773">
                  <c:v>32.897442914412927</c:v>
                </c:pt>
                <c:pt idx="774">
                  <c:v>34.202574731066662</c:v>
                </c:pt>
                <c:pt idx="775">
                  <c:v>33.570328146269986</c:v>
                </c:pt>
                <c:pt idx="776">
                  <c:v>32.739799381137679</c:v>
                </c:pt>
                <c:pt idx="777">
                  <c:v>31.397273252738657</c:v>
                </c:pt>
                <c:pt idx="778">
                  <c:v>31.486224115730604</c:v>
                </c:pt>
                <c:pt idx="779">
                  <c:v>31.442360394220426</c:v>
                </c:pt>
                <c:pt idx="780">
                  <c:v>32.569580000678975</c:v>
                </c:pt>
                <c:pt idx="781">
                  <c:v>32.058822323459253</c:v>
                </c:pt>
                <c:pt idx="782">
                  <c:v>31.867456516484054</c:v>
                </c:pt>
                <c:pt idx="783">
                  <c:v>32.796947861101181</c:v>
                </c:pt>
                <c:pt idx="784">
                  <c:v>31.900269376866074</c:v>
                </c:pt>
                <c:pt idx="785">
                  <c:v>32.647200340547592</c:v>
                </c:pt>
                <c:pt idx="786">
                  <c:v>29.517119995136753</c:v>
                </c:pt>
                <c:pt idx="787">
                  <c:v>30.209560657062756</c:v>
                </c:pt>
                <c:pt idx="788">
                  <c:v>31.201907029290982</c:v>
                </c:pt>
                <c:pt idx="789">
                  <c:v>30.138876600852644</c:v>
                </c:pt>
                <c:pt idx="790">
                  <c:v>31.166286972110385</c:v>
                </c:pt>
                <c:pt idx="791">
                  <c:v>28.271121597527394</c:v>
                </c:pt>
                <c:pt idx="792">
                  <c:v>26.172444049785483</c:v>
                </c:pt>
                <c:pt idx="793">
                  <c:v>24.290116496972072</c:v>
                </c:pt>
                <c:pt idx="794">
                  <c:v>27.367546245471789</c:v>
                </c:pt>
                <c:pt idx="795">
                  <c:v>28.438400177326894</c:v>
                </c:pt>
                <c:pt idx="796">
                  <c:v>29.300340970393833</c:v>
                </c:pt>
                <c:pt idx="797">
                  <c:v>27.902508279009808</c:v>
                </c:pt>
                <c:pt idx="798">
                  <c:v>31.169885029161971</c:v>
                </c:pt>
                <c:pt idx="799">
                  <c:v>29.791131493841888</c:v>
                </c:pt>
                <c:pt idx="800">
                  <c:v>31.109263518100565</c:v>
                </c:pt>
                <c:pt idx="801">
                  <c:v>30.205114659415667</c:v>
                </c:pt>
                <c:pt idx="802">
                  <c:v>29.513833529179539</c:v>
                </c:pt>
                <c:pt idx="803">
                  <c:v>31.513318696508318</c:v>
                </c:pt>
                <c:pt idx="804">
                  <c:v>31.768794118550847</c:v>
                </c:pt>
                <c:pt idx="805">
                  <c:v>29.149873528942464</c:v>
                </c:pt>
                <c:pt idx="806">
                  <c:v>30.282156831394254</c:v>
                </c:pt>
                <c:pt idx="807">
                  <c:v>31.454335684044327</c:v>
                </c:pt>
                <c:pt idx="808">
                  <c:v>31.726833498002193</c:v>
                </c:pt>
                <c:pt idx="809">
                  <c:v>32.088482598229554</c:v>
                </c:pt>
                <c:pt idx="810">
                  <c:v>31.764920755665464</c:v>
                </c:pt>
                <c:pt idx="811">
                  <c:v>33.433812008259046</c:v>
                </c:pt>
                <c:pt idx="812">
                  <c:v>34.848552047184086</c:v>
                </c:pt>
                <c:pt idx="813">
                  <c:v>35.430879494608838</c:v>
                </c:pt>
                <c:pt idx="814">
                  <c:v>34.999017398319694</c:v>
                </c:pt>
                <c:pt idx="815">
                  <c:v>34.575702895685595</c:v>
                </c:pt>
                <c:pt idx="816">
                  <c:v>35.400268301602928</c:v>
                </c:pt>
                <c:pt idx="817">
                  <c:v>37.214088111194968</c:v>
                </c:pt>
                <c:pt idx="818">
                  <c:v>38.784197894184324</c:v>
                </c:pt>
                <c:pt idx="819">
                  <c:v>37.41937378159205</c:v>
                </c:pt>
                <c:pt idx="820">
                  <c:v>38.524150707702219</c:v>
                </c:pt>
                <c:pt idx="821">
                  <c:v>40.954796934291643</c:v>
                </c:pt>
                <c:pt idx="822">
                  <c:v>37.429348949744693</c:v>
                </c:pt>
                <c:pt idx="823">
                  <c:v>37.354587660566125</c:v>
                </c:pt>
                <c:pt idx="824">
                  <c:v>36.171090206008998</c:v>
                </c:pt>
                <c:pt idx="825">
                  <c:v>35.481201235790564</c:v>
                </c:pt>
                <c:pt idx="826">
                  <c:v>33.860890896137789</c:v>
                </c:pt>
                <c:pt idx="827">
                  <c:v>33.765346737418959</c:v>
                </c:pt>
                <c:pt idx="828">
                  <c:v>33.544816927868524</c:v>
                </c:pt>
                <c:pt idx="829">
                  <c:v>34.858694429969326</c:v>
                </c:pt>
                <c:pt idx="830">
                  <c:v>31.442446753749209</c:v>
                </c:pt>
                <c:pt idx="831">
                  <c:v>33.286675479124924</c:v>
                </c:pt>
                <c:pt idx="832">
                  <c:v>32.34122831606421</c:v>
                </c:pt>
                <c:pt idx="833">
                  <c:v>32.873592029585595</c:v>
                </c:pt>
                <c:pt idx="834">
                  <c:v>33.272501184930746</c:v>
                </c:pt>
                <c:pt idx="835">
                  <c:v>35.076826746486525</c:v>
                </c:pt>
                <c:pt idx="836">
                  <c:v>35.760941825798461</c:v>
                </c:pt>
                <c:pt idx="837">
                  <c:v>33.665098693522822</c:v>
                </c:pt>
                <c:pt idx="838">
                  <c:v>33.608359638309139</c:v>
                </c:pt>
                <c:pt idx="839">
                  <c:v>31.798591837548951</c:v>
                </c:pt>
                <c:pt idx="840">
                  <c:v>31.988702190606844</c:v>
                </c:pt>
                <c:pt idx="841">
                  <c:v>32.290130178933559</c:v>
                </c:pt>
                <c:pt idx="842">
                  <c:v>32.202371882917262</c:v>
                </c:pt>
                <c:pt idx="843">
                  <c:v>32.708468154269077</c:v>
                </c:pt>
                <c:pt idx="844">
                  <c:v>34.172330423270751</c:v>
                </c:pt>
                <c:pt idx="845">
                  <c:v>34.265086125199865</c:v>
                </c:pt>
                <c:pt idx="846">
                  <c:v>31.968741540798305</c:v>
                </c:pt>
                <c:pt idx="847">
                  <c:v>31.527169948473627</c:v>
                </c:pt>
                <c:pt idx="848">
                  <c:v>32.468683650058203</c:v>
                </c:pt>
                <c:pt idx="849">
                  <c:v>32.647742475732791</c:v>
                </c:pt>
                <c:pt idx="850">
                  <c:v>30.417587141562059</c:v>
                </c:pt>
                <c:pt idx="851">
                  <c:v>29.425943975331208</c:v>
                </c:pt>
                <c:pt idx="852">
                  <c:v>29.956580487754426</c:v>
                </c:pt>
                <c:pt idx="853">
                  <c:v>28.93598744605675</c:v>
                </c:pt>
                <c:pt idx="854">
                  <c:v>27.83587605263169</c:v>
                </c:pt>
                <c:pt idx="855">
                  <c:v>30.2989754606301</c:v>
                </c:pt>
                <c:pt idx="856">
                  <c:v>31.063795035499332</c:v>
                </c:pt>
                <c:pt idx="857">
                  <c:v>30.99216081373531</c:v>
                </c:pt>
                <c:pt idx="858">
                  <c:v>30.259835724285487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1-42D6-B5DD-110A61AF4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086080"/>
        <c:axId val="208086640"/>
      </c:lineChart>
      <c:dateAx>
        <c:axId val="208086080"/>
        <c:scaling>
          <c:orientation val="minMax"/>
        </c:scaling>
        <c:delete val="0"/>
        <c:axPos val="b"/>
        <c:numFmt formatCode="yy\-mm" sourceLinked="0"/>
        <c:majorTickMark val="out"/>
        <c:minorTickMark val="none"/>
        <c:tickLblPos val="low"/>
        <c:spPr>
          <a:ln>
            <a:solidFill>
              <a:srgbClr val="01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208086640"/>
        <c:crosses val="autoZero"/>
        <c:auto val="1"/>
        <c:lblOffset val="100"/>
        <c:baseTimeUnit val="days"/>
        <c:majorUnit val="6"/>
        <c:majorTimeUnit val="months"/>
      </c:dateAx>
      <c:valAx>
        <c:axId val="208086640"/>
        <c:scaling>
          <c:orientation val="minMax"/>
        </c:scaling>
        <c:delete val="0"/>
        <c:axPos val="l"/>
        <c:numFmt formatCode="#,##0_);\(#,##0\)" sourceLinked="0"/>
        <c:majorTickMark val="out"/>
        <c:minorTickMark val="none"/>
        <c:tickLblPos val="nextTo"/>
        <c:spPr>
          <a:ln>
            <a:solidFill>
              <a:srgbClr val="010000"/>
            </a:solidFill>
            <a:prstDash val="solid"/>
          </a:ln>
        </c:spPr>
        <c:crossAx val="2080860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>
      <a:noFill/>
    </a:ln>
  </c:spPr>
  <c:txPr>
    <a:bodyPr/>
    <a:lstStyle/>
    <a:p>
      <a:pPr>
        <a:defRPr sz="800">
          <a:latin typeface="Arial"/>
          <a:ea typeface="Arial"/>
          <a:cs typeface="Arial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733562150884979E-2"/>
          <c:y val="8.4418260885809643E-2"/>
          <c:w val="0.83583686654552791"/>
          <c:h val="0.8385429066903347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0">
                <a:solidFill>
                  <a:srgbClr val="002060"/>
                </a:solidFill>
              </a:ln>
              <a:effectLst/>
            </c:spPr>
          </c:marker>
          <c:xVal>
            <c:numRef>
              <c:f>个券数据!$P$1:$P$859</c:f>
              <c:numCache>
                <c:formatCode>0.00</c:formatCode>
                <c:ptCount val="859"/>
                <c:pt idx="0">
                  <c:v>25.230599999999999</c:v>
                </c:pt>
                <c:pt idx="1">
                  <c:v>21.081900000000001</c:v>
                </c:pt>
                <c:pt idx="2">
                  <c:v>20.4802</c:v>
                </c:pt>
                <c:pt idx="3">
                  <c:v>19.758700000000001</c:v>
                </c:pt>
                <c:pt idx="4">
                  <c:v>20.3766</c:v>
                </c:pt>
                <c:pt idx="5">
                  <c:v>20.489599999999999</c:v>
                </c:pt>
                <c:pt idx="6">
                  <c:v>22.035499999999999</c:v>
                </c:pt>
                <c:pt idx="7">
                  <c:v>22.704000000000001</c:v>
                </c:pt>
                <c:pt idx="8">
                  <c:v>20.2849</c:v>
                </c:pt>
                <c:pt idx="9">
                  <c:v>19.333100000000002</c:v>
                </c:pt>
                <c:pt idx="10">
                  <c:v>20.907299999999999</c:v>
                </c:pt>
                <c:pt idx="11">
                  <c:v>19.532900000000001</c:v>
                </c:pt>
                <c:pt idx="12">
                  <c:v>19.3309</c:v>
                </c:pt>
                <c:pt idx="13">
                  <c:v>16.145099999999999</c:v>
                </c:pt>
                <c:pt idx="14">
                  <c:v>15.600199999999999</c:v>
                </c:pt>
                <c:pt idx="15">
                  <c:v>14.933</c:v>
                </c:pt>
                <c:pt idx="16">
                  <c:v>15.305300000000001</c:v>
                </c:pt>
                <c:pt idx="17">
                  <c:v>17.242000000000001</c:v>
                </c:pt>
                <c:pt idx="18">
                  <c:v>17.449300000000001</c:v>
                </c:pt>
                <c:pt idx="19">
                  <c:v>13.2989</c:v>
                </c:pt>
                <c:pt idx="20">
                  <c:v>12.9024</c:v>
                </c:pt>
                <c:pt idx="21">
                  <c:v>13.433999999999999</c:v>
                </c:pt>
                <c:pt idx="22">
                  <c:v>12.9093</c:v>
                </c:pt>
                <c:pt idx="23">
                  <c:v>11.9549</c:v>
                </c:pt>
                <c:pt idx="24">
                  <c:v>11.1533</c:v>
                </c:pt>
                <c:pt idx="25">
                  <c:v>11.2913</c:v>
                </c:pt>
                <c:pt idx="26">
                  <c:v>11.1327</c:v>
                </c:pt>
                <c:pt idx="27">
                  <c:v>11.090999999999999</c:v>
                </c:pt>
                <c:pt idx="28">
                  <c:v>10.786899999999999</c:v>
                </c:pt>
                <c:pt idx="29">
                  <c:v>11.2934</c:v>
                </c:pt>
                <c:pt idx="30">
                  <c:v>10.2423</c:v>
                </c:pt>
                <c:pt idx="31">
                  <c:v>11.3169</c:v>
                </c:pt>
                <c:pt idx="32">
                  <c:v>9.9713999999999992</c:v>
                </c:pt>
                <c:pt idx="33">
                  <c:v>10.9693</c:v>
                </c:pt>
                <c:pt idx="34">
                  <c:v>11.2392</c:v>
                </c:pt>
                <c:pt idx="35">
                  <c:v>11.7394</c:v>
                </c:pt>
                <c:pt idx="36">
                  <c:v>11.8354</c:v>
                </c:pt>
                <c:pt idx="37">
                  <c:v>11.7196</c:v>
                </c:pt>
                <c:pt idx="38">
                  <c:v>12.3386</c:v>
                </c:pt>
                <c:pt idx="39">
                  <c:v>12.133100000000001</c:v>
                </c:pt>
                <c:pt idx="40">
                  <c:v>11.9564</c:v>
                </c:pt>
                <c:pt idx="41">
                  <c:v>13.519500000000001</c:v>
                </c:pt>
                <c:pt idx="42">
                  <c:v>12.979200000000001</c:v>
                </c:pt>
                <c:pt idx="43">
                  <c:v>12.458500000000001</c:v>
                </c:pt>
                <c:pt idx="44">
                  <c:v>12.8009</c:v>
                </c:pt>
                <c:pt idx="45">
                  <c:v>10.74</c:v>
                </c:pt>
                <c:pt idx="46">
                  <c:v>10.7669</c:v>
                </c:pt>
                <c:pt idx="47">
                  <c:v>11.2409</c:v>
                </c:pt>
                <c:pt idx="48">
                  <c:v>11.4237</c:v>
                </c:pt>
                <c:pt idx="49">
                  <c:v>11.621600000000001</c:v>
                </c:pt>
                <c:pt idx="50">
                  <c:v>12.835699999999999</c:v>
                </c:pt>
                <c:pt idx="51">
                  <c:v>12.6448</c:v>
                </c:pt>
                <c:pt idx="52">
                  <c:v>13.562799999999999</c:v>
                </c:pt>
                <c:pt idx="53">
                  <c:v>13.2935</c:v>
                </c:pt>
                <c:pt idx="54">
                  <c:v>13.168699999999999</c:v>
                </c:pt>
                <c:pt idx="55">
                  <c:v>12.8278</c:v>
                </c:pt>
                <c:pt idx="56">
                  <c:v>12.3805</c:v>
                </c:pt>
                <c:pt idx="57">
                  <c:v>12.061400000000001</c:v>
                </c:pt>
                <c:pt idx="58">
                  <c:v>12.559200000000001</c:v>
                </c:pt>
                <c:pt idx="59">
                  <c:v>11.8263</c:v>
                </c:pt>
                <c:pt idx="60">
                  <c:v>12.014200000000001</c:v>
                </c:pt>
                <c:pt idx="61">
                  <c:v>12.2897</c:v>
                </c:pt>
                <c:pt idx="62">
                  <c:v>14.696099999999999</c:v>
                </c:pt>
                <c:pt idx="63">
                  <c:v>15.485799999999999</c:v>
                </c:pt>
                <c:pt idx="64">
                  <c:v>15.6114</c:v>
                </c:pt>
                <c:pt idx="65">
                  <c:v>16.215599999999998</c:v>
                </c:pt>
                <c:pt idx="66">
                  <c:v>16.172999999999998</c:v>
                </c:pt>
                <c:pt idx="67">
                  <c:v>15.290699999999999</c:v>
                </c:pt>
                <c:pt idx="68">
                  <c:v>15.1107</c:v>
                </c:pt>
                <c:pt idx="69">
                  <c:v>13.233499999999999</c:v>
                </c:pt>
                <c:pt idx="70">
                  <c:v>13.3789</c:v>
                </c:pt>
                <c:pt idx="71">
                  <c:v>13.326499999999999</c:v>
                </c:pt>
                <c:pt idx="72">
                  <c:v>13.611000000000001</c:v>
                </c:pt>
                <c:pt idx="73">
                  <c:v>13.3949</c:v>
                </c:pt>
                <c:pt idx="74">
                  <c:v>12.3827</c:v>
                </c:pt>
                <c:pt idx="75">
                  <c:v>12.0868</c:v>
                </c:pt>
                <c:pt idx="76">
                  <c:v>11.4488</c:v>
                </c:pt>
                <c:pt idx="77">
                  <c:v>11.3447</c:v>
                </c:pt>
                <c:pt idx="78">
                  <c:v>12.176500000000001</c:v>
                </c:pt>
                <c:pt idx="79">
                  <c:v>12.1905</c:v>
                </c:pt>
                <c:pt idx="80">
                  <c:v>11.827500000000001</c:v>
                </c:pt>
                <c:pt idx="81">
                  <c:v>11.898899999999999</c:v>
                </c:pt>
                <c:pt idx="82">
                  <c:v>11.251200000000001</c:v>
                </c:pt>
                <c:pt idx="83">
                  <c:v>11.0861</c:v>
                </c:pt>
                <c:pt idx="84">
                  <c:v>11.92</c:v>
                </c:pt>
                <c:pt idx="85">
                  <c:v>12.105499999999999</c:v>
                </c:pt>
                <c:pt idx="86">
                  <c:v>11.6233</c:v>
                </c:pt>
                <c:pt idx="87">
                  <c:v>12.4086</c:v>
                </c:pt>
                <c:pt idx="88">
                  <c:v>13.206099999999999</c:v>
                </c:pt>
                <c:pt idx="89">
                  <c:v>14.6805</c:v>
                </c:pt>
                <c:pt idx="90">
                  <c:v>15.39</c:v>
                </c:pt>
                <c:pt idx="91">
                  <c:v>14.9765</c:v>
                </c:pt>
                <c:pt idx="92">
                  <c:v>14.981999999999999</c:v>
                </c:pt>
                <c:pt idx="93">
                  <c:v>16.252400000000002</c:v>
                </c:pt>
                <c:pt idx="94">
                  <c:v>16.730399999999999</c:v>
                </c:pt>
                <c:pt idx="95">
                  <c:v>16.8721</c:v>
                </c:pt>
                <c:pt idx="96">
                  <c:v>18.688500000000001</c:v>
                </c:pt>
                <c:pt idx="97">
                  <c:v>19.543700000000001</c:v>
                </c:pt>
                <c:pt idx="98">
                  <c:v>18.384</c:v>
                </c:pt>
                <c:pt idx="99">
                  <c:v>15.916</c:v>
                </c:pt>
                <c:pt idx="100">
                  <c:v>15.552099999999999</c:v>
                </c:pt>
                <c:pt idx="101">
                  <c:v>15.1244</c:v>
                </c:pt>
                <c:pt idx="102">
                  <c:v>15.48</c:v>
                </c:pt>
                <c:pt idx="103">
                  <c:v>14.999000000000001</c:v>
                </c:pt>
                <c:pt idx="104">
                  <c:v>16.360399999999998</c:v>
                </c:pt>
                <c:pt idx="105">
                  <c:v>16.320699999999999</c:v>
                </c:pt>
                <c:pt idx="106">
                  <c:v>16.623699999999999</c:v>
                </c:pt>
                <c:pt idx="107">
                  <c:v>16.512</c:v>
                </c:pt>
                <c:pt idx="108">
                  <c:v>16.3353</c:v>
                </c:pt>
                <c:pt idx="109">
                  <c:v>17.4528</c:v>
                </c:pt>
                <c:pt idx="110">
                  <c:v>16.845300000000002</c:v>
                </c:pt>
                <c:pt idx="111">
                  <c:v>15.7255</c:v>
                </c:pt>
                <c:pt idx="112">
                  <c:v>15.2919</c:v>
                </c:pt>
                <c:pt idx="113">
                  <c:v>14.853</c:v>
                </c:pt>
                <c:pt idx="114">
                  <c:v>13.104100000000001</c:v>
                </c:pt>
                <c:pt idx="115">
                  <c:v>13.7254</c:v>
                </c:pt>
                <c:pt idx="116">
                  <c:v>15.3035</c:v>
                </c:pt>
                <c:pt idx="117">
                  <c:v>15.565200000000001</c:v>
                </c:pt>
                <c:pt idx="118">
                  <c:v>15.1869</c:v>
                </c:pt>
                <c:pt idx="119">
                  <c:v>16.020900000000001</c:v>
                </c:pt>
                <c:pt idx="120">
                  <c:v>14.7661</c:v>
                </c:pt>
                <c:pt idx="121">
                  <c:v>13.7163</c:v>
                </c:pt>
                <c:pt idx="122">
                  <c:v>13.4712</c:v>
                </c:pt>
                <c:pt idx="123">
                  <c:v>17.529299999999999</c:v>
                </c:pt>
                <c:pt idx="124">
                  <c:v>18.345500000000001</c:v>
                </c:pt>
                <c:pt idx="125">
                  <c:v>18.472200000000001</c:v>
                </c:pt>
                <c:pt idx="126">
                  <c:v>17.6861</c:v>
                </c:pt>
                <c:pt idx="127">
                  <c:v>17.791899999999998</c:v>
                </c:pt>
                <c:pt idx="128">
                  <c:v>20.1021</c:v>
                </c:pt>
                <c:pt idx="129">
                  <c:v>19.403600000000001</c:v>
                </c:pt>
                <c:pt idx="130">
                  <c:v>22.055299999999999</c:v>
                </c:pt>
                <c:pt idx="131">
                  <c:v>20.410399999999999</c:v>
                </c:pt>
                <c:pt idx="132">
                  <c:v>21.325099999999999</c:v>
                </c:pt>
                <c:pt idx="133">
                  <c:v>19.8325</c:v>
                </c:pt>
                <c:pt idx="134">
                  <c:v>19.618200000000002</c:v>
                </c:pt>
                <c:pt idx="135">
                  <c:v>20.8706</c:v>
                </c:pt>
                <c:pt idx="136">
                  <c:v>23.518999999999998</c:v>
                </c:pt>
                <c:pt idx="137">
                  <c:v>23.741700000000002</c:v>
                </c:pt>
                <c:pt idx="138">
                  <c:v>26.678699999999999</c:v>
                </c:pt>
                <c:pt idx="139">
                  <c:v>25.361499999999999</c:v>
                </c:pt>
                <c:pt idx="140">
                  <c:v>29.464300000000001</c:v>
                </c:pt>
                <c:pt idx="141">
                  <c:v>23.680099999999999</c:v>
                </c:pt>
                <c:pt idx="142">
                  <c:v>16.171199999999999</c:v>
                </c:pt>
                <c:pt idx="143">
                  <c:v>13.568899999999999</c:v>
                </c:pt>
                <c:pt idx="144">
                  <c:v>16.852699999999999</c:v>
                </c:pt>
                <c:pt idx="145">
                  <c:v>16.439599999999999</c:v>
                </c:pt>
                <c:pt idx="146">
                  <c:v>16.289300000000001</c:v>
                </c:pt>
                <c:pt idx="147">
                  <c:v>17.687899999999999</c:v>
                </c:pt>
                <c:pt idx="148">
                  <c:v>17.244900000000001</c:v>
                </c:pt>
                <c:pt idx="149">
                  <c:v>20.5044</c:v>
                </c:pt>
                <c:pt idx="150">
                  <c:v>25.5291</c:v>
                </c:pt>
                <c:pt idx="151">
                  <c:v>25.803100000000001</c:v>
                </c:pt>
                <c:pt idx="152">
                  <c:v>28.068200000000001</c:v>
                </c:pt>
                <c:pt idx="153">
                  <c:v>30.060700000000001</c:v>
                </c:pt>
                <c:pt idx="154">
                  <c:v>26.894600000000001</c:v>
                </c:pt>
                <c:pt idx="155">
                  <c:v>27.039899999999999</c:v>
                </c:pt>
                <c:pt idx="156">
                  <c:v>26.7</c:v>
                </c:pt>
                <c:pt idx="157">
                  <c:v>25.979600000000001</c:v>
                </c:pt>
                <c:pt idx="158">
                  <c:v>25.202000000000002</c:v>
                </c:pt>
                <c:pt idx="159">
                  <c:v>24.718499999999999</c:v>
                </c:pt>
                <c:pt idx="160">
                  <c:v>24.292200000000001</c:v>
                </c:pt>
                <c:pt idx="161">
                  <c:v>25.468499999999999</c:v>
                </c:pt>
                <c:pt idx="162">
                  <c:v>21.207100000000001</c:v>
                </c:pt>
                <c:pt idx="163">
                  <c:v>25.008299999999998</c:v>
                </c:pt>
                <c:pt idx="164">
                  <c:v>23.3262</c:v>
                </c:pt>
                <c:pt idx="165">
                  <c:v>18.831299999999999</c:v>
                </c:pt>
                <c:pt idx="166">
                  <c:v>20.6844</c:v>
                </c:pt>
                <c:pt idx="167">
                  <c:v>18.010400000000001</c:v>
                </c:pt>
                <c:pt idx="168">
                  <c:v>15.025700000000001</c:v>
                </c:pt>
                <c:pt idx="169">
                  <c:v>13.6287</c:v>
                </c:pt>
                <c:pt idx="170">
                  <c:v>9.8463999999999992</c:v>
                </c:pt>
                <c:pt idx="171">
                  <c:v>9.7543000000000006</c:v>
                </c:pt>
                <c:pt idx="172">
                  <c:v>11.5631</c:v>
                </c:pt>
                <c:pt idx="173">
                  <c:v>12.721500000000001</c:v>
                </c:pt>
                <c:pt idx="174">
                  <c:v>13.192500000000001</c:v>
                </c:pt>
                <c:pt idx="175">
                  <c:v>11.797499999999999</c:v>
                </c:pt>
                <c:pt idx="176">
                  <c:v>14.1564</c:v>
                </c:pt>
                <c:pt idx="177">
                  <c:v>14.9133</c:v>
                </c:pt>
                <c:pt idx="178">
                  <c:v>14.4046</c:v>
                </c:pt>
                <c:pt idx="179">
                  <c:v>11.3544</c:v>
                </c:pt>
                <c:pt idx="180">
                  <c:v>12.309100000000001</c:v>
                </c:pt>
                <c:pt idx="181">
                  <c:v>12.4564</c:v>
                </c:pt>
                <c:pt idx="182">
                  <c:v>13.244199999999999</c:v>
                </c:pt>
                <c:pt idx="183">
                  <c:v>14.0909</c:v>
                </c:pt>
                <c:pt idx="184">
                  <c:v>14.5053</c:v>
                </c:pt>
                <c:pt idx="185">
                  <c:v>15.6538</c:v>
                </c:pt>
                <c:pt idx="186">
                  <c:v>16.401199999999999</c:v>
                </c:pt>
                <c:pt idx="187">
                  <c:v>16.805700000000002</c:v>
                </c:pt>
                <c:pt idx="188">
                  <c:v>17.844200000000001</c:v>
                </c:pt>
                <c:pt idx="189">
                  <c:v>18.026299999999999</c:v>
                </c:pt>
                <c:pt idx="190">
                  <c:v>17.7258</c:v>
                </c:pt>
                <c:pt idx="191">
                  <c:v>17.516300000000001</c:v>
                </c:pt>
                <c:pt idx="192">
                  <c:v>17.476199999999999</c:v>
                </c:pt>
                <c:pt idx="193">
                  <c:v>17.398199999999999</c:v>
                </c:pt>
                <c:pt idx="194">
                  <c:v>16.8748</c:v>
                </c:pt>
                <c:pt idx="195">
                  <c:v>17.52</c:v>
                </c:pt>
                <c:pt idx="196">
                  <c:v>17.629300000000001</c:v>
                </c:pt>
                <c:pt idx="197">
                  <c:v>17.6844</c:v>
                </c:pt>
                <c:pt idx="198">
                  <c:v>17.092099999999999</c:v>
                </c:pt>
                <c:pt idx="199">
                  <c:v>16.6374</c:v>
                </c:pt>
                <c:pt idx="200">
                  <c:v>17.511600000000001</c:v>
                </c:pt>
                <c:pt idx="201">
                  <c:v>19.009699999999999</c:v>
                </c:pt>
                <c:pt idx="202">
                  <c:v>19.055800000000001</c:v>
                </c:pt>
                <c:pt idx="203">
                  <c:v>18.3475</c:v>
                </c:pt>
                <c:pt idx="204">
                  <c:v>17.6874</c:v>
                </c:pt>
                <c:pt idx="205">
                  <c:v>19.4575</c:v>
                </c:pt>
                <c:pt idx="206">
                  <c:v>20.356000000000002</c:v>
                </c:pt>
                <c:pt idx="207">
                  <c:v>18.783999999999999</c:v>
                </c:pt>
                <c:pt idx="208">
                  <c:v>18.707599999999999</c:v>
                </c:pt>
                <c:pt idx="209">
                  <c:v>17.1203</c:v>
                </c:pt>
                <c:pt idx="210">
                  <c:v>17.027200000000001</c:v>
                </c:pt>
                <c:pt idx="211">
                  <c:v>16.439900000000002</c:v>
                </c:pt>
                <c:pt idx="212">
                  <c:v>15.6524</c:v>
                </c:pt>
                <c:pt idx="213">
                  <c:v>16.325500000000002</c:v>
                </c:pt>
                <c:pt idx="214">
                  <c:v>17.361899999999999</c:v>
                </c:pt>
                <c:pt idx="215">
                  <c:v>16.286999999999999</c:v>
                </c:pt>
                <c:pt idx="216">
                  <c:v>15.654500000000001</c:v>
                </c:pt>
                <c:pt idx="217">
                  <c:v>13.9648</c:v>
                </c:pt>
                <c:pt idx="218">
                  <c:v>14.4907</c:v>
                </c:pt>
                <c:pt idx="219">
                  <c:v>13.925000000000001</c:v>
                </c:pt>
                <c:pt idx="220">
                  <c:v>14.385300000000001</c:v>
                </c:pt>
                <c:pt idx="221">
                  <c:v>14.533200000000001</c:v>
                </c:pt>
                <c:pt idx="222">
                  <c:v>14.240399999999999</c:v>
                </c:pt>
                <c:pt idx="223">
                  <c:v>14.4315</c:v>
                </c:pt>
                <c:pt idx="224">
                  <c:v>14.4986</c:v>
                </c:pt>
                <c:pt idx="225">
                  <c:v>14.4094</c:v>
                </c:pt>
                <c:pt idx="226">
                  <c:v>14.219900000000001</c:v>
                </c:pt>
                <c:pt idx="227">
                  <c:v>13.924200000000001</c:v>
                </c:pt>
                <c:pt idx="228">
                  <c:v>13.3924</c:v>
                </c:pt>
                <c:pt idx="229">
                  <c:v>12.847200000000001</c:v>
                </c:pt>
                <c:pt idx="230">
                  <c:v>11.5007</c:v>
                </c:pt>
                <c:pt idx="231">
                  <c:v>12.632400000000001</c:v>
                </c:pt>
                <c:pt idx="232">
                  <c:v>12.8348</c:v>
                </c:pt>
                <c:pt idx="233">
                  <c:v>13.941700000000001</c:v>
                </c:pt>
                <c:pt idx="234">
                  <c:v>14.3558</c:v>
                </c:pt>
                <c:pt idx="235">
                  <c:v>14.652100000000001</c:v>
                </c:pt>
                <c:pt idx="236">
                  <c:v>14.187900000000001</c:v>
                </c:pt>
                <c:pt idx="237">
                  <c:v>13.9808</c:v>
                </c:pt>
                <c:pt idx="238">
                  <c:v>14.493499999999999</c:v>
                </c:pt>
                <c:pt idx="239">
                  <c:v>14.5664</c:v>
                </c:pt>
                <c:pt idx="240">
                  <c:v>14.949299999999999</c:v>
                </c:pt>
                <c:pt idx="241">
                  <c:v>14.2797</c:v>
                </c:pt>
                <c:pt idx="242">
                  <c:v>14.7622</c:v>
                </c:pt>
                <c:pt idx="243">
                  <c:v>15.045999999999999</c:v>
                </c:pt>
                <c:pt idx="244">
                  <c:v>16.397099999999998</c:v>
                </c:pt>
                <c:pt idx="245">
                  <c:v>16.173300000000001</c:v>
                </c:pt>
                <c:pt idx="246">
                  <c:v>17.7851</c:v>
                </c:pt>
                <c:pt idx="247">
                  <c:v>17.051500000000001</c:v>
                </c:pt>
                <c:pt idx="248">
                  <c:v>17.9724</c:v>
                </c:pt>
                <c:pt idx="249">
                  <c:v>18.4343</c:v>
                </c:pt>
                <c:pt idx="250">
                  <c:v>18.432400000000001</c:v>
                </c:pt>
                <c:pt idx="251">
                  <c:v>18.569299999999998</c:v>
                </c:pt>
                <c:pt idx="252">
                  <c:v>17.546600000000002</c:v>
                </c:pt>
                <c:pt idx="253">
                  <c:v>16.9709</c:v>
                </c:pt>
                <c:pt idx="254">
                  <c:v>17.066500000000001</c:v>
                </c:pt>
                <c:pt idx="255">
                  <c:v>17.453700000000001</c:v>
                </c:pt>
                <c:pt idx="256">
                  <c:v>16.777100000000001</c:v>
                </c:pt>
                <c:pt idx="257">
                  <c:v>16.6478</c:v>
                </c:pt>
                <c:pt idx="258">
                  <c:v>17.693999999999999</c:v>
                </c:pt>
                <c:pt idx="259">
                  <c:v>19.760200000000001</c:v>
                </c:pt>
                <c:pt idx="260">
                  <c:v>19.783000000000001</c:v>
                </c:pt>
                <c:pt idx="261">
                  <c:v>19.475899999999999</c:v>
                </c:pt>
                <c:pt idx="262">
                  <c:v>19.097799999999999</c:v>
                </c:pt>
                <c:pt idx="263">
                  <c:v>18.800899999999999</c:v>
                </c:pt>
                <c:pt idx="264">
                  <c:v>18.934699999999999</c:v>
                </c:pt>
                <c:pt idx="265">
                  <c:v>19.996500000000001</c:v>
                </c:pt>
                <c:pt idx="266">
                  <c:v>20.818100000000001</c:v>
                </c:pt>
                <c:pt idx="267">
                  <c:v>22.2288</c:v>
                </c:pt>
                <c:pt idx="268">
                  <c:v>21.866700000000002</c:v>
                </c:pt>
                <c:pt idx="269">
                  <c:v>21.605499999999999</c:v>
                </c:pt>
                <c:pt idx="270">
                  <c:v>21.081299999999999</c:v>
                </c:pt>
                <c:pt idx="271">
                  <c:v>21.460599999999999</c:v>
                </c:pt>
                <c:pt idx="272">
                  <c:v>17.7302</c:v>
                </c:pt>
                <c:pt idx="273">
                  <c:v>19.220199999999998</c:v>
                </c:pt>
                <c:pt idx="274">
                  <c:v>17.7699</c:v>
                </c:pt>
                <c:pt idx="275">
                  <c:v>17.980899999999998</c:v>
                </c:pt>
                <c:pt idx="276">
                  <c:v>18.4756</c:v>
                </c:pt>
                <c:pt idx="277">
                  <c:v>21.621400000000001</c:v>
                </c:pt>
                <c:pt idx="278">
                  <c:v>20.6417</c:v>
                </c:pt>
                <c:pt idx="279">
                  <c:v>18.814</c:v>
                </c:pt>
                <c:pt idx="280">
                  <c:v>19.9603</c:v>
                </c:pt>
                <c:pt idx="281">
                  <c:v>20.055099999999999</c:v>
                </c:pt>
                <c:pt idx="282">
                  <c:v>18.712900000000001</c:v>
                </c:pt>
                <c:pt idx="283">
                  <c:v>20.923400000000001</c:v>
                </c:pt>
                <c:pt idx="284">
                  <c:v>18.7468</c:v>
                </c:pt>
                <c:pt idx="285">
                  <c:v>18.561</c:v>
                </c:pt>
                <c:pt idx="286">
                  <c:v>18.431899999999999</c:v>
                </c:pt>
                <c:pt idx="287">
                  <c:v>20.391200000000001</c:v>
                </c:pt>
                <c:pt idx="288">
                  <c:v>18.4025</c:v>
                </c:pt>
                <c:pt idx="289">
                  <c:v>18.408300000000001</c:v>
                </c:pt>
                <c:pt idx="290">
                  <c:v>16.765000000000001</c:v>
                </c:pt>
                <c:pt idx="291">
                  <c:v>15.2499</c:v>
                </c:pt>
                <c:pt idx="292">
                  <c:v>15.1203</c:v>
                </c:pt>
                <c:pt idx="293">
                  <c:v>13.1972</c:v>
                </c:pt>
                <c:pt idx="294">
                  <c:v>12.7277</c:v>
                </c:pt>
                <c:pt idx="295">
                  <c:v>11.579800000000001</c:v>
                </c:pt>
                <c:pt idx="296">
                  <c:v>12.5723</c:v>
                </c:pt>
                <c:pt idx="297">
                  <c:v>11.9848</c:v>
                </c:pt>
                <c:pt idx="298">
                  <c:v>12.6503</c:v>
                </c:pt>
                <c:pt idx="299">
                  <c:v>13.0047</c:v>
                </c:pt>
                <c:pt idx="300">
                  <c:v>12.182499999999999</c:v>
                </c:pt>
                <c:pt idx="301">
                  <c:v>11.399900000000001</c:v>
                </c:pt>
                <c:pt idx="302">
                  <c:v>11.382</c:v>
                </c:pt>
                <c:pt idx="303">
                  <c:v>10.704599999999999</c:v>
                </c:pt>
                <c:pt idx="304">
                  <c:v>10.6745</c:v>
                </c:pt>
                <c:pt idx="305">
                  <c:v>10.707800000000001</c:v>
                </c:pt>
                <c:pt idx="306">
                  <c:v>10.806100000000001</c:v>
                </c:pt>
                <c:pt idx="307">
                  <c:v>11.129099999999999</c:v>
                </c:pt>
                <c:pt idx="308">
                  <c:v>11.6073</c:v>
                </c:pt>
                <c:pt idx="309">
                  <c:v>11.2364</c:v>
                </c:pt>
                <c:pt idx="310">
                  <c:v>12.3612</c:v>
                </c:pt>
                <c:pt idx="311">
                  <c:v>12.6563</c:v>
                </c:pt>
                <c:pt idx="312">
                  <c:v>12.870699999999999</c:v>
                </c:pt>
                <c:pt idx="313">
                  <c:v>11.199</c:v>
                </c:pt>
                <c:pt idx="314">
                  <c:v>10.0031</c:v>
                </c:pt>
                <c:pt idx="315">
                  <c:v>9.3376999999999999</c:v>
                </c:pt>
                <c:pt idx="316">
                  <c:v>8.6659000000000006</c:v>
                </c:pt>
                <c:pt idx="317">
                  <c:v>9.0635999999999992</c:v>
                </c:pt>
                <c:pt idx="318">
                  <c:v>8.2510999999999992</c:v>
                </c:pt>
                <c:pt idx="319">
                  <c:v>9.7860999999999994</c:v>
                </c:pt>
                <c:pt idx="320">
                  <c:v>11.5802</c:v>
                </c:pt>
                <c:pt idx="321">
                  <c:v>11.718</c:v>
                </c:pt>
                <c:pt idx="322">
                  <c:v>12.3523</c:v>
                </c:pt>
                <c:pt idx="323">
                  <c:v>12.287800000000001</c:v>
                </c:pt>
                <c:pt idx="324">
                  <c:v>12.7911</c:v>
                </c:pt>
                <c:pt idx="325">
                  <c:v>12.805899999999999</c:v>
                </c:pt>
                <c:pt idx="326">
                  <c:v>13.4307</c:v>
                </c:pt>
                <c:pt idx="327">
                  <c:v>13.0037</c:v>
                </c:pt>
                <c:pt idx="328">
                  <c:v>13.335699999999999</c:v>
                </c:pt>
                <c:pt idx="329">
                  <c:v>12.7942</c:v>
                </c:pt>
                <c:pt idx="330">
                  <c:v>12.8156</c:v>
                </c:pt>
                <c:pt idx="331">
                  <c:v>12.866400000000001</c:v>
                </c:pt>
                <c:pt idx="332">
                  <c:v>12.9712</c:v>
                </c:pt>
                <c:pt idx="333">
                  <c:v>11.8482</c:v>
                </c:pt>
                <c:pt idx="334">
                  <c:v>11.6442</c:v>
                </c:pt>
                <c:pt idx="335">
                  <c:v>11.761100000000001</c:v>
                </c:pt>
                <c:pt idx="336">
                  <c:v>11.850199999999999</c:v>
                </c:pt>
                <c:pt idx="337">
                  <c:v>12.162100000000001</c:v>
                </c:pt>
                <c:pt idx="338">
                  <c:v>12.649100000000001</c:v>
                </c:pt>
                <c:pt idx="339">
                  <c:v>12.6218</c:v>
                </c:pt>
                <c:pt idx="340">
                  <c:v>13.9964</c:v>
                </c:pt>
                <c:pt idx="341">
                  <c:v>13.329599999999999</c:v>
                </c:pt>
                <c:pt idx="342">
                  <c:v>12.2294</c:v>
                </c:pt>
                <c:pt idx="343">
                  <c:v>11.842700000000001</c:v>
                </c:pt>
                <c:pt idx="344">
                  <c:v>12.508900000000001</c:v>
                </c:pt>
                <c:pt idx="345">
                  <c:v>12.1539</c:v>
                </c:pt>
                <c:pt idx="346">
                  <c:v>13.0242</c:v>
                </c:pt>
                <c:pt idx="347">
                  <c:v>14.241300000000001</c:v>
                </c:pt>
                <c:pt idx="348">
                  <c:v>13.2941</c:v>
                </c:pt>
                <c:pt idx="349">
                  <c:v>13.690799999999999</c:v>
                </c:pt>
                <c:pt idx="350">
                  <c:v>13.242800000000001</c:v>
                </c:pt>
                <c:pt idx="351">
                  <c:v>13.1104</c:v>
                </c:pt>
                <c:pt idx="352">
                  <c:v>13.0076</c:v>
                </c:pt>
                <c:pt idx="353">
                  <c:v>13.049799999999999</c:v>
                </c:pt>
                <c:pt idx="354">
                  <c:v>13.004200000000001</c:v>
                </c:pt>
                <c:pt idx="355">
                  <c:v>13.262499999999999</c:v>
                </c:pt>
                <c:pt idx="356">
                  <c:v>13.176399999999999</c:v>
                </c:pt>
                <c:pt idx="357">
                  <c:v>13.420999999999999</c:v>
                </c:pt>
                <c:pt idx="358">
                  <c:v>11.834</c:v>
                </c:pt>
                <c:pt idx="359">
                  <c:v>11.511699999999999</c:v>
                </c:pt>
                <c:pt idx="360">
                  <c:v>13.7898</c:v>
                </c:pt>
                <c:pt idx="361">
                  <c:v>12.342700000000001</c:v>
                </c:pt>
                <c:pt idx="362">
                  <c:v>14.353300000000001</c:v>
                </c:pt>
                <c:pt idx="363">
                  <c:v>14.1538</c:v>
                </c:pt>
                <c:pt idx="364">
                  <c:v>17.564299999999999</c:v>
                </c:pt>
                <c:pt idx="365">
                  <c:v>19.770199999999999</c:v>
                </c:pt>
                <c:pt idx="366">
                  <c:v>19.258900000000001</c:v>
                </c:pt>
                <c:pt idx="367">
                  <c:v>19.9344</c:v>
                </c:pt>
                <c:pt idx="368">
                  <c:v>19.650400000000001</c:v>
                </c:pt>
                <c:pt idx="369">
                  <c:v>19.796099999999999</c:v>
                </c:pt>
                <c:pt idx="370">
                  <c:v>23.911100000000001</c:v>
                </c:pt>
                <c:pt idx="371">
                  <c:v>22.815999999999999</c:v>
                </c:pt>
                <c:pt idx="372">
                  <c:v>21.825399999999998</c:v>
                </c:pt>
                <c:pt idx="373">
                  <c:v>24.8673</c:v>
                </c:pt>
                <c:pt idx="374">
                  <c:v>23.109200000000001</c:v>
                </c:pt>
                <c:pt idx="375">
                  <c:v>24.155100000000001</c:v>
                </c:pt>
                <c:pt idx="376">
                  <c:v>27.376300000000001</c:v>
                </c:pt>
                <c:pt idx="377">
                  <c:v>30.599499999999999</c:v>
                </c:pt>
                <c:pt idx="378">
                  <c:v>31.951000000000001</c:v>
                </c:pt>
                <c:pt idx="379">
                  <c:v>31.592600000000001</c:v>
                </c:pt>
                <c:pt idx="380">
                  <c:v>29.370799999999999</c:v>
                </c:pt>
                <c:pt idx="381">
                  <c:v>27.1218</c:v>
                </c:pt>
                <c:pt idx="382">
                  <c:v>26.398700000000002</c:v>
                </c:pt>
                <c:pt idx="383">
                  <c:v>27.086500000000001</c:v>
                </c:pt>
                <c:pt idx="384">
                  <c:v>27.638200000000001</c:v>
                </c:pt>
                <c:pt idx="385">
                  <c:v>26.139099999999999</c:v>
                </c:pt>
                <c:pt idx="386">
                  <c:v>27.187999999999999</c:v>
                </c:pt>
                <c:pt idx="387">
                  <c:v>27.629799999999999</c:v>
                </c:pt>
                <c:pt idx="388">
                  <c:v>25.552800000000001</c:v>
                </c:pt>
                <c:pt idx="389">
                  <c:v>23.808599999999998</c:v>
                </c:pt>
                <c:pt idx="390">
                  <c:v>24.952000000000002</c:v>
                </c:pt>
                <c:pt idx="391">
                  <c:v>25.5944</c:v>
                </c:pt>
                <c:pt idx="392">
                  <c:v>25.077500000000001</c:v>
                </c:pt>
                <c:pt idx="393">
                  <c:v>22.927900000000001</c:v>
                </c:pt>
                <c:pt idx="394">
                  <c:v>20.330300000000001</c:v>
                </c:pt>
                <c:pt idx="395">
                  <c:v>26.627800000000001</c:v>
                </c:pt>
                <c:pt idx="396">
                  <c:v>30.009899999999998</c:v>
                </c:pt>
                <c:pt idx="397">
                  <c:v>27.989100000000001</c:v>
                </c:pt>
                <c:pt idx="398">
                  <c:v>28.342700000000001</c:v>
                </c:pt>
                <c:pt idx="399">
                  <c:v>25.374199999999998</c:v>
                </c:pt>
                <c:pt idx="400">
                  <c:v>25.214300000000001</c:v>
                </c:pt>
                <c:pt idx="401">
                  <c:v>25.359100000000002</c:v>
                </c:pt>
                <c:pt idx="402">
                  <c:v>26.982700000000001</c:v>
                </c:pt>
                <c:pt idx="403">
                  <c:v>26.822199999999999</c:v>
                </c:pt>
                <c:pt idx="404">
                  <c:v>26.716000000000001</c:v>
                </c:pt>
                <c:pt idx="405">
                  <c:v>27.093499999999999</c:v>
                </c:pt>
                <c:pt idx="406">
                  <c:v>27.4712</c:v>
                </c:pt>
                <c:pt idx="407">
                  <c:v>28.734000000000002</c:v>
                </c:pt>
                <c:pt idx="408">
                  <c:v>28.090399999999999</c:v>
                </c:pt>
                <c:pt idx="409">
                  <c:v>25.922999999999998</c:v>
                </c:pt>
                <c:pt idx="410">
                  <c:v>25.939399999999999</c:v>
                </c:pt>
                <c:pt idx="411">
                  <c:v>25.462299999999999</c:v>
                </c:pt>
                <c:pt idx="412">
                  <c:v>23.9693</c:v>
                </c:pt>
                <c:pt idx="413">
                  <c:v>23.910299999999999</c:v>
                </c:pt>
                <c:pt idx="414">
                  <c:v>24.191199999999998</c:v>
                </c:pt>
                <c:pt idx="415">
                  <c:v>24.309899999999999</c:v>
                </c:pt>
                <c:pt idx="416">
                  <c:v>23.4758</c:v>
                </c:pt>
                <c:pt idx="417">
                  <c:v>21.805599999999998</c:v>
                </c:pt>
                <c:pt idx="418">
                  <c:v>22.2803</c:v>
                </c:pt>
                <c:pt idx="419">
                  <c:v>22.242000000000001</c:v>
                </c:pt>
                <c:pt idx="420">
                  <c:v>22.648800000000001</c:v>
                </c:pt>
                <c:pt idx="421">
                  <c:v>20.971699999999998</c:v>
                </c:pt>
                <c:pt idx="422">
                  <c:v>20.811699999999998</c:v>
                </c:pt>
                <c:pt idx="423">
                  <c:v>20.157399999999999</c:v>
                </c:pt>
                <c:pt idx="424">
                  <c:v>19.355399999999999</c:v>
                </c:pt>
                <c:pt idx="425">
                  <c:v>18.813600000000001</c:v>
                </c:pt>
                <c:pt idx="426">
                  <c:v>19.056000000000001</c:v>
                </c:pt>
                <c:pt idx="427">
                  <c:v>18.173300000000001</c:v>
                </c:pt>
                <c:pt idx="428">
                  <c:v>18.7651</c:v>
                </c:pt>
                <c:pt idx="429">
                  <c:v>18.723400000000002</c:v>
                </c:pt>
                <c:pt idx="430">
                  <c:v>18.558299999999999</c:v>
                </c:pt>
                <c:pt idx="431">
                  <c:v>17.4724</c:v>
                </c:pt>
                <c:pt idx="432">
                  <c:v>17.250900000000001</c:v>
                </c:pt>
                <c:pt idx="433">
                  <c:v>18.017399999999999</c:v>
                </c:pt>
                <c:pt idx="434">
                  <c:v>18.084</c:v>
                </c:pt>
                <c:pt idx="435">
                  <c:v>17.7333</c:v>
                </c:pt>
                <c:pt idx="436">
                  <c:v>18.296500000000002</c:v>
                </c:pt>
                <c:pt idx="437">
                  <c:v>17.4834</c:v>
                </c:pt>
                <c:pt idx="438">
                  <c:v>17.3825</c:v>
                </c:pt>
                <c:pt idx="439">
                  <c:v>17.458300000000001</c:v>
                </c:pt>
                <c:pt idx="440">
                  <c:v>17.824999999999999</c:v>
                </c:pt>
                <c:pt idx="441">
                  <c:v>18.275200000000002</c:v>
                </c:pt>
                <c:pt idx="442">
                  <c:v>18.136900000000001</c:v>
                </c:pt>
                <c:pt idx="443">
                  <c:v>17.265499999999999</c:v>
                </c:pt>
                <c:pt idx="444">
                  <c:v>19.104600000000001</c:v>
                </c:pt>
                <c:pt idx="445">
                  <c:v>18.587800000000001</c:v>
                </c:pt>
                <c:pt idx="446">
                  <c:v>19.121500000000001</c:v>
                </c:pt>
                <c:pt idx="447">
                  <c:v>19.729700000000001</c:v>
                </c:pt>
                <c:pt idx="448">
                  <c:v>20.5349</c:v>
                </c:pt>
                <c:pt idx="449">
                  <c:v>20.296500000000002</c:v>
                </c:pt>
                <c:pt idx="450">
                  <c:v>20.316299999999998</c:v>
                </c:pt>
                <c:pt idx="451">
                  <c:v>20.4818</c:v>
                </c:pt>
                <c:pt idx="452">
                  <c:v>20.530799999999999</c:v>
                </c:pt>
                <c:pt idx="453">
                  <c:v>20.676300000000001</c:v>
                </c:pt>
                <c:pt idx="454">
                  <c:v>18.8277</c:v>
                </c:pt>
                <c:pt idx="455">
                  <c:v>19.226900000000001</c:v>
                </c:pt>
                <c:pt idx="456">
                  <c:v>20.367100000000001</c:v>
                </c:pt>
                <c:pt idx="457">
                  <c:v>21.248799999999999</c:v>
                </c:pt>
                <c:pt idx="458">
                  <c:v>20.0959</c:v>
                </c:pt>
                <c:pt idx="459">
                  <c:v>19.0029</c:v>
                </c:pt>
                <c:pt idx="460">
                  <c:v>18.323499999999999</c:v>
                </c:pt>
                <c:pt idx="461">
                  <c:v>18.587900000000001</c:v>
                </c:pt>
                <c:pt idx="462">
                  <c:v>18.595300000000002</c:v>
                </c:pt>
                <c:pt idx="463">
                  <c:v>19.717500000000001</c:v>
                </c:pt>
                <c:pt idx="464">
                  <c:v>19.915600000000001</c:v>
                </c:pt>
                <c:pt idx="465">
                  <c:v>19.209</c:v>
                </c:pt>
                <c:pt idx="466">
                  <c:v>19.751899999999999</c:v>
                </c:pt>
                <c:pt idx="467">
                  <c:v>20.29</c:v>
                </c:pt>
                <c:pt idx="468">
                  <c:v>18.1568</c:v>
                </c:pt>
                <c:pt idx="469">
                  <c:v>17.858499999999999</c:v>
                </c:pt>
                <c:pt idx="470">
                  <c:v>16.025700000000001</c:v>
                </c:pt>
                <c:pt idx="471">
                  <c:v>17.452500000000001</c:v>
                </c:pt>
                <c:pt idx="472">
                  <c:v>16.932500000000001</c:v>
                </c:pt>
                <c:pt idx="473">
                  <c:v>17.078800000000001</c:v>
                </c:pt>
                <c:pt idx="474">
                  <c:v>15.566000000000001</c:v>
                </c:pt>
                <c:pt idx="475">
                  <c:v>17.8019</c:v>
                </c:pt>
                <c:pt idx="476">
                  <c:v>17.693000000000001</c:v>
                </c:pt>
                <c:pt idx="477">
                  <c:v>16.8582</c:v>
                </c:pt>
                <c:pt idx="478">
                  <c:v>16.810600000000001</c:v>
                </c:pt>
                <c:pt idx="479">
                  <c:v>16.6875</c:v>
                </c:pt>
                <c:pt idx="480">
                  <c:v>14.591699999999999</c:v>
                </c:pt>
                <c:pt idx="481">
                  <c:v>14.290699999999999</c:v>
                </c:pt>
                <c:pt idx="482">
                  <c:v>13.6203</c:v>
                </c:pt>
                <c:pt idx="483">
                  <c:v>13.0138</c:v>
                </c:pt>
                <c:pt idx="484">
                  <c:v>13.468500000000001</c:v>
                </c:pt>
                <c:pt idx="485">
                  <c:v>13.6035</c:v>
                </c:pt>
                <c:pt idx="486">
                  <c:v>14.5265</c:v>
                </c:pt>
                <c:pt idx="487">
                  <c:v>14.221</c:v>
                </c:pt>
                <c:pt idx="488">
                  <c:v>13.5008</c:v>
                </c:pt>
                <c:pt idx="489">
                  <c:v>12.264699999999999</c:v>
                </c:pt>
                <c:pt idx="490">
                  <c:v>12.4964</c:v>
                </c:pt>
                <c:pt idx="491">
                  <c:v>12.372299999999999</c:v>
                </c:pt>
                <c:pt idx="492">
                  <c:v>12.239800000000001</c:v>
                </c:pt>
                <c:pt idx="493">
                  <c:v>12.2128</c:v>
                </c:pt>
                <c:pt idx="494">
                  <c:v>12.171200000000001</c:v>
                </c:pt>
                <c:pt idx="495">
                  <c:v>12.1739</c:v>
                </c:pt>
                <c:pt idx="496">
                  <c:v>11.4718</c:v>
                </c:pt>
                <c:pt idx="497">
                  <c:v>12.3276</c:v>
                </c:pt>
                <c:pt idx="498">
                  <c:v>11.4884</c:v>
                </c:pt>
                <c:pt idx="499">
                  <c:v>12.0259</c:v>
                </c:pt>
                <c:pt idx="500">
                  <c:v>12.0586</c:v>
                </c:pt>
                <c:pt idx="501">
                  <c:v>11.8803</c:v>
                </c:pt>
                <c:pt idx="502">
                  <c:v>9.5975000000000001</c:v>
                </c:pt>
                <c:pt idx="503">
                  <c:v>8.9633000000000003</c:v>
                </c:pt>
                <c:pt idx="504">
                  <c:v>9.0074000000000005</c:v>
                </c:pt>
                <c:pt idx="505">
                  <c:v>9.1677</c:v>
                </c:pt>
                <c:pt idx="506">
                  <c:v>9.1976999999999993</c:v>
                </c:pt>
                <c:pt idx="507">
                  <c:v>9.3271999999999995</c:v>
                </c:pt>
                <c:pt idx="508">
                  <c:v>9.1721000000000004</c:v>
                </c:pt>
                <c:pt idx="509">
                  <c:v>9.1018000000000008</c:v>
                </c:pt>
                <c:pt idx="510">
                  <c:v>8.2042999999999999</c:v>
                </c:pt>
                <c:pt idx="511">
                  <c:v>8.0230999999999995</c:v>
                </c:pt>
                <c:pt idx="512">
                  <c:v>7.8029999999999999</c:v>
                </c:pt>
                <c:pt idx="513">
                  <c:v>9.2744</c:v>
                </c:pt>
                <c:pt idx="514">
                  <c:v>12.238300000000001</c:v>
                </c:pt>
                <c:pt idx="515">
                  <c:v>12.724</c:v>
                </c:pt>
                <c:pt idx="516">
                  <c:v>11.026199999999999</c:v>
                </c:pt>
                <c:pt idx="517">
                  <c:v>11.150399999999999</c:v>
                </c:pt>
                <c:pt idx="518">
                  <c:v>10.546200000000001</c:v>
                </c:pt>
                <c:pt idx="519">
                  <c:v>9.4984000000000002</c:v>
                </c:pt>
                <c:pt idx="520">
                  <c:v>8.7167999999999992</c:v>
                </c:pt>
                <c:pt idx="521">
                  <c:v>8.6866000000000003</c:v>
                </c:pt>
                <c:pt idx="522">
                  <c:v>9.8547999999999991</c:v>
                </c:pt>
                <c:pt idx="523">
                  <c:v>10.610900000000001</c:v>
                </c:pt>
                <c:pt idx="524">
                  <c:v>12.905200000000001</c:v>
                </c:pt>
                <c:pt idx="525">
                  <c:v>13.3436</c:v>
                </c:pt>
                <c:pt idx="526">
                  <c:v>13.241099999999999</c:v>
                </c:pt>
                <c:pt idx="527">
                  <c:v>15.3872</c:v>
                </c:pt>
                <c:pt idx="528">
                  <c:v>15.027100000000001</c:v>
                </c:pt>
                <c:pt idx="529">
                  <c:v>14.707599999999999</c:v>
                </c:pt>
                <c:pt idx="530">
                  <c:v>15.291600000000001</c:v>
                </c:pt>
                <c:pt idx="531">
                  <c:v>15.59</c:v>
                </c:pt>
                <c:pt idx="532">
                  <c:v>15.9908</c:v>
                </c:pt>
                <c:pt idx="533">
                  <c:v>16.283200000000001</c:v>
                </c:pt>
                <c:pt idx="534">
                  <c:v>15.7463</c:v>
                </c:pt>
                <c:pt idx="535">
                  <c:v>15.804399999999999</c:v>
                </c:pt>
                <c:pt idx="536">
                  <c:v>16.545000000000002</c:v>
                </c:pt>
                <c:pt idx="537">
                  <c:v>15.7341</c:v>
                </c:pt>
                <c:pt idx="538">
                  <c:v>16.054200000000002</c:v>
                </c:pt>
                <c:pt idx="539">
                  <c:v>15.636200000000001</c:v>
                </c:pt>
                <c:pt idx="540">
                  <c:v>15.8241</c:v>
                </c:pt>
                <c:pt idx="541">
                  <c:v>15.083299999999999</c:v>
                </c:pt>
                <c:pt idx="542">
                  <c:v>15.8508</c:v>
                </c:pt>
                <c:pt idx="543">
                  <c:v>15.0892</c:v>
                </c:pt>
                <c:pt idx="544">
                  <c:v>14.253299999999999</c:v>
                </c:pt>
                <c:pt idx="545">
                  <c:v>13.404299999999999</c:v>
                </c:pt>
                <c:pt idx="546">
                  <c:v>13.4597</c:v>
                </c:pt>
                <c:pt idx="547">
                  <c:v>13.2744</c:v>
                </c:pt>
                <c:pt idx="548">
                  <c:v>14.0517</c:v>
                </c:pt>
                <c:pt idx="549">
                  <c:v>14.163500000000001</c:v>
                </c:pt>
                <c:pt idx="550">
                  <c:v>14.752599999999999</c:v>
                </c:pt>
                <c:pt idx="551">
                  <c:v>14.7197</c:v>
                </c:pt>
                <c:pt idx="552">
                  <c:v>14.2011</c:v>
                </c:pt>
                <c:pt idx="553">
                  <c:v>14.7827</c:v>
                </c:pt>
                <c:pt idx="554">
                  <c:v>14.9998</c:v>
                </c:pt>
                <c:pt idx="555">
                  <c:v>15.2546</c:v>
                </c:pt>
                <c:pt idx="556">
                  <c:v>16.021100000000001</c:v>
                </c:pt>
                <c:pt idx="557">
                  <c:v>16.202400000000001</c:v>
                </c:pt>
                <c:pt idx="558">
                  <c:v>16.902000000000001</c:v>
                </c:pt>
                <c:pt idx="559">
                  <c:v>16.819700000000001</c:v>
                </c:pt>
                <c:pt idx="560">
                  <c:v>17.669</c:v>
                </c:pt>
                <c:pt idx="561">
                  <c:v>17.4147</c:v>
                </c:pt>
                <c:pt idx="562">
                  <c:v>18.135000000000002</c:v>
                </c:pt>
                <c:pt idx="563">
                  <c:v>17.7377</c:v>
                </c:pt>
                <c:pt idx="564">
                  <c:v>17.052600000000002</c:v>
                </c:pt>
                <c:pt idx="565">
                  <c:v>16.825700000000001</c:v>
                </c:pt>
                <c:pt idx="566">
                  <c:v>16.956800000000001</c:v>
                </c:pt>
                <c:pt idx="567">
                  <c:v>17.348099999999999</c:v>
                </c:pt>
                <c:pt idx="568">
                  <c:v>17.306899999999999</c:v>
                </c:pt>
                <c:pt idx="569">
                  <c:v>17.373000000000001</c:v>
                </c:pt>
                <c:pt idx="570">
                  <c:v>17.996300000000002</c:v>
                </c:pt>
                <c:pt idx="571">
                  <c:v>18.629000000000001</c:v>
                </c:pt>
                <c:pt idx="572">
                  <c:v>17.516100000000002</c:v>
                </c:pt>
                <c:pt idx="573">
                  <c:v>18.379100000000001</c:v>
                </c:pt>
                <c:pt idx="574">
                  <c:v>16.992899999999999</c:v>
                </c:pt>
                <c:pt idx="575">
                  <c:v>16.054099999999998</c:v>
                </c:pt>
                <c:pt idx="576">
                  <c:v>18.654900000000001</c:v>
                </c:pt>
                <c:pt idx="577">
                  <c:v>18.456800000000001</c:v>
                </c:pt>
                <c:pt idx="578">
                  <c:v>18.0215</c:v>
                </c:pt>
                <c:pt idx="579">
                  <c:v>19.502500000000001</c:v>
                </c:pt>
                <c:pt idx="580">
                  <c:v>20.508600000000001</c:v>
                </c:pt>
                <c:pt idx="581">
                  <c:v>21.403700000000001</c:v>
                </c:pt>
                <c:pt idx="582">
                  <c:v>23.362100000000002</c:v>
                </c:pt>
                <c:pt idx="583">
                  <c:v>24.440300000000001</c:v>
                </c:pt>
                <c:pt idx="584">
                  <c:v>24.408200000000001</c:v>
                </c:pt>
                <c:pt idx="585">
                  <c:v>24.360099999999999</c:v>
                </c:pt>
                <c:pt idx="586">
                  <c:v>25.3996</c:v>
                </c:pt>
                <c:pt idx="587">
                  <c:v>24.173200000000001</c:v>
                </c:pt>
                <c:pt idx="588">
                  <c:v>24.5169</c:v>
                </c:pt>
                <c:pt idx="589">
                  <c:v>24.959099999999999</c:v>
                </c:pt>
                <c:pt idx="590">
                  <c:v>25.6554</c:v>
                </c:pt>
                <c:pt idx="591">
                  <c:v>27.138200000000001</c:v>
                </c:pt>
                <c:pt idx="592">
                  <c:v>26.6312</c:v>
                </c:pt>
                <c:pt idx="593">
                  <c:v>27.647500000000001</c:v>
                </c:pt>
                <c:pt idx="594">
                  <c:v>29.096699999999998</c:v>
                </c:pt>
                <c:pt idx="595">
                  <c:v>29.2286</c:v>
                </c:pt>
                <c:pt idx="596">
                  <c:v>26.8995</c:v>
                </c:pt>
                <c:pt idx="597">
                  <c:v>24.0975</c:v>
                </c:pt>
                <c:pt idx="598">
                  <c:v>22.201499999999999</c:v>
                </c:pt>
                <c:pt idx="599">
                  <c:v>22.7027</c:v>
                </c:pt>
                <c:pt idx="600">
                  <c:v>23.029699999999998</c:v>
                </c:pt>
                <c:pt idx="601">
                  <c:v>26.5426</c:v>
                </c:pt>
                <c:pt idx="602">
                  <c:v>28.664899999999999</c:v>
                </c:pt>
                <c:pt idx="603">
                  <c:v>29.292100000000001</c:v>
                </c:pt>
                <c:pt idx="604">
                  <c:v>28.6403</c:v>
                </c:pt>
                <c:pt idx="605">
                  <c:v>30.3644</c:v>
                </c:pt>
                <c:pt idx="606">
                  <c:v>28.2879</c:v>
                </c:pt>
                <c:pt idx="607">
                  <c:v>26.459199999999999</c:v>
                </c:pt>
                <c:pt idx="608">
                  <c:v>26.534800000000001</c:v>
                </c:pt>
                <c:pt idx="609">
                  <c:v>28.065200000000001</c:v>
                </c:pt>
                <c:pt idx="610">
                  <c:v>29.2514</c:v>
                </c:pt>
                <c:pt idx="611">
                  <c:v>28.540800000000001</c:v>
                </c:pt>
                <c:pt idx="612">
                  <c:v>25.049900000000001</c:v>
                </c:pt>
                <c:pt idx="613">
                  <c:v>26.4207</c:v>
                </c:pt>
                <c:pt idx="614">
                  <c:v>27.889299999999999</c:v>
                </c:pt>
                <c:pt idx="615">
                  <c:v>24.456299999999999</c:v>
                </c:pt>
                <c:pt idx="616">
                  <c:v>22.327500000000001</c:v>
                </c:pt>
                <c:pt idx="617">
                  <c:v>21.355699999999999</c:v>
                </c:pt>
                <c:pt idx="618">
                  <c:v>21.485399999999998</c:v>
                </c:pt>
                <c:pt idx="619">
                  <c:v>21.979600000000001</c:v>
                </c:pt>
                <c:pt idx="620">
                  <c:v>22.204499999999999</c:v>
                </c:pt>
                <c:pt idx="621">
                  <c:v>22.735900000000001</c:v>
                </c:pt>
                <c:pt idx="622">
                  <c:v>21.213999999999999</c:v>
                </c:pt>
                <c:pt idx="623">
                  <c:v>19.270499999999998</c:v>
                </c:pt>
                <c:pt idx="624">
                  <c:v>19.026700000000002</c:v>
                </c:pt>
                <c:pt idx="625">
                  <c:v>19.164999999999999</c:v>
                </c:pt>
                <c:pt idx="626">
                  <c:v>20.967700000000001</c:v>
                </c:pt>
                <c:pt idx="627">
                  <c:v>20.269300000000001</c:v>
                </c:pt>
                <c:pt idx="628">
                  <c:v>20.555800000000001</c:v>
                </c:pt>
                <c:pt idx="629">
                  <c:v>20.492599999999999</c:v>
                </c:pt>
                <c:pt idx="630">
                  <c:v>19.267099999999999</c:v>
                </c:pt>
                <c:pt idx="631">
                  <c:v>18.9145</c:v>
                </c:pt>
                <c:pt idx="632">
                  <c:v>17.8125</c:v>
                </c:pt>
                <c:pt idx="633">
                  <c:v>14.6021</c:v>
                </c:pt>
                <c:pt idx="634">
                  <c:v>13.8032</c:v>
                </c:pt>
                <c:pt idx="635">
                  <c:v>13.581799999999999</c:v>
                </c:pt>
                <c:pt idx="636">
                  <c:v>14.2523</c:v>
                </c:pt>
                <c:pt idx="637">
                  <c:v>14.456899999999999</c:v>
                </c:pt>
                <c:pt idx="638">
                  <c:v>13.7469</c:v>
                </c:pt>
                <c:pt idx="639">
                  <c:v>13.407500000000001</c:v>
                </c:pt>
                <c:pt idx="640">
                  <c:v>13.4169</c:v>
                </c:pt>
                <c:pt idx="641">
                  <c:v>13.4358</c:v>
                </c:pt>
                <c:pt idx="642">
                  <c:v>12.7636</c:v>
                </c:pt>
                <c:pt idx="643">
                  <c:v>12.4489</c:v>
                </c:pt>
                <c:pt idx="644">
                  <c:v>12.7996</c:v>
                </c:pt>
                <c:pt idx="645">
                  <c:v>12.8643</c:v>
                </c:pt>
                <c:pt idx="646">
                  <c:v>12.013299999999999</c:v>
                </c:pt>
                <c:pt idx="647">
                  <c:v>12.2171</c:v>
                </c:pt>
                <c:pt idx="648">
                  <c:v>11.4459</c:v>
                </c:pt>
                <c:pt idx="649">
                  <c:v>11.0421</c:v>
                </c:pt>
                <c:pt idx="650">
                  <c:v>11.255599999999999</c:v>
                </c:pt>
                <c:pt idx="651">
                  <c:v>11.3809</c:v>
                </c:pt>
                <c:pt idx="652">
                  <c:v>11.163600000000001</c:v>
                </c:pt>
                <c:pt idx="653">
                  <c:v>11.366</c:v>
                </c:pt>
                <c:pt idx="654">
                  <c:v>11.6945</c:v>
                </c:pt>
                <c:pt idx="655">
                  <c:v>12.2315</c:v>
                </c:pt>
                <c:pt idx="656">
                  <c:v>11.9681</c:v>
                </c:pt>
                <c:pt idx="657">
                  <c:v>12.6806</c:v>
                </c:pt>
                <c:pt idx="658">
                  <c:v>12.974399999999999</c:v>
                </c:pt>
                <c:pt idx="659">
                  <c:v>13.3268</c:v>
                </c:pt>
                <c:pt idx="660">
                  <c:v>13.776400000000001</c:v>
                </c:pt>
                <c:pt idx="661">
                  <c:v>14.381600000000001</c:v>
                </c:pt>
                <c:pt idx="662">
                  <c:v>15.057499999999999</c:v>
                </c:pt>
                <c:pt idx="663">
                  <c:v>15.5143</c:v>
                </c:pt>
                <c:pt idx="664">
                  <c:v>15.2728</c:v>
                </c:pt>
                <c:pt idx="665">
                  <c:v>15.434200000000001</c:v>
                </c:pt>
                <c:pt idx="666">
                  <c:v>15.6698</c:v>
                </c:pt>
                <c:pt idx="667">
                  <c:v>15.635300000000001</c:v>
                </c:pt>
                <c:pt idx="668">
                  <c:v>16.020099999999999</c:v>
                </c:pt>
                <c:pt idx="669">
                  <c:v>16.883299999999998</c:v>
                </c:pt>
                <c:pt idx="670">
                  <c:v>17.2867</c:v>
                </c:pt>
                <c:pt idx="671">
                  <c:v>17.9451</c:v>
                </c:pt>
                <c:pt idx="672">
                  <c:v>17.682099999999998</c:v>
                </c:pt>
                <c:pt idx="673">
                  <c:v>17.776800000000001</c:v>
                </c:pt>
                <c:pt idx="674">
                  <c:v>17.840299999999999</c:v>
                </c:pt>
                <c:pt idx="675">
                  <c:v>16.264399999999998</c:v>
                </c:pt>
                <c:pt idx="676">
                  <c:v>16.2502</c:v>
                </c:pt>
                <c:pt idx="677">
                  <c:v>16.294899999999998</c:v>
                </c:pt>
                <c:pt idx="678">
                  <c:v>16.340199999999999</c:v>
                </c:pt>
                <c:pt idx="679">
                  <c:v>16.4663</c:v>
                </c:pt>
                <c:pt idx="680">
                  <c:v>16.3355</c:v>
                </c:pt>
                <c:pt idx="681">
                  <c:v>16.441500000000001</c:v>
                </c:pt>
                <c:pt idx="682">
                  <c:v>17.012</c:v>
                </c:pt>
                <c:pt idx="683">
                  <c:v>16.868200000000002</c:v>
                </c:pt>
                <c:pt idx="684">
                  <c:v>19.6874</c:v>
                </c:pt>
                <c:pt idx="685">
                  <c:v>19.250399999999999</c:v>
                </c:pt>
                <c:pt idx="686">
                  <c:v>17.537700000000001</c:v>
                </c:pt>
                <c:pt idx="687">
                  <c:v>16.398900000000001</c:v>
                </c:pt>
                <c:pt idx="688">
                  <c:v>17.021000000000001</c:v>
                </c:pt>
                <c:pt idx="689">
                  <c:v>17.341200000000001</c:v>
                </c:pt>
                <c:pt idx="690">
                  <c:v>16.426300000000001</c:v>
                </c:pt>
                <c:pt idx="691">
                  <c:v>16.829899999999999</c:v>
                </c:pt>
                <c:pt idx="692">
                  <c:v>18.375800000000002</c:v>
                </c:pt>
                <c:pt idx="693">
                  <c:v>17.529</c:v>
                </c:pt>
                <c:pt idx="694">
                  <c:v>17.472100000000001</c:v>
                </c:pt>
                <c:pt idx="695">
                  <c:v>17.854800000000001</c:v>
                </c:pt>
                <c:pt idx="696">
                  <c:v>15.327</c:v>
                </c:pt>
                <c:pt idx="697">
                  <c:v>14.189399999999999</c:v>
                </c:pt>
                <c:pt idx="698">
                  <c:v>14.8414</c:v>
                </c:pt>
                <c:pt idx="699">
                  <c:v>14.121</c:v>
                </c:pt>
                <c:pt idx="700">
                  <c:v>14.459</c:v>
                </c:pt>
                <c:pt idx="701">
                  <c:v>14.2667</c:v>
                </c:pt>
                <c:pt idx="702">
                  <c:v>15.239100000000001</c:v>
                </c:pt>
                <c:pt idx="703">
                  <c:v>15.821999999999999</c:v>
                </c:pt>
                <c:pt idx="704">
                  <c:v>16.819800000000001</c:v>
                </c:pt>
                <c:pt idx="705">
                  <c:v>17.661000000000001</c:v>
                </c:pt>
                <c:pt idx="706">
                  <c:v>17.808599999999998</c:v>
                </c:pt>
                <c:pt idx="707">
                  <c:v>18.4375</c:v>
                </c:pt>
                <c:pt idx="708">
                  <c:v>18.123100000000001</c:v>
                </c:pt>
                <c:pt idx="709">
                  <c:v>18.984100000000002</c:v>
                </c:pt>
                <c:pt idx="710">
                  <c:v>19.566400000000002</c:v>
                </c:pt>
                <c:pt idx="711">
                  <c:v>19.178100000000001</c:v>
                </c:pt>
                <c:pt idx="712">
                  <c:v>19.918600000000001</c:v>
                </c:pt>
                <c:pt idx="713">
                  <c:v>21.081700000000001</c:v>
                </c:pt>
                <c:pt idx="714">
                  <c:v>22.809000000000001</c:v>
                </c:pt>
                <c:pt idx="715">
                  <c:v>24.847200000000001</c:v>
                </c:pt>
                <c:pt idx="716">
                  <c:v>24.829000000000001</c:v>
                </c:pt>
                <c:pt idx="717">
                  <c:v>25.6355</c:v>
                </c:pt>
                <c:pt idx="718">
                  <c:v>25.243200000000002</c:v>
                </c:pt>
                <c:pt idx="719">
                  <c:v>26.289100000000001</c:v>
                </c:pt>
                <c:pt idx="720">
                  <c:v>25.793800000000001</c:v>
                </c:pt>
                <c:pt idx="721">
                  <c:v>25.820699999999999</c:v>
                </c:pt>
                <c:pt idx="722">
                  <c:v>25.7727</c:v>
                </c:pt>
                <c:pt idx="723">
                  <c:v>25.45</c:v>
                </c:pt>
                <c:pt idx="724">
                  <c:v>26.5746</c:v>
                </c:pt>
                <c:pt idx="725">
                  <c:v>26.6189</c:v>
                </c:pt>
                <c:pt idx="726">
                  <c:v>26.138999999999999</c:v>
                </c:pt>
                <c:pt idx="727">
                  <c:v>27.319600000000001</c:v>
                </c:pt>
                <c:pt idx="728">
                  <c:v>26.624300000000002</c:v>
                </c:pt>
                <c:pt idx="729">
                  <c:v>27.857700000000001</c:v>
                </c:pt>
                <c:pt idx="730">
                  <c:v>27.918299999999999</c:v>
                </c:pt>
                <c:pt idx="731">
                  <c:v>27.7287</c:v>
                </c:pt>
                <c:pt idx="732">
                  <c:v>27.632899999999999</c:v>
                </c:pt>
                <c:pt idx="733">
                  <c:v>27.656400000000001</c:v>
                </c:pt>
                <c:pt idx="734">
                  <c:v>28.745999999999999</c:v>
                </c:pt>
                <c:pt idx="735">
                  <c:v>28.957899999999999</c:v>
                </c:pt>
                <c:pt idx="736">
                  <c:v>30.1599</c:v>
                </c:pt>
                <c:pt idx="737">
                  <c:v>30.431000000000001</c:v>
                </c:pt>
                <c:pt idx="738">
                  <c:v>29.616</c:v>
                </c:pt>
                <c:pt idx="739">
                  <c:v>28.080400000000001</c:v>
                </c:pt>
                <c:pt idx="740">
                  <c:v>28.3843</c:v>
                </c:pt>
                <c:pt idx="741">
                  <c:v>28.432400000000001</c:v>
                </c:pt>
                <c:pt idx="742">
                  <c:v>28.221499999999999</c:v>
                </c:pt>
                <c:pt idx="743">
                  <c:v>27.424900000000001</c:v>
                </c:pt>
                <c:pt idx="744">
                  <c:v>26.487500000000001</c:v>
                </c:pt>
                <c:pt idx="745">
                  <c:v>27.126899999999999</c:v>
                </c:pt>
                <c:pt idx="746">
                  <c:v>26.274000000000001</c:v>
                </c:pt>
                <c:pt idx="747">
                  <c:v>27.571300000000001</c:v>
                </c:pt>
                <c:pt idx="748">
                  <c:v>28.0685</c:v>
                </c:pt>
                <c:pt idx="749">
                  <c:v>27.695</c:v>
                </c:pt>
                <c:pt idx="750">
                  <c:v>28.320499999999999</c:v>
                </c:pt>
                <c:pt idx="751">
                  <c:v>24.619900000000001</c:v>
                </c:pt>
                <c:pt idx="752">
                  <c:v>26.962700000000002</c:v>
                </c:pt>
                <c:pt idx="753">
                  <c:v>25.5093</c:v>
                </c:pt>
                <c:pt idx="754">
                  <c:v>25.305399999999999</c:v>
                </c:pt>
                <c:pt idx="755">
                  <c:v>27.576499999999999</c:v>
                </c:pt>
                <c:pt idx="756">
                  <c:v>29.808399999999999</c:v>
                </c:pt>
                <c:pt idx="757">
                  <c:v>31.116599999999998</c:v>
                </c:pt>
                <c:pt idx="758">
                  <c:v>30.748999999999999</c:v>
                </c:pt>
                <c:pt idx="759">
                  <c:v>31.253499999999999</c:v>
                </c:pt>
                <c:pt idx="760">
                  <c:v>32.918300000000002</c:v>
                </c:pt>
                <c:pt idx="761">
                  <c:v>36.8613</c:v>
                </c:pt>
                <c:pt idx="762">
                  <c:v>37.603200000000001</c:v>
                </c:pt>
                <c:pt idx="763">
                  <c:v>38.113799999999998</c:v>
                </c:pt>
                <c:pt idx="764">
                  <c:v>37.409399999999998</c:v>
                </c:pt>
                <c:pt idx="765">
                  <c:v>36.845799999999997</c:v>
                </c:pt>
                <c:pt idx="766">
                  <c:v>36.946300000000001</c:v>
                </c:pt>
                <c:pt idx="767">
                  <c:v>37.3947</c:v>
                </c:pt>
                <c:pt idx="768">
                  <c:v>38.589700000000001</c:v>
                </c:pt>
                <c:pt idx="769">
                  <c:v>38.775100000000002</c:v>
                </c:pt>
                <c:pt idx="770">
                  <c:v>38.776699999999998</c:v>
                </c:pt>
                <c:pt idx="771">
                  <c:v>35.478499999999997</c:v>
                </c:pt>
                <c:pt idx="772">
                  <c:v>35.573599999999999</c:v>
                </c:pt>
                <c:pt idx="773">
                  <c:v>35.3339</c:v>
                </c:pt>
                <c:pt idx="774">
                  <c:v>32.471699999999998</c:v>
                </c:pt>
                <c:pt idx="775">
                  <c:v>31.6831</c:v>
                </c:pt>
                <c:pt idx="776">
                  <c:v>32.218800000000002</c:v>
                </c:pt>
                <c:pt idx="777">
                  <c:v>34.228700000000003</c:v>
                </c:pt>
                <c:pt idx="778">
                  <c:v>36.605899999999998</c:v>
                </c:pt>
                <c:pt idx="779">
                  <c:v>40.2851</c:v>
                </c:pt>
                <c:pt idx="780">
                  <c:v>37.496299999999998</c:v>
                </c:pt>
                <c:pt idx="781">
                  <c:v>36.293700000000001</c:v>
                </c:pt>
                <c:pt idx="782">
                  <c:v>39.169499999999999</c:v>
                </c:pt>
                <c:pt idx="783">
                  <c:v>39.2012</c:v>
                </c:pt>
                <c:pt idx="784">
                  <c:v>39.551099999999998</c:v>
                </c:pt>
                <c:pt idx="785">
                  <c:v>39.012500000000003</c:v>
                </c:pt>
                <c:pt idx="786">
                  <c:v>39.191400000000002</c:v>
                </c:pt>
                <c:pt idx="787">
                  <c:v>39.1355</c:v>
                </c:pt>
                <c:pt idx="788">
                  <c:v>44.685099999999998</c:v>
                </c:pt>
                <c:pt idx="789">
                  <c:v>45.207299999999996</c:v>
                </c:pt>
                <c:pt idx="790">
                  <c:v>43.322499999999998</c:v>
                </c:pt>
                <c:pt idx="791">
                  <c:v>44.784599999999998</c:v>
                </c:pt>
                <c:pt idx="792">
                  <c:v>43.0229</c:v>
                </c:pt>
                <c:pt idx="793">
                  <c:v>43.5105</c:v>
                </c:pt>
                <c:pt idx="794">
                  <c:v>43.597200000000001</c:v>
                </c:pt>
                <c:pt idx="795">
                  <c:v>44.280999999999999</c:v>
                </c:pt>
                <c:pt idx="796">
                  <c:v>45.593499999999999</c:v>
                </c:pt>
                <c:pt idx="797">
                  <c:v>39.894399999999997</c:v>
                </c:pt>
                <c:pt idx="798">
                  <c:v>40.801900000000003</c:v>
                </c:pt>
                <c:pt idx="799">
                  <c:v>41.248399999999997</c:v>
                </c:pt>
                <c:pt idx="800">
                  <c:v>39.271599999999999</c:v>
                </c:pt>
                <c:pt idx="801">
                  <c:v>41.193199999999997</c:v>
                </c:pt>
                <c:pt idx="802">
                  <c:v>41.357599999999998</c:v>
                </c:pt>
                <c:pt idx="803">
                  <c:v>41.283700000000003</c:v>
                </c:pt>
                <c:pt idx="804">
                  <c:v>41.054600000000001</c:v>
                </c:pt>
                <c:pt idx="805">
                  <c:v>41.726700000000001</c:v>
                </c:pt>
                <c:pt idx="806">
                  <c:v>42.4968</c:v>
                </c:pt>
                <c:pt idx="807">
                  <c:v>42.628999999999998</c:v>
                </c:pt>
                <c:pt idx="808">
                  <c:v>41.6128</c:v>
                </c:pt>
                <c:pt idx="809">
                  <c:v>42.307699999999997</c:v>
                </c:pt>
                <c:pt idx="810">
                  <c:v>41.409199999999998</c:v>
                </c:pt>
                <c:pt idx="811">
                  <c:v>41.553100000000001</c:v>
                </c:pt>
                <c:pt idx="812">
                  <c:v>42.956099999999999</c:v>
                </c:pt>
                <c:pt idx="813">
                  <c:v>42.124899999999997</c:v>
                </c:pt>
                <c:pt idx="814">
                  <c:v>41.653300000000002</c:v>
                </c:pt>
                <c:pt idx="815">
                  <c:v>41.331099999999999</c:v>
                </c:pt>
                <c:pt idx="816">
                  <c:v>41.535499999999999</c:v>
                </c:pt>
                <c:pt idx="817">
                  <c:v>40.709099999999999</c:v>
                </c:pt>
                <c:pt idx="818">
                  <c:v>40.280900000000003</c:v>
                </c:pt>
                <c:pt idx="819">
                  <c:v>39.332299999999996</c:v>
                </c:pt>
                <c:pt idx="820">
                  <c:v>37.677100000000003</c:v>
                </c:pt>
                <c:pt idx="821">
                  <c:v>39.202599999999997</c:v>
                </c:pt>
                <c:pt idx="822">
                  <c:v>36.760800000000003</c:v>
                </c:pt>
                <c:pt idx="823">
                  <c:v>37.164400000000001</c:v>
                </c:pt>
                <c:pt idx="824">
                  <c:v>38.1511</c:v>
                </c:pt>
                <c:pt idx="825">
                  <c:v>37.229100000000003</c:v>
                </c:pt>
                <c:pt idx="826">
                  <c:v>41.253999999999998</c:v>
                </c:pt>
                <c:pt idx="827">
                  <c:v>41.5261</c:v>
                </c:pt>
                <c:pt idx="828">
                  <c:v>39.0319</c:v>
                </c:pt>
                <c:pt idx="829">
                  <c:v>40.635399999999997</c:v>
                </c:pt>
                <c:pt idx="830">
                  <c:v>43.857100000000003</c:v>
                </c:pt>
                <c:pt idx="831">
                  <c:v>46.512500000000003</c:v>
                </c:pt>
                <c:pt idx="832">
                  <c:v>44.768799999999999</c:v>
                </c:pt>
                <c:pt idx="833">
                  <c:v>45.328400000000002</c:v>
                </c:pt>
                <c:pt idx="834">
                  <c:v>44.733800000000002</c:v>
                </c:pt>
                <c:pt idx="835">
                  <c:v>44.272100000000002</c:v>
                </c:pt>
                <c:pt idx="836">
                  <c:v>45.116199999999999</c:v>
                </c:pt>
                <c:pt idx="837">
                  <c:v>45.443899999999999</c:v>
                </c:pt>
                <c:pt idx="838">
                  <c:v>45.758299999999998</c:v>
                </c:pt>
                <c:pt idx="839">
                  <c:v>43.941499999999998</c:v>
                </c:pt>
                <c:pt idx="840">
                  <c:v>41.250100000000003</c:v>
                </c:pt>
                <c:pt idx="841">
                  <c:v>41.581400000000002</c:v>
                </c:pt>
                <c:pt idx="842">
                  <c:v>44.692599999999999</c:v>
                </c:pt>
                <c:pt idx="843">
                  <c:v>43.558900000000001</c:v>
                </c:pt>
                <c:pt idx="844">
                  <c:v>42.515099999999997</c:v>
                </c:pt>
                <c:pt idx="845">
                  <c:v>45.573</c:v>
                </c:pt>
                <c:pt idx="846">
                  <c:v>47.813000000000002</c:v>
                </c:pt>
                <c:pt idx="847">
                  <c:v>48.212800000000001</c:v>
                </c:pt>
                <c:pt idx="848">
                  <c:v>49.086399999999998</c:v>
                </c:pt>
                <c:pt idx="849">
                  <c:v>49.303699999999999</c:v>
                </c:pt>
                <c:pt idx="850">
                  <c:v>48.676600000000001</c:v>
                </c:pt>
                <c:pt idx="851">
                  <c:v>48.194099999999999</c:v>
                </c:pt>
                <c:pt idx="852">
                  <c:v>48.077199999999998</c:v>
                </c:pt>
                <c:pt idx="853">
                  <c:v>49.085500000000003</c:v>
                </c:pt>
                <c:pt idx="854">
                  <c:v>47.961599999999997</c:v>
                </c:pt>
                <c:pt idx="855">
                  <c:v>45.271700000000003</c:v>
                </c:pt>
                <c:pt idx="856">
                  <c:v>45.092799999999997</c:v>
                </c:pt>
                <c:pt idx="857">
                  <c:v>46.133699999999997</c:v>
                </c:pt>
                <c:pt idx="858">
                  <c:v>45.713500000000003</c:v>
                </c:pt>
              </c:numCache>
            </c:numRef>
          </c:xVal>
          <c:yVal>
            <c:numRef>
              <c:f>个券数据!$Q$1:$Q$859</c:f>
              <c:numCache>
                <c:formatCode>0.00</c:formatCode>
                <c:ptCount val="859"/>
                <c:pt idx="0">
                  <c:v>48.849800000000002</c:v>
                </c:pt>
                <c:pt idx="1">
                  <c:v>40.154400000000003</c:v>
                </c:pt>
                <c:pt idx="2">
                  <c:v>43.602800000000002</c:v>
                </c:pt>
                <c:pt idx="3">
                  <c:v>42.608699999999999</c:v>
                </c:pt>
                <c:pt idx="4">
                  <c:v>43.588799999999999</c:v>
                </c:pt>
                <c:pt idx="5">
                  <c:v>45.125599999999999</c:v>
                </c:pt>
                <c:pt idx="6">
                  <c:v>40.810400000000001</c:v>
                </c:pt>
                <c:pt idx="7">
                  <c:v>36.460299999999997</c:v>
                </c:pt>
                <c:pt idx="8">
                  <c:v>40.915100000000002</c:v>
                </c:pt>
                <c:pt idx="9">
                  <c:v>40.491399999999999</c:v>
                </c:pt>
                <c:pt idx="10">
                  <c:v>41.9071</c:v>
                </c:pt>
                <c:pt idx="11">
                  <c:v>41.191200000000002</c:v>
                </c:pt>
                <c:pt idx="12">
                  <c:v>41.192999999999998</c:v>
                </c:pt>
                <c:pt idx="13">
                  <c:v>45.928699999999999</c:v>
                </c:pt>
                <c:pt idx="14">
                  <c:v>49.747100000000003</c:v>
                </c:pt>
                <c:pt idx="15">
                  <c:v>50.3812</c:v>
                </c:pt>
                <c:pt idx="16">
                  <c:v>50.469499999999996</c:v>
                </c:pt>
                <c:pt idx="17">
                  <c:v>45.789299999999997</c:v>
                </c:pt>
                <c:pt idx="18">
                  <c:v>44.309199999999997</c:v>
                </c:pt>
                <c:pt idx="19">
                  <c:v>53.014899999999997</c:v>
                </c:pt>
                <c:pt idx="20">
                  <c:v>60.754100000000001</c:v>
                </c:pt>
                <c:pt idx="21">
                  <c:v>60.106499999999997</c:v>
                </c:pt>
                <c:pt idx="22">
                  <c:v>60.7941</c:v>
                </c:pt>
                <c:pt idx="23">
                  <c:v>59.769599999999997</c:v>
                </c:pt>
                <c:pt idx="24">
                  <c:v>60.322099999999999</c:v>
                </c:pt>
                <c:pt idx="25">
                  <c:v>53.049199999999999</c:v>
                </c:pt>
                <c:pt idx="26">
                  <c:v>54.600200000000001</c:v>
                </c:pt>
                <c:pt idx="27">
                  <c:v>52.191400000000002</c:v>
                </c:pt>
                <c:pt idx="28">
                  <c:v>55.2913</c:v>
                </c:pt>
                <c:pt idx="29">
                  <c:v>55.104500000000002</c:v>
                </c:pt>
                <c:pt idx="30">
                  <c:v>62.0214</c:v>
                </c:pt>
                <c:pt idx="31">
                  <c:v>58.695</c:v>
                </c:pt>
                <c:pt idx="32">
                  <c:v>60.426200000000001</c:v>
                </c:pt>
                <c:pt idx="33">
                  <c:v>57.481400000000001</c:v>
                </c:pt>
                <c:pt idx="34">
                  <c:v>52.271299999999997</c:v>
                </c:pt>
                <c:pt idx="35">
                  <c:v>51.454599999999999</c:v>
                </c:pt>
                <c:pt idx="36">
                  <c:v>52.656799999999997</c:v>
                </c:pt>
                <c:pt idx="37">
                  <c:v>53.494700000000002</c:v>
                </c:pt>
                <c:pt idx="38">
                  <c:v>52.0124</c:v>
                </c:pt>
                <c:pt idx="39">
                  <c:v>50.359699999999997</c:v>
                </c:pt>
                <c:pt idx="40">
                  <c:v>48.769799999999996</c:v>
                </c:pt>
                <c:pt idx="41">
                  <c:v>47.7545</c:v>
                </c:pt>
                <c:pt idx="42">
                  <c:v>48.665100000000002</c:v>
                </c:pt>
                <c:pt idx="43">
                  <c:v>47.650399999999998</c:v>
                </c:pt>
                <c:pt idx="44">
                  <c:v>46.518700000000003</c:v>
                </c:pt>
                <c:pt idx="45">
                  <c:v>50.523800000000001</c:v>
                </c:pt>
                <c:pt idx="46">
                  <c:v>46.2453</c:v>
                </c:pt>
                <c:pt idx="47">
                  <c:v>47.328200000000002</c:v>
                </c:pt>
                <c:pt idx="48">
                  <c:v>46.152000000000001</c:v>
                </c:pt>
                <c:pt idx="49">
                  <c:v>46.906399999999998</c:v>
                </c:pt>
                <c:pt idx="50">
                  <c:v>42.4392</c:v>
                </c:pt>
                <c:pt idx="51">
                  <c:v>44.0199</c:v>
                </c:pt>
                <c:pt idx="52">
                  <c:v>47.787100000000002</c:v>
                </c:pt>
                <c:pt idx="53">
                  <c:v>49.107399999999998</c:v>
                </c:pt>
                <c:pt idx="54">
                  <c:v>50.450400000000002</c:v>
                </c:pt>
                <c:pt idx="55">
                  <c:v>48.314</c:v>
                </c:pt>
                <c:pt idx="56">
                  <c:v>50.362499999999997</c:v>
                </c:pt>
                <c:pt idx="57">
                  <c:v>48.433700000000002</c:v>
                </c:pt>
                <c:pt idx="58">
                  <c:v>48.376199999999997</c:v>
                </c:pt>
                <c:pt idx="59">
                  <c:v>52.365099999999998</c:v>
                </c:pt>
                <c:pt idx="60">
                  <c:v>58.969200000000001</c:v>
                </c:pt>
                <c:pt idx="61">
                  <c:v>54.078200000000002</c:v>
                </c:pt>
                <c:pt idx="62">
                  <c:v>54.645099999999999</c:v>
                </c:pt>
                <c:pt idx="63">
                  <c:v>52.957099999999997</c:v>
                </c:pt>
                <c:pt idx="64">
                  <c:v>54.7196</c:v>
                </c:pt>
                <c:pt idx="65">
                  <c:v>54.274099999999997</c:v>
                </c:pt>
                <c:pt idx="66">
                  <c:v>51.435899999999997</c:v>
                </c:pt>
                <c:pt idx="67">
                  <c:v>52.128399999999999</c:v>
                </c:pt>
                <c:pt idx="68">
                  <c:v>53.848500000000001</c:v>
                </c:pt>
                <c:pt idx="69">
                  <c:v>54.384099999999997</c:v>
                </c:pt>
                <c:pt idx="70">
                  <c:v>54.933799999999998</c:v>
                </c:pt>
                <c:pt idx="71">
                  <c:v>53.9009</c:v>
                </c:pt>
                <c:pt idx="72">
                  <c:v>55.087699999999998</c:v>
                </c:pt>
                <c:pt idx="73">
                  <c:v>56.024099999999997</c:v>
                </c:pt>
                <c:pt idx="74">
                  <c:v>59.353400000000001</c:v>
                </c:pt>
                <c:pt idx="75">
                  <c:v>56.433599999999998</c:v>
                </c:pt>
                <c:pt idx="76">
                  <c:v>59.014699999999998</c:v>
                </c:pt>
                <c:pt idx="77">
                  <c:v>60.469099999999997</c:v>
                </c:pt>
                <c:pt idx="78">
                  <c:v>58.787999999999997</c:v>
                </c:pt>
                <c:pt idx="79">
                  <c:v>56.813800000000001</c:v>
                </c:pt>
                <c:pt idx="80">
                  <c:v>60.109099999999998</c:v>
                </c:pt>
                <c:pt idx="81">
                  <c:v>58.642600000000002</c:v>
                </c:pt>
                <c:pt idx="82">
                  <c:v>58.611199999999997</c:v>
                </c:pt>
                <c:pt idx="83">
                  <c:v>63.927999999999997</c:v>
                </c:pt>
                <c:pt idx="84">
                  <c:v>63.414000000000001</c:v>
                </c:pt>
                <c:pt idx="85">
                  <c:v>62.620699999999999</c:v>
                </c:pt>
                <c:pt idx="86">
                  <c:v>62.963999999999999</c:v>
                </c:pt>
                <c:pt idx="87">
                  <c:v>57.986499999999999</c:v>
                </c:pt>
                <c:pt idx="88">
                  <c:v>54.020400000000002</c:v>
                </c:pt>
                <c:pt idx="89">
                  <c:v>44.5364</c:v>
                </c:pt>
                <c:pt idx="90">
                  <c:v>43.586100000000002</c:v>
                </c:pt>
                <c:pt idx="91">
                  <c:v>43.185400000000001</c:v>
                </c:pt>
                <c:pt idx="92">
                  <c:v>45.123800000000003</c:v>
                </c:pt>
                <c:pt idx="93">
                  <c:v>41.147100000000002</c:v>
                </c:pt>
                <c:pt idx="94">
                  <c:v>38.566499999999998</c:v>
                </c:pt>
                <c:pt idx="95">
                  <c:v>40.077399999999997</c:v>
                </c:pt>
                <c:pt idx="96">
                  <c:v>40.907299999999999</c:v>
                </c:pt>
                <c:pt idx="97">
                  <c:v>41.039299999999997</c:v>
                </c:pt>
                <c:pt idx="98">
                  <c:v>38.641399999999997</c:v>
                </c:pt>
                <c:pt idx="99">
                  <c:v>41.145400000000002</c:v>
                </c:pt>
                <c:pt idx="100">
                  <c:v>40.829500000000003</c:v>
                </c:pt>
                <c:pt idx="101">
                  <c:v>43.906199999999998</c:v>
                </c:pt>
                <c:pt idx="102">
                  <c:v>45.967199999999998</c:v>
                </c:pt>
                <c:pt idx="103">
                  <c:v>46.490099999999998</c:v>
                </c:pt>
                <c:pt idx="104">
                  <c:v>43.198799999999999</c:v>
                </c:pt>
                <c:pt idx="105">
                  <c:v>41.7729</c:v>
                </c:pt>
                <c:pt idx="106">
                  <c:v>38.745100000000001</c:v>
                </c:pt>
                <c:pt idx="107">
                  <c:v>41.520200000000003</c:v>
                </c:pt>
                <c:pt idx="108">
                  <c:v>39.168399999999998</c:v>
                </c:pt>
                <c:pt idx="109">
                  <c:v>39.76</c:v>
                </c:pt>
                <c:pt idx="110">
                  <c:v>38.859499999999997</c:v>
                </c:pt>
                <c:pt idx="111">
                  <c:v>39.615200000000002</c:v>
                </c:pt>
                <c:pt idx="112">
                  <c:v>39.774500000000003</c:v>
                </c:pt>
                <c:pt idx="113">
                  <c:v>39.924999999999997</c:v>
                </c:pt>
                <c:pt idx="114">
                  <c:v>41.549300000000002</c:v>
                </c:pt>
                <c:pt idx="115">
                  <c:v>45.074300000000001</c:v>
                </c:pt>
                <c:pt idx="116">
                  <c:v>44.426699999999997</c:v>
                </c:pt>
                <c:pt idx="117">
                  <c:v>45.673499999999997</c:v>
                </c:pt>
                <c:pt idx="118">
                  <c:v>46.965800000000002</c:v>
                </c:pt>
                <c:pt idx="119">
                  <c:v>44.509099999999997</c:v>
                </c:pt>
                <c:pt idx="120">
                  <c:v>45.314900000000002</c:v>
                </c:pt>
                <c:pt idx="121">
                  <c:v>44.425199999999997</c:v>
                </c:pt>
                <c:pt idx="122">
                  <c:v>45.792000000000002</c:v>
                </c:pt>
                <c:pt idx="123">
                  <c:v>42.635300000000001</c:v>
                </c:pt>
                <c:pt idx="124">
                  <c:v>37.111600000000003</c:v>
                </c:pt>
                <c:pt idx="125">
                  <c:v>38.9983</c:v>
                </c:pt>
                <c:pt idx="126">
                  <c:v>41.427599999999998</c:v>
                </c:pt>
                <c:pt idx="127">
                  <c:v>42.1477</c:v>
                </c:pt>
                <c:pt idx="128">
                  <c:v>38.956200000000003</c:v>
                </c:pt>
                <c:pt idx="129">
                  <c:v>40.630800000000001</c:v>
                </c:pt>
                <c:pt idx="130">
                  <c:v>37.0807</c:v>
                </c:pt>
                <c:pt idx="131">
                  <c:v>37.5565</c:v>
                </c:pt>
                <c:pt idx="132">
                  <c:v>36.060299999999998</c:v>
                </c:pt>
                <c:pt idx="133">
                  <c:v>38.8596</c:v>
                </c:pt>
                <c:pt idx="134">
                  <c:v>33.697000000000003</c:v>
                </c:pt>
                <c:pt idx="135">
                  <c:v>31.554200000000002</c:v>
                </c:pt>
                <c:pt idx="136">
                  <c:v>27.311900000000001</c:v>
                </c:pt>
                <c:pt idx="137">
                  <c:v>28.036200000000001</c:v>
                </c:pt>
                <c:pt idx="138">
                  <c:v>26.526399999999999</c:v>
                </c:pt>
                <c:pt idx="139">
                  <c:v>23.070900000000002</c:v>
                </c:pt>
                <c:pt idx="140">
                  <c:v>25.152999999999999</c:v>
                </c:pt>
                <c:pt idx="141">
                  <c:v>29.025099999999998</c:v>
                </c:pt>
                <c:pt idx="142">
                  <c:v>33.280200000000001</c:v>
                </c:pt>
                <c:pt idx="143">
                  <c:v>34.986899999999999</c:v>
                </c:pt>
                <c:pt idx="144">
                  <c:v>31.1234</c:v>
                </c:pt>
                <c:pt idx="145">
                  <c:v>31.452000000000002</c:v>
                </c:pt>
                <c:pt idx="146">
                  <c:v>28.501799999999999</c:v>
                </c:pt>
                <c:pt idx="147">
                  <c:v>32.978900000000003</c:v>
                </c:pt>
                <c:pt idx="148">
                  <c:v>37.362400000000001</c:v>
                </c:pt>
                <c:pt idx="149">
                  <c:v>36.777200000000001</c:v>
                </c:pt>
                <c:pt idx="150">
                  <c:v>34.5334</c:v>
                </c:pt>
                <c:pt idx="151">
                  <c:v>31.812899999999999</c:v>
                </c:pt>
                <c:pt idx="152">
                  <c:v>27.5243</c:v>
                </c:pt>
                <c:pt idx="153">
                  <c:v>26.612100000000002</c:v>
                </c:pt>
                <c:pt idx="154">
                  <c:v>27.4133</c:v>
                </c:pt>
                <c:pt idx="155">
                  <c:v>29.5093</c:v>
                </c:pt>
                <c:pt idx="156">
                  <c:v>36.8339</c:v>
                </c:pt>
                <c:pt idx="157">
                  <c:v>31.536000000000001</c:v>
                </c:pt>
                <c:pt idx="158">
                  <c:v>33.152999999999999</c:v>
                </c:pt>
                <c:pt idx="159">
                  <c:v>34.134300000000003</c:v>
                </c:pt>
                <c:pt idx="160">
                  <c:v>31.7729</c:v>
                </c:pt>
                <c:pt idx="161">
                  <c:v>29.889199999999999</c:v>
                </c:pt>
                <c:pt idx="162">
                  <c:v>28.975300000000001</c:v>
                </c:pt>
                <c:pt idx="163">
                  <c:v>31.6844</c:v>
                </c:pt>
                <c:pt idx="164">
                  <c:v>30.915199999999999</c:v>
                </c:pt>
                <c:pt idx="165">
                  <c:v>32.82</c:v>
                </c:pt>
                <c:pt idx="166">
                  <c:v>35.660800000000002</c:v>
                </c:pt>
                <c:pt idx="167">
                  <c:v>34.163400000000003</c:v>
                </c:pt>
                <c:pt idx="168">
                  <c:v>34.119300000000003</c:v>
                </c:pt>
                <c:pt idx="169">
                  <c:v>32.7121</c:v>
                </c:pt>
                <c:pt idx="170">
                  <c:v>41.206000000000003</c:v>
                </c:pt>
                <c:pt idx="171">
                  <c:v>42.849800000000002</c:v>
                </c:pt>
                <c:pt idx="172">
                  <c:v>41.815300000000001</c:v>
                </c:pt>
                <c:pt idx="173">
                  <c:v>41.386200000000002</c:v>
                </c:pt>
                <c:pt idx="174">
                  <c:v>37.123100000000001</c:v>
                </c:pt>
                <c:pt idx="175">
                  <c:v>40.388500000000001</c:v>
                </c:pt>
                <c:pt idx="176">
                  <c:v>38.729399999999998</c:v>
                </c:pt>
                <c:pt idx="177">
                  <c:v>42.880099999999999</c:v>
                </c:pt>
                <c:pt idx="178">
                  <c:v>42.6858</c:v>
                </c:pt>
                <c:pt idx="179">
                  <c:v>45.418399999999998</c:v>
                </c:pt>
                <c:pt idx="180">
                  <c:v>45.485500000000002</c:v>
                </c:pt>
                <c:pt idx="181">
                  <c:v>49.484099999999998</c:v>
                </c:pt>
                <c:pt idx="182">
                  <c:v>51.835000000000001</c:v>
                </c:pt>
                <c:pt idx="183">
                  <c:v>48.843299999999999</c:v>
                </c:pt>
                <c:pt idx="184">
                  <c:v>51.074800000000003</c:v>
                </c:pt>
                <c:pt idx="185">
                  <c:v>41.913800000000002</c:v>
                </c:pt>
                <c:pt idx="186">
                  <c:v>44.027999999999999</c:v>
                </c:pt>
                <c:pt idx="187">
                  <c:v>46.484299999999998</c:v>
                </c:pt>
                <c:pt idx="188">
                  <c:v>46.982399999999998</c:v>
                </c:pt>
                <c:pt idx="189">
                  <c:v>45.586399999999998</c:v>
                </c:pt>
                <c:pt idx="190">
                  <c:v>44.578400000000002</c:v>
                </c:pt>
                <c:pt idx="191">
                  <c:v>46.901200000000003</c:v>
                </c:pt>
                <c:pt idx="192">
                  <c:v>46.1554</c:v>
                </c:pt>
                <c:pt idx="193">
                  <c:v>45.070999999999998</c:v>
                </c:pt>
                <c:pt idx="194">
                  <c:v>45.564500000000002</c:v>
                </c:pt>
                <c:pt idx="195">
                  <c:v>43.448700000000002</c:v>
                </c:pt>
                <c:pt idx="196">
                  <c:v>42.618400000000001</c:v>
                </c:pt>
                <c:pt idx="197">
                  <c:v>38.905500000000004</c:v>
                </c:pt>
                <c:pt idx="198">
                  <c:v>38.735599999999998</c:v>
                </c:pt>
                <c:pt idx="199">
                  <c:v>38.427599999999998</c:v>
                </c:pt>
                <c:pt idx="200">
                  <c:v>34.9803</c:v>
                </c:pt>
                <c:pt idx="201">
                  <c:v>35.969700000000003</c:v>
                </c:pt>
                <c:pt idx="202">
                  <c:v>37.479799999999997</c:v>
                </c:pt>
                <c:pt idx="203">
                  <c:v>41.049700000000001</c:v>
                </c:pt>
                <c:pt idx="204">
                  <c:v>43.843000000000004</c:v>
                </c:pt>
                <c:pt idx="205">
                  <c:v>39.935499999999998</c:v>
                </c:pt>
                <c:pt idx="206">
                  <c:v>33.224200000000003</c:v>
                </c:pt>
                <c:pt idx="207">
                  <c:v>37.7699</c:v>
                </c:pt>
                <c:pt idx="208">
                  <c:v>41.389400000000002</c:v>
                </c:pt>
                <c:pt idx="209">
                  <c:v>39.332599999999999</c:v>
                </c:pt>
                <c:pt idx="210">
                  <c:v>42.203299999999999</c:v>
                </c:pt>
                <c:pt idx="211">
                  <c:v>39.7866</c:v>
                </c:pt>
                <c:pt idx="212">
                  <c:v>43.181699999999999</c:v>
                </c:pt>
                <c:pt idx="213">
                  <c:v>40.6295</c:v>
                </c:pt>
                <c:pt idx="214">
                  <c:v>44.5443</c:v>
                </c:pt>
                <c:pt idx="215">
                  <c:v>50.180300000000003</c:v>
                </c:pt>
                <c:pt idx="216">
                  <c:v>53.061500000000002</c:v>
                </c:pt>
                <c:pt idx="217">
                  <c:v>60.858699999999999</c:v>
                </c:pt>
                <c:pt idx="218">
                  <c:v>59.813400000000001</c:v>
                </c:pt>
                <c:pt idx="219">
                  <c:v>63.639400000000002</c:v>
                </c:pt>
                <c:pt idx="220">
                  <c:v>61.7104</c:v>
                </c:pt>
                <c:pt idx="221">
                  <c:v>64.610100000000003</c:v>
                </c:pt>
                <c:pt idx="222">
                  <c:v>62.600499999999997</c:v>
                </c:pt>
                <c:pt idx="223">
                  <c:v>59.050600000000003</c:v>
                </c:pt>
                <c:pt idx="224">
                  <c:v>63.1126</c:v>
                </c:pt>
                <c:pt idx="225">
                  <c:v>59.605400000000003</c:v>
                </c:pt>
                <c:pt idx="226">
                  <c:v>60.366100000000003</c:v>
                </c:pt>
                <c:pt idx="227">
                  <c:v>63.793199999999999</c:v>
                </c:pt>
                <c:pt idx="228">
                  <c:v>70.235500000000002</c:v>
                </c:pt>
                <c:pt idx="229">
                  <c:v>68.199200000000005</c:v>
                </c:pt>
                <c:pt idx="230">
                  <c:v>67.035799999999995</c:v>
                </c:pt>
                <c:pt idx="231">
                  <c:v>68.683099999999996</c:v>
                </c:pt>
                <c:pt idx="232">
                  <c:v>70.793400000000005</c:v>
                </c:pt>
                <c:pt idx="233">
                  <c:v>67.119299999999996</c:v>
                </c:pt>
                <c:pt idx="234">
                  <c:v>69.065200000000004</c:v>
                </c:pt>
                <c:pt idx="235">
                  <c:v>64.287300000000002</c:v>
                </c:pt>
                <c:pt idx="236">
                  <c:v>58.437800000000003</c:v>
                </c:pt>
                <c:pt idx="237">
                  <c:v>59.310099999999998</c:v>
                </c:pt>
                <c:pt idx="238">
                  <c:v>62.020899999999997</c:v>
                </c:pt>
                <c:pt idx="239">
                  <c:v>62.737400000000001</c:v>
                </c:pt>
                <c:pt idx="240">
                  <c:v>62.002899999999997</c:v>
                </c:pt>
                <c:pt idx="241">
                  <c:v>64.007300000000001</c:v>
                </c:pt>
                <c:pt idx="242">
                  <c:v>67.735699999999994</c:v>
                </c:pt>
                <c:pt idx="243">
                  <c:v>66.475099999999998</c:v>
                </c:pt>
                <c:pt idx="244">
                  <c:v>63.196300000000001</c:v>
                </c:pt>
                <c:pt idx="245">
                  <c:v>61.4895</c:v>
                </c:pt>
                <c:pt idx="246">
                  <c:v>61.131</c:v>
                </c:pt>
                <c:pt idx="247">
                  <c:v>62.309600000000003</c:v>
                </c:pt>
                <c:pt idx="248">
                  <c:v>57.031100000000002</c:v>
                </c:pt>
                <c:pt idx="249">
                  <c:v>58.258800000000001</c:v>
                </c:pt>
                <c:pt idx="250">
                  <c:v>57.240699999999997</c:v>
                </c:pt>
                <c:pt idx="251">
                  <c:v>56.258299999999998</c:v>
                </c:pt>
                <c:pt idx="252">
                  <c:v>56.5809</c:v>
                </c:pt>
                <c:pt idx="253">
                  <c:v>55.641199999999998</c:v>
                </c:pt>
                <c:pt idx="254">
                  <c:v>51.649299999999997</c:v>
                </c:pt>
                <c:pt idx="255">
                  <c:v>50.9724</c:v>
                </c:pt>
                <c:pt idx="256">
                  <c:v>54.5871</c:v>
                </c:pt>
                <c:pt idx="257">
                  <c:v>55.349899999999998</c:v>
                </c:pt>
                <c:pt idx="258">
                  <c:v>53.856900000000003</c:v>
                </c:pt>
                <c:pt idx="259">
                  <c:v>49.6629</c:v>
                </c:pt>
                <c:pt idx="260">
                  <c:v>47.653399999999998</c:v>
                </c:pt>
                <c:pt idx="261">
                  <c:v>48.651299999999999</c:v>
                </c:pt>
                <c:pt idx="262">
                  <c:v>49.517200000000003</c:v>
                </c:pt>
                <c:pt idx="263">
                  <c:v>48.604199999999999</c:v>
                </c:pt>
                <c:pt idx="264">
                  <c:v>50.592599999999997</c:v>
                </c:pt>
                <c:pt idx="265">
                  <c:v>46.827800000000003</c:v>
                </c:pt>
                <c:pt idx="266">
                  <c:v>46.089100000000002</c:v>
                </c:pt>
                <c:pt idx="267">
                  <c:v>42.920400000000001</c:v>
                </c:pt>
                <c:pt idx="268">
                  <c:v>40.949399999999997</c:v>
                </c:pt>
                <c:pt idx="269">
                  <c:v>38.740900000000003</c:v>
                </c:pt>
                <c:pt idx="270">
                  <c:v>44.827599999999997</c:v>
                </c:pt>
                <c:pt idx="271">
                  <c:v>49.954300000000003</c:v>
                </c:pt>
                <c:pt idx="272">
                  <c:v>50.949100000000001</c:v>
                </c:pt>
                <c:pt idx="273">
                  <c:v>50.312199999999997</c:v>
                </c:pt>
                <c:pt idx="274">
                  <c:v>51.560299999999998</c:v>
                </c:pt>
                <c:pt idx="275">
                  <c:v>56.738999999999997</c:v>
                </c:pt>
                <c:pt idx="276">
                  <c:v>54.5092</c:v>
                </c:pt>
                <c:pt idx="277">
                  <c:v>43.781300000000002</c:v>
                </c:pt>
                <c:pt idx="278">
                  <c:v>39.731900000000003</c:v>
                </c:pt>
                <c:pt idx="279">
                  <c:v>49.991599999999998</c:v>
                </c:pt>
                <c:pt idx="280">
                  <c:v>49.398699999999998</c:v>
                </c:pt>
                <c:pt idx="281">
                  <c:v>44.813299999999998</c:v>
                </c:pt>
                <c:pt idx="282">
                  <c:v>49.773699999999998</c:v>
                </c:pt>
                <c:pt idx="283">
                  <c:v>50.433999999999997</c:v>
                </c:pt>
                <c:pt idx="284">
                  <c:v>47.117100000000001</c:v>
                </c:pt>
                <c:pt idx="285">
                  <c:v>40.7883</c:v>
                </c:pt>
                <c:pt idx="286">
                  <c:v>43.832799999999999</c:v>
                </c:pt>
                <c:pt idx="287">
                  <c:v>45.270699999999998</c:v>
                </c:pt>
                <c:pt idx="288">
                  <c:v>50.155000000000001</c:v>
                </c:pt>
                <c:pt idx="289">
                  <c:v>54.614100000000001</c:v>
                </c:pt>
                <c:pt idx="290">
                  <c:v>52.851500000000001</c:v>
                </c:pt>
                <c:pt idx="291">
                  <c:v>58.138399999999997</c:v>
                </c:pt>
                <c:pt idx="292">
                  <c:v>56.074599999999997</c:v>
                </c:pt>
                <c:pt idx="293">
                  <c:v>53.636600000000001</c:v>
                </c:pt>
                <c:pt idx="294">
                  <c:v>56.032800000000002</c:v>
                </c:pt>
                <c:pt idx="295">
                  <c:v>58.556699999999999</c:v>
                </c:pt>
                <c:pt idx="296">
                  <c:v>61.610300000000002</c:v>
                </c:pt>
                <c:pt idx="297">
                  <c:v>70.354399999999998</c:v>
                </c:pt>
                <c:pt idx="298">
                  <c:v>67.986500000000007</c:v>
                </c:pt>
                <c:pt idx="299">
                  <c:v>65.246300000000005</c:v>
                </c:pt>
                <c:pt idx="300">
                  <c:v>63.8018</c:v>
                </c:pt>
                <c:pt idx="301">
                  <c:v>66.722899999999996</c:v>
                </c:pt>
                <c:pt idx="302">
                  <c:v>63.6877</c:v>
                </c:pt>
                <c:pt idx="303">
                  <c:v>63.090899999999998</c:v>
                </c:pt>
                <c:pt idx="304">
                  <c:v>74.346400000000003</c:v>
                </c:pt>
                <c:pt idx="305">
                  <c:v>72.893600000000006</c:v>
                </c:pt>
                <c:pt idx="306">
                  <c:v>69.565100000000001</c:v>
                </c:pt>
                <c:pt idx="307">
                  <c:v>71.964500000000001</c:v>
                </c:pt>
                <c:pt idx="308">
                  <c:v>72.098200000000006</c:v>
                </c:pt>
                <c:pt idx="309">
                  <c:v>75.238900000000001</c:v>
                </c:pt>
                <c:pt idx="310">
                  <c:v>75.426199999999994</c:v>
                </c:pt>
                <c:pt idx="311">
                  <c:v>71.927700000000002</c:v>
                </c:pt>
                <c:pt idx="312">
                  <c:v>75.143500000000003</c:v>
                </c:pt>
                <c:pt idx="313">
                  <c:v>74.024299999999997</c:v>
                </c:pt>
                <c:pt idx="314">
                  <c:v>81.903400000000005</c:v>
                </c:pt>
                <c:pt idx="315">
                  <c:v>83.954999999999998</c:v>
                </c:pt>
                <c:pt idx="316">
                  <c:v>82.684799999999996</c:v>
                </c:pt>
                <c:pt idx="317">
                  <c:v>81.034499999999994</c:v>
                </c:pt>
                <c:pt idx="318">
                  <c:v>87.375500000000002</c:v>
                </c:pt>
                <c:pt idx="319">
                  <c:v>86.672399999999996</c:v>
                </c:pt>
                <c:pt idx="320">
                  <c:v>85.297399999999996</c:v>
                </c:pt>
                <c:pt idx="321">
                  <c:v>81.0745</c:v>
                </c:pt>
                <c:pt idx="322">
                  <c:v>77.328800000000001</c:v>
                </c:pt>
                <c:pt idx="323">
                  <c:v>83.498800000000003</c:v>
                </c:pt>
                <c:pt idx="324">
                  <c:v>79.411100000000005</c:v>
                </c:pt>
                <c:pt idx="325">
                  <c:v>76.552999999999997</c:v>
                </c:pt>
                <c:pt idx="326">
                  <c:v>75.134399999999999</c:v>
                </c:pt>
                <c:pt idx="327">
                  <c:v>74.205399999999997</c:v>
                </c:pt>
                <c:pt idx="328">
                  <c:v>71.638900000000007</c:v>
                </c:pt>
                <c:pt idx="329">
                  <c:v>70.170199999999994</c:v>
                </c:pt>
                <c:pt idx="330">
                  <c:v>75.366500000000002</c:v>
                </c:pt>
                <c:pt idx="331">
                  <c:v>77.963099999999997</c:v>
                </c:pt>
                <c:pt idx="332">
                  <c:v>88.832300000000004</c:v>
                </c:pt>
                <c:pt idx="333">
                  <c:v>95.460599999999999</c:v>
                </c:pt>
                <c:pt idx="334">
                  <c:v>98.501000000000005</c:v>
                </c:pt>
                <c:pt idx="335">
                  <c:v>96.539900000000003</c:v>
                </c:pt>
                <c:pt idx="336">
                  <c:v>98.188599999999994</c:v>
                </c:pt>
                <c:pt idx="337">
                  <c:v>95.245999999999995</c:v>
                </c:pt>
                <c:pt idx="338">
                  <c:v>92.802499999999995</c:v>
                </c:pt>
                <c:pt idx="339">
                  <c:v>94.093999999999994</c:v>
                </c:pt>
                <c:pt idx="340">
                  <c:v>91.293999999999997</c:v>
                </c:pt>
                <c:pt idx="341">
                  <c:v>90.311599999999999</c:v>
                </c:pt>
                <c:pt idx="342">
                  <c:v>90.580699999999993</c:v>
                </c:pt>
                <c:pt idx="343">
                  <c:v>91.159400000000005</c:v>
                </c:pt>
                <c:pt idx="344">
                  <c:v>91.606200000000001</c:v>
                </c:pt>
                <c:pt idx="345">
                  <c:v>98.153800000000004</c:v>
                </c:pt>
                <c:pt idx="346">
                  <c:v>96.016000000000005</c:v>
                </c:pt>
                <c:pt idx="347">
                  <c:v>90.101699999999994</c:v>
                </c:pt>
                <c:pt idx="348">
                  <c:v>83.9221</c:v>
                </c:pt>
                <c:pt idx="349">
                  <c:v>84.153300000000002</c:v>
                </c:pt>
                <c:pt idx="350">
                  <c:v>94.169899999999998</c:v>
                </c:pt>
                <c:pt idx="351">
                  <c:v>89.915599999999998</c:v>
                </c:pt>
                <c:pt idx="352">
                  <c:v>96.173299999999998</c:v>
                </c:pt>
                <c:pt idx="353">
                  <c:v>99.997799999999998</c:v>
                </c:pt>
                <c:pt idx="354">
                  <c:v>102.914</c:v>
                </c:pt>
                <c:pt idx="355">
                  <c:v>97.120800000000003</c:v>
                </c:pt>
                <c:pt idx="356">
                  <c:v>97.477999999999994</c:v>
                </c:pt>
                <c:pt idx="357">
                  <c:v>91.879300000000001</c:v>
                </c:pt>
                <c:pt idx="358">
                  <c:v>99.837900000000005</c:v>
                </c:pt>
                <c:pt idx="359">
                  <c:v>101.6525</c:v>
                </c:pt>
                <c:pt idx="360">
                  <c:v>91.5886</c:v>
                </c:pt>
                <c:pt idx="361">
                  <c:v>87.490600000000001</c:v>
                </c:pt>
                <c:pt idx="362">
                  <c:v>91.501499999999993</c:v>
                </c:pt>
                <c:pt idx="363">
                  <c:v>87.5471</c:v>
                </c:pt>
                <c:pt idx="364">
                  <c:v>91.427499999999995</c:v>
                </c:pt>
                <c:pt idx="365">
                  <c:v>79.152600000000007</c:v>
                </c:pt>
                <c:pt idx="366">
                  <c:v>73.744500000000002</c:v>
                </c:pt>
                <c:pt idx="367">
                  <c:v>67.826300000000003</c:v>
                </c:pt>
                <c:pt idx="368">
                  <c:v>62.883800000000001</c:v>
                </c:pt>
                <c:pt idx="369">
                  <c:v>68.117599999999996</c:v>
                </c:pt>
                <c:pt idx="370">
                  <c:v>62.116199999999999</c:v>
                </c:pt>
                <c:pt idx="371">
                  <c:v>56.995199999999997</c:v>
                </c:pt>
                <c:pt idx="372">
                  <c:v>59.694000000000003</c:v>
                </c:pt>
                <c:pt idx="373">
                  <c:v>62.343200000000003</c:v>
                </c:pt>
                <c:pt idx="374">
                  <c:v>57.723399999999998</c:v>
                </c:pt>
                <c:pt idx="375">
                  <c:v>62.018799999999999</c:v>
                </c:pt>
                <c:pt idx="376">
                  <c:v>56.874099999999999</c:v>
                </c:pt>
                <c:pt idx="377">
                  <c:v>59.017600000000002</c:v>
                </c:pt>
                <c:pt idx="378">
                  <c:v>50.287300000000002</c:v>
                </c:pt>
                <c:pt idx="379">
                  <c:v>47.7348</c:v>
                </c:pt>
                <c:pt idx="380">
                  <c:v>50.235100000000003</c:v>
                </c:pt>
                <c:pt idx="381">
                  <c:v>54.222700000000003</c:v>
                </c:pt>
                <c:pt idx="382">
                  <c:v>56.155299999999997</c:v>
                </c:pt>
                <c:pt idx="383">
                  <c:v>53.525799999999997</c:v>
                </c:pt>
                <c:pt idx="384">
                  <c:v>51.531700000000001</c:v>
                </c:pt>
                <c:pt idx="385">
                  <c:v>52.479799999999997</c:v>
                </c:pt>
                <c:pt idx="386">
                  <c:v>55.810699999999997</c:v>
                </c:pt>
                <c:pt idx="387">
                  <c:v>57.174399999999999</c:v>
                </c:pt>
                <c:pt idx="388">
                  <c:v>55.4283</c:v>
                </c:pt>
                <c:pt idx="389">
                  <c:v>57.6327</c:v>
                </c:pt>
                <c:pt idx="390">
                  <c:v>58.505299999999998</c:v>
                </c:pt>
                <c:pt idx="391">
                  <c:v>53.901600000000002</c:v>
                </c:pt>
                <c:pt idx="392">
                  <c:v>53.517499999999998</c:v>
                </c:pt>
                <c:pt idx="393">
                  <c:v>51.222299999999997</c:v>
                </c:pt>
                <c:pt idx="394">
                  <c:v>51.778300000000002</c:v>
                </c:pt>
                <c:pt idx="395">
                  <c:v>42.726300000000002</c:v>
                </c:pt>
                <c:pt idx="396">
                  <c:v>40.2089</c:v>
                </c:pt>
                <c:pt idx="397">
                  <c:v>42.690600000000003</c:v>
                </c:pt>
                <c:pt idx="398">
                  <c:v>40.308500000000002</c:v>
                </c:pt>
                <c:pt idx="399">
                  <c:v>42.937800000000003</c:v>
                </c:pt>
                <c:pt idx="400">
                  <c:v>42.575400000000002</c:v>
                </c:pt>
                <c:pt idx="401">
                  <c:v>41.3187</c:v>
                </c:pt>
                <c:pt idx="402">
                  <c:v>40.789299999999997</c:v>
                </c:pt>
                <c:pt idx="403">
                  <c:v>43.113300000000002</c:v>
                </c:pt>
                <c:pt idx="404">
                  <c:v>44.587699999999998</c:v>
                </c:pt>
                <c:pt idx="405">
                  <c:v>43.884599999999999</c:v>
                </c:pt>
                <c:pt idx="406">
                  <c:v>44.162500000000001</c:v>
                </c:pt>
                <c:pt idx="407">
                  <c:v>41.095500000000001</c:v>
                </c:pt>
                <c:pt idx="408">
                  <c:v>47.7273</c:v>
                </c:pt>
                <c:pt idx="409">
                  <c:v>48.808300000000003</c:v>
                </c:pt>
                <c:pt idx="410">
                  <c:v>46.447499999999998</c:v>
                </c:pt>
                <c:pt idx="411">
                  <c:v>52.389200000000002</c:v>
                </c:pt>
                <c:pt idx="412">
                  <c:v>55.683300000000003</c:v>
                </c:pt>
                <c:pt idx="413">
                  <c:v>56.139699999999998</c:v>
                </c:pt>
                <c:pt idx="414">
                  <c:v>54.763800000000003</c:v>
                </c:pt>
                <c:pt idx="415">
                  <c:v>51.115099999999998</c:v>
                </c:pt>
                <c:pt idx="416">
                  <c:v>51.075699999999998</c:v>
                </c:pt>
                <c:pt idx="417">
                  <c:v>53.951999999999998</c:v>
                </c:pt>
                <c:pt idx="418">
                  <c:v>50.514400000000002</c:v>
                </c:pt>
                <c:pt idx="419">
                  <c:v>50.387099999999997</c:v>
                </c:pt>
                <c:pt idx="420">
                  <c:v>48.735199999999999</c:v>
                </c:pt>
                <c:pt idx="421">
                  <c:v>46.0749</c:v>
                </c:pt>
                <c:pt idx="422">
                  <c:v>49.334499999999998</c:v>
                </c:pt>
                <c:pt idx="423">
                  <c:v>52.3947</c:v>
                </c:pt>
                <c:pt idx="424">
                  <c:v>52.553199999999997</c:v>
                </c:pt>
                <c:pt idx="425">
                  <c:v>52.668900000000001</c:v>
                </c:pt>
                <c:pt idx="426">
                  <c:v>52.7149</c:v>
                </c:pt>
                <c:pt idx="427">
                  <c:v>58.625399999999999</c:v>
                </c:pt>
                <c:pt idx="428">
                  <c:v>54.468499999999999</c:v>
                </c:pt>
                <c:pt idx="429">
                  <c:v>55.540199999999999</c:v>
                </c:pt>
                <c:pt idx="430">
                  <c:v>56.828400000000002</c:v>
                </c:pt>
                <c:pt idx="431">
                  <c:v>60.462499999999999</c:v>
                </c:pt>
                <c:pt idx="432">
                  <c:v>62.807899999999997</c:v>
                </c:pt>
                <c:pt idx="433">
                  <c:v>62.893799999999999</c:v>
                </c:pt>
                <c:pt idx="434">
                  <c:v>62.366900000000001</c:v>
                </c:pt>
                <c:pt idx="435">
                  <c:v>63.851700000000001</c:v>
                </c:pt>
                <c:pt idx="436">
                  <c:v>66.216899999999995</c:v>
                </c:pt>
                <c:pt idx="437">
                  <c:v>71.106200000000001</c:v>
                </c:pt>
                <c:pt idx="438">
                  <c:v>70.965599999999995</c:v>
                </c:pt>
                <c:pt idx="439">
                  <c:v>62.885800000000003</c:v>
                </c:pt>
                <c:pt idx="440">
                  <c:v>62.288400000000003</c:v>
                </c:pt>
                <c:pt idx="441">
                  <c:v>55.401600000000002</c:v>
                </c:pt>
                <c:pt idx="442">
                  <c:v>56.152299999999997</c:v>
                </c:pt>
                <c:pt idx="443">
                  <c:v>53.1877</c:v>
                </c:pt>
                <c:pt idx="444">
                  <c:v>57.0092</c:v>
                </c:pt>
                <c:pt idx="445">
                  <c:v>55.823900000000002</c:v>
                </c:pt>
                <c:pt idx="446">
                  <c:v>57.517800000000001</c:v>
                </c:pt>
                <c:pt idx="447">
                  <c:v>59.029000000000003</c:v>
                </c:pt>
                <c:pt idx="448">
                  <c:v>55.2699</c:v>
                </c:pt>
                <c:pt idx="449">
                  <c:v>55.264299999999999</c:v>
                </c:pt>
                <c:pt idx="450">
                  <c:v>53.700200000000002</c:v>
                </c:pt>
                <c:pt idx="451">
                  <c:v>50.445999999999998</c:v>
                </c:pt>
                <c:pt idx="452">
                  <c:v>50.2498</c:v>
                </c:pt>
                <c:pt idx="453">
                  <c:v>51.832900000000002</c:v>
                </c:pt>
                <c:pt idx="454">
                  <c:v>49.261499999999998</c:v>
                </c:pt>
                <c:pt idx="455">
                  <c:v>46.171799999999998</c:v>
                </c:pt>
                <c:pt idx="456">
                  <c:v>49.423299999999998</c:v>
                </c:pt>
                <c:pt idx="457">
                  <c:v>47.306600000000003</c:v>
                </c:pt>
                <c:pt idx="458">
                  <c:v>46.274999999999999</c:v>
                </c:pt>
                <c:pt idx="459">
                  <c:v>47.686500000000002</c:v>
                </c:pt>
                <c:pt idx="460">
                  <c:v>49.947000000000003</c:v>
                </c:pt>
                <c:pt idx="461">
                  <c:v>53.058900000000001</c:v>
                </c:pt>
                <c:pt idx="462">
                  <c:v>56.392200000000003</c:v>
                </c:pt>
                <c:pt idx="463">
                  <c:v>55.677900000000001</c:v>
                </c:pt>
                <c:pt idx="464">
                  <c:v>52.802199999999999</c:v>
                </c:pt>
                <c:pt idx="465">
                  <c:v>54.958199999999998</c:v>
                </c:pt>
                <c:pt idx="466">
                  <c:v>52.985199999999999</c:v>
                </c:pt>
                <c:pt idx="467">
                  <c:v>51.012700000000002</c:v>
                </c:pt>
                <c:pt idx="468">
                  <c:v>54.545400000000001</c:v>
                </c:pt>
                <c:pt idx="469">
                  <c:v>53.921599999999998</c:v>
                </c:pt>
                <c:pt idx="470">
                  <c:v>58.872500000000002</c:v>
                </c:pt>
                <c:pt idx="471">
                  <c:v>58.0901</c:v>
                </c:pt>
                <c:pt idx="472">
                  <c:v>57.414999999999999</c:v>
                </c:pt>
                <c:pt idx="473">
                  <c:v>50.183799999999998</c:v>
                </c:pt>
                <c:pt idx="474">
                  <c:v>50.362499999999997</c:v>
                </c:pt>
                <c:pt idx="475">
                  <c:v>51.355499999999999</c:v>
                </c:pt>
                <c:pt idx="476">
                  <c:v>46.136400000000002</c:v>
                </c:pt>
                <c:pt idx="477">
                  <c:v>41.495699999999999</c:v>
                </c:pt>
                <c:pt idx="478">
                  <c:v>40.769300000000001</c:v>
                </c:pt>
                <c:pt idx="479">
                  <c:v>48.102600000000002</c:v>
                </c:pt>
                <c:pt idx="480">
                  <c:v>51.280900000000003</c:v>
                </c:pt>
                <c:pt idx="481">
                  <c:v>51.829300000000003</c:v>
                </c:pt>
                <c:pt idx="482">
                  <c:v>52.422400000000003</c:v>
                </c:pt>
                <c:pt idx="483">
                  <c:v>61.691200000000002</c:v>
                </c:pt>
                <c:pt idx="484">
                  <c:v>63.192300000000003</c:v>
                </c:pt>
                <c:pt idx="485">
                  <c:v>62.723700000000001</c:v>
                </c:pt>
                <c:pt idx="486">
                  <c:v>58.469700000000003</c:v>
                </c:pt>
                <c:pt idx="487">
                  <c:v>57.3795</c:v>
                </c:pt>
                <c:pt idx="488">
                  <c:v>57.5548</c:v>
                </c:pt>
                <c:pt idx="489">
                  <c:v>61.285800000000002</c:v>
                </c:pt>
                <c:pt idx="490">
                  <c:v>56.960999999999999</c:v>
                </c:pt>
                <c:pt idx="491">
                  <c:v>66.791399999999996</c:v>
                </c:pt>
                <c:pt idx="492">
                  <c:v>73.436999999999998</c:v>
                </c:pt>
                <c:pt idx="493">
                  <c:v>75.315100000000001</c:v>
                </c:pt>
                <c:pt idx="494">
                  <c:v>73.924199999999999</c:v>
                </c:pt>
                <c:pt idx="495">
                  <c:v>72.764700000000005</c:v>
                </c:pt>
                <c:pt idx="496">
                  <c:v>73.540899999999993</c:v>
                </c:pt>
                <c:pt idx="497">
                  <c:v>68.908699999999996</c:v>
                </c:pt>
                <c:pt idx="498">
                  <c:v>74.390199999999993</c:v>
                </c:pt>
                <c:pt idx="499">
                  <c:v>71.995999999999995</c:v>
                </c:pt>
                <c:pt idx="500">
                  <c:v>69.808099999999996</c:v>
                </c:pt>
                <c:pt idx="501">
                  <c:v>65.326700000000002</c:v>
                </c:pt>
                <c:pt idx="502">
                  <c:v>68.742099999999994</c:v>
                </c:pt>
                <c:pt idx="503">
                  <c:v>77.548100000000005</c:v>
                </c:pt>
                <c:pt idx="504">
                  <c:v>81.390799999999999</c:v>
                </c:pt>
                <c:pt idx="505">
                  <c:v>87.738900000000001</c:v>
                </c:pt>
                <c:pt idx="506">
                  <c:v>91.953599999999994</c:v>
                </c:pt>
                <c:pt idx="507">
                  <c:v>94.465599999999995</c:v>
                </c:pt>
                <c:pt idx="508">
                  <c:v>98.214500000000001</c:v>
                </c:pt>
                <c:pt idx="509">
                  <c:v>99.104100000000003</c:v>
                </c:pt>
                <c:pt idx="510">
                  <c:v>106.78749999999999</c:v>
                </c:pt>
                <c:pt idx="511">
                  <c:v>104.0321</c:v>
                </c:pt>
                <c:pt idx="512">
                  <c:v>96.375500000000002</c:v>
                </c:pt>
                <c:pt idx="513">
                  <c:v>81.038499999999999</c:v>
                </c:pt>
                <c:pt idx="514">
                  <c:v>81.608999999999995</c:v>
                </c:pt>
                <c:pt idx="515">
                  <c:v>79.259100000000004</c:v>
                </c:pt>
                <c:pt idx="516">
                  <c:v>76.473100000000002</c:v>
                </c:pt>
                <c:pt idx="517">
                  <c:v>82.9315</c:v>
                </c:pt>
                <c:pt idx="518">
                  <c:v>87.208500000000001</c:v>
                </c:pt>
                <c:pt idx="519">
                  <c:v>84.461200000000005</c:v>
                </c:pt>
                <c:pt idx="520">
                  <c:v>88.703299999999999</c:v>
                </c:pt>
                <c:pt idx="521">
                  <c:v>85.422200000000004</c:v>
                </c:pt>
                <c:pt idx="522">
                  <c:v>87.896799999999999</c:v>
                </c:pt>
                <c:pt idx="523">
                  <c:v>82.637900000000002</c:v>
                </c:pt>
                <c:pt idx="524">
                  <c:v>69.404600000000002</c:v>
                </c:pt>
                <c:pt idx="525">
                  <c:v>68.024900000000002</c:v>
                </c:pt>
                <c:pt idx="526">
                  <c:v>64.2333</c:v>
                </c:pt>
                <c:pt idx="527">
                  <c:v>50.547400000000003</c:v>
                </c:pt>
                <c:pt idx="528">
                  <c:v>52.078600000000002</c:v>
                </c:pt>
                <c:pt idx="529">
                  <c:v>51.133899999999997</c:v>
                </c:pt>
                <c:pt idx="530">
                  <c:v>52.150100000000002</c:v>
                </c:pt>
                <c:pt idx="531">
                  <c:v>53.586199999999998</c:v>
                </c:pt>
                <c:pt idx="532">
                  <c:v>49.551499999999997</c:v>
                </c:pt>
                <c:pt idx="533">
                  <c:v>51.027799999999999</c:v>
                </c:pt>
                <c:pt idx="534">
                  <c:v>47.8508</c:v>
                </c:pt>
                <c:pt idx="535">
                  <c:v>44.218200000000003</c:v>
                </c:pt>
                <c:pt idx="536">
                  <c:v>46.198599999999999</c:v>
                </c:pt>
                <c:pt idx="537">
                  <c:v>57.424900000000001</c:v>
                </c:pt>
                <c:pt idx="538">
                  <c:v>55.0017</c:v>
                </c:pt>
                <c:pt idx="539">
                  <c:v>57.533499999999997</c:v>
                </c:pt>
                <c:pt idx="540">
                  <c:v>57.970399999999998</c:v>
                </c:pt>
                <c:pt idx="541">
                  <c:v>53.461100000000002</c:v>
                </c:pt>
                <c:pt idx="542">
                  <c:v>50.952599999999997</c:v>
                </c:pt>
                <c:pt idx="543">
                  <c:v>51.334800000000001</c:v>
                </c:pt>
                <c:pt idx="544">
                  <c:v>53.930500000000002</c:v>
                </c:pt>
                <c:pt idx="545">
                  <c:v>57.321300000000001</c:v>
                </c:pt>
                <c:pt idx="546">
                  <c:v>58.046399999999998</c:v>
                </c:pt>
                <c:pt idx="547">
                  <c:v>55.870800000000003</c:v>
                </c:pt>
                <c:pt idx="548">
                  <c:v>52.104599999999998</c:v>
                </c:pt>
                <c:pt idx="549">
                  <c:v>50.054600000000001</c:v>
                </c:pt>
                <c:pt idx="550">
                  <c:v>51.013399999999997</c:v>
                </c:pt>
                <c:pt idx="551">
                  <c:v>55.134399999999999</c:v>
                </c:pt>
                <c:pt idx="552">
                  <c:v>60.2438</c:v>
                </c:pt>
                <c:pt idx="553">
                  <c:v>56.181199999999997</c:v>
                </c:pt>
                <c:pt idx="554">
                  <c:v>61.638599999999997</c:v>
                </c:pt>
                <c:pt idx="555">
                  <c:v>62.575499999999998</c:v>
                </c:pt>
                <c:pt idx="556">
                  <c:v>62.984000000000002</c:v>
                </c:pt>
                <c:pt idx="557">
                  <c:v>67.453999999999994</c:v>
                </c:pt>
                <c:pt idx="558">
                  <c:v>65.974000000000004</c:v>
                </c:pt>
                <c:pt idx="559">
                  <c:v>66.753399999999999</c:v>
                </c:pt>
                <c:pt idx="560">
                  <c:v>64.781599999999997</c:v>
                </c:pt>
                <c:pt idx="561">
                  <c:v>68.3917</c:v>
                </c:pt>
                <c:pt idx="562">
                  <c:v>70.132099999999994</c:v>
                </c:pt>
                <c:pt idx="563">
                  <c:v>62.372</c:v>
                </c:pt>
                <c:pt idx="564">
                  <c:v>63.992800000000003</c:v>
                </c:pt>
                <c:pt idx="565">
                  <c:v>69.897099999999995</c:v>
                </c:pt>
                <c:pt idx="566">
                  <c:v>63.954099999999997</c:v>
                </c:pt>
                <c:pt idx="567">
                  <c:v>56.2697</c:v>
                </c:pt>
                <c:pt idx="568">
                  <c:v>55.839799999999997</c:v>
                </c:pt>
                <c:pt idx="569">
                  <c:v>57.125700000000002</c:v>
                </c:pt>
                <c:pt idx="570">
                  <c:v>51.481299999999997</c:v>
                </c:pt>
                <c:pt idx="571">
                  <c:v>44.803199999999997</c:v>
                </c:pt>
                <c:pt idx="572">
                  <c:v>49.228000000000002</c:v>
                </c:pt>
                <c:pt idx="573">
                  <c:v>47.251300000000001</c:v>
                </c:pt>
                <c:pt idx="574">
                  <c:v>41.290999999999997</c:v>
                </c:pt>
                <c:pt idx="575">
                  <c:v>48.4422</c:v>
                </c:pt>
                <c:pt idx="576">
                  <c:v>39.776200000000003</c:v>
                </c:pt>
                <c:pt idx="577">
                  <c:v>44.917999999999999</c:v>
                </c:pt>
                <c:pt idx="578">
                  <c:v>43.898400000000002</c:v>
                </c:pt>
                <c:pt idx="579">
                  <c:v>40.732700000000001</c:v>
                </c:pt>
                <c:pt idx="580">
                  <c:v>35.484299999999998</c:v>
                </c:pt>
                <c:pt idx="581">
                  <c:v>38.048699999999997</c:v>
                </c:pt>
                <c:pt idx="582">
                  <c:v>37.988799999999998</c:v>
                </c:pt>
                <c:pt idx="583">
                  <c:v>33.628399999999999</c:v>
                </c:pt>
                <c:pt idx="584">
                  <c:v>35.670999999999999</c:v>
                </c:pt>
                <c:pt idx="585">
                  <c:v>33.673200000000001</c:v>
                </c:pt>
                <c:pt idx="586">
                  <c:v>35.282800000000002</c:v>
                </c:pt>
                <c:pt idx="587">
                  <c:v>38.566000000000003</c:v>
                </c:pt>
                <c:pt idx="588">
                  <c:v>41.982799999999997</c:v>
                </c:pt>
                <c:pt idx="589">
                  <c:v>41.213900000000002</c:v>
                </c:pt>
                <c:pt idx="590">
                  <c:v>40.185099999999998</c:v>
                </c:pt>
                <c:pt idx="591">
                  <c:v>38.346400000000003</c:v>
                </c:pt>
                <c:pt idx="592">
                  <c:v>38.183900000000001</c:v>
                </c:pt>
                <c:pt idx="593">
                  <c:v>36.093200000000003</c:v>
                </c:pt>
                <c:pt idx="594">
                  <c:v>36.847200000000001</c:v>
                </c:pt>
                <c:pt idx="595">
                  <c:v>34.729300000000002</c:v>
                </c:pt>
                <c:pt idx="596">
                  <c:v>37.279499999999999</c:v>
                </c:pt>
                <c:pt idx="597">
                  <c:v>36.848300000000002</c:v>
                </c:pt>
                <c:pt idx="598">
                  <c:v>40.367199999999997</c:v>
                </c:pt>
                <c:pt idx="599">
                  <c:v>41.606699999999996</c:v>
                </c:pt>
                <c:pt idx="600">
                  <c:v>44.255699999999997</c:v>
                </c:pt>
                <c:pt idx="601">
                  <c:v>45.16</c:v>
                </c:pt>
                <c:pt idx="602">
                  <c:v>42.777900000000002</c:v>
                </c:pt>
                <c:pt idx="603">
                  <c:v>41.250799999999998</c:v>
                </c:pt>
                <c:pt idx="604">
                  <c:v>40.636000000000003</c:v>
                </c:pt>
                <c:pt idx="605">
                  <c:v>39.983699999999999</c:v>
                </c:pt>
                <c:pt idx="606">
                  <c:v>36.877499999999998</c:v>
                </c:pt>
                <c:pt idx="607">
                  <c:v>38.860900000000001</c:v>
                </c:pt>
                <c:pt idx="608">
                  <c:v>40.217500000000001</c:v>
                </c:pt>
                <c:pt idx="609">
                  <c:v>41.234400000000001</c:v>
                </c:pt>
                <c:pt idx="610">
                  <c:v>36.4116</c:v>
                </c:pt>
                <c:pt idx="611">
                  <c:v>34.051299999999998</c:v>
                </c:pt>
                <c:pt idx="612">
                  <c:v>36.463000000000001</c:v>
                </c:pt>
                <c:pt idx="613">
                  <c:v>37.8063</c:v>
                </c:pt>
                <c:pt idx="614">
                  <c:v>33.951700000000002</c:v>
                </c:pt>
                <c:pt idx="615">
                  <c:v>36.6417</c:v>
                </c:pt>
                <c:pt idx="616">
                  <c:v>35.375</c:v>
                </c:pt>
                <c:pt idx="617">
                  <c:v>40.9011</c:v>
                </c:pt>
                <c:pt idx="618">
                  <c:v>42.014000000000003</c:v>
                </c:pt>
                <c:pt idx="619">
                  <c:v>40.005600000000001</c:v>
                </c:pt>
                <c:pt idx="620">
                  <c:v>39.4009</c:v>
                </c:pt>
                <c:pt idx="621">
                  <c:v>41.891800000000003</c:v>
                </c:pt>
                <c:pt idx="622">
                  <c:v>44.3489</c:v>
                </c:pt>
                <c:pt idx="623">
                  <c:v>48.005200000000002</c:v>
                </c:pt>
                <c:pt idx="624">
                  <c:v>45.623800000000003</c:v>
                </c:pt>
                <c:pt idx="625">
                  <c:v>44.535299999999999</c:v>
                </c:pt>
                <c:pt idx="626">
                  <c:v>44.957299999999996</c:v>
                </c:pt>
                <c:pt idx="627">
                  <c:v>54.157600000000002</c:v>
                </c:pt>
                <c:pt idx="628">
                  <c:v>51.520400000000002</c:v>
                </c:pt>
                <c:pt idx="629">
                  <c:v>50.2286</c:v>
                </c:pt>
                <c:pt idx="630">
                  <c:v>58.097299999999997</c:v>
                </c:pt>
                <c:pt idx="631">
                  <c:v>59.388399999999997</c:v>
                </c:pt>
                <c:pt idx="632">
                  <c:v>65.465100000000007</c:v>
                </c:pt>
                <c:pt idx="633">
                  <c:v>69.290599999999998</c:v>
                </c:pt>
                <c:pt idx="634">
                  <c:v>72.050299999999993</c:v>
                </c:pt>
                <c:pt idx="635">
                  <c:v>71.767099999999999</c:v>
                </c:pt>
                <c:pt idx="636">
                  <c:v>68.844999999999999</c:v>
                </c:pt>
                <c:pt idx="637">
                  <c:v>70.264200000000002</c:v>
                </c:pt>
                <c:pt idx="638">
                  <c:v>75.965900000000005</c:v>
                </c:pt>
                <c:pt idx="639">
                  <c:v>75.892399999999995</c:v>
                </c:pt>
                <c:pt idx="640">
                  <c:v>75.522999999999996</c:v>
                </c:pt>
                <c:pt idx="641">
                  <c:v>74.19</c:v>
                </c:pt>
                <c:pt idx="642">
                  <c:v>75.644099999999995</c:v>
                </c:pt>
                <c:pt idx="643">
                  <c:v>81.485500000000002</c:v>
                </c:pt>
                <c:pt idx="644">
                  <c:v>83.132999999999996</c:v>
                </c:pt>
                <c:pt idx="645">
                  <c:v>80.628799999999998</c:v>
                </c:pt>
                <c:pt idx="646">
                  <c:v>90.856899999999996</c:v>
                </c:pt>
                <c:pt idx="647">
                  <c:v>82.303600000000003</c:v>
                </c:pt>
                <c:pt idx="648">
                  <c:v>80.7196</c:v>
                </c:pt>
                <c:pt idx="649">
                  <c:v>79.121799999999993</c:v>
                </c:pt>
                <c:pt idx="650">
                  <c:v>80.088099999999997</c:v>
                </c:pt>
                <c:pt idx="651">
                  <c:v>78.758099999999999</c:v>
                </c:pt>
                <c:pt idx="652">
                  <c:v>84.126800000000003</c:v>
                </c:pt>
                <c:pt idx="653">
                  <c:v>85.902699999999996</c:v>
                </c:pt>
                <c:pt idx="654">
                  <c:v>74.665000000000006</c:v>
                </c:pt>
                <c:pt idx="655">
                  <c:v>69.125699999999995</c:v>
                </c:pt>
                <c:pt idx="656">
                  <c:v>70.528700000000001</c:v>
                </c:pt>
                <c:pt idx="657">
                  <c:v>72.42</c:v>
                </c:pt>
                <c:pt idx="658">
                  <c:v>71.199100000000001</c:v>
                </c:pt>
                <c:pt idx="659">
                  <c:v>70.698700000000002</c:v>
                </c:pt>
                <c:pt idx="660">
                  <c:v>72.339200000000005</c:v>
                </c:pt>
                <c:pt idx="661">
                  <c:v>74.472499999999997</c:v>
                </c:pt>
                <c:pt idx="662">
                  <c:v>73.608599999999996</c:v>
                </c:pt>
                <c:pt idx="663">
                  <c:v>72.131900000000002</c:v>
                </c:pt>
                <c:pt idx="664">
                  <c:v>67.274100000000004</c:v>
                </c:pt>
                <c:pt idx="665">
                  <c:v>66.6357</c:v>
                </c:pt>
                <c:pt idx="666">
                  <c:v>62.8001</c:v>
                </c:pt>
                <c:pt idx="667">
                  <c:v>67.286799999999999</c:v>
                </c:pt>
                <c:pt idx="668">
                  <c:v>68.219899999999996</c:v>
                </c:pt>
                <c:pt idx="669">
                  <c:v>63.991999999999997</c:v>
                </c:pt>
                <c:pt idx="670">
                  <c:v>62.414000000000001</c:v>
                </c:pt>
                <c:pt idx="671">
                  <c:v>63.372599999999998</c:v>
                </c:pt>
                <c:pt idx="672">
                  <c:v>56.931899999999999</c:v>
                </c:pt>
                <c:pt idx="673">
                  <c:v>54.470799999999997</c:v>
                </c:pt>
                <c:pt idx="674">
                  <c:v>53.318600000000004</c:v>
                </c:pt>
                <c:pt idx="675">
                  <c:v>57.564</c:v>
                </c:pt>
                <c:pt idx="676">
                  <c:v>62.173699999999997</c:v>
                </c:pt>
                <c:pt idx="677">
                  <c:v>60.3065</c:v>
                </c:pt>
                <c:pt idx="678">
                  <c:v>65.160899999999998</c:v>
                </c:pt>
                <c:pt idx="679">
                  <c:v>66.239000000000004</c:v>
                </c:pt>
                <c:pt idx="680">
                  <c:v>64.581299999999999</c:v>
                </c:pt>
                <c:pt idx="681">
                  <c:v>59.167000000000002</c:v>
                </c:pt>
                <c:pt idx="682">
                  <c:v>57.810499999999998</c:v>
                </c:pt>
                <c:pt idx="683">
                  <c:v>58.4313</c:v>
                </c:pt>
                <c:pt idx="684">
                  <c:v>53.7712</c:v>
                </c:pt>
                <c:pt idx="685">
                  <c:v>53.778799999999997</c:v>
                </c:pt>
                <c:pt idx="686">
                  <c:v>59.054699999999997</c:v>
                </c:pt>
                <c:pt idx="687">
                  <c:v>59.124600000000001</c:v>
                </c:pt>
                <c:pt idx="688">
                  <c:v>57.627000000000002</c:v>
                </c:pt>
                <c:pt idx="689">
                  <c:v>56.544499999999999</c:v>
                </c:pt>
                <c:pt idx="690">
                  <c:v>60.738799999999998</c:v>
                </c:pt>
                <c:pt idx="691">
                  <c:v>61.121099999999998</c:v>
                </c:pt>
                <c:pt idx="692">
                  <c:v>60.035400000000003</c:v>
                </c:pt>
                <c:pt idx="693">
                  <c:v>57.9253</c:v>
                </c:pt>
                <c:pt idx="694">
                  <c:v>54.703600000000002</c:v>
                </c:pt>
                <c:pt idx="695">
                  <c:v>49.893500000000003</c:v>
                </c:pt>
                <c:pt idx="696">
                  <c:v>61.293100000000003</c:v>
                </c:pt>
                <c:pt idx="697">
                  <c:v>62.937600000000003</c:v>
                </c:pt>
                <c:pt idx="698">
                  <c:v>67.375900000000001</c:v>
                </c:pt>
                <c:pt idx="699">
                  <c:v>69.747100000000003</c:v>
                </c:pt>
                <c:pt idx="700">
                  <c:v>69.943200000000004</c:v>
                </c:pt>
                <c:pt idx="701">
                  <c:v>68.873800000000003</c:v>
                </c:pt>
                <c:pt idx="702">
                  <c:v>62.896000000000001</c:v>
                </c:pt>
                <c:pt idx="703">
                  <c:v>57.386699999999998</c:v>
                </c:pt>
                <c:pt idx="704">
                  <c:v>47.844900000000003</c:v>
                </c:pt>
                <c:pt idx="705">
                  <c:v>52.316899999999997</c:v>
                </c:pt>
                <c:pt idx="706">
                  <c:v>45.975900000000003</c:v>
                </c:pt>
                <c:pt idx="707">
                  <c:v>45.801200000000001</c:v>
                </c:pt>
                <c:pt idx="708">
                  <c:v>48.495399999999997</c:v>
                </c:pt>
                <c:pt idx="709">
                  <c:v>46.601900000000001</c:v>
                </c:pt>
                <c:pt idx="710">
                  <c:v>46.365000000000002</c:v>
                </c:pt>
                <c:pt idx="711">
                  <c:v>48.359900000000003</c:v>
                </c:pt>
                <c:pt idx="712">
                  <c:v>40.807499999999997</c:v>
                </c:pt>
                <c:pt idx="713">
                  <c:v>39.753399999999999</c:v>
                </c:pt>
                <c:pt idx="714">
                  <c:v>36.671799999999998</c:v>
                </c:pt>
                <c:pt idx="715">
                  <c:v>29.484200000000001</c:v>
                </c:pt>
                <c:pt idx="716">
                  <c:v>31.536999999999999</c:v>
                </c:pt>
                <c:pt idx="717">
                  <c:v>28.797999999999998</c:v>
                </c:pt>
                <c:pt idx="718">
                  <c:v>29.7654</c:v>
                </c:pt>
                <c:pt idx="719">
                  <c:v>29.4101</c:v>
                </c:pt>
                <c:pt idx="720">
                  <c:v>32.351900000000001</c:v>
                </c:pt>
                <c:pt idx="721">
                  <c:v>32.6038</c:v>
                </c:pt>
                <c:pt idx="722">
                  <c:v>35.406199999999998</c:v>
                </c:pt>
                <c:pt idx="723">
                  <c:v>37.408700000000003</c:v>
                </c:pt>
                <c:pt idx="724">
                  <c:v>38.616399999999999</c:v>
                </c:pt>
                <c:pt idx="725">
                  <c:v>37.994500000000002</c:v>
                </c:pt>
                <c:pt idx="726">
                  <c:v>40.153199999999998</c:v>
                </c:pt>
                <c:pt idx="727">
                  <c:v>39.847200000000001</c:v>
                </c:pt>
                <c:pt idx="728">
                  <c:v>40.370399999999997</c:v>
                </c:pt>
                <c:pt idx="729">
                  <c:v>35.424700000000001</c:v>
                </c:pt>
                <c:pt idx="730">
                  <c:v>35.516399999999997</c:v>
                </c:pt>
                <c:pt idx="731">
                  <c:v>34.159599999999998</c:v>
                </c:pt>
                <c:pt idx="732">
                  <c:v>30.29</c:v>
                </c:pt>
                <c:pt idx="733">
                  <c:v>31.411999999999999</c:v>
                </c:pt>
                <c:pt idx="734">
                  <c:v>29.606999999999999</c:v>
                </c:pt>
                <c:pt idx="735">
                  <c:v>26.785599999999999</c:v>
                </c:pt>
                <c:pt idx="736">
                  <c:v>28.634399999999999</c:v>
                </c:pt>
                <c:pt idx="737">
                  <c:v>27.380400000000002</c:v>
                </c:pt>
                <c:pt idx="738">
                  <c:v>27.006599999999999</c:v>
                </c:pt>
                <c:pt idx="739">
                  <c:v>29.304099999999998</c:v>
                </c:pt>
                <c:pt idx="740">
                  <c:v>28.0488</c:v>
                </c:pt>
                <c:pt idx="741">
                  <c:v>27.8157</c:v>
                </c:pt>
                <c:pt idx="742">
                  <c:v>25.112500000000001</c:v>
                </c:pt>
                <c:pt idx="743">
                  <c:v>26.921700000000001</c:v>
                </c:pt>
                <c:pt idx="744">
                  <c:v>31.0017</c:v>
                </c:pt>
                <c:pt idx="745">
                  <c:v>32.065300000000001</c:v>
                </c:pt>
                <c:pt idx="746">
                  <c:v>29.575500000000002</c:v>
                </c:pt>
                <c:pt idx="747">
                  <c:v>28.4664</c:v>
                </c:pt>
                <c:pt idx="748">
                  <c:v>28.6005</c:v>
                </c:pt>
                <c:pt idx="749">
                  <c:v>30.645900000000001</c:v>
                </c:pt>
                <c:pt idx="750">
                  <c:v>35.4024</c:v>
                </c:pt>
                <c:pt idx="751">
                  <c:v>38.697899999999997</c:v>
                </c:pt>
                <c:pt idx="752">
                  <c:v>33.444400000000002</c:v>
                </c:pt>
                <c:pt idx="753">
                  <c:v>36.827500000000001</c:v>
                </c:pt>
                <c:pt idx="754">
                  <c:v>35.007199999999997</c:v>
                </c:pt>
                <c:pt idx="755">
                  <c:v>28.470199999999998</c:v>
                </c:pt>
                <c:pt idx="756">
                  <c:v>25.0654</c:v>
                </c:pt>
                <c:pt idx="757">
                  <c:v>19.968800000000002</c:v>
                </c:pt>
                <c:pt idx="758">
                  <c:v>22.582000000000001</c:v>
                </c:pt>
                <c:pt idx="759">
                  <c:v>18.9451</c:v>
                </c:pt>
                <c:pt idx="760">
                  <c:v>22.050899999999999</c:v>
                </c:pt>
                <c:pt idx="761">
                  <c:v>19.6754</c:v>
                </c:pt>
                <c:pt idx="762">
                  <c:v>18.145600000000002</c:v>
                </c:pt>
                <c:pt idx="763">
                  <c:v>18.7363</c:v>
                </c:pt>
                <c:pt idx="764">
                  <c:v>17.895199999999999</c:v>
                </c:pt>
                <c:pt idx="765">
                  <c:v>20.978400000000001</c:v>
                </c:pt>
                <c:pt idx="766">
                  <c:v>19.07</c:v>
                </c:pt>
                <c:pt idx="767">
                  <c:v>16.622</c:v>
                </c:pt>
                <c:pt idx="768">
                  <c:v>16.237300000000001</c:v>
                </c:pt>
                <c:pt idx="769">
                  <c:v>15.735900000000001</c:v>
                </c:pt>
                <c:pt idx="770">
                  <c:v>18.566700000000001</c:v>
                </c:pt>
                <c:pt idx="771">
                  <c:v>20.673500000000001</c:v>
                </c:pt>
                <c:pt idx="772">
                  <c:v>18.0913</c:v>
                </c:pt>
                <c:pt idx="773">
                  <c:v>18.9802</c:v>
                </c:pt>
                <c:pt idx="774">
                  <c:v>23.277000000000001</c:v>
                </c:pt>
                <c:pt idx="775">
                  <c:v>22.787800000000001</c:v>
                </c:pt>
                <c:pt idx="776">
                  <c:v>20.805499999999999</c:v>
                </c:pt>
                <c:pt idx="777">
                  <c:v>17.055800000000001</c:v>
                </c:pt>
                <c:pt idx="778">
                  <c:v>15.5145</c:v>
                </c:pt>
                <c:pt idx="779">
                  <c:v>13.37</c:v>
                </c:pt>
                <c:pt idx="780">
                  <c:v>16.401800000000001</c:v>
                </c:pt>
                <c:pt idx="781">
                  <c:v>16.3993</c:v>
                </c:pt>
                <c:pt idx="782">
                  <c:v>14.449</c:v>
                </c:pt>
                <c:pt idx="783">
                  <c:v>15.7475</c:v>
                </c:pt>
                <c:pt idx="784">
                  <c:v>14.2819</c:v>
                </c:pt>
                <c:pt idx="785">
                  <c:v>15.616300000000001</c:v>
                </c:pt>
                <c:pt idx="786">
                  <c:v>11.1708</c:v>
                </c:pt>
                <c:pt idx="787">
                  <c:v>12.139799999999999</c:v>
                </c:pt>
                <c:pt idx="788">
                  <c:v>10.878299999999999</c:v>
                </c:pt>
                <c:pt idx="789">
                  <c:v>9.3388000000000009</c:v>
                </c:pt>
                <c:pt idx="790">
                  <c:v>12.5486</c:v>
                </c:pt>
                <c:pt idx="791">
                  <c:v>8.4079999999999995</c:v>
                </c:pt>
                <c:pt idx="792">
                  <c:v>6.6167999999999996</c:v>
                </c:pt>
                <c:pt idx="793">
                  <c:v>4.4215999999999998</c:v>
                </c:pt>
                <c:pt idx="794">
                  <c:v>7.8407999999999998</c:v>
                </c:pt>
                <c:pt idx="795">
                  <c:v>8.9512</c:v>
                </c:pt>
                <c:pt idx="796">
                  <c:v>9.3901000000000003</c:v>
                </c:pt>
                <c:pt idx="797">
                  <c:v>9.9922000000000004</c:v>
                </c:pt>
                <c:pt idx="798">
                  <c:v>13.8719</c:v>
                </c:pt>
                <c:pt idx="799">
                  <c:v>11.824999999999999</c:v>
                </c:pt>
                <c:pt idx="800">
                  <c:v>14.577</c:v>
                </c:pt>
                <c:pt idx="801">
                  <c:v>12.3573</c:v>
                </c:pt>
                <c:pt idx="802">
                  <c:v>11.365</c:v>
                </c:pt>
                <c:pt idx="803">
                  <c:v>14.0182</c:v>
                </c:pt>
                <c:pt idx="804">
                  <c:v>14.481400000000001</c:v>
                </c:pt>
                <c:pt idx="805">
                  <c:v>10.6911</c:v>
                </c:pt>
                <c:pt idx="806">
                  <c:v>11.7157</c:v>
                </c:pt>
                <c:pt idx="807">
                  <c:v>13.2278</c:v>
                </c:pt>
                <c:pt idx="808">
                  <c:v>14.115</c:v>
                </c:pt>
                <c:pt idx="809">
                  <c:v>14.213100000000001</c:v>
                </c:pt>
                <c:pt idx="810">
                  <c:v>14.1882</c:v>
                </c:pt>
                <c:pt idx="811">
                  <c:v>16.401199999999999</c:v>
                </c:pt>
                <c:pt idx="812">
                  <c:v>17.48</c:v>
                </c:pt>
                <c:pt idx="813">
                  <c:v>18.885100000000001</c:v>
                </c:pt>
                <c:pt idx="814">
                  <c:v>18.757899999999999</c:v>
                </c:pt>
                <c:pt idx="815">
                  <c:v>18.4909</c:v>
                </c:pt>
                <c:pt idx="816">
                  <c:v>19.621400000000001</c:v>
                </c:pt>
                <c:pt idx="817">
                  <c:v>22.889399999999998</c:v>
                </c:pt>
                <c:pt idx="818">
                  <c:v>25.6617</c:v>
                </c:pt>
                <c:pt idx="819">
                  <c:v>24.436599999999999</c:v>
                </c:pt>
                <c:pt idx="820">
                  <c:v>27.4803</c:v>
                </c:pt>
                <c:pt idx="821">
                  <c:v>30.339400000000001</c:v>
                </c:pt>
                <c:pt idx="822">
                  <c:v>26.611499999999999</c:v>
                </c:pt>
                <c:pt idx="823">
                  <c:v>26.169899999999998</c:v>
                </c:pt>
                <c:pt idx="824">
                  <c:v>23.585799999999999</c:v>
                </c:pt>
                <c:pt idx="825">
                  <c:v>23.2257</c:v>
                </c:pt>
                <c:pt idx="826">
                  <c:v>18.1051</c:v>
                </c:pt>
                <c:pt idx="827">
                  <c:v>17.812799999999999</c:v>
                </c:pt>
                <c:pt idx="828">
                  <c:v>19.0535</c:v>
                </c:pt>
                <c:pt idx="829">
                  <c:v>19.322800000000001</c:v>
                </c:pt>
                <c:pt idx="830">
                  <c:v>12.6654</c:v>
                </c:pt>
                <c:pt idx="831">
                  <c:v>12.6974</c:v>
                </c:pt>
                <c:pt idx="832">
                  <c:v>13.3528</c:v>
                </c:pt>
                <c:pt idx="833">
                  <c:v>13.816700000000001</c:v>
                </c:pt>
                <c:pt idx="834">
                  <c:v>14.636100000000001</c:v>
                </c:pt>
                <c:pt idx="835">
                  <c:v>17.246600000000001</c:v>
                </c:pt>
                <c:pt idx="836">
                  <c:v>17.807600000000001</c:v>
                </c:pt>
                <c:pt idx="837">
                  <c:v>14.6637</c:v>
                </c:pt>
                <c:pt idx="838">
                  <c:v>14.282999999999999</c:v>
                </c:pt>
                <c:pt idx="839">
                  <c:v>12.8184</c:v>
                </c:pt>
                <c:pt idx="840">
                  <c:v>14.366</c:v>
                </c:pt>
                <c:pt idx="841">
                  <c:v>14.62</c:v>
                </c:pt>
                <c:pt idx="842">
                  <c:v>12.962899999999999</c:v>
                </c:pt>
                <c:pt idx="843">
                  <c:v>14.2567</c:v>
                </c:pt>
                <c:pt idx="844">
                  <c:v>16.878</c:v>
                </c:pt>
                <c:pt idx="845">
                  <c:v>14.9907</c:v>
                </c:pt>
                <c:pt idx="846">
                  <c:v>10.843400000000001</c:v>
                </c:pt>
                <c:pt idx="847">
                  <c:v>10.0952</c:v>
                </c:pt>
                <c:pt idx="848">
                  <c:v>10.8719</c:v>
                </c:pt>
                <c:pt idx="849">
                  <c:v>11.049799999999999</c:v>
                </c:pt>
                <c:pt idx="850">
                  <c:v>8.6443999999999992</c:v>
                </c:pt>
                <c:pt idx="851">
                  <c:v>7.6681999999999997</c:v>
                </c:pt>
                <c:pt idx="852">
                  <c:v>8.2940000000000005</c:v>
                </c:pt>
                <c:pt idx="853">
                  <c:v>6.7643000000000004</c:v>
                </c:pt>
                <c:pt idx="854">
                  <c:v>5.7568000000000001</c:v>
                </c:pt>
                <c:pt idx="855">
                  <c:v>9.6463000000000001</c:v>
                </c:pt>
                <c:pt idx="856">
                  <c:v>10.6348</c:v>
                </c:pt>
                <c:pt idx="857">
                  <c:v>10.094099999999999</c:v>
                </c:pt>
                <c:pt idx="858">
                  <c:v>9.2890999999999995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7E9-47D1-9992-CDAF44806AA3}"/>
            </c:ext>
          </c:extLst>
        </c:ser>
        <c:ser>
          <c:idx val="1"/>
          <c:order val="1"/>
          <c:tx>
            <c:v>当前值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9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3D8-4F38-91EC-332C124DEB9D}"/>
              </c:ext>
            </c:extLst>
          </c:dPt>
          <c:xVal>
            <c:numRef>
              <c:f>个券数据!$P$1:$P$859</c:f>
              <c:numCache>
                <c:formatCode>0.00</c:formatCode>
                <c:ptCount val="859"/>
                <c:pt idx="0">
                  <c:v>25.230599999999999</c:v>
                </c:pt>
                <c:pt idx="1">
                  <c:v>21.081900000000001</c:v>
                </c:pt>
                <c:pt idx="2">
                  <c:v>20.4802</c:v>
                </c:pt>
                <c:pt idx="3">
                  <c:v>19.758700000000001</c:v>
                </c:pt>
                <c:pt idx="4">
                  <c:v>20.3766</c:v>
                </c:pt>
                <c:pt idx="5">
                  <c:v>20.489599999999999</c:v>
                </c:pt>
                <c:pt idx="6">
                  <c:v>22.035499999999999</c:v>
                </c:pt>
                <c:pt idx="7">
                  <c:v>22.704000000000001</c:v>
                </c:pt>
                <c:pt idx="8">
                  <c:v>20.2849</c:v>
                </c:pt>
                <c:pt idx="9">
                  <c:v>19.333100000000002</c:v>
                </c:pt>
                <c:pt idx="10">
                  <c:v>20.907299999999999</c:v>
                </c:pt>
                <c:pt idx="11">
                  <c:v>19.532900000000001</c:v>
                </c:pt>
                <c:pt idx="12">
                  <c:v>19.3309</c:v>
                </c:pt>
                <c:pt idx="13">
                  <c:v>16.145099999999999</c:v>
                </c:pt>
                <c:pt idx="14">
                  <c:v>15.600199999999999</c:v>
                </c:pt>
                <c:pt idx="15">
                  <c:v>14.933</c:v>
                </c:pt>
                <c:pt idx="16">
                  <c:v>15.305300000000001</c:v>
                </c:pt>
                <c:pt idx="17">
                  <c:v>17.242000000000001</c:v>
                </c:pt>
                <c:pt idx="18">
                  <c:v>17.449300000000001</c:v>
                </c:pt>
                <c:pt idx="19">
                  <c:v>13.2989</c:v>
                </c:pt>
                <c:pt idx="20">
                  <c:v>12.9024</c:v>
                </c:pt>
                <c:pt idx="21">
                  <c:v>13.433999999999999</c:v>
                </c:pt>
                <c:pt idx="22">
                  <c:v>12.9093</c:v>
                </c:pt>
                <c:pt idx="23">
                  <c:v>11.9549</c:v>
                </c:pt>
                <c:pt idx="24">
                  <c:v>11.1533</c:v>
                </c:pt>
                <c:pt idx="25">
                  <c:v>11.2913</c:v>
                </c:pt>
                <c:pt idx="26">
                  <c:v>11.1327</c:v>
                </c:pt>
                <c:pt idx="27">
                  <c:v>11.090999999999999</c:v>
                </c:pt>
                <c:pt idx="28">
                  <c:v>10.786899999999999</c:v>
                </c:pt>
                <c:pt idx="29">
                  <c:v>11.2934</c:v>
                </c:pt>
                <c:pt idx="30">
                  <c:v>10.2423</c:v>
                </c:pt>
                <c:pt idx="31">
                  <c:v>11.3169</c:v>
                </c:pt>
                <c:pt idx="32">
                  <c:v>9.9713999999999992</c:v>
                </c:pt>
                <c:pt idx="33">
                  <c:v>10.9693</c:v>
                </c:pt>
                <c:pt idx="34">
                  <c:v>11.2392</c:v>
                </c:pt>
                <c:pt idx="35">
                  <c:v>11.7394</c:v>
                </c:pt>
                <c:pt idx="36">
                  <c:v>11.8354</c:v>
                </c:pt>
                <c:pt idx="37">
                  <c:v>11.7196</c:v>
                </c:pt>
                <c:pt idx="38">
                  <c:v>12.3386</c:v>
                </c:pt>
                <c:pt idx="39">
                  <c:v>12.133100000000001</c:v>
                </c:pt>
                <c:pt idx="40">
                  <c:v>11.9564</c:v>
                </c:pt>
                <c:pt idx="41">
                  <c:v>13.519500000000001</c:v>
                </c:pt>
                <c:pt idx="42">
                  <c:v>12.979200000000001</c:v>
                </c:pt>
                <c:pt idx="43">
                  <c:v>12.458500000000001</c:v>
                </c:pt>
                <c:pt idx="44">
                  <c:v>12.8009</c:v>
                </c:pt>
                <c:pt idx="45">
                  <c:v>10.74</c:v>
                </c:pt>
                <c:pt idx="46">
                  <c:v>10.7669</c:v>
                </c:pt>
                <c:pt idx="47">
                  <c:v>11.2409</c:v>
                </c:pt>
                <c:pt idx="48">
                  <c:v>11.4237</c:v>
                </c:pt>
                <c:pt idx="49">
                  <c:v>11.621600000000001</c:v>
                </c:pt>
                <c:pt idx="50">
                  <c:v>12.835699999999999</c:v>
                </c:pt>
                <c:pt idx="51">
                  <c:v>12.6448</c:v>
                </c:pt>
                <c:pt idx="52">
                  <c:v>13.562799999999999</c:v>
                </c:pt>
                <c:pt idx="53">
                  <c:v>13.2935</c:v>
                </c:pt>
                <c:pt idx="54">
                  <c:v>13.168699999999999</c:v>
                </c:pt>
                <c:pt idx="55">
                  <c:v>12.8278</c:v>
                </c:pt>
                <c:pt idx="56">
                  <c:v>12.3805</c:v>
                </c:pt>
                <c:pt idx="57">
                  <c:v>12.061400000000001</c:v>
                </c:pt>
                <c:pt idx="58">
                  <c:v>12.559200000000001</c:v>
                </c:pt>
                <c:pt idx="59">
                  <c:v>11.8263</c:v>
                </c:pt>
                <c:pt idx="60">
                  <c:v>12.014200000000001</c:v>
                </c:pt>
                <c:pt idx="61">
                  <c:v>12.2897</c:v>
                </c:pt>
                <c:pt idx="62">
                  <c:v>14.696099999999999</c:v>
                </c:pt>
                <c:pt idx="63">
                  <c:v>15.485799999999999</c:v>
                </c:pt>
                <c:pt idx="64">
                  <c:v>15.6114</c:v>
                </c:pt>
                <c:pt idx="65">
                  <c:v>16.215599999999998</c:v>
                </c:pt>
                <c:pt idx="66">
                  <c:v>16.172999999999998</c:v>
                </c:pt>
                <c:pt idx="67">
                  <c:v>15.290699999999999</c:v>
                </c:pt>
                <c:pt idx="68">
                  <c:v>15.1107</c:v>
                </c:pt>
                <c:pt idx="69">
                  <c:v>13.233499999999999</c:v>
                </c:pt>
                <c:pt idx="70">
                  <c:v>13.3789</c:v>
                </c:pt>
                <c:pt idx="71">
                  <c:v>13.326499999999999</c:v>
                </c:pt>
                <c:pt idx="72">
                  <c:v>13.611000000000001</c:v>
                </c:pt>
                <c:pt idx="73">
                  <c:v>13.3949</c:v>
                </c:pt>
                <c:pt idx="74">
                  <c:v>12.3827</c:v>
                </c:pt>
                <c:pt idx="75">
                  <c:v>12.0868</c:v>
                </c:pt>
                <c:pt idx="76">
                  <c:v>11.4488</c:v>
                </c:pt>
                <c:pt idx="77">
                  <c:v>11.3447</c:v>
                </c:pt>
                <c:pt idx="78">
                  <c:v>12.176500000000001</c:v>
                </c:pt>
                <c:pt idx="79">
                  <c:v>12.1905</c:v>
                </c:pt>
                <c:pt idx="80">
                  <c:v>11.827500000000001</c:v>
                </c:pt>
                <c:pt idx="81">
                  <c:v>11.898899999999999</c:v>
                </c:pt>
                <c:pt idx="82">
                  <c:v>11.251200000000001</c:v>
                </c:pt>
                <c:pt idx="83">
                  <c:v>11.0861</c:v>
                </c:pt>
                <c:pt idx="84">
                  <c:v>11.92</c:v>
                </c:pt>
                <c:pt idx="85">
                  <c:v>12.105499999999999</c:v>
                </c:pt>
                <c:pt idx="86">
                  <c:v>11.6233</c:v>
                </c:pt>
                <c:pt idx="87">
                  <c:v>12.4086</c:v>
                </c:pt>
                <c:pt idx="88">
                  <c:v>13.206099999999999</c:v>
                </c:pt>
                <c:pt idx="89">
                  <c:v>14.6805</c:v>
                </c:pt>
                <c:pt idx="90">
                  <c:v>15.39</c:v>
                </c:pt>
                <c:pt idx="91">
                  <c:v>14.9765</c:v>
                </c:pt>
                <c:pt idx="92">
                  <c:v>14.981999999999999</c:v>
                </c:pt>
                <c:pt idx="93">
                  <c:v>16.252400000000002</c:v>
                </c:pt>
                <c:pt idx="94">
                  <c:v>16.730399999999999</c:v>
                </c:pt>
                <c:pt idx="95">
                  <c:v>16.8721</c:v>
                </c:pt>
                <c:pt idx="96">
                  <c:v>18.688500000000001</c:v>
                </c:pt>
                <c:pt idx="97">
                  <c:v>19.543700000000001</c:v>
                </c:pt>
                <c:pt idx="98">
                  <c:v>18.384</c:v>
                </c:pt>
                <c:pt idx="99">
                  <c:v>15.916</c:v>
                </c:pt>
                <c:pt idx="100">
                  <c:v>15.552099999999999</c:v>
                </c:pt>
                <c:pt idx="101">
                  <c:v>15.1244</c:v>
                </c:pt>
                <c:pt idx="102">
                  <c:v>15.48</c:v>
                </c:pt>
                <c:pt idx="103">
                  <c:v>14.999000000000001</c:v>
                </c:pt>
                <c:pt idx="104">
                  <c:v>16.360399999999998</c:v>
                </c:pt>
                <c:pt idx="105">
                  <c:v>16.320699999999999</c:v>
                </c:pt>
                <c:pt idx="106">
                  <c:v>16.623699999999999</c:v>
                </c:pt>
                <c:pt idx="107">
                  <c:v>16.512</c:v>
                </c:pt>
                <c:pt idx="108">
                  <c:v>16.3353</c:v>
                </c:pt>
                <c:pt idx="109">
                  <c:v>17.4528</c:v>
                </c:pt>
                <c:pt idx="110">
                  <c:v>16.845300000000002</c:v>
                </c:pt>
                <c:pt idx="111">
                  <c:v>15.7255</c:v>
                </c:pt>
                <c:pt idx="112">
                  <c:v>15.2919</c:v>
                </c:pt>
                <c:pt idx="113">
                  <c:v>14.853</c:v>
                </c:pt>
                <c:pt idx="114">
                  <c:v>13.104100000000001</c:v>
                </c:pt>
                <c:pt idx="115">
                  <c:v>13.7254</c:v>
                </c:pt>
                <c:pt idx="116">
                  <c:v>15.3035</c:v>
                </c:pt>
                <c:pt idx="117">
                  <c:v>15.565200000000001</c:v>
                </c:pt>
                <c:pt idx="118">
                  <c:v>15.1869</c:v>
                </c:pt>
                <c:pt idx="119">
                  <c:v>16.020900000000001</c:v>
                </c:pt>
                <c:pt idx="120">
                  <c:v>14.7661</c:v>
                </c:pt>
                <c:pt idx="121">
                  <c:v>13.7163</c:v>
                </c:pt>
                <c:pt idx="122">
                  <c:v>13.4712</c:v>
                </c:pt>
                <c:pt idx="123">
                  <c:v>17.529299999999999</c:v>
                </c:pt>
                <c:pt idx="124">
                  <c:v>18.345500000000001</c:v>
                </c:pt>
                <c:pt idx="125">
                  <c:v>18.472200000000001</c:v>
                </c:pt>
                <c:pt idx="126">
                  <c:v>17.6861</c:v>
                </c:pt>
                <c:pt idx="127">
                  <c:v>17.791899999999998</c:v>
                </c:pt>
                <c:pt idx="128">
                  <c:v>20.1021</c:v>
                </c:pt>
                <c:pt idx="129">
                  <c:v>19.403600000000001</c:v>
                </c:pt>
                <c:pt idx="130">
                  <c:v>22.055299999999999</c:v>
                </c:pt>
                <c:pt idx="131">
                  <c:v>20.410399999999999</c:v>
                </c:pt>
                <c:pt idx="132">
                  <c:v>21.325099999999999</c:v>
                </c:pt>
                <c:pt idx="133">
                  <c:v>19.8325</c:v>
                </c:pt>
                <c:pt idx="134">
                  <c:v>19.618200000000002</c:v>
                </c:pt>
                <c:pt idx="135">
                  <c:v>20.8706</c:v>
                </c:pt>
                <c:pt idx="136">
                  <c:v>23.518999999999998</c:v>
                </c:pt>
                <c:pt idx="137">
                  <c:v>23.741700000000002</c:v>
                </c:pt>
                <c:pt idx="138">
                  <c:v>26.678699999999999</c:v>
                </c:pt>
                <c:pt idx="139">
                  <c:v>25.361499999999999</c:v>
                </c:pt>
                <c:pt idx="140">
                  <c:v>29.464300000000001</c:v>
                </c:pt>
                <c:pt idx="141">
                  <c:v>23.680099999999999</c:v>
                </c:pt>
                <c:pt idx="142">
                  <c:v>16.171199999999999</c:v>
                </c:pt>
                <c:pt idx="143">
                  <c:v>13.568899999999999</c:v>
                </c:pt>
                <c:pt idx="144">
                  <c:v>16.852699999999999</c:v>
                </c:pt>
                <c:pt idx="145">
                  <c:v>16.439599999999999</c:v>
                </c:pt>
                <c:pt idx="146">
                  <c:v>16.289300000000001</c:v>
                </c:pt>
                <c:pt idx="147">
                  <c:v>17.687899999999999</c:v>
                </c:pt>
                <c:pt idx="148">
                  <c:v>17.244900000000001</c:v>
                </c:pt>
                <c:pt idx="149">
                  <c:v>20.5044</c:v>
                </c:pt>
                <c:pt idx="150">
                  <c:v>25.5291</c:v>
                </c:pt>
                <c:pt idx="151">
                  <c:v>25.803100000000001</c:v>
                </c:pt>
                <c:pt idx="152">
                  <c:v>28.068200000000001</c:v>
                </c:pt>
                <c:pt idx="153">
                  <c:v>30.060700000000001</c:v>
                </c:pt>
                <c:pt idx="154">
                  <c:v>26.894600000000001</c:v>
                </c:pt>
                <c:pt idx="155">
                  <c:v>27.039899999999999</c:v>
                </c:pt>
                <c:pt idx="156">
                  <c:v>26.7</c:v>
                </c:pt>
                <c:pt idx="157">
                  <c:v>25.979600000000001</c:v>
                </c:pt>
                <c:pt idx="158">
                  <c:v>25.202000000000002</c:v>
                </c:pt>
                <c:pt idx="159">
                  <c:v>24.718499999999999</c:v>
                </c:pt>
                <c:pt idx="160">
                  <c:v>24.292200000000001</c:v>
                </c:pt>
                <c:pt idx="161">
                  <c:v>25.468499999999999</c:v>
                </c:pt>
                <c:pt idx="162">
                  <c:v>21.207100000000001</c:v>
                </c:pt>
                <c:pt idx="163">
                  <c:v>25.008299999999998</c:v>
                </c:pt>
                <c:pt idx="164">
                  <c:v>23.3262</c:v>
                </c:pt>
                <c:pt idx="165">
                  <c:v>18.831299999999999</c:v>
                </c:pt>
                <c:pt idx="166">
                  <c:v>20.6844</c:v>
                </c:pt>
                <c:pt idx="167">
                  <c:v>18.010400000000001</c:v>
                </c:pt>
                <c:pt idx="168">
                  <c:v>15.025700000000001</c:v>
                </c:pt>
                <c:pt idx="169">
                  <c:v>13.6287</c:v>
                </c:pt>
                <c:pt idx="170">
                  <c:v>9.8463999999999992</c:v>
                </c:pt>
                <c:pt idx="171">
                  <c:v>9.7543000000000006</c:v>
                </c:pt>
                <c:pt idx="172">
                  <c:v>11.5631</c:v>
                </c:pt>
                <c:pt idx="173">
                  <c:v>12.721500000000001</c:v>
                </c:pt>
                <c:pt idx="174">
                  <c:v>13.192500000000001</c:v>
                </c:pt>
                <c:pt idx="175">
                  <c:v>11.797499999999999</c:v>
                </c:pt>
                <c:pt idx="176">
                  <c:v>14.1564</c:v>
                </c:pt>
                <c:pt idx="177">
                  <c:v>14.9133</c:v>
                </c:pt>
                <c:pt idx="178">
                  <c:v>14.4046</c:v>
                </c:pt>
                <c:pt idx="179">
                  <c:v>11.3544</c:v>
                </c:pt>
                <c:pt idx="180">
                  <c:v>12.309100000000001</c:v>
                </c:pt>
                <c:pt idx="181">
                  <c:v>12.4564</c:v>
                </c:pt>
                <c:pt idx="182">
                  <c:v>13.244199999999999</c:v>
                </c:pt>
                <c:pt idx="183">
                  <c:v>14.0909</c:v>
                </c:pt>
                <c:pt idx="184">
                  <c:v>14.5053</c:v>
                </c:pt>
                <c:pt idx="185">
                  <c:v>15.6538</c:v>
                </c:pt>
                <c:pt idx="186">
                  <c:v>16.401199999999999</c:v>
                </c:pt>
                <c:pt idx="187">
                  <c:v>16.805700000000002</c:v>
                </c:pt>
                <c:pt idx="188">
                  <c:v>17.844200000000001</c:v>
                </c:pt>
                <c:pt idx="189">
                  <c:v>18.026299999999999</c:v>
                </c:pt>
                <c:pt idx="190">
                  <c:v>17.7258</c:v>
                </c:pt>
                <c:pt idx="191">
                  <c:v>17.516300000000001</c:v>
                </c:pt>
                <c:pt idx="192">
                  <c:v>17.476199999999999</c:v>
                </c:pt>
                <c:pt idx="193">
                  <c:v>17.398199999999999</c:v>
                </c:pt>
                <c:pt idx="194">
                  <c:v>16.8748</c:v>
                </c:pt>
                <c:pt idx="195">
                  <c:v>17.52</c:v>
                </c:pt>
                <c:pt idx="196">
                  <c:v>17.629300000000001</c:v>
                </c:pt>
                <c:pt idx="197">
                  <c:v>17.6844</c:v>
                </c:pt>
                <c:pt idx="198">
                  <c:v>17.092099999999999</c:v>
                </c:pt>
                <c:pt idx="199">
                  <c:v>16.6374</c:v>
                </c:pt>
                <c:pt idx="200">
                  <c:v>17.511600000000001</c:v>
                </c:pt>
                <c:pt idx="201">
                  <c:v>19.009699999999999</c:v>
                </c:pt>
                <c:pt idx="202">
                  <c:v>19.055800000000001</c:v>
                </c:pt>
                <c:pt idx="203">
                  <c:v>18.3475</c:v>
                </c:pt>
                <c:pt idx="204">
                  <c:v>17.6874</c:v>
                </c:pt>
                <c:pt idx="205">
                  <c:v>19.4575</c:v>
                </c:pt>
                <c:pt idx="206">
                  <c:v>20.356000000000002</c:v>
                </c:pt>
                <c:pt idx="207">
                  <c:v>18.783999999999999</c:v>
                </c:pt>
                <c:pt idx="208">
                  <c:v>18.707599999999999</c:v>
                </c:pt>
                <c:pt idx="209">
                  <c:v>17.1203</c:v>
                </c:pt>
                <c:pt idx="210">
                  <c:v>17.027200000000001</c:v>
                </c:pt>
                <c:pt idx="211">
                  <c:v>16.439900000000002</c:v>
                </c:pt>
                <c:pt idx="212">
                  <c:v>15.6524</c:v>
                </c:pt>
                <c:pt idx="213">
                  <c:v>16.325500000000002</c:v>
                </c:pt>
                <c:pt idx="214">
                  <c:v>17.361899999999999</c:v>
                </c:pt>
                <c:pt idx="215">
                  <c:v>16.286999999999999</c:v>
                </c:pt>
                <c:pt idx="216">
                  <c:v>15.654500000000001</c:v>
                </c:pt>
                <c:pt idx="217">
                  <c:v>13.9648</c:v>
                </c:pt>
                <c:pt idx="218">
                  <c:v>14.4907</c:v>
                </c:pt>
                <c:pt idx="219">
                  <c:v>13.925000000000001</c:v>
                </c:pt>
                <c:pt idx="220">
                  <c:v>14.385300000000001</c:v>
                </c:pt>
                <c:pt idx="221">
                  <c:v>14.533200000000001</c:v>
                </c:pt>
                <c:pt idx="222">
                  <c:v>14.240399999999999</c:v>
                </c:pt>
                <c:pt idx="223">
                  <c:v>14.4315</c:v>
                </c:pt>
                <c:pt idx="224">
                  <c:v>14.4986</c:v>
                </c:pt>
                <c:pt idx="225">
                  <c:v>14.4094</c:v>
                </c:pt>
                <c:pt idx="226">
                  <c:v>14.219900000000001</c:v>
                </c:pt>
                <c:pt idx="227">
                  <c:v>13.924200000000001</c:v>
                </c:pt>
                <c:pt idx="228">
                  <c:v>13.3924</c:v>
                </c:pt>
                <c:pt idx="229">
                  <c:v>12.847200000000001</c:v>
                </c:pt>
                <c:pt idx="230">
                  <c:v>11.5007</c:v>
                </c:pt>
                <c:pt idx="231">
                  <c:v>12.632400000000001</c:v>
                </c:pt>
                <c:pt idx="232">
                  <c:v>12.8348</c:v>
                </c:pt>
                <c:pt idx="233">
                  <c:v>13.941700000000001</c:v>
                </c:pt>
                <c:pt idx="234">
                  <c:v>14.3558</c:v>
                </c:pt>
                <c:pt idx="235">
                  <c:v>14.652100000000001</c:v>
                </c:pt>
                <c:pt idx="236">
                  <c:v>14.187900000000001</c:v>
                </c:pt>
                <c:pt idx="237">
                  <c:v>13.9808</c:v>
                </c:pt>
                <c:pt idx="238">
                  <c:v>14.493499999999999</c:v>
                </c:pt>
                <c:pt idx="239">
                  <c:v>14.5664</c:v>
                </c:pt>
                <c:pt idx="240">
                  <c:v>14.949299999999999</c:v>
                </c:pt>
                <c:pt idx="241">
                  <c:v>14.2797</c:v>
                </c:pt>
                <c:pt idx="242">
                  <c:v>14.7622</c:v>
                </c:pt>
                <c:pt idx="243">
                  <c:v>15.045999999999999</c:v>
                </c:pt>
                <c:pt idx="244">
                  <c:v>16.397099999999998</c:v>
                </c:pt>
                <c:pt idx="245">
                  <c:v>16.173300000000001</c:v>
                </c:pt>
                <c:pt idx="246">
                  <c:v>17.7851</c:v>
                </c:pt>
                <c:pt idx="247">
                  <c:v>17.051500000000001</c:v>
                </c:pt>
                <c:pt idx="248">
                  <c:v>17.9724</c:v>
                </c:pt>
                <c:pt idx="249">
                  <c:v>18.4343</c:v>
                </c:pt>
                <c:pt idx="250">
                  <c:v>18.432400000000001</c:v>
                </c:pt>
                <c:pt idx="251">
                  <c:v>18.569299999999998</c:v>
                </c:pt>
                <c:pt idx="252">
                  <c:v>17.546600000000002</c:v>
                </c:pt>
                <c:pt idx="253">
                  <c:v>16.9709</c:v>
                </c:pt>
                <c:pt idx="254">
                  <c:v>17.066500000000001</c:v>
                </c:pt>
                <c:pt idx="255">
                  <c:v>17.453700000000001</c:v>
                </c:pt>
                <c:pt idx="256">
                  <c:v>16.777100000000001</c:v>
                </c:pt>
                <c:pt idx="257">
                  <c:v>16.6478</c:v>
                </c:pt>
                <c:pt idx="258">
                  <c:v>17.693999999999999</c:v>
                </c:pt>
                <c:pt idx="259">
                  <c:v>19.760200000000001</c:v>
                </c:pt>
                <c:pt idx="260">
                  <c:v>19.783000000000001</c:v>
                </c:pt>
                <c:pt idx="261">
                  <c:v>19.475899999999999</c:v>
                </c:pt>
                <c:pt idx="262">
                  <c:v>19.097799999999999</c:v>
                </c:pt>
                <c:pt idx="263">
                  <c:v>18.800899999999999</c:v>
                </c:pt>
                <c:pt idx="264">
                  <c:v>18.934699999999999</c:v>
                </c:pt>
                <c:pt idx="265">
                  <c:v>19.996500000000001</c:v>
                </c:pt>
                <c:pt idx="266">
                  <c:v>20.818100000000001</c:v>
                </c:pt>
                <c:pt idx="267">
                  <c:v>22.2288</c:v>
                </c:pt>
                <c:pt idx="268">
                  <c:v>21.866700000000002</c:v>
                </c:pt>
                <c:pt idx="269">
                  <c:v>21.605499999999999</c:v>
                </c:pt>
                <c:pt idx="270">
                  <c:v>21.081299999999999</c:v>
                </c:pt>
                <c:pt idx="271">
                  <c:v>21.460599999999999</c:v>
                </c:pt>
                <c:pt idx="272">
                  <c:v>17.7302</c:v>
                </c:pt>
                <c:pt idx="273">
                  <c:v>19.220199999999998</c:v>
                </c:pt>
                <c:pt idx="274">
                  <c:v>17.7699</c:v>
                </c:pt>
                <c:pt idx="275">
                  <c:v>17.980899999999998</c:v>
                </c:pt>
                <c:pt idx="276">
                  <c:v>18.4756</c:v>
                </c:pt>
                <c:pt idx="277">
                  <c:v>21.621400000000001</c:v>
                </c:pt>
                <c:pt idx="278">
                  <c:v>20.6417</c:v>
                </c:pt>
                <c:pt idx="279">
                  <c:v>18.814</c:v>
                </c:pt>
                <c:pt idx="280">
                  <c:v>19.9603</c:v>
                </c:pt>
                <c:pt idx="281">
                  <c:v>20.055099999999999</c:v>
                </c:pt>
                <c:pt idx="282">
                  <c:v>18.712900000000001</c:v>
                </c:pt>
                <c:pt idx="283">
                  <c:v>20.923400000000001</c:v>
                </c:pt>
                <c:pt idx="284">
                  <c:v>18.7468</c:v>
                </c:pt>
                <c:pt idx="285">
                  <c:v>18.561</c:v>
                </c:pt>
                <c:pt idx="286">
                  <c:v>18.431899999999999</c:v>
                </c:pt>
                <c:pt idx="287">
                  <c:v>20.391200000000001</c:v>
                </c:pt>
                <c:pt idx="288">
                  <c:v>18.4025</c:v>
                </c:pt>
                <c:pt idx="289">
                  <c:v>18.408300000000001</c:v>
                </c:pt>
                <c:pt idx="290">
                  <c:v>16.765000000000001</c:v>
                </c:pt>
                <c:pt idx="291">
                  <c:v>15.2499</c:v>
                </c:pt>
                <c:pt idx="292">
                  <c:v>15.1203</c:v>
                </c:pt>
                <c:pt idx="293">
                  <c:v>13.1972</c:v>
                </c:pt>
                <c:pt idx="294">
                  <c:v>12.7277</c:v>
                </c:pt>
                <c:pt idx="295">
                  <c:v>11.579800000000001</c:v>
                </c:pt>
                <c:pt idx="296">
                  <c:v>12.5723</c:v>
                </c:pt>
                <c:pt idx="297">
                  <c:v>11.9848</c:v>
                </c:pt>
                <c:pt idx="298">
                  <c:v>12.6503</c:v>
                </c:pt>
                <c:pt idx="299">
                  <c:v>13.0047</c:v>
                </c:pt>
                <c:pt idx="300">
                  <c:v>12.182499999999999</c:v>
                </c:pt>
                <c:pt idx="301">
                  <c:v>11.399900000000001</c:v>
                </c:pt>
                <c:pt idx="302">
                  <c:v>11.382</c:v>
                </c:pt>
                <c:pt idx="303">
                  <c:v>10.704599999999999</c:v>
                </c:pt>
                <c:pt idx="304">
                  <c:v>10.6745</c:v>
                </c:pt>
                <c:pt idx="305">
                  <c:v>10.707800000000001</c:v>
                </c:pt>
                <c:pt idx="306">
                  <c:v>10.806100000000001</c:v>
                </c:pt>
                <c:pt idx="307">
                  <c:v>11.129099999999999</c:v>
                </c:pt>
                <c:pt idx="308">
                  <c:v>11.6073</c:v>
                </c:pt>
                <c:pt idx="309">
                  <c:v>11.2364</c:v>
                </c:pt>
                <c:pt idx="310">
                  <c:v>12.3612</c:v>
                </c:pt>
                <c:pt idx="311">
                  <c:v>12.6563</c:v>
                </c:pt>
                <c:pt idx="312">
                  <c:v>12.870699999999999</c:v>
                </c:pt>
                <c:pt idx="313">
                  <c:v>11.199</c:v>
                </c:pt>
                <c:pt idx="314">
                  <c:v>10.0031</c:v>
                </c:pt>
                <c:pt idx="315">
                  <c:v>9.3376999999999999</c:v>
                </c:pt>
                <c:pt idx="316">
                  <c:v>8.6659000000000006</c:v>
                </c:pt>
                <c:pt idx="317">
                  <c:v>9.0635999999999992</c:v>
                </c:pt>
                <c:pt idx="318">
                  <c:v>8.2510999999999992</c:v>
                </c:pt>
                <c:pt idx="319">
                  <c:v>9.7860999999999994</c:v>
                </c:pt>
                <c:pt idx="320">
                  <c:v>11.5802</c:v>
                </c:pt>
                <c:pt idx="321">
                  <c:v>11.718</c:v>
                </c:pt>
                <c:pt idx="322">
                  <c:v>12.3523</c:v>
                </c:pt>
                <c:pt idx="323">
                  <c:v>12.287800000000001</c:v>
                </c:pt>
                <c:pt idx="324">
                  <c:v>12.7911</c:v>
                </c:pt>
                <c:pt idx="325">
                  <c:v>12.805899999999999</c:v>
                </c:pt>
                <c:pt idx="326">
                  <c:v>13.4307</c:v>
                </c:pt>
                <c:pt idx="327">
                  <c:v>13.0037</c:v>
                </c:pt>
                <c:pt idx="328">
                  <c:v>13.335699999999999</c:v>
                </c:pt>
                <c:pt idx="329">
                  <c:v>12.7942</c:v>
                </c:pt>
                <c:pt idx="330">
                  <c:v>12.8156</c:v>
                </c:pt>
                <c:pt idx="331">
                  <c:v>12.866400000000001</c:v>
                </c:pt>
                <c:pt idx="332">
                  <c:v>12.9712</c:v>
                </c:pt>
                <c:pt idx="333">
                  <c:v>11.8482</c:v>
                </c:pt>
                <c:pt idx="334">
                  <c:v>11.6442</c:v>
                </c:pt>
                <c:pt idx="335">
                  <c:v>11.761100000000001</c:v>
                </c:pt>
                <c:pt idx="336">
                  <c:v>11.850199999999999</c:v>
                </c:pt>
                <c:pt idx="337">
                  <c:v>12.162100000000001</c:v>
                </c:pt>
                <c:pt idx="338">
                  <c:v>12.649100000000001</c:v>
                </c:pt>
                <c:pt idx="339">
                  <c:v>12.6218</c:v>
                </c:pt>
                <c:pt idx="340">
                  <c:v>13.9964</c:v>
                </c:pt>
                <c:pt idx="341">
                  <c:v>13.329599999999999</c:v>
                </c:pt>
                <c:pt idx="342">
                  <c:v>12.2294</c:v>
                </c:pt>
                <c:pt idx="343">
                  <c:v>11.842700000000001</c:v>
                </c:pt>
                <c:pt idx="344">
                  <c:v>12.508900000000001</c:v>
                </c:pt>
                <c:pt idx="345">
                  <c:v>12.1539</c:v>
                </c:pt>
                <c:pt idx="346">
                  <c:v>13.0242</c:v>
                </c:pt>
                <c:pt idx="347">
                  <c:v>14.241300000000001</c:v>
                </c:pt>
                <c:pt idx="348">
                  <c:v>13.2941</c:v>
                </c:pt>
                <c:pt idx="349">
                  <c:v>13.690799999999999</c:v>
                </c:pt>
                <c:pt idx="350">
                  <c:v>13.242800000000001</c:v>
                </c:pt>
                <c:pt idx="351">
                  <c:v>13.1104</c:v>
                </c:pt>
                <c:pt idx="352">
                  <c:v>13.0076</c:v>
                </c:pt>
                <c:pt idx="353">
                  <c:v>13.049799999999999</c:v>
                </c:pt>
                <c:pt idx="354">
                  <c:v>13.004200000000001</c:v>
                </c:pt>
                <c:pt idx="355">
                  <c:v>13.262499999999999</c:v>
                </c:pt>
                <c:pt idx="356">
                  <c:v>13.176399999999999</c:v>
                </c:pt>
                <c:pt idx="357">
                  <c:v>13.420999999999999</c:v>
                </c:pt>
                <c:pt idx="358">
                  <c:v>11.834</c:v>
                </c:pt>
                <c:pt idx="359">
                  <c:v>11.511699999999999</c:v>
                </c:pt>
                <c:pt idx="360">
                  <c:v>13.7898</c:v>
                </c:pt>
                <c:pt idx="361">
                  <c:v>12.342700000000001</c:v>
                </c:pt>
                <c:pt idx="362">
                  <c:v>14.353300000000001</c:v>
                </c:pt>
                <c:pt idx="363">
                  <c:v>14.1538</c:v>
                </c:pt>
                <c:pt idx="364">
                  <c:v>17.564299999999999</c:v>
                </c:pt>
                <c:pt idx="365">
                  <c:v>19.770199999999999</c:v>
                </c:pt>
                <c:pt idx="366">
                  <c:v>19.258900000000001</c:v>
                </c:pt>
                <c:pt idx="367">
                  <c:v>19.9344</c:v>
                </c:pt>
                <c:pt idx="368">
                  <c:v>19.650400000000001</c:v>
                </c:pt>
                <c:pt idx="369">
                  <c:v>19.796099999999999</c:v>
                </c:pt>
                <c:pt idx="370">
                  <c:v>23.911100000000001</c:v>
                </c:pt>
                <c:pt idx="371">
                  <c:v>22.815999999999999</c:v>
                </c:pt>
                <c:pt idx="372">
                  <c:v>21.825399999999998</c:v>
                </c:pt>
                <c:pt idx="373">
                  <c:v>24.8673</c:v>
                </c:pt>
                <c:pt idx="374">
                  <c:v>23.109200000000001</c:v>
                </c:pt>
                <c:pt idx="375">
                  <c:v>24.155100000000001</c:v>
                </c:pt>
                <c:pt idx="376">
                  <c:v>27.376300000000001</c:v>
                </c:pt>
                <c:pt idx="377">
                  <c:v>30.599499999999999</c:v>
                </c:pt>
                <c:pt idx="378">
                  <c:v>31.951000000000001</c:v>
                </c:pt>
                <c:pt idx="379">
                  <c:v>31.592600000000001</c:v>
                </c:pt>
                <c:pt idx="380">
                  <c:v>29.370799999999999</c:v>
                </c:pt>
                <c:pt idx="381">
                  <c:v>27.1218</c:v>
                </c:pt>
                <c:pt idx="382">
                  <c:v>26.398700000000002</c:v>
                </c:pt>
                <c:pt idx="383">
                  <c:v>27.086500000000001</c:v>
                </c:pt>
                <c:pt idx="384">
                  <c:v>27.638200000000001</c:v>
                </c:pt>
                <c:pt idx="385">
                  <c:v>26.139099999999999</c:v>
                </c:pt>
                <c:pt idx="386">
                  <c:v>27.187999999999999</c:v>
                </c:pt>
                <c:pt idx="387">
                  <c:v>27.629799999999999</c:v>
                </c:pt>
                <c:pt idx="388">
                  <c:v>25.552800000000001</c:v>
                </c:pt>
                <c:pt idx="389">
                  <c:v>23.808599999999998</c:v>
                </c:pt>
                <c:pt idx="390">
                  <c:v>24.952000000000002</c:v>
                </c:pt>
                <c:pt idx="391">
                  <c:v>25.5944</c:v>
                </c:pt>
                <c:pt idx="392">
                  <c:v>25.077500000000001</c:v>
                </c:pt>
                <c:pt idx="393">
                  <c:v>22.927900000000001</c:v>
                </c:pt>
                <c:pt idx="394">
                  <c:v>20.330300000000001</c:v>
                </c:pt>
                <c:pt idx="395">
                  <c:v>26.627800000000001</c:v>
                </c:pt>
                <c:pt idx="396">
                  <c:v>30.009899999999998</c:v>
                </c:pt>
                <c:pt idx="397">
                  <c:v>27.989100000000001</c:v>
                </c:pt>
                <c:pt idx="398">
                  <c:v>28.342700000000001</c:v>
                </c:pt>
                <c:pt idx="399">
                  <c:v>25.374199999999998</c:v>
                </c:pt>
                <c:pt idx="400">
                  <c:v>25.214300000000001</c:v>
                </c:pt>
                <c:pt idx="401">
                  <c:v>25.359100000000002</c:v>
                </c:pt>
                <c:pt idx="402">
                  <c:v>26.982700000000001</c:v>
                </c:pt>
                <c:pt idx="403">
                  <c:v>26.822199999999999</c:v>
                </c:pt>
                <c:pt idx="404">
                  <c:v>26.716000000000001</c:v>
                </c:pt>
                <c:pt idx="405">
                  <c:v>27.093499999999999</c:v>
                </c:pt>
                <c:pt idx="406">
                  <c:v>27.4712</c:v>
                </c:pt>
                <c:pt idx="407">
                  <c:v>28.734000000000002</c:v>
                </c:pt>
                <c:pt idx="408">
                  <c:v>28.090399999999999</c:v>
                </c:pt>
                <c:pt idx="409">
                  <c:v>25.922999999999998</c:v>
                </c:pt>
                <c:pt idx="410">
                  <c:v>25.939399999999999</c:v>
                </c:pt>
                <c:pt idx="411">
                  <c:v>25.462299999999999</c:v>
                </c:pt>
                <c:pt idx="412">
                  <c:v>23.9693</c:v>
                </c:pt>
                <c:pt idx="413">
                  <c:v>23.910299999999999</c:v>
                </c:pt>
                <c:pt idx="414">
                  <c:v>24.191199999999998</c:v>
                </c:pt>
                <c:pt idx="415">
                  <c:v>24.309899999999999</c:v>
                </c:pt>
                <c:pt idx="416">
                  <c:v>23.4758</c:v>
                </c:pt>
                <c:pt idx="417">
                  <c:v>21.805599999999998</c:v>
                </c:pt>
                <c:pt idx="418">
                  <c:v>22.2803</c:v>
                </c:pt>
                <c:pt idx="419">
                  <c:v>22.242000000000001</c:v>
                </c:pt>
                <c:pt idx="420">
                  <c:v>22.648800000000001</c:v>
                </c:pt>
                <c:pt idx="421">
                  <c:v>20.971699999999998</c:v>
                </c:pt>
                <c:pt idx="422">
                  <c:v>20.811699999999998</c:v>
                </c:pt>
                <c:pt idx="423">
                  <c:v>20.157399999999999</c:v>
                </c:pt>
                <c:pt idx="424">
                  <c:v>19.355399999999999</c:v>
                </c:pt>
                <c:pt idx="425">
                  <c:v>18.813600000000001</c:v>
                </c:pt>
                <c:pt idx="426">
                  <c:v>19.056000000000001</c:v>
                </c:pt>
                <c:pt idx="427">
                  <c:v>18.173300000000001</c:v>
                </c:pt>
                <c:pt idx="428">
                  <c:v>18.7651</c:v>
                </c:pt>
                <c:pt idx="429">
                  <c:v>18.723400000000002</c:v>
                </c:pt>
                <c:pt idx="430">
                  <c:v>18.558299999999999</c:v>
                </c:pt>
                <c:pt idx="431">
                  <c:v>17.4724</c:v>
                </c:pt>
                <c:pt idx="432">
                  <c:v>17.250900000000001</c:v>
                </c:pt>
                <c:pt idx="433">
                  <c:v>18.017399999999999</c:v>
                </c:pt>
                <c:pt idx="434">
                  <c:v>18.084</c:v>
                </c:pt>
                <c:pt idx="435">
                  <c:v>17.7333</c:v>
                </c:pt>
                <c:pt idx="436">
                  <c:v>18.296500000000002</c:v>
                </c:pt>
                <c:pt idx="437">
                  <c:v>17.4834</c:v>
                </c:pt>
                <c:pt idx="438">
                  <c:v>17.3825</c:v>
                </c:pt>
                <c:pt idx="439">
                  <c:v>17.458300000000001</c:v>
                </c:pt>
                <c:pt idx="440">
                  <c:v>17.824999999999999</c:v>
                </c:pt>
                <c:pt idx="441">
                  <c:v>18.275200000000002</c:v>
                </c:pt>
                <c:pt idx="442">
                  <c:v>18.136900000000001</c:v>
                </c:pt>
                <c:pt idx="443">
                  <c:v>17.265499999999999</c:v>
                </c:pt>
                <c:pt idx="444">
                  <c:v>19.104600000000001</c:v>
                </c:pt>
                <c:pt idx="445">
                  <c:v>18.587800000000001</c:v>
                </c:pt>
                <c:pt idx="446">
                  <c:v>19.121500000000001</c:v>
                </c:pt>
                <c:pt idx="447">
                  <c:v>19.729700000000001</c:v>
                </c:pt>
                <c:pt idx="448">
                  <c:v>20.5349</c:v>
                </c:pt>
                <c:pt idx="449">
                  <c:v>20.296500000000002</c:v>
                </c:pt>
                <c:pt idx="450">
                  <c:v>20.316299999999998</c:v>
                </c:pt>
                <c:pt idx="451">
                  <c:v>20.4818</c:v>
                </c:pt>
                <c:pt idx="452">
                  <c:v>20.530799999999999</c:v>
                </c:pt>
                <c:pt idx="453">
                  <c:v>20.676300000000001</c:v>
                </c:pt>
                <c:pt idx="454">
                  <c:v>18.8277</c:v>
                </c:pt>
                <c:pt idx="455">
                  <c:v>19.226900000000001</c:v>
                </c:pt>
                <c:pt idx="456">
                  <c:v>20.367100000000001</c:v>
                </c:pt>
                <c:pt idx="457">
                  <c:v>21.248799999999999</c:v>
                </c:pt>
                <c:pt idx="458">
                  <c:v>20.0959</c:v>
                </c:pt>
                <c:pt idx="459">
                  <c:v>19.0029</c:v>
                </c:pt>
                <c:pt idx="460">
                  <c:v>18.323499999999999</c:v>
                </c:pt>
                <c:pt idx="461">
                  <c:v>18.587900000000001</c:v>
                </c:pt>
                <c:pt idx="462">
                  <c:v>18.595300000000002</c:v>
                </c:pt>
                <c:pt idx="463">
                  <c:v>19.717500000000001</c:v>
                </c:pt>
                <c:pt idx="464">
                  <c:v>19.915600000000001</c:v>
                </c:pt>
                <c:pt idx="465">
                  <c:v>19.209</c:v>
                </c:pt>
                <c:pt idx="466">
                  <c:v>19.751899999999999</c:v>
                </c:pt>
                <c:pt idx="467">
                  <c:v>20.29</c:v>
                </c:pt>
                <c:pt idx="468">
                  <c:v>18.1568</c:v>
                </c:pt>
                <c:pt idx="469">
                  <c:v>17.858499999999999</c:v>
                </c:pt>
                <c:pt idx="470">
                  <c:v>16.025700000000001</c:v>
                </c:pt>
                <c:pt idx="471">
                  <c:v>17.452500000000001</c:v>
                </c:pt>
                <c:pt idx="472">
                  <c:v>16.932500000000001</c:v>
                </c:pt>
                <c:pt idx="473">
                  <c:v>17.078800000000001</c:v>
                </c:pt>
                <c:pt idx="474">
                  <c:v>15.566000000000001</c:v>
                </c:pt>
                <c:pt idx="475">
                  <c:v>17.8019</c:v>
                </c:pt>
                <c:pt idx="476">
                  <c:v>17.693000000000001</c:v>
                </c:pt>
                <c:pt idx="477">
                  <c:v>16.8582</c:v>
                </c:pt>
                <c:pt idx="478">
                  <c:v>16.810600000000001</c:v>
                </c:pt>
                <c:pt idx="479">
                  <c:v>16.6875</c:v>
                </c:pt>
                <c:pt idx="480">
                  <c:v>14.591699999999999</c:v>
                </c:pt>
                <c:pt idx="481">
                  <c:v>14.290699999999999</c:v>
                </c:pt>
                <c:pt idx="482">
                  <c:v>13.6203</c:v>
                </c:pt>
                <c:pt idx="483">
                  <c:v>13.0138</c:v>
                </c:pt>
                <c:pt idx="484">
                  <c:v>13.468500000000001</c:v>
                </c:pt>
                <c:pt idx="485">
                  <c:v>13.6035</c:v>
                </c:pt>
                <c:pt idx="486">
                  <c:v>14.5265</c:v>
                </c:pt>
                <c:pt idx="487">
                  <c:v>14.221</c:v>
                </c:pt>
                <c:pt idx="488">
                  <c:v>13.5008</c:v>
                </c:pt>
                <c:pt idx="489">
                  <c:v>12.264699999999999</c:v>
                </c:pt>
                <c:pt idx="490">
                  <c:v>12.4964</c:v>
                </c:pt>
                <c:pt idx="491">
                  <c:v>12.372299999999999</c:v>
                </c:pt>
                <c:pt idx="492">
                  <c:v>12.239800000000001</c:v>
                </c:pt>
                <c:pt idx="493">
                  <c:v>12.2128</c:v>
                </c:pt>
                <c:pt idx="494">
                  <c:v>12.171200000000001</c:v>
                </c:pt>
                <c:pt idx="495">
                  <c:v>12.1739</c:v>
                </c:pt>
                <c:pt idx="496">
                  <c:v>11.4718</c:v>
                </c:pt>
                <c:pt idx="497">
                  <c:v>12.3276</c:v>
                </c:pt>
                <c:pt idx="498">
                  <c:v>11.4884</c:v>
                </c:pt>
                <c:pt idx="499">
                  <c:v>12.0259</c:v>
                </c:pt>
                <c:pt idx="500">
                  <c:v>12.0586</c:v>
                </c:pt>
                <c:pt idx="501">
                  <c:v>11.8803</c:v>
                </c:pt>
                <c:pt idx="502">
                  <c:v>9.5975000000000001</c:v>
                </c:pt>
                <c:pt idx="503">
                  <c:v>8.9633000000000003</c:v>
                </c:pt>
                <c:pt idx="504">
                  <c:v>9.0074000000000005</c:v>
                </c:pt>
                <c:pt idx="505">
                  <c:v>9.1677</c:v>
                </c:pt>
                <c:pt idx="506">
                  <c:v>9.1976999999999993</c:v>
                </c:pt>
                <c:pt idx="507">
                  <c:v>9.3271999999999995</c:v>
                </c:pt>
                <c:pt idx="508">
                  <c:v>9.1721000000000004</c:v>
                </c:pt>
                <c:pt idx="509">
                  <c:v>9.1018000000000008</c:v>
                </c:pt>
                <c:pt idx="510">
                  <c:v>8.2042999999999999</c:v>
                </c:pt>
                <c:pt idx="511">
                  <c:v>8.0230999999999995</c:v>
                </c:pt>
                <c:pt idx="512">
                  <c:v>7.8029999999999999</c:v>
                </c:pt>
                <c:pt idx="513">
                  <c:v>9.2744</c:v>
                </c:pt>
                <c:pt idx="514">
                  <c:v>12.238300000000001</c:v>
                </c:pt>
                <c:pt idx="515">
                  <c:v>12.724</c:v>
                </c:pt>
                <c:pt idx="516">
                  <c:v>11.026199999999999</c:v>
                </c:pt>
                <c:pt idx="517">
                  <c:v>11.150399999999999</c:v>
                </c:pt>
                <c:pt idx="518">
                  <c:v>10.546200000000001</c:v>
                </c:pt>
                <c:pt idx="519">
                  <c:v>9.4984000000000002</c:v>
                </c:pt>
                <c:pt idx="520">
                  <c:v>8.7167999999999992</c:v>
                </c:pt>
                <c:pt idx="521">
                  <c:v>8.6866000000000003</c:v>
                </c:pt>
                <c:pt idx="522">
                  <c:v>9.8547999999999991</c:v>
                </c:pt>
                <c:pt idx="523">
                  <c:v>10.610900000000001</c:v>
                </c:pt>
                <c:pt idx="524">
                  <c:v>12.905200000000001</c:v>
                </c:pt>
                <c:pt idx="525">
                  <c:v>13.3436</c:v>
                </c:pt>
                <c:pt idx="526">
                  <c:v>13.241099999999999</c:v>
                </c:pt>
                <c:pt idx="527">
                  <c:v>15.3872</c:v>
                </c:pt>
                <c:pt idx="528">
                  <c:v>15.027100000000001</c:v>
                </c:pt>
                <c:pt idx="529">
                  <c:v>14.707599999999999</c:v>
                </c:pt>
                <c:pt idx="530">
                  <c:v>15.291600000000001</c:v>
                </c:pt>
                <c:pt idx="531">
                  <c:v>15.59</c:v>
                </c:pt>
                <c:pt idx="532">
                  <c:v>15.9908</c:v>
                </c:pt>
                <c:pt idx="533">
                  <c:v>16.283200000000001</c:v>
                </c:pt>
                <c:pt idx="534">
                  <c:v>15.7463</c:v>
                </c:pt>
                <c:pt idx="535">
                  <c:v>15.804399999999999</c:v>
                </c:pt>
                <c:pt idx="536">
                  <c:v>16.545000000000002</c:v>
                </c:pt>
                <c:pt idx="537">
                  <c:v>15.7341</c:v>
                </c:pt>
                <c:pt idx="538">
                  <c:v>16.054200000000002</c:v>
                </c:pt>
                <c:pt idx="539">
                  <c:v>15.636200000000001</c:v>
                </c:pt>
                <c:pt idx="540">
                  <c:v>15.8241</c:v>
                </c:pt>
                <c:pt idx="541">
                  <c:v>15.083299999999999</c:v>
                </c:pt>
                <c:pt idx="542">
                  <c:v>15.8508</c:v>
                </c:pt>
                <c:pt idx="543">
                  <c:v>15.0892</c:v>
                </c:pt>
                <c:pt idx="544">
                  <c:v>14.253299999999999</c:v>
                </c:pt>
                <c:pt idx="545">
                  <c:v>13.404299999999999</c:v>
                </c:pt>
                <c:pt idx="546">
                  <c:v>13.4597</c:v>
                </c:pt>
                <c:pt idx="547">
                  <c:v>13.2744</c:v>
                </c:pt>
                <c:pt idx="548">
                  <c:v>14.0517</c:v>
                </c:pt>
                <c:pt idx="549">
                  <c:v>14.163500000000001</c:v>
                </c:pt>
                <c:pt idx="550">
                  <c:v>14.752599999999999</c:v>
                </c:pt>
                <c:pt idx="551">
                  <c:v>14.7197</c:v>
                </c:pt>
                <c:pt idx="552">
                  <c:v>14.2011</c:v>
                </c:pt>
                <c:pt idx="553">
                  <c:v>14.7827</c:v>
                </c:pt>
                <c:pt idx="554">
                  <c:v>14.9998</c:v>
                </c:pt>
                <c:pt idx="555">
                  <c:v>15.2546</c:v>
                </c:pt>
                <c:pt idx="556">
                  <c:v>16.021100000000001</c:v>
                </c:pt>
                <c:pt idx="557">
                  <c:v>16.202400000000001</c:v>
                </c:pt>
                <c:pt idx="558">
                  <c:v>16.902000000000001</c:v>
                </c:pt>
                <c:pt idx="559">
                  <c:v>16.819700000000001</c:v>
                </c:pt>
                <c:pt idx="560">
                  <c:v>17.669</c:v>
                </c:pt>
                <c:pt idx="561">
                  <c:v>17.4147</c:v>
                </c:pt>
                <c:pt idx="562">
                  <c:v>18.135000000000002</c:v>
                </c:pt>
                <c:pt idx="563">
                  <c:v>17.7377</c:v>
                </c:pt>
                <c:pt idx="564">
                  <c:v>17.052600000000002</c:v>
                </c:pt>
                <c:pt idx="565">
                  <c:v>16.825700000000001</c:v>
                </c:pt>
                <c:pt idx="566">
                  <c:v>16.956800000000001</c:v>
                </c:pt>
                <c:pt idx="567">
                  <c:v>17.348099999999999</c:v>
                </c:pt>
                <c:pt idx="568">
                  <c:v>17.306899999999999</c:v>
                </c:pt>
                <c:pt idx="569">
                  <c:v>17.373000000000001</c:v>
                </c:pt>
                <c:pt idx="570">
                  <c:v>17.996300000000002</c:v>
                </c:pt>
                <c:pt idx="571">
                  <c:v>18.629000000000001</c:v>
                </c:pt>
                <c:pt idx="572">
                  <c:v>17.516100000000002</c:v>
                </c:pt>
                <c:pt idx="573">
                  <c:v>18.379100000000001</c:v>
                </c:pt>
                <c:pt idx="574">
                  <c:v>16.992899999999999</c:v>
                </c:pt>
                <c:pt idx="575">
                  <c:v>16.054099999999998</c:v>
                </c:pt>
                <c:pt idx="576">
                  <c:v>18.654900000000001</c:v>
                </c:pt>
                <c:pt idx="577">
                  <c:v>18.456800000000001</c:v>
                </c:pt>
                <c:pt idx="578">
                  <c:v>18.0215</c:v>
                </c:pt>
                <c:pt idx="579">
                  <c:v>19.502500000000001</c:v>
                </c:pt>
                <c:pt idx="580">
                  <c:v>20.508600000000001</c:v>
                </c:pt>
                <c:pt idx="581">
                  <c:v>21.403700000000001</c:v>
                </c:pt>
                <c:pt idx="582">
                  <c:v>23.362100000000002</c:v>
                </c:pt>
                <c:pt idx="583">
                  <c:v>24.440300000000001</c:v>
                </c:pt>
                <c:pt idx="584">
                  <c:v>24.408200000000001</c:v>
                </c:pt>
                <c:pt idx="585">
                  <c:v>24.360099999999999</c:v>
                </c:pt>
                <c:pt idx="586">
                  <c:v>25.3996</c:v>
                </c:pt>
                <c:pt idx="587">
                  <c:v>24.173200000000001</c:v>
                </c:pt>
                <c:pt idx="588">
                  <c:v>24.5169</c:v>
                </c:pt>
                <c:pt idx="589">
                  <c:v>24.959099999999999</c:v>
                </c:pt>
                <c:pt idx="590">
                  <c:v>25.6554</c:v>
                </c:pt>
                <c:pt idx="591">
                  <c:v>27.138200000000001</c:v>
                </c:pt>
                <c:pt idx="592">
                  <c:v>26.6312</c:v>
                </c:pt>
                <c:pt idx="593">
                  <c:v>27.647500000000001</c:v>
                </c:pt>
                <c:pt idx="594">
                  <c:v>29.096699999999998</c:v>
                </c:pt>
                <c:pt idx="595">
                  <c:v>29.2286</c:v>
                </c:pt>
                <c:pt idx="596">
                  <c:v>26.8995</c:v>
                </c:pt>
                <c:pt idx="597">
                  <c:v>24.0975</c:v>
                </c:pt>
                <c:pt idx="598">
                  <c:v>22.201499999999999</c:v>
                </c:pt>
                <c:pt idx="599">
                  <c:v>22.7027</c:v>
                </c:pt>
                <c:pt idx="600">
                  <c:v>23.029699999999998</c:v>
                </c:pt>
                <c:pt idx="601">
                  <c:v>26.5426</c:v>
                </c:pt>
                <c:pt idx="602">
                  <c:v>28.664899999999999</c:v>
                </c:pt>
                <c:pt idx="603">
                  <c:v>29.292100000000001</c:v>
                </c:pt>
                <c:pt idx="604">
                  <c:v>28.6403</c:v>
                </c:pt>
                <c:pt idx="605">
                  <c:v>30.3644</c:v>
                </c:pt>
                <c:pt idx="606">
                  <c:v>28.2879</c:v>
                </c:pt>
                <c:pt idx="607">
                  <c:v>26.459199999999999</c:v>
                </c:pt>
                <c:pt idx="608">
                  <c:v>26.534800000000001</c:v>
                </c:pt>
                <c:pt idx="609">
                  <c:v>28.065200000000001</c:v>
                </c:pt>
                <c:pt idx="610">
                  <c:v>29.2514</c:v>
                </c:pt>
                <c:pt idx="611">
                  <c:v>28.540800000000001</c:v>
                </c:pt>
                <c:pt idx="612">
                  <c:v>25.049900000000001</c:v>
                </c:pt>
                <c:pt idx="613">
                  <c:v>26.4207</c:v>
                </c:pt>
                <c:pt idx="614">
                  <c:v>27.889299999999999</c:v>
                </c:pt>
                <c:pt idx="615">
                  <c:v>24.456299999999999</c:v>
                </c:pt>
                <c:pt idx="616">
                  <c:v>22.327500000000001</c:v>
                </c:pt>
                <c:pt idx="617">
                  <c:v>21.355699999999999</c:v>
                </c:pt>
                <c:pt idx="618">
                  <c:v>21.485399999999998</c:v>
                </c:pt>
                <c:pt idx="619">
                  <c:v>21.979600000000001</c:v>
                </c:pt>
                <c:pt idx="620">
                  <c:v>22.204499999999999</c:v>
                </c:pt>
                <c:pt idx="621">
                  <c:v>22.735900000000001</c:v>
                </c:pt>
                <c:pt idx="622">
                  <c:v>21.213999999999999</c:v>
                </c:pt>
                <c:pt idx="623">
                  <c:v>19.270499999999998</c:v>
                </c:pt>
                <c:pt idx="624">
                  <c:v>19.026700000000002</c:v>
                </c:pt>
                <c:pt idx="625">
                  <c:v>19.164999999999999</c:v>
                </c:pt>
                <c:pt idx="626">
                  <c:v>20.967700000000001</c:v>
                </c:pt>
                <c:pt idx="627">
                  <c:v>20.269300000000001</c:v>
                </c:pt>
                <c:pt idx="628">
                  <c:v>20.555800000000001</c:v>
                </c:pt>
                <c:pt idx="629">
                  <c:v>20.492599999999999</c:v>
                </c:pt>
                <c:pt idx="630">
                  <c:v>19.267099999999999</c:v>
                </c:pt>
                <c:pt idx="631">
                  <c:v>18.9145</c:v>
                </c:pt>
                <c:pt idx="632">
                  <c:v>17.8125</c:v>
                </c:pt>
                <c:pt idx="633">
                  <c:v>14.6021</c:v>
                </c:pt>
                <c:pt idx="634">
                  <c:v>13.8032</c:v>
                </c:pt>
                <c:pt idx="635">
                  <c:v>13.581799999999999</c:v>
                </c:pt>
                <c:pt idx="636">
                  <c:v>14.2523</c:v>
                </c:pt>
                <c:pt idx="637">
                  <c:v>14.456899999999999</c:v>
                </c:pt>
                <c:pt idx="638">
                  <c:v>13.7469</c:v>
                </c:pt>
                <c:pt idx="639">
                  <c:v>13.407500000000001</c:v>
                </c:pt>
                <c:pt idx="640">
                  <c:v>13.4169</c:v>
                </c:pt>
                <c:pt idx="641">
                  <c:v>13.4358</c:v>
                </c:pt>
                <c:pt idx="642">
                  <c:v>12.7636</c:v>
                </c:pt>
                <c:pt idx="643">
                  <c:v>12.4489</c:v>
                </c:pt>
                <c:pt idx="644">
                  <c:v>12.7996</c:v>
                </c:pt>
                <c:pt idx="645">
                  <c:v>12.8643</c:v>
                </c:pt>
                <c:pt idx="646">
                  <c:v>12.013299999999999</c:v>
                </c:pt>
                <c:pt idx="647">
                  <c:v>12.2171</c:v>
                </c:pt>
                <c:pt idx="648">
                  <c:v>11.4459</c:v>
                </c:pt>
                <c:pt idx="649">
                  <c:v>11.0421</c:v>
                </c:pt>
                <c:pt idx="650">
                  <c:v>11.255599999999999</c:v>
                </c:pt>
                <c:pt idx="651">
                  <c:v>11.3809</c:v>
                </c:pt>
                <c:pt idx="652">
                  <c:v>11.163600000000001</c:v>
                </c:pt>
                <c:pt idx="653">
                  <c:v>11.366</c:v>
                </c:pt>
                <c:pt idx="654">
                  <c:v>11.6945</c:v>
                </c:pt>
                <c:pt idx="655">
                  <c:v>12.2315</c:v>
                </c:pt>
                <c:pt idx="656">
                  <c:v>11.9681</c:v>
                </c:pt>
                <c:pt idx="657">
                  <c:v>12.6806</c:v>
                </c:pt>
                <c:pt idx="658">
                  <c:v>12.974399999999999</c:v>
                </c:pt>
                <c:pt idx="659">
                  <c:v>13.3268</c:v>
                </c:pt>
                <c:pt idx="660">
                  <c:v>13.776400000000001</c:v>
                </c:pt>
                <c:pt idx="661">
                  <c:v>14.381600000000001</c:v>
                </c:pt>
                <c:pt idx="662">
                  <c:v>15.057499999999999</c:v>
                </c:pt>
                <c:pt idx="663">
                  <c:v>15.5143</c:v>
                </c:pt>
                <c:pt idx="664">
                  <c:v>15.2728</c:v>
                </c:pt>
                <c:pt idx="665">
                  <c:v>15.434200000000001</c:v>
                </c:pt>
                <c:pt idx="666">
                  <c:v>15.6698</c:v>
                </c:pt>
                <c:pt idx="667">
                  <c:v>15.635300000000001</c:v>
                </c:pt>
                <c:pt idx="668">
                  <c:v>16.020099999999999</c:v>
                </c:pt>
                <c:pt idx="669">
                  <c:v>16.883299999999998</c:v>
                </c:pt>
                <c:pt idx="670">
                  <c:v>17.2867</c:v>
                </c:pt>
                <c:pt idx="671">
                  <c:v>17.9451</c:v>
                </c:pt>
                <c:pt idx="672">
                  <c:v>17.682099999999998</c:v>
                </c:pt>
                <c:pt idx="673">
                  <c:v>17.776800000000001</c:v>
                </c:pt>
                <c:pt idx="674">
                  <c:v>17.840299999999999</c:v>
                </c:pt>
                <c:pt idx="675">
                  <c:v>16.264399999999998</c:v>
                </c:pt>
                <c:pt idx="676">
                  <c:v>16.2502</c:v>
                </c:pt>
                <c:pt idx="677">
                  <c:v>16.294899999999998</c:v>
                </c:pt>
                <c:pt idx="678">
                  <c:v>16.340199999999999</c:v>
                </c:pt>
                <c:pt idx="679">
                  <c:v>16.4663</c:v>
                </c:pt>
                <c:pt idx="680">
                  <c:v>16.3355</c:v>
                </c:pt>
                <c:pt idx="681">
                  <c:v>16.441500000000001</c:v>
                </c:pt>
                <c:pt idx="682">
                  <c:v>17.012</c:v>
                </c:pt>
                <c:pt idx="683">
                  <c:v>16.868200000000002</c:v>
                </c:pt>
                <c:pt idx="684">
                  <c:v>19.6874</c:v>
                </c:pt>
                <c:pt idx="685">
                  <c:v>19.250399999999999</c:v>
                </c:pt>
                <c:pt idx="686">
                  <c:v>17.537700000000001</c:v>
                </c:pt>
                <c:pt idx="687">
                  <c:v>16.398900000000001</c:v>
                </c:pt>
                <c:pt idx="688">
                  <c:v>17.021000000000001</c:v>
                </c:pt>
                <c:pt idx="689">
                  <c:v>17.341200000000001</c:v>
                </c:pt>
                <c:pt idx="690">
                  <c:v>16.426300000000001</c:v>
                </c:pt>
                <c:pt idx="691">
                  <c:v>16.829899999999999</c:v>
                </c:pt>
                <c:pt idx="692">
                  <c:v>18.375800000000002</c:v>
                </c:pt>
                <c:pt idx="693">
                  <c:v>17.529</c:v>
                </c:pt>
                <c:pt idx="694">
                  <c:v>17.472100000000001</c:v>
                </c:pt>
                <c:pt idx="695">
                  <c:v>17.854800000000001</c:v>
                </c:pt>
                <c:pt idx="696">
                  <c:v>15.327</c:v>
                </c:pt>
                <c:pt idx="697">
                  <c:v>14.189399999999999</c:v>
                </c:pt>
                <c:pt idx="698">
                  <c:v>14.8414</c:v>
                </c:pt>
                <c:pt idx="699">
                  <c:v>14.121</c:v>
                </c:pt>
                <c:pt idx="700">
                  <c:v>14.459</c:v>
                </c:pt>
                <c:pt idx="701">
                  <c:v>14.2667</c:v>
                </c:pt>
                <c:pt idx="702">
                  <c:v>15.239100000000001</c:v>
                </c:pt>
                <c:pt idx="703">
                  <c:v>15.821999999999999</c:v>
                </c:pt>
                <c:pt idx="704">
                  <c:v>16.819800000000001</c:v>
                </c:pt>
                <c:pt idx="705">
                  <c:v>17.661000000000001</c:v>
                </c:pt>
                <c:pt idx="706">
                  <c:v>17.808599999999998</c:v>
                </c:pt>
                <c:pt idx="707">
                  <c:v>18.4375</c:v>
                </c:pt>
                <c:pt idx="708">
                  <c:v>18.123100000000001</c:v>
                </c:pt>
                <c:pt idx="709">
                  <c:v>18.984100000000002</c:v>
                </c:pt>
                <c:pt idx="710">
                  <c:v>19.566400000000002</c:v>
                </c:pt>
                <c:pt idx="711">
                  <c:v>19.178100000000001</c:v>
                </c:pt>
                <c:pt idx="712">
                  <c:v>19.918600000000001</c:v>
                </c:pt>
                <c:pt idx="713">
                  <c:v>21.081700000000001</c:v>
                </c:pt>
                <c:pt idx="714">
                  <c:v>22.809000000000001</c:v>
                </c:pt>
                <c:pt idx="715">
                  <c:v>24.847200000000001</c:v>
                </c:pt>
                <c:pt idx="716">
                  <c:v>24.829000000000001</c:v>
                </c:pt>
                <c:pt idx="717">
                  <c:v>25.6355</c:v>
                </c:pt>
                <c:pt idx="718">
                  <c:v>25.243200000000002</c:v>
                </c:pt>
                <c:pt idx="719">
                  <c:v>26.289100000000001</c:v>
                </c:pt>
                <c:pt idx="720">
                  <c:v>25.793800000000001</c:v>
                </c:pt>
                <c:pt idx="721">
                  <c:v>25.820699999999999</c:v>
                </c:pt>
                <c:pt idx="722">
                  <c:v>25.7727</c:v>
                </c:pt>
                <c:pt idx="723">
                  <c:v>25.45</c:v>
                </c:pt>
                <c:pt idx="724">
                  <c:v>26.5746</c:v>
                </c:pt>
                <c:pt idx="725">
                  <c:v>26.6189</c:v>
                </c:pt>
                <c:pt idx="726">
                  <c:v>26.138999999999999</c:v>
                </c:pt>
                <c:pt idx="727">
                  <c:v>27.319600000000001</c:v>
                </c:pt>
                <c:pt idx="728">
                  <c:v>26.624300000000002</c:v>
                </c:pt>
                <c:pt idx="729">
                  <c:v>27.857700000000001</c:v>
                </c:pt>
                <c:pt idx="730">
                  <c:v>27.918299999999999</c:v>
                </c:pt>
                <c:pt idx="731">
                  <c:v>27.7287</c:v>
                </c:pt>
                <c:pt idx="732">
                  <c:v>27.632899999999999</c:v>
                </c:pt>
                <c:pt idx="733">
                  <c:v>27.656400000000001</c:v>
                </c:pt>
                <c:pt idx="734">
                  <c:v>28.745999999999999</c:v>
                </c:pt>
                <c:pt idx="735">
                  <c:v>28.957899999999999</c:v>
                </c:pt>
                <c:pt idx="736">
                  <c:v>30.1599</c:v>
                </c:pt>
                <c:pt idx="737">
                  <c:v>30.431000000000001</c:v>
                </c:pt>
                <c:pt idx="738">
                  <c:v>29.616</c:v>
                </c:pt>
                <c:pt idx="739">
                  <c:v>28.080400000000001</c:v>
                </c:pt>
                <c:pt idx="740">
                  <c:v>28.3843</c:v>
                </c:pt>
                <c:pt idx="741">
                  <c:v>28.432400000000001</c:v>
                </c:pt>
                <c:pt idx="742">
                  <c:v>28.221499999999999</c:v>
                </c:pt>
                <c:pt idx="743">
                  <c:v>27.424900000000001</c:v>
                </c:pt>
                <c:pt idx="744">
                  <c:v>26.487500000000001</c:v>
                </c:pt>
                <c:pt idx="745">
                  <c:v>27.126899999999999</c:v>
                </c:pt>
                <c:pt idx="746">
                  <c:v>26.274000000000001</c:v>
                </c:pt>
                <c:pt idx="747">
                  <c:v>27.571300000000001</c:v>
                </c:pt>
                <c:pt idx="748">
                  <c:v>28.0685</c:v>
                </c:pt>
                <c:pt idx="749">
                  <c:v>27.695</c:v>
                </c:pt>
                <c:pt idx="750">
                  <c:v>28.320499999999999</c:v>
                </c:pt>
                <c:pt idx="751">
                  <c:v>24.619900000000001</c:v>
                </c:pt>
                <c:pt idx="752">
                  <c:v>26.962700000000002</c:v>
                </c:pt>
                <c:pt idx="753">
                  <c:v>25.5093</c:v>
                </c:pt>
                <c:pt idx="754">
                  <c:v>25.305399999999999</c:v>
                </c:pt>
                <c:pt idx="755">
                  <c:v>27.576499999999999</c:v>
                </c:pt>
                <c:pt idx="756">
                  <c:v>29.808399999999999</c:v>
                </c:pt>
                <c:pt idx="757">
                  <c:v>31.116599999999998</c:v>
                </c:pt>
                <c:pt idx="758">
                  <c:v>30.748999999999999</c:v>
                </c:pt>
                <c:pt idx="759">
                  <c:v>31.253499999999999</c:v>
                </c:pt>
                <c:pt idx="760">
                  <c:v>32.918300000000002</c:v>
                </c:pt>
                <c:pt idx="761">
                  <c:v>36.8613</c:v>
                </c:pt>
                <c:pt idx="762">
                  <c:v>37.603200000000001</c:v>
                </c:pt>
                <c:pt idx="763">
                  <c:v>38.113799999999998</c:v>
                </c:pt>
                <c:pt idx="764">
                  <c:v>37.409399999999998</c:v>
                </c:pt>
                <c:pt idx="765">
                  <c:v>36.845799999999997</c:v>
                </c:pt>
                <c:pt idx="766">
                  <c:v>36.946300000000001</c:v>
                </c:pt>
                <c:pt idx="767">
                  <c:v>37.3947</c:v>
                </c:pt>
                <c:pt idx="768">
                  <c:v>38.589700000000001</c:v>
                </c:pt>
                <c:pt idx="769">
                  <c:v>38.775100000000002</c:v>
                </c:pt>
                <c:pt idx="770">
                  <c:v>38.776699999999998</c:v>
                </c:pt>
                <c:pt idx="771">
                  <c:v>35.478499999999997</c:v>
                </c:pt>
                <c:pt idx="772">
                  <c:v>35.573599999999999</c:v>
                </c:pt>
                <c:pt idx="773">
                  <c:v>35.3339</c:v>
                </c:pt>
                <c:pt idx="774">
                  <c:v>32.471699999999998</c:v>
                </c:pt>
                <c:pt idx="775">
                  <c:v>31.6831</c:v>
                </c:pt>
                <c:pt idx="776">
                  <c:v>32.218800000000002</c:v>
                </c:pt>
                <c:pt idx="777">
                  <c:v>34.228700000000003</c:v>
                </c:pt>
                <c:pt idx="778">
                  <c:v>36.605899999999998</c:v>
                </c:pt>
                <c:pt idx="779">
                  <c:v>40.2851</c:v>
                </c:pt>
                <c:pt idx="780">
                  <c:v>37.496299999999998</c:v>
                </c:pt>
                <c:pt idx="781">
                  <c:v>36.293700000000001</c:v>
                </c:pt>
                <c:pt idx="782">
                  <c:v>39.169499999999999</c:v>
                </c:pt>
                <c:pt idx="783">
                  <c:v>39.2012</c:v>
                </c:pt>
                <c:pt idx="784">
                  <c:v>39.551099999999998</c:v>
                </c:pt>
                <c:pt idx="785">
                  <c:v>39.012500000000003</c:v>
                </c:pt>
                <c:pt idx="786">
                  <c:v>39.191400000000002</c:v>
                </c:pt>
                <c:pt idx="787">
                  <c:v>39.1355</c:v>
                </c:pt>
                <c:pt idx="788">
                  <c:v>44.685099999999998</c:v>
                </c:pt>
                <c:pt idx="789">
                  <c:v>45.207299999999996</c:v>
                </c:pt>
                <c:pt idx="790">
                  <c:v>43.322499999999998</c:v>
                </c:pt>
                <c:pt idx="791">
                  <c:v>44.784599999999998</c:v>
                </c:pt>
                <c:pt idx="792">
                  <c:v>43.0229</c:v>
                </c:pt>
                <c:pt idx="793">
                  <c:v>43.5105</c:v>
                </c:pt>
                <c:pt idx="794">
                  <c:v>43.597200000000001</c:v>
                </c:pt>
                <c:pt idx="795">
                  <c:v>44.280999999999999</c:v>
                </c:pt>
                <c:pt idx="796">
                  <c:v>45.593499999999999</c:v>
                </c:pt>
                <c:pt idx="797">
                  <c:v>39.894399999999997</c:v>
                </c:pt>
                <c:pt idx="798">
                  <c:v>40.801900000000003</c:v>
                </c:pt>
                <c:pt idx="799">
                  <c:v>41.248399999999997</c:v>
                </c:pt>
                <c:pt idx="800">
                  <c:v>39.271599999999999</c:v>
                </c:pt>
                <c:pt idx="801">
                  <c:v>41.193199999999997</c:v>
                </c:pt>
                <c:pt idx="802">
                  <c:v>41.357599999999998</c:v>
                </c:pt>
                <c:pt idx="803">
                  <c:v>41.283700000000003</c:v>
                </c:pt>
                <c:pt idx="804">
                  <c:v>41.054600000000001</c:v>
                </c:pt>
                <c:pt idx="805">
                  <c:v>41.726700000000001</c:v>
                </c:pt>
                <c:pt idx="806">
                  <c:v>42.4968</c:v>
                </c:pt>
                <c:pt idx="807">
                  <c:v>42.628999999999998</c:v>
                </c:pt>
                <c:pt idx="808">
                  <c:v>41.6128</c:v>
                </c:pt>
                <c:pt idx="809">
                  <c:v>42.307699999999997</c:v>
                </c:pt>
                <c:pt idx="810">
                  <c:v>41.409199999999998</c:v>
                </c:pt>
                <c:pt idx="811">
                  <c:v>41.553100000000001</c:v>
                </c:pt>
                <c:pt idx="812">
                  <c:v>42.956099999999999</c:v>
                </c:pt>
                <c:pt idx="813">
                  <c:v>42.124899999999997</c:v>
                </c:pt>
                <c:pt idx="814">
                  <c:v>41.653300000000002</c:v>
                </c:pt>
                <c:pt idx="815">
                  <c:v>41.331099999999999</c:v>
                </c:pt>
                <c:pt idx="816">
                  <c:v>41.535499999999999</c:v>
                </c:pt>
                <c:pt idx="817">
                  <c:v>40.709099999999999</c:v>
                </c:pt>
                <c:pt idx="818">
                  <c:v>40.280900000000003</c:v>
                </c:pt>
                <c:pt idx="819">
                  <c:v>39.332299999999996</c:v>
                </c:pt>
                <c:pt idx="820">
                  <c:v>37.677100000000003</c:v>
                </c:pt>
                <c:pt idx="821">
                  <c:v>39.202599999999997</c:v>
                </c:pt>
                <c:pt idx="822">
                  <c:v>36.760800000000003</c:v>
                </c:pt>
                <c:pt idx="823">
                  <c:v>37.164400000000001</c:v>
                </c:pt>
                <c:pt idx="824">
                  <c:v>38.1511</c:v>
                </c:pt>
                <c:pt idx="825">
                  <c:v>37.229100000000003</c:v>
                </c:pt>
                <c:pt idx="826">
                  <c:v>41.253999999999998</c:v>
                </c:pt>
                <c:pt idx="827">
                  <c:v>41.5261</c:v>
                </c:pt>
                <c:pt idx="828">
                  <c:v>39.0319</c:v>
                </c:pt>
                <c:pt idx="829">
                  <c:v>40.635399999999997</c:v>
                </c:pt>
                <c:pt idx="830">
                  <c:v>43.857100000000003</c:v>
                </c:pt>
                <c:pt idx="831">
                  <c:v>46.512500000000003</c:v>
                </c:pt>
                <c:pt idx="832">
                  <c:v>44.768799999999999</c:v>
                </c:pt>
                <c:pt idx="833">
                  <c:v>45.328400000000002</c:v>
                </c:pt>
                <c:pt idx="834">
                  <c:v>44.733800000000002</c:v>
                </c:pt>
                <c:pt idx="835">
                  <c:v>44.272100000000002</c:v>
                </c:pt>
                <c:pt idx="836">
                  <c:v>45.116199999999999</c:v>
                </c:pt>
                <c:pt idx="837">
                  <c:v>45.443899999999999</c:v>
                </c:pt>
                <c:pt idx="838">
                  <c:v>45.758299999999998</c:v>
                </c:pt>
                <c:pt idx="839">
                  <c:v>43.941499999999998</c:v>
                </c:pt>
                <c:pt idx="840">
                  <c:v>41.250100000000003</c:v>
                </c:pt>
                <c:pt idx="841">
                  <c:v>41.581400000000002</c:v>
                </c:pt>
                <c:pt idx="842">
                  <c:v>44.692599999999999</c:v>
                </c:pt>
                <c:pt idx="843">
                  <c:v>43.558900000000001</c:v>
                </c:pt>
                <c:pt idx="844">
                  <c:v>42.515099999999997</c:v>
                </c:pt>
                <c:pt idx="845">
                  <c:v>45.573</c:v>
                </c:pt>
                <c:pt idx="846">
                  <c:v>47.813000000000002</c:v>
                </c:pt>
                <c:pt idx="847">
                  <c:v>48.212800000000001</c:v>
                </c:pt>
                <c:pt idx="848">
                  <c:v>49.086399999999998</c:v>
                </c:pt>
                <c:pt idx="849">
                  <c:v>49.303699999999999</c:v>
                </c:pt>
                <c:pt idx="850">
                  <c:v>48.676600000000001</c:v>
                </c:pt>
                <c:pt idx="851">
                  <c:v>48.194099999999999</c:v>
                </c:pt>
                <c:pt idx="852">
                  <c:v>48.077199999999998</c:v>
                </c:pt>
                <c:pt idx="853">
                  <c:v>49.085500000000003</c:v>
                </c:pt>
                <c:pt idx="854">
                  <c:v>47.961599999999997</c:v>
                </c:pt>
                <c:pt idx="855">
                  <c:v>45.271700000000003</c:v>
                </c:pt>
                <c:pt idx="856">
                  <c:v>45.092799999999997</c:v>
                </c:pt>
                <c:pt idx="857">
                  <c:v>46.133699999999997</c:v>
                </c:pt>
                <c:pt idx="858">
                  <c:v>45.713500000000003</c:v>
                </c:pt>
              </c:numCache>
            </c:numRef>
          </c:xVal>
          <c:yVal>
            <c:numRef>
              <c:f>个券数据!$Y$2</c:f>
              <c:numCache>
                <c:formatCode>0.00</c:formatCode>
                <c:ptCount val="1"/>
                <c:pt idx="0">
                  <c:v>40.154400000000003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57D-42A6-981C-44FBD0F25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89440"/>
        <c:axId val="208090000"/>
      </c:scatterChart>
      <c:valAx>
        <c:axId val="20808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楷体" panose="02010609060101010101" pitchFamily="49" charset="-122"/>
                    <a:cs typeface="Arial" panose="020B0604020202020204" pitchFamily="34" charset="0"/>
                  </a:defRPr>
                </a:pPr>
                <a:r>
                  <a:rPr lang="zh-CN" altLang="en-US"/>
                  <a:t>纯债溢价率（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  <a:endParaRPr lang="zh-CN"/>
              </a:p>
            </c:rich>
          </c:tx>
          <c:layout>
            <c:manualLayout>
              <c:xMode val="edge"/>
              <c:yMode val="edge"/>
              <c:x val="0.75005735943801866"/>
              <c:y val="0.865880359507339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楷体" panose="02010609060101010101" pitchFamily="49" charset="-122"/>
                  <a:cs typeface="Arial" panose="020B0604020202020204" pitchFamily="34" charset="0"/>
                </a:defRPr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low"/>
        <c:spPr>
          <a:noFill/>
          <a:ln w="6350" cap="flat" cmpd="sng" algn="ctr">
            <a:solidFill>
              <a:srgbClr val="01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楷体" panose="02010609060101010101" pitchFamily="49" charset="-122"/>
                <a:cs typeface="Arial" panose="020B0604020202020204" pitchFamily="34" charset="0"/>
              </a:defRPr>
            </a:pPr>
            <a:endParaRPr lang="zh-CN"/>
          </a:p>
        </c:txPr>
        <c:crossAx val="208090000"/>
        <c:crossesAt val="0"/>
        <c:crossBetween val="midCat"/>
      </c:valAx>
      <c:valAx>
        <c:axId val="20809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楷体" panose="02010609060101010101" pitchFamily="49" charset="-122"/>
                    <a:cs typeface="Arial" panose="020B0604020202020204" pitchFamily="34" charset="0"/>
                  </a:defRPr>
                </a:pPr>
                <a:r>
                  <a:rPr lang="zh-CN" altLang="en-US"/>
                  <a:t>平价溢价率（</a:t>
                </a:r>
                <a:r>
                  <a:rPr lang="en-US" altLang="zh-CN"/>
                  <a:t>%</a:t>
                </a:r>
                <a:r>
                  <a:rPr lang="zh-CN"/>
                  <a:t>）</a:t>
                </a:r>
              </a:p>
            </c:rich>
          </c:tx>
          <c:layout>
            <c:manualLayout>
              <c:xMode val="edge"/>
              <c:yMode val="edge"/>
              <c:x val="7.7120875020186858E-2"/>
              <c:y val="1.701919683287397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8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楷体" panose="02010609060101010101" pitchFamily="49" charset="-122"/>
                  <a:cs typeface="Arial" panose="020B0604020202020204" pitchFamily="34" charset="0"/>
                </a:defRPr>
              </a:pPr>
              <a:endParaRPr lang="zh-CN"/>
            </a:p>
          </c:txPr>
        </c:title>
        <c:numFmt formatCode="#,##0_);\(#,##0\)" sourceLinked="0"/>
        <c:majorTickMark val="out"/>
        <c:minorTickMark val="none"/>
        <c:tickLblPos val="nextTo"/>
        <c:spPr>
          <a:noFill/>
          <a:ln w="6350" cap="flat" cmpd="sng" algn="ctr">
            <a:solidFill>
              <a:srgbClr val="01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楷体" panose="02010609060101010101" pitchFamily="49" charset="-122"/>
                <a:cs typeface="Arial" panose="020B0604020202020204" pitchFamily="34" charset="0"/>
              </a:defRPr>
            </a:pPr>
            <a:endParaRPr lang="zh-CN"/>
          </a:p>
        </c:txPr>
        <c:crossAx val="208089440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0" cap="flat" cmpd="sng" algn="ctr">
      <a:solidFill>
        <a:schemeClr val="accent1">
          <a:lumMod val="50000"/>
        </a:schemeClr>
      </a:solidFill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Arial" panose="020B0604020202020204" pitchFamily="34" charset="0"/>
          <a:ea typeface="楷体" panose="02010609060101010101" pitchFamily="49" charset="-122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3753280839895"/>
          <c:y val="0.12441506578186025"/>
          <c:w val="0.80825492967225254"/>
          <c:h val="0.79850584526598478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41949"/>
              </a:solidFill>
              <a:prstDash val="solid"/>
            </a:ln>
          </c:spPr>
          <c:marker>
            <c:symbol val="none"/>
          </c:marker>
          <c:cat>
            <c:numRef>
              <c:f>个券数据!$D$1:$D$859</c:f>
              <c:numCache>
                <c:formatCode>yyyy/mm/dd\(aaa\)</c:formatCode>
                <c:ptCount val="859"/>
                <c:pt idx="0">
                  <c:v>44446</c:v>
                </c:pt>
                <c:pt idx="1">
                  <c:v>44446</c:v>
                </c:pt>
                <c:pt idx="2">
                  <c:v>44445</c:v>
                </c:pt>
                <c:pt idx="3">
                  <c:v>44442</c:v>
                </c:pt>
                <c:pt idx="4">
                  <c:v>44441</c:v>
                </c:pt>
                <c:pt idx="5">
                  <c:v>44440</c:v>
                </c:pt>
                <c:pt idx="6">
                  <c:v>44439</c:v>
                </c:pt>
                <c:pt idx="7">
                  <c:v>44438</c:v>
                </c:pt>
                <c:pt idx="8">
                  <c:v>44435</c:v>
                </c:pt>
                <c:pt idx="9">
                  <c:v>44434</c:v>
                </c:pt>
                <c:pt idx="10">
                  <c:v>44433</c:v>
                </c:pt>
                <c:pt idx="11">
                  <c:v>44432</c:v>
                </c:pt>
                <c:pt idx="12">
                  <c:v>44431</c:v>
                </c:pt>
                <c:pt idx="13">
                  <c:v>44428</c:v>
                </c:pt>
                <c:pt idx="14">
                  <c:v>44427</c:v>
                </c:pt>
                <c:pt idx="15">
                  <c:v>44426</c:v>
                </c:pt>
                <c:pt idx="16">
                  <c:v>44425</c:v>
                </c:pt>
                <c:pt idx="17">
                  <c:v>44424</c:v>
                </c:pt>
                <c:pt idx="18">
                  <c:v>44421</c:v>
                </c:pt>
                <c:pt idx="19">
                  <c:v>44420</c:v>
                </c:pt>
                <c:pt idx="20">
                  <c:v>44419</c:v>
                </c:pt>
                <c:pt idx="21">
                  <c:v>44418</c:v>
                </c:pt>
                <c:pt idx="22">
                  <c:v>44417</c:v>
                </c:pt>
                <c:pt idx="23">
                  <c:v>44414</c:v>
                </c:pt>
                <c:pt idx="24">
                  <c:v>44413</c:v>
                </c:pt>
                <c:pt idx="25">
                  <c:v>44412</c:v>
                </c:pt>
                <c:pt idx="26">
                  <c:v>44411</c:v>
                </c:pt>
                <c:pt idx="27">
                  <c:v>44410</c:v>
                </c:pt>
                <c:pt idx="28">
                  <c:v>44407</c:v>
                </c:pt>
                <c:pt idx="29">
                  <c:v>44406</c:v>
                </c:pt>
                <c:pt idx="30">
                  <c:v>44405</c:v>
                </c:pt>
                <c:pt idx="31">
                  <c:v>44404</c:v>
                </c:pt>
                <c:pt idx="32">
                  <c:v>44403</c:v>
                </c:pt>
                <c:pt idx="33">
                  <c:v>44400</c:v>
                </c:pt>
                <c:pt idx="34">
                  <c:v>44399</c:v>
                </c:pt>
                <c:pt idx="35">
                  <c:v>44398</c:v>
                </c:pt>
                <c:pt idx="36">
                  <c:v>44397</c:v>
                </c:pt>
                <c:pt idx="37">
                  <c:v>44396</c:v>
                </c:pt>
                <c:pt idx="38">
                  <c:v>44393</c:v>
                </c:pt>
                <c:pt idx="39">
                  <c:v>44392</c:v>
                </c:pt>
                <c:pt idx="40">
                  <c:v>44391</c:v>
                </c:pt>
                <c:pt idx="41">
                  <c:v>44390</c:v>
                </c:pt>
                <c:pt idx="42">
                  <c:v>44389</c:v>
                </c:pt>
                <c:pt idx="43">
                  <c:v>44386</c:v>
                </c:pt>
                <c:pt idx="44">
                  <c:v>44385</c:v>
                </c:pt>
                <c:pt idx="45">
                  <c:v>44384</c:v>
                </c:pt>
                <c:pt idx="46">
                  <c:v>44383</c:v>
                </c:pt>
                <c:pt idx="47">
                  <c:v>44382</c:v>
                </c:pt>
                <c:pt idx="48">
                  <c:v>44379</c:v>
                </c:pt>
                <c:pt idx="49">
                  <c:v>44378</c:v>
                </c:pt>
                <c:pt idx="50">
                  <c:v>44377</c:v>
                </c:pt>
                <c:pt idx="51">
                  <c:v>44376</c:v>
                </c:pt>
                <c:pt idx="52">
                  <c:v>44375</c:v>
                </c:pt>
                <c:pt idx="53">
                  <c:v>44372</c:v>
                </c:pt>
                <c:pt idx="54">
                  <c:v>44371</c:v>
                </c:pt>
                <c:pt idx="55">
                  <c:v>44370</c:v>
                </c:pt>
                <c:pt idx="56">
                  <c:v>44369</c:v>
                </c:pt>
                <c:pt idx="57">
                  <c:v>44368</c:v>
                </c:pt>
                <c:pt idx="58">
                  <c:v>44365</c:v>
                </c:pt>
                <c:pt idx="59">
                  <c:v>44364</c:v>
                </c:pt>
                <c:pt idx="60">
                  <c:v>44363</c:v>
                </c:pt>
                <c:pt idx="61">
                  <c:v>44362</c:v>
                </c:pt>
                <c:pt idx="62">
                  <c:v>44358</c:v>
                </c:pt>
                <c:pt idx="63">
                  <c:v>44357</c:v>
                </c:pt>
                <c:pt idx="64">
                  <c:v>44356</c:v>
                </c:pt>
                <c:pt idx="65">
                  <c:v>44355</c:v>
                </c:pt>
                <c:pt idx="66">
                  <c:v>44354</c:v>
                </c:pt>
                <c:pt idx="67">
                  <c:v>44351</c:v>
                </c:pt>
                <c:pt idx="68">
                  <c:v>44350</c:v>
                </c:pt>
                <c:pt idx="69">
                  <c:v>44349</c:v>
                </c:pt>
                <c:pt idx="70">
                  <c:v>44348</c:v>
                </c:pt>
                <c:pt idx="71">
                  <c:v>44347</c:v>
                </c:pt>
                <c:pt idx="72">
                  <c:v>44344</c:v>
                </c:pt>
                <c:pt idx="73">
                  <c:v>44343</c:v>
                </c:pt>
                <c:pt idx="74">
                  <c:v>44342</c:v>
                </c:pt>
                <c:pt idx="75">
                  <c:v>44341</c:v>
                </c:pt>
                <c:pt idx="76">
                  <c:v>44340</c:v>
                </c:pt>
                <c:pt idx="77">
                  <c:v>44337</c:v>
                </c:pt>
                <c:pt idx="78">
                  <c:v>44336</c:v>
                </c:pt>
                <c:pt idx="79">
                  <c:v>44335</c:v>
                </c:pt>
                <c:pt idx="80">
                  <c:v>44334</c:v>
                </c:pt>
                <c:pt idx="81">
                  <c:v>44333</c:v>
                </c:pt>
                <c:pt idx="82">
                  <c:v>44330</c:v>
                </c:pt>
                <c:pt idx="83">
                  <c:v>44329</c:v>
                </c:pt>
                <c:pt idx="84">
                  <c:v>44328</c:v>
                </c:pt>
                <c:pt idx="85">
                  <c:v>44327</c:v>
                </c:pt>
                <c:pt idx="86">
                  <c:v>44326</c:v>
                </c:pt>
                <c:pt idx="87">
                  <c:v>44323</c:v>
                </c:pt>
                <c:pt idx="88">
                  <c:v>44322</c:v>
                </c:pt>
                <c:pt idx="89">
                  <c:v>44316</c:v>
                </c:pt>
                <c:pt idx="90">
                  <c:v>44315</c:v>
                </c:pt>
                <c:pt idx="91">
                  <c:v>44314</c:v>
                </c:pt>
                <c:pt idx="92">
                  <c:v>44313</c:v>
                </c:pt>
                <c:pt idx="93">
                  <c:v>44312</c:v>
                </c:pt>
                <c:pt idx="94">
                  <c:v>44309</c:v>
                </c:pt>
                <c:pt idx="95">
                  <c:v>44308</c:v>
                </c:pt>
                <c:pt idx="96">
                  <c:v>44307</c:v>
                </c:pt>
                <c:pt idx="97">
                  <c:v>44306</c:v>
                </c:pt>
                <c:pt idx="98">
                  <c:v>44305</c:v>
                </c:pt>
                <c:pt idx="99">
                  <c:v>44302</c:v>
                </c:pt>
                <c:pt idx="100">
                  <c:v>44301</c:v>
                </c:pt>
                <c:pt idx="101">
                  <c:v>44300</c:v>
                </c:pt>
                <c:pt idx="102">
                  <c:v>44299</c:v>
                </c:pt>
                <c:pt idx="103">
                  <c:v>44298</c:v>
                </c:pt>
                <c:pt idx="104">
                  <c:v>44295</c:v>
                </c:pt>
                <c:pt idx="105">
                  <c:v>44294</c:v>
                </c:pt>
                <c:pt idx="106">
                  <c:v>44293</c:v>
                </c:pt>
                <c:pt idx="107">
                  <c:v>44292</c:v>
                </c:pt>
                <c:pt idx="108">
                  <c:v>44288</c:v>
                </c:pt>
                <c:pt idx="109">
                  <c:v>44287</c:v>
                </c:pt>
                <c:pt idx="110">
                  <c:v>44286</c:v>
                </c:pt>
                <c:pt idx="111">
                  <c:v>44285</c:v>
                </c:pt>
                <c:pt idx="112">
                  <c:v>44284</c:v>
                </c:pt>
                <c:pt idx="113">
                  <c:v>44281</c:v>
                </c:pt>
                <c:pt idx="114">
                  <c:v>44280</c:v>
                </c:pt>
                <c:pt idx="115">
                  <c:v>44279</c:v>
                </c:pt>
                <c:pt idx="116">
                  <c:v>44278</c:v>
                </c:pt>
                <c:pt idx="117">
                  <c:v>44277</c:v>
                </c:pt>
                <c:pt idx="118">
                  <c:v>44274</c:v>
                </c:pt>
                <c:pt idx="119">
                  <c:v>44273</c:v>
                </c:pt>
                <c:pt idx="120">
                  <c:v>44272</c:v>
                </c:pt>
                <c:pt idx="121">
                  <c:v>44271</c:v>
                </c:pt>
                <c:pt idx="122">
                  <c:v>44270</c:v>
                </c:pt>
                <c:pt idx="123">
                  <c:v>44267</c:v>
                </c:pt>
                <c:pt idx="124">
                  <c:v>44266</c:v>
                </c:pt>
                <c:pt idx="125">
                  <c:v>44265</c:v>
                </c:pt>
                <c:pt idx="126">
                  <c:v>44264</c:v>
                </c:pt>
                <c:pt idx="127">
                  <c:v>44263</c:v>
                </c:pt>
                <c:pt idx="128">
                  <c:v>44260</c:v>
                </c:pt>
                <c:pt idx="129">
                  <c:v>44259</c:v>
                </c:pt>
                <c:pt idx="130">
                  <c:v>44258</c:v>
                </c:pt>
                <c:pt idx="131">
                  <c:v>44257</c:v>
                </c:pt>
                <c:pt idx="132">
                  <c:v>44256</c:v>
                </c:pt>
                <c:pt idx="133">
                  <c:v>44253</c:v>
                </c:pt>
                <c:pt idx="134">
                  <c:v>44252</c:v>
                </c:pt>
                <c:pt idx="135">
                  <c:v>44251</c:v>
                </c:pt>
                <c:pt idx="136">
                  <c:v>44250</c:v>
                </c:pt>
                <c:pt idx="137">
                  <c:v>44249</c:v>
                </c:pt>
                <c:pt idx="138">
                  <c:v>44246</c:v>
                </c:pt>
                <c:pt idx="139">
                  <c:v>44245</c:v>
                </c:pt>
                <c:pt idx="140">
                  <c:v>44237</c:v>
                </c:pt>
                <c:pt idx="141">
                  <c:v>44236</c:v>
                </c:pt>
                <c:pt idx="142">
                  <c:v>44235</c:v>
                </c:pt>
                <c:pt idx="143">
                  <c:v>44232</c:v>
                </c:pt>
                <c:pt idx="144">
                  <c:v>44231</c:v>
                </c:pt>
                <c:pt idx="145">
                  <c:v>44230</c:v>
                </c:pt>
                <c:pt idx="146">
                  <c:v>44229</c:v>
                </c:pt>
                <c:pt idx="147">
                  <c:v>44228</c:v>
                </c:pt>
                <c:pt idx="148">
                  <c:v>44225</c:v>
                </c:pt>
                <c:pt idx="149">
                  <c:v>44224</c:v>
                </c:pt>
                <c:pt idx="150">
                  <c:v>44223</c:v>
                </c:pt>
                <c:pt idx="151">
                  <c:v>44222</c:v>
                </c:pt>
                <c:pt idx="152">
                  <c:v>44221</c:v>
                </c:pt>
                <c:pt idx="153">
                  <c:v>44218</c:v>
                </c:pt>
                <c:pt idx="154">
                  <c:v>44217</c:v>
                </c:pt>
                <c:pt idx="155">
                  <c:v>44216</c:v>
                </c:pt>
                <c:pt idx="156">
                  <c:v>44215</c:v>
                </c:pt>
                <c:pt idx="157">
                  <c:v>44214</c:v>
                </c:pt>
                <c:pt idx="158">
                  <c:v>44211</c:v>
                </c:pt>
                <c:pt idx="159">
                  <c:v>44210</c:v>
                </c:pt>
                <c:pt idx="160">
                  <c:v>44209</c:v>
                </c:pt>
                <c:pt idx="161">
                  <c:v>44208</c:v>
                </c:pt>
                <c:pt idx="162">
                  <c:v>44207</c:v>
                </c:pt>
                <c:pt idx="163">
                  <c:v>44204</c:v>
                </c:pt>
                <c:pt idx="164">
                  <c:v>44203</c:v>
                </c:pt>
                <c:pt idx="165">
                  <c:v>44202</c:v>
                </c:pt>
                <c:pt idx="166">
                  <c:v>44201</c:v>
                </c:pt>
                <c:pt idx="167">
                  <c:v>44200</c:v>
                </c:pt>
                <c:pt idx="168">
                  <c:v>44196</c:v>
                </c:pt>
                <c:pt idx="169">
                  <c:v>44195</c:v>
                </c:pt>
                <c:pt idx="170">
                  <c:v>44194</c:v>
                </c:pt>
                <c:pt idx="171">
                  <c:v>44193</c:v>
                </c:pt>
                <c:pt idx="172">
                  <c:v>44190</c:v>
                </c:pt>
                <c:pt idx="173">
                  <c:v>44189</c:v>
                </c:pt>
                <c:pt idx="174">
                  <c:v>44188</c:v>
                </c:pt>
                <c:pt idx="175">
                  <c:v>44187</c:v>
                </c:pt>
                <c:pt idx="176">
                  <c:v>44186</c:v>
                </c:pt>
                <c:pt idx="177">
                  <c:v>44183</c:v>
                </c:pt>
                <c:pt idx="178">
                  <c:v>44182</c:v>
                </c:pt>
                <c:pt idx="179">
                  <c:v>44181</c:v>
                </c:pt>
                <c:pt idx="180">
                  <c:v>44180</c:v>
                </c:pt>
                <c:pt idx="181">
                  <c:v>44179</c:v>
                </c:pt>
                <c:pt idx="182">
                  <c:v>44176</c:v>
                </c:pt>
                <c:pt idx="183">
                  <c:v>44175</c:v>
                </c:pt>
                <c:pt idx="184">
                  <c:v>44174</c:v>
                </c:pt>
                <c:pt idx="185">
                  <c:v>44173</c:v>
                </c:pt>
                <c:pt idx="186">
                  <c:v>44172</c:v>
                </c:pt>
                <c:pt idx="187">
                  <c:v>44169</c:v>
                </c:pt>
                <c:pt idx="188">
                  <c:v>44168</c:v>
                </c:pt>
                <c:pt idx="189">
                  <c:v>44167</c:v>
                </c:pt>
                <c:pt idx="190">
                  <c:v>44166</c:v>
                </c:pt>
                <c:pt idx="191">
                  <c:v>44165</c:v>
                </c:pt>
                <c:pt idx="192">
                  <c:v>44162</c:v>
                </c:pt>
                <c:pt idx="193">
                  <c:v>44161</c:v>
                </c:pt>
                <c:pt idx="194">
                  <c:v>44160</c:v>
                </c:pt>
                <c:pt idx="195">
                  <c:v>44159</c:v>
                </c:pt>
                <c:pt idx="196">
                  <c:v>44158</c:v>
                </c:pt>
                <c:pt idx="197">
                  <c:v>44155</c:v>
                </c:pt>
                <c:pt idx="198">
                  <c:v>44154</c:v>
                </c:pt>
                <c:pt idx="199">
                  <c:v>44153</c:v>
                </c:pt>
                <c:pt idx="200">
                  <c:v>44152</c:v>
                </c:pt>
                <c:pt idx="201">
                  <c:v>44151</c:v>
                </c:pt>
                <c:pt idx="202">
                  <c:v>44148</c:v>
                </c:pt>
                <c:pt idx="203">
                  <c:v>44147</c:v>
                </c:pt>
                <c:pt idx="204">
                  <c:v>44146</c:v>
                </c:pt>
                <c:pt idx="205">
                  <c:v>44145</c:v>
                </c:pt>
                <c:pt idx="206">
                  <c:v>44144</c:v>
                </c:pt>
                <c:pt idx="207">
                  <c:v>44141</c:v>
                </c:pt>
                <c:pt idx="208">
                  <c:v>44140</c:v>
                </c:pt>
                <c:pt idx="209">
                  <c:v>44139</c:v>
                </c:pt>
                <c:pt idx="210">
                  <c:v>44138</c:v>
                </c:pt>
                <c:pt idx="211">
                  <c:v>44137</c:v>
                </c:pt>
                <c:pt idx="212">
                  <c:v>44134</c:v>
                </c:pt>
                <c:pt idx="213">
                  <c:v>44133</c:v>
                </c:pt>
                <c:pt idx="214">
                  <c:v>44132</c:v>
                </c:pt>
                <c:pt idx="215">
                  <c:v>44131</c:v>
                </c:pt>
                <c:pt idx="216">
                  <c:v>44130</c:v>
                </c:pt>
                <c:pt idx="217">
                  <c:v>44127</c:v>
                </c:pt>
                <c:pt idx="218">
                  <c:v>44126</c:v>
                </c:pt>
                <c:pt idx="219">
                  <c:v>44125</c:v>
                </c:pt>
                <c:pt idx="220">
                  <c:v>44124</c:v>
                </c:pt>
                <c:pt idx="221">
                  <c:v>44123</c:v>
                </c:pt>
                <c:pt idx="222">
                  <c:v>44120</c:v>
                </c:pt>
                <c:pt idx="223">
                  <c:v>44119</c:v>
                </c:pt>
                <c:pt idx="224">
                  <c:v>44118</c:v>
                </c:pt>
                <c:pt idx="225">
                  <c:v>44117</c:v>
                </c:pt>
                <c:pt idx="226">
                  <c:v>44116</c:v>
                </c:pt>
                <c:pt idx="227">
                  <c:v>44113</c:v>
                </c:pt>
                <c:pt idx="228">
                  <c:v>44104</c:v>
                </c:pt>
                <c:pt idx="229">
                  <c:v>44103</c:v>
                </c:pt>
                <c:pt idx="230">
                  <c:v>44102</c:v>
                </c:pt>
                <c:pt idx="231">
                  <c:v>44099</c:v>
                </c:pt>
                <c:pt idx="232">
                  <c:v>44098</c:v>
                </c:pt>
                <c:pt idx="233">
                  <c:v>44097</c:v>
                </c:pt>
                <c:pt idx="234">
                  <c:v>44096</c:v>
                </c:pt>
                <c:pt idx="235">
                  <c:v>44095</c:v>
                </c:pt>
                <c:pt idx="236">
                  <c:v>44092</c:v>
                </c:pt>
                <c:pt idx="237">
                  <c:v>44091</c:v>
                </c:pt>
                <c:pt idx="238">
                  <c:v>44090</c:v>
                </c:pt>
                <c:pt idx="239">
                  <c:v>44089</c:v>
                </c:pt>
                <c:pt idx="240">
                  <c:v>44088</c:v>
                </c:pt>
                <c:pt idx="241">
                  <c:v>44085</c:v>
                </c:pt>
                <c:pt idx="242">
                  <c:v>44084</c:v>
                </c:pt>
                <c:pt idx="243">
                  <c:v>44083</c:v>
                </c:pt>
                <c:pt idx="244">
                  <c:v>44082</c:v>
                </c:pt>
                <c:pt idx="245">
                  <c:v>44081</c:v>
                </c:pt>
                <c:pt idx="246">
                  <c:v>44078</c:v>
                </c:pt>
                <c:pt idx="247">
                  <c:v>44077</c:v>
                </c:pt>
                <c:pt idx="248">
                  <c:v>44076</c:v>
                </c:pt>
                <c:pt idx="249">
                  <c:v>44075</c:v>
                </c:pt>
                <c:pt idx="250">
                  <c:v>44074</c:v>
                </c:pt>
                <c:pt idx="251">
                  <c:v>44071</c:v>
                </c:pt>
                <c:pt idx="252">
                  <c:v>44070</c:v>
                </c:pt>
                <c:pt idx="253">
                  <c:v>44069</c:v>
                </c:pt>
                <c:pt idx="254">
                  <c:v>44068</c:v>
                </c:pt>
                <c:pt idx="255">
                  <c:v>44067</c:v>
                </c:pt>
                <c:pt idx="256">
                  <c:v>44064</c:v>
                </c:pt>
                <c:pt idx="257">
                  <c:v>44063</c:v>
                </c:pt>
                <c:pt idx="258">
                  <c:v>44062</c:v>
                </c:pt>
                <c:pt idx="259">
                  <c:v>44061</c:v>
                </c:pt>
                <c:pt idx="260">
                  <c:v>44060</c:v>
                </c:pt>
                <c:pt idx="261">
                  <c:v>44057</c:v>
                </c:pt>
                <c:pt idx="262">
                  <c:v>44056</c:v>
                </c:pt>
                <c:pt idx="263">
                  <c:v>44055</c:v>
                </c:pt>
                <c:pt idx="264">
                  <c:v>44054</c:v>
                </c:pt>
                <c:pt idx="265">
                  <c:v>44053</c:v>
                </c:pt>
                <c:pt idx="266">
                  <c:v>44050</c:v>
                </c:pt>
                <c:pt idx="267">
                  <c:v>44049</c:v>
                </c:pt>
                <c:pt idx="268">
                  <c:v>44048</c:v>
                </c:pt>
                <c:pt idx="269">
                  <c:v>44047</c:v>
                </c:pt>
                <c:pt idx="270">
                  <c:v>44046</c:v>
                </c:pt>
                <c:pt idx="271">
                  <c:v>44043</c:v>
                </c:pt>
                <c:pt idx="272">
                  <c:v>44042</c:v>
                </c:pt>
                <c:pt idx="273">
                  <c:v>44041</c:v>
                </c:pt>
                <c:pt idx="274">
                  <c:v>44040</c:v>
                </c:pt>
                <c:pt idx="275">
                  <c:v>44039</c:v>
                </c:pt>
                <c:pt idx="276">
                  <c:v>44036</c:v>
                </c:pt>
                <c:pt idx="277">
                  <c:v>44035</c:v>
                </c:pt>
                <c:pt idx="278">
                  <c:v>44034</c:v>
                </c:pt>
                <c:pt idx="279">
                  <c:v>44033</c:v>
                </c:pt>
                <c:pt idx="280">
                  <c:v>44032</c:v>
                </c:pt>
                <c:pt idx="281">
                  <c:v>44029</c:v>
                </c:pt>
                <c:pt idx="282">
                  <c:v>44028</c:v>
                </c:pt>
                <c:pt idx="283">
                  <c:v>44027</c:v>
                </c:pt>
                <c:pt idx="284">
                  <c:v>44026</c:v>
                </c:pt>
                <c:pt idx="285">
                  <c:v>44025</c:v>
                </c:pt>
                <c:pt idx="286">
                  <c:v>44022</c:v>
                </c:pt>
                <c:pt idx="287">
                  <c:v>44021</c:v>
                </c:pt>
                <c:pt idx="288">
                  <c:v>44020</c:v>
                </c:pt>
                <c:pt idx="289">
                  <c:v>44019</c:v>
                </c:pt>
                <c:pt idx="290">
                  <c:v>44018</c:v>
                </c:pt>
                <c:pt idx="291">
                  <c:v>44015</c:v>
                </c:pt>
                <c:pt idx="292">
                  <c:v>44014</c:v>
                </c:pt>
                <c:pt idx="293">
                  <c:v>44013</c:v>
                </c:pt>
                <c:pt idx="294">
                  <c:v>44012</c:v>
                </c:pt>
                <c:pt idx="295">
                  <c:v>44011</c:v>
                </c:pt>
                <c:pt idx="296">
                  <c:v>44006</c:v>
                </c:pt>
                <c:pt idx="297">
                  <c:v>44005</c:v>
                </c:pt>
                <c:pt idx="298">
                  <c:v>44004</c:v>
                </c:pt>
                <c:pt idx="299">
                  <c:v>44001</c:v>
                </c:pt>
                <c:pt idx="300">
                  <c:v>44000</c:v>
                </c:pt>
                <c:pt idx="301">
                  <c:v>43999</c:v>
                </c:pt>
                <c:pt idx="302">
                  <c:v>43998</c:v>
                </c:pt>
                <c:pt idx="303">
                  <c:v>43997</c:v>
                </c:pt>
                <c:pt idx="304">
                  <c:v>43994</c:v>
                </c:pt>
                <c:pt idx="305">
                  <c:v>43993</c:v>
                </c:pt>
                <c:pt idx="306">
                  <c:v>43992</c:v>
                </c:pt>
                <c:pt idx="307">
                  <c:v>43991</c:v>
                </c:pt>
                <c:pt idx="308">
                  <c:v>43990</c:v>
                </c:pt>
                <c:pt idx="309">
                  <c:v>43987</c:v>
                </c:pt>
                <c:pt idx="310">
                  <c:v>43986</c:v>
                </c:pt>
                <c:pt idx="311">
                  <c:v>43985</c:v>
                </c:pt>
                <c:pt idx="312">
                  <c:v>43984</c:v>
                </c:pt>
                <c:pt idx="313">
                  <c:v>43983</c:v>
                </c:pt>
                <c:pt idx="314">
                  <c:v>43980</c:v>
                </c:pt>
                <c:pt idx="315">
                  <c:v>43979</c:v>
                </c:pt>
                <c:pt idx="316">
                  <c:v>43978</c:v>
                </c:pt>
                <c:pt idx="317">
                  <c:v>43977</c:v>
                </c:pt>
                <c:pt idx="318">
                  <c:v>43976</c:v>
                </c:pt>
                <c:pt idx="319">
                  <c:v>43973</c:v>
                </c:pt>
                <c:pt idx="320">
                  <c:v>43972</c:v>
                </c:pt>
                <c:pt idx="321">
                  <c:v>43971</c:v>
                </c:pt>
                <c:pt idx="322">
                  <c:v>43970</c:v>
                </c:pt>
                <c:pt idx="323">
                  <c:v>43969</c:v>
                </c:pt>
                <c:pt idx="324">
                  <c:v>43966</c:v>
                </c:pt>
                <c:pt idx="325">
                  <c:v>43965</c:v>
                </c:pt>
                <c:pt idx="326">
                  <c:v>43964</c:v>
                </c:pt>
                <c:pt idx="327">
                  <c:v>43963</c:v>
                </c:pt>
                <c:pt idx="328">
                  <c:v>43962</c:v>
                </c:pt>
                <c:pt idx="329">
                  <c:v>43959</c:v>
                </c:pt>
                <c:pt idx="330">
                  <c:v>43958</c:v>
                </c:pt>
                <c:pt idx="331">
                  <c:v>43957</c:v>
                </c:pt>
                <c:pt idx="332">
                  <c:v>43951</c:v>
                </c:pt>
                <c:pt idx="333">
                  <c:v>43950</c:v>
                </c:pt>
                <c:pt idx="334">
                  <c:v>43949</c:v>
                </c:pt>
                <c:pt idx="335">
                  <c:v>43948</c:v>
                </c:pt>
                <c:pt idx="336">
                  <c:v>43945</c:v>
                </c:pt>
                <c:pt idx="337">
                  <c:v>43944</c:v>
                </c:pt>
                <c:pt idx="338">
                  <c:v>43943</c:v>
                </c:pt>
                <c:pt idx="339">
                  <c:v>43942</c:v>
                </c:pt>
                <c:pt idx="340">
                  <c:v>43941</c:v>
                </c:pt>
                <c:pt idx="341">
                  <c:v>43938</c:v>
                </c:pt>
                <c:pt idx="342">
                  <c:v>43937</c:v>
                </c:pt>
                <c:pt idx="343">
                  <c:v>43936</c:v>
                </c:pt>
                <c:pt idx="344">
                  <c:v>43935</c:v>
                </c:pt>
                <c:pt idx="345">
                  <c:v>43934</c:v>
                </c:pt>
                <c:pt idx="346">
                  <c:v>43931</c:v>
                </c:pt>
                <c:pt idx="347">
                  <c:v>43930</c:v>
                </c:pt>
                <c:pt idx="348">
                  <c:v>43929</c:v>
                </c:pt>
                <c:pt idx="349">
                  <c:v>43928</c:v>
                </c:pt>
                <c:pt idx="350">
                  <c:v>43924</c:v>
                </c:pt>
                <c:pt idx="351">
                  <c:v>43923</c:v>
                </c:pt>
                <c:pt idx="352">
                  <c:v>43922</c:v>
                </c:pt>
                <c:pt idx="353">
                  <c:v>43921</c:v>
                </c:pt>
                <c:pt idx="354">
                  <c:v>43920</c:v>
                </c:pt>
                <c:pt idx="355">
                  <c:v>43917</c:v>
                </c:pt>
                <c:pt idx="356">
                  <c:v>43916</c:v>
                </c:pt>
                <c:pt idx="357">
                  <c:v>43915</c:v>
                </c:pt>
                <c:pt idx="358">
                  <c:v>43914</c:v>
                </c:pt>
                <c:pt idx="359">
                  <c:v>43913</c:v>
                </c:pt>
                <c:pt idx="360">
                  <c:v>43910</c:v>
                </c:pt>
                <c:pt idx="361">
                  <c:v>43909</c:v>
                </c:pt>
                <c:pt idx="362">
                  <c:v>43908</c:v>
                </c:pt>
                <c:pt idx="363">
                  <c:v>43907</c:v>
                </c:pt>
                <c:pt idx="364">
                  <c:v>43906</c:v>
                </c:pt>
                <c:pt idx="365">
                  <c:v>43903</c:v>
                </c:pt>
                <c:pt idx="366">
                  <c:v>43902</c:v>
                </c:pt>
                <c:pt idx="367">
                  <c:v>43901</c:v>
                </c:pt>
                <c:pt idx="368">
                  <c:v>43900</c:v>
                </c:pt>
                <c:pt idx="369">
                  <c:v>43899</c:v>
                </c:pt>
                <c:pt idx="370">
                  <c:v>43896</c:v>
                </c:pt>
                <c:pt idx="371">
                  <c:v>43895</c:v>
                </c:pt>
                <c:pt idx="372">
                  <c:v>43894</c:v>
                </c:pt>
                <c:pt idx="373">
                  <c:v>43893</c:v>
                </c:pt>
                <c:pt idx="374">
                  <c:v>43892</c:v>
                </c:pt>
                <c:pt idx="375">
                  <c:v>43889</c:v>
                </c:pt>
                <c:pt idx="376">
                  <c:v>43888</c:v>
                </c:pt>
                <c:pt idx="377">
                  <c:v>43887</c:v>
                </c:pt>
                <c:pt idx="378">
                  <c:v>43886</c:v>
                </c:pt>
                <c:pt idx="379">
                  <c:v>43885</c:v>
                </c:pt>
                <c:pt idx="380">
                  <c:v>43882</c:v>
                </c:pt>
                <c:pt idx="381">
                  <c:v>43881</c:v>
                </c:pt>
                <c:pt idx="382">
                  <c:v>43880</c:v>
                </c:pt>
                <c:pt idx="383">
                  <c:v>43879</c:v>
                </c:pt>
                <c:pt idx="384">
                  <c:v>43878</c:v>
                </c:pt>
                <c:pt idx="385">
                  <c:v>43875</c:v>
                </c:pt>
                <c:pt idx="386">
                  <c:v>43874</c:v>
                </c:pt>
                <c:pt idx="387">
                  <c:v>43873</c:v>
                </c:pt>
                <c:pt idx="388">
                  <c:v>43872</c:v>
                </c:pt>
                <c:pt idx="389">
                  <c:v>43871</c:v>
                </c:pt>
                <c:pt idx="390">
                  <c:v>43868</c:v>
                </c:pt>
                <c:pt idx="391">
                  <c:v>43867</c:v>
                </c:pt>
                <c:pt idx="392">
                  <c:v>43866</c:v>
                </c:pt>
                <c:pt idx="393">
                  <c:v>43865</c:v>
                </c:pt>
                <c:pt idx="394">
                  <c:v>43864</c:v>
                </c:pt>
                <c:pt idx="395">
                  <c:v>43853</c:v>
                </c:pt>
                <c:pt idx="396">
                  <c:v>43852</c:v>
                </c:pt>
                <c:pt idx="397">
                  <c:v>43851</c:v>
                </c:pt>
                <c:pt idx="398">
                  <c:v>43850</c:v>
                </c:pt>
                <c:pt idx="399">
                  <c:v>43847</c:v>
                </c:pt>
                <c:pt idx="400">
                  <c:v>43846</c:v>
                </c:pt>
                <c:pt idx="401">
                  <c:v>43845</c:v>
                </c:pt>
                <c:pt idx="402">
                  <c:v>43844</c:v>
                </c:pt>
                <c:pt idx="403">
                  <c:v>43843</c:v>
                </c:pt>
                <c:pt idx="404">
                  <c:v>43840</c:v>
                </c:pt>
                <c:pt idx="405">
                  <c:v>43839</c:v>
                </c:pt>
                <c:pt idx="406">
                  <c:v>43838</c:v>
                </c:pt>
                <c:pt idx="407">
                  <c:v>43837</c:v>
                </c:pt>
                <c:pt idx="408">
                  <c:v>43836</c:v>
                </c:pt>
                <c:pt idx="409">
                  <c:v>43833</c:v>
                </c:pt>
                <c:pt idx="410">
                  <c:v>43832</c:v>
                </c:pt>
                <c:pt idx="411">
                  <c:v>43830</c:v>
                </c:pt>
                <c:pt idx="412">
                  <c:v>43829</c:v>
                </c:pt>
                <c:pt idx="413">
                  <c:v>43826</c:v>
                </c:pt>
                <c:pt idx="414">
                  <c:v>43825</c:v>
                </c:pt>
                <c:pt idx="415">
                  <c:v>43824</c:v>
                </c:pt>
                <c:pt idx="416">
                  <c:v>43823</c:v>
                </c:pt>
                <c:pt idx="417">
                  <c:v>43822</c:v>
                </c:pt>
                <c:pt idx="418">
                  <c:v>43819</c:v>
                </c:pt>
                <c:pt idx="419">
                  <c:v>43818</c:v>
                </c:pt>
                <c:pt idx="420">
                  <c:v>43817</c:v>
                </c:pt>
                <c:pt idx="421">
                  <c:v>43816</c:v>
                </c:pt>
                <c:pt idx="422">
                  <c:v>43815</c:v>
                </c:pt>
                <c:pt idx="423">
                  <c:v>43812</c:v>
                </c:pt>
                <c:pt idx="424">
                  <c:v>43811</c:v>
                </c:pt>
                <c:pt idx="425">
                  <c:v>43810</c:v>
                </c:pt>
                <c:pt idx="426">
                  <c:v>43809</c:v>
                </c:pt>
                <c:pt idx="427">
                  <c:v>43808</c:v>
                </c:pt>
                <c:pt idx="428">
                  <c:v>43805</c:v>
                </c:pt>
                <c:pt idx="429">
                  <c:v>43804</c:v>
                </c:pt>
                <c:pt idx="430">
                  <c:v>43803</c:v>
                </c:pt>
                <c:pt idx="431">
                  <c:v>43802</c:v>
                </c:pt>
                <c:pt idx="432">
                  <c:v>43801</c:v>
                </c:pt>
                <c:pt idx="433">
                  <c:v>43798</c:v>
                </c:pt>
                <c:pt idx="434">
                  <c:v>43797</c:v>
                </c:pt>
                <c:pt idx="435">
                  <c:v>43796</c:v>
                </c:pt>
                <c:pt idx="436">
                  <c:v>43795</c:v>
                </c:pt>
                <c:pt idx="437">
                  <c:v>43794</c:v>
                </c:pt>
                <c:pt idx="438">
                  <c:v>43791</c:v>
                </c:pt>
                <c:pt idx="439">
                  <c:v>43790</c:v>
                </c:pt>
                <c:pt idx="440">
                  <c:v>43789</c:v>
                </c:pt>
                <c:pt idx="441">
                  <c:v>43788</c:v>
                </c:pt>
                <c:pt idx="442">
                  <c:v>43787</c:v>
                </c:pt>
                <c:pt idx="443">
                  <c:v>43784</c:v>
                </c:pt>
                <c:pt idx="444">
                  <c:v>43783</c:v>
                </c:pt>
                <c:pt idx="445">
                  <c:v>43782</c:v>
                </c:pt>
                <c:pt idx="446">
                  <c:v>43781</c:v>
                </c:pt>
                <c:pt idx="447">
                  <c:v>43780</c:v>
                </c:pt>
                <c:pt idx="448">
                  <c:v>43777</c:v>
                </c:pt>
                <c:pt idx="449">
                  <c:v>43776</c:v>
                </c:pt>
                <c:pt idx="450">
                  <c:v>43775</c:v>
                </c:pt>
                <c:pt idx="451">
                  <c:v>43774</c:v>
                </c:pt>
                <c:pt idx="452">
                  <c:v>43773</c:v>
                </c:pt>
                <c:pt idx="453">
                  <c:v>43770</c:v>
                </c:pt>
                <c:pt idx="454">
                  <c:v>43769</c:v>
                </c:pt>
                <c:pt idx="455">
                  <c:v>43768</c:v>
                </c:pt>
                <c:pt idx="456">
                  <c:v>43767</c:v>
                </c:pt>
                <c:pt idx="457">
                  <c:v>43766</c:v>
                </c:pt>
                <c:pt idx="458">
                  <c:v>43763</c:v>
                </c:pt>
                <c:pt idx="459">
                  <c:v>43762</c:v>
                </c:pt>
                <c:pt idx="460">
                  <c:v>43761</c:v>
                </c:pt>
                <c:pt idx="461">
                  <c:v>43760</c:v>
                </c:pt>
                <c:pt idx="462">
                  <c:v>43759</c:v>
                </c:pt>
                <c:pt idx="463">
                  <c:v>43756</c:v>
                </c:pt>
                <c:pt idx="464">
                  <c:v>43755</c:v>
                </c:pt>
                <c:pt idx="465">
                  <c:v>43754</c:v>
                </c:pt>
                <c:pt idx="466">
                  <c:v>43753</c:v>
                </c:pt>
                <c:pt idx="467">
                  <c:v>43752</c:v>
                </c:pt>
                <c:pt idx="468">
                  <c:v>43749</c:v>
                </c:pt>
                <c:pt idx="469">
                  <c:v>43748</c:v>
                </c:pt>
                <c:pt idx="470">
                  <c:v>43747</c:v>
                </c:pt>
                <c:pt idx="471">
                  <c:v>43746</c:v>
                </c:pt>
                <c:pt idx="472">
                  <c:v>43738</c:v>
                </c:pt>
                <c:pt idx="473">
                  <c:v>43735</c:v>
                </c:pt>
                <c:pt idx="474">
                  <c:v>43734</c:v>
                </c:pt>
                <c:pt idx="475">
                  <c:v>43733</c:v>
                </c:pt>
                <c:pt idx="476">
                  <c:v>43732</c:v>
                </c:pt>
                <c:pt idx="477">
                  <c:v>43731</c:v>
                </c:pt>
                <c:pt idx="478">
                  <c:v>43728</c:v>
                </c:pt>
                <c:pt idx="479">
                  <c:v>43727</c:v>
                </c:pt>
                <c:pt idx="480">
                  <c:v>43726</c:v>
                </c:pt>
                <c:pt idx="481">
                  <c:v>43725</c:v>
                </c:pt>
                <c:pt idx="482">
                  <c:v>43724</c:v>
                </c:pt>
                <c:pt idx="483">
                  <c:v>43720</c:v>
                </c:pt>
                <c:pt idx="484">
                  <c:v>43719</c:v>
                </c:pt>
                <c:pt idx="485">
                  <c:v>43718</c:v>
                </c:pt>
                <c:pt idx="486">
                  <c:v>43717</c:v>
                </c:pt>
                <c:pt idx="487">
                  <c:v>43714</c:v>
                </c:pt>
                <c:pt idx="488">
                  <c:v>43713</c:v>
                </c:pt>
                <c:pt idx="489">
                  <c:v>43712</c:v>
                </c:pt>
                <c:pt idx="490">
                  <c:v>43711</c:v>
                </c:pt>
                <c:pt idx="491">
                  <c:v>43710</c:v>
                </c:pt>
                <c:pt idx="492">
                  <c:v>43707</c:v>
                </c:pt>
                <c:pt idx="493">
                  <c:v>43706</c:v>
                </c:pt>
                <c:pt idx="494">
                  <c:v>43705</c:v>
                </c:pt>
                <c:pt idx="495">
                  <c:v>43704</c:v>
                </c:pt>
                <c:pt idx="496">
                  <c:v>43703</c:v>
                </c:pt>
                <c:pt idx="497">
                  <c:v>43700</c:v>
                </c:pt>
                <c:pt idx="498">
                  <c:v>43699</c:v>
                </c:pt>
                <c:pt idx="499">
                  <c:v>43698</c:v>
                </c:pt>
                <c:pt idx="500">
                  <c:v>43697</c:v>
                </c:pt>
                <c:pt idx="501">
                  <c:v>43696</c:v>
                </c:pt>
                <c:pt idx="502">
                  <c:v>43693</c:v>
                </c:pt>
                <c:pt idx="503">
                  <c:v>43692</c:v>
                </c:pt>
                <c:pt idx="504">
                  <c:v>43691</c:v>
                </c:pt>
                <c:pt idx="505">
                  <c:v>43690</c:v>
                </c:pt>
                <c:pt idx="506">
                  <c:v>43689</c:v>
                </c:pt>
                <c:pt idx="507">
                  <c:v>43686</c:v>
                </c:pt>
                <c:pt idx="508">
                  <c:v>43685</c:v>
                </c:pt>
                <c:pt idx="509">
                  <c:v>43684</c:v>
                </c:pt>
                <c:pt idx="510">
                  <c:v>43683</c:v>
                </c:pt>
                <c:pt idx="511">
                  <c:v>43682</c:v>
                </c:pt>
                <c:pt idx="512">
                  <c:v>43679</c:v>
                </c:pt>
                <c:pt idx="513">
                  <c:v>43678</c:v>
                </c:pt>
                <c:pt idx="514">
                  <c:v>43677</c:v>
                </c:pt>
                <c:pt idx="515">
                  <c:v>43676</c:v>
                </c:pt>
                <c:pt idx="516">
                  <c:v>43675</c:v>
                </c:pt>
                <c:pt idx="517">
                  <c:v>43672</c:v>
                </c:pt>
                <c:pt idx="518">
                  <c:v>43671</c:v>
                </c:pt>
                <c:pt idx="519">
                  <c:v>43670</c:v>
                </c:pt>
                <c:pt idx="520">
                  <c:v>43669</c:v>
                </c:pt>
                <c:pt idx="521">
                  <c:v>43668</c:v>
                </c:pt>
                <c:pt idx="522">
                  <c:v>43665</c:v>
                </c:pt>
                <c:pt idx="523">
                  <c:v>43664</c:v>
                </c:pt>
                <c:pt idx="524">
                  <c:v>43663</c:v>
                </c:pt>
                <c:pt idx="525">
                  <c:v>43662</c:v>
                </c:pt>
                <c:pt idx="526">
                  <c:v>43661</c:v>
                </c:pt>
                <c:pt idx="527">
                  <c:v>43658</c:v>
                </c:pt>
                <c:pt idx="528">
                  <c:v>43657</c:v>
                </c:pt>
                <c:pt idx="529">
                  <c:v>43656</c:v>
                </c:pt>
                <c:pt idx="530">
                  <c:v>43655</c:v>
                </c:pt>
                <c:pt idx="531">
                  <c:v>43654</c:v>
                </c:pt>
                <c:pt idx="532">
                  <c:v>43651</c:v>
                </c:pt>
                <c:pt idx="533">
                  <c:v>43650</c:v>
                </c:pt>
                <c:pt idx="534">
                  <c:v>43649</c:v>
                </c:pt>
                <c:pt idx="535">
                  <c:v>43648</c:v>
                </c:pt>
                <c:pt idx="536">
                  <c:v>43647</c:v>
                </c:pt>
                <c:pt idx="537">
                  <c:v>43644</c:v>
                </c:pt>
                <c:pt idx="538">
                  <c:v>43643</c:v>
                </c:pt>
                <c:pt idx="539">
                  <c:v>43642</c:v>
                </c:pt>
                <c:pt idx="540">
                  <c:v>43641</c:v>
                </c:pt>
                <c:pt idx="541">
                  <c:v>43640</c:v>
                </c:pt>
                <c:pt idx="542">
                  <c:v>43637</c:v>
                </c:pt>
                <c:pt idx="543">
                  <c:v>43636</c:v>
                </c:pt>
                <c:pt idx="544">
                  <c:v>43635</c:v>
                </c:pt>
                <c:pt idx="545">
                  <c:v>43634</c:v>
                </c:pt>
                <c:pt idx="546">
                  <c:v>43633</c:v>
                </c:pt>
                <c:pt idx="547">
                  <c:v>43630</c:v>
                </c:pt>
                <c:pt idx="548">
                  <c:v>43629</c:v>
                </c:pt>
                <c:pt idx="549">
                  <c:v>43628</c:v>
                </c:pt>
                <c:pt idx="550">
                  <c:v>43627</c:v>
                </c:pt>
                <c:pt idx="551">
                  <c:v>43626</c:v>
                </c:pt>
                <c:pt idx="552">
                  <c:v>43622</c:v>
                </c:pt>
                <c:pt idx="553">
                  <c:v>43621</c:v>
                </c:pt>
                <c:pt idx="554">
                  <c:v>43620</c:v>
                </c:pt>
                <c:pt idx="555">
                  <c:v>43619</c:v>
                </c:pt>
                <c:pt idx="556">
                  <c:v>43616</c:v>
                </c:pt>
                <c:pt idx="557">
                  <c:v>43615</c:v>
                </c:pt>
                <c:pt idx="558">
                  <c:v>43614</c:v>
                </c:pt>
                <c:pt idx="559">
                  <c:v>43613</c:v>
                </c:pt>
                <c:pt idx="560">
                  <c:v>43612</c:v>
                </c:pt>
                <c:pt idx="561">
                  <c:v>43609</c:v>
                </c:pt>
                <c:pt idx="562">
                  <c:v>43608</c:v>
                </c:pt>
                <c:pt idx="563">
                  <c:v>43607</c:v>
                </c:pt>
                <c:pt idx="564">
                  <c:v>43606</c:v>
                </c:pt>
                <c:pt idx="565">
                  <c:v>43605</c:v>
                </c:pt>
                <c:pt idx="566">
                  <c:v>43602</c:v>
                </c:pt>
                <c:pt idx="567">
                  <c:v>43601</c:v>
                </c:pt>
                <c:pt idx="568">
                  <c:v>43600</c:v>
                </c:pt>
                <c:pt idx="569">
                  <c:v>43599</c:v>
                </c:pt>
                <c:pt idx="570">
                  <c:v>43598</c:v>
                </c:pt>
                <c:pt idx="571">
                  <c:v>43595</c:v>
                </c:pt>
                <c:pt idx="572">
                  <c:v>43594</c:v>
                </c:pt>
                <c:pt idx="573">
                  <c:v>43593</c:v>
                </c:pt>
                <c:pt idx="574">
                  <c:v>43592</c:v>
                </c:pt>
                <c:pt idx="575">
                  <c:v>43591</c:v>
                </c:pt>
                <c:pt idx="576">
                  <c:v>43585</c:v>
                </c:pt>
                <c:pt idx="577">
                  <c:v>43584</c:v>
                </c:pt>
                <c:pt idx="578">
                  <c:v>43581</c:v>
                </c:pt>
                <c:pt idx="579">
                  <c:v>43580</c:v>
                </c:pt>
                <c:pt idx="580">
                  <c:v>43579</c:v>
                </c:pt>
                <c:pt idx="581">
                  <c:v>43578</c:v>
                </c:pt>
                <c:pt idx="582">
                  <c:v>43577</c:v>
                </c:pt>
                <c:pt idx="583">
                  <c:v>43574</c:v>
                </c:pt>
                <c:pt idx="584">
                  <c:v>43573</c:v>
                </c:pt>
                <c:pt idx="585">
                  <c:v>43572</c:v>
                </c:pt>
                <c:pt idx="586">
                  <c:v>43571</c:v>
                </c:pt>
                <c:pt idx="587">
                  <c:v>43570</c:v>
                </c:pt>
                <c:pt idx="588">
                  <c:v>43567</c:v>
                </c:pt>
                <c:pt idx="589">
                  <c:v>43566</c:v>
                </c:pt>
                <c:pt idx="590">
                  <c:v>43565</c:v>
                </c:pt>
                <c:pt idx="591">
                  <c:v>43564</c:v>
                </c:pt>
                <c:pt idx="592">
                  <c:v>43563</c:v>
                </c:pt>
                <c:pt idx="593">
                  <c:v>43559</c:v>
                </c:pt>
                <c:pt idx="594">
                  <c:v>43558</c:v>
                </c:pt>
                <c:pt idx="595">
                  <c:v>43557</c:v>
                </c:pt>
                <c:pt idx="596">
                  <c:v>43556</c:v>
                </c:pt>
                <c:pt idx="597">
                  <c:v>43553</c:v>
                </c:pt>
                <c:pt idx="598">
                  <c:v>43552</c:v>
                </c:pt>
                <c:pt idx="599">
                  <c:v>43551</c:v>
                </c:pt>
                <c:pt idx="600">
                  <c:v>43550</c:v>
                </c:pt>
                <c:pt idx="601">
                  <c:v>43549</c:v>
                </c:pt>
                <c:pt idx="602">
                  <c:v>43546</c:v>
                </c:pt>
                <c:pt idx="603">
                  <c:v>43545</c:v>
                </c:pt>
                <c:pt idx="604">
                  <c:v>43544</c:v>
                </c:pt>
                <c:pt idx="605">
                  <c:v>43543</c:v>
                </c:pt>
                <c:pt idx="606">
                  <c:v>43542</c:v>
                </c:pt>
                <c:pt idx="607">
                  <c:v>43539</c:v>
                </c:pt>
                <c:pt idx="608">
                  <c:v>43538</c:v>
                </c:pt>
                <c:pt idx="609">
                  <c:v>43537</c:v>
                </c:pt>
                <c:pt idx="610">
                  <c:v>43536</c:v>
                </c:pt>
                <c:pt idx="611">
                  <c:v>43535</c:v>
                </c:pt>
                <c:pt idx="612">
                  <c:v>43532</c:v>
                </c:pt>
                <c:pt idx="613">
                  <c:v>43531</c:v>
                </c:pt>
                <c:pt idx="614">
                  <c:v>43530</c:v>
                </c:pt>
                <c:pt idx="615">
                  <c:v>43529</c:v>
                </c:pt>
                <c:pt idx="616">
                  <c:v>43528</c:v>
                </c:pt>
                <c:pt idx="617">
                  <c:v>43525</c:v>
                </c:pt>
                <c:pt idx="618">
                  <c:v>43524</c:v>
                </c:pt>
                <c:pt idx="619">
                  <c:v>43523</c:v>
                </c:pt>
                <c:pt idx="620">
                  <c:v>43522</c:v>
                </c:pt>
                <c:pt idx="621">
                  <c:v>43521</c:v>
                </c:pt>
                <c:pt idx="622">
                  <c:v>43518</c:v>
                </c:pt>
                <c:pt idx="623">
                  <c:v>43517</c:v>
                </c:pt>
                <c:pt idx="624">
                  <c:v>43516</c:v>
                </c:pt>
                <c:pt idx="625">
                  <c:v>43515</c:v>
                </c:pt>
                <c:pt idx="626">
                  <c:v>43514</c:v>
                </c:pt>
                <c:pt idx="627">
                  <c:v>43511</c:v>
                </c:pt>
                <c:pt idx="628">
                  <c:v>43510</c:v>
                </c:pt>
                <c:pt idx="629">
                  <c:v>43509</c:v>
                </c:pt>
                <c:pt idx="630">
                  <c:v>43508</c:v>
                </c:pt>
                <c:pt idx="631">
                  <c:v>43507</c:v>
                </c:pt>
                <c:pt idx="632">
                  <c:v>43497</c:v>
                </c:pt>
                <c:pt idx="633">
                  <c:v>43496</c:v>
                </c:pt>
                <c:pt idx="634">
                  <c:v>43495</c:v>
                </c:pt>
                <c:pt idx="635">
                  <c:v>43494</c:v>
                </c:pt>
                <c:pt idx="636">
                  <c:v>43493</c:v>
                </c:pt>
                <c:pt idx="637">
                  <c:v>43490</c:v>
                </c:pt>
                <c:pt idx="638">
                  <c:v>43489</c:v>
                </c:pt>
                <c:pt idx="639">
                  <c:v>43488</c:v>
                </c:pt>
                <c:pt idx="640">
                  <c:v>43487</c:v>
                </c:pt>
                <c:pt idx="641">
                  <c:v>43486</c:v>
                </c:pt>
                <c:pt idx="642">
                  <c:v>43483</c:v>
                </c:pt>
                <c:pt idx="643">
                  <c:v>43482</c:v>
                </c:pt>
                <c:pt idx="644">
                  <c:v>43481</c:v>
                </c:pt>
                <c:pt idx="645">
                  <c:v>43480</c:v>
                </c:pt>
                <c:pt idx="646">
                  <c:v>43479</c:v>
                </c:pt>
                <c:pt idx="647">
                  <c:v>43476</c:v>
                </c:pt>
                <c:pt idx="648">
                  <c:v>43475</c:v>
                </c:pt>
                <c:pt idx="649">
                  <c:v>43474</c:v>
                </c:pt>
                <c:pt idx="650">
                  <c:v>43473</c:v>
                </c:pt>
                <c:pt idx="651">
                  <c:v>43472</c:v>
                </c:pt>
                <c:pt idx="652">
                  <c:v>43469</c:v>
                </c:pt>
                <c:pt idx="653">
                  <c:v>43468</c:v>
                </c:pt>
                <c:pt idx="654">
                  <c:v>43467</c:v>
                </c:pt>
                <c:pt idx="655">
                  <c:v>43462</c:v>
                </c:pt>
                <c:pt idx="656">
                  <c:v>43461</c:v>
                </c:pt>
                <c:pt idx="657">
                  <c:v>43460</c:v>
                </c:pt>
                <c:pt idx="658">
                  <c:v>43459</c:v>
                </c:pt>
                <c:pt idx="659">
                  <c:v>43458</c:v>
                </c:pt>
                <c:pt idx="660">
                  <c:v>43455</c:v>
                </c:pt>
                <c:pt idx="661">
                  <c:v>43454</c:v>
                </c:pt>
                <c:pt idx="662">
                  <c:v>43453</c:v>
                </c:pt>
                <c:pt idx="663">
                  <c:v>43452</c:v>
                </c:pt>
                <c:pt idx="664">
                  <c:v>43451</c:v>
                </c:pt>
                <c:pt idx="665">
                  <c:v>43448</c:v>
                </c:pt>
                <c:pt idx="666">
                  <c:v>43447</c:v>
                </c:pt>
                <c:pt idx="667">
                  <c:v>43446</c:v>
                </c:pt>
                <c:pt idx="668">
                  <c:v>43445</c:v>
                </c:pt>
                <c:pt idx="669">
                  <c:v>43444</c:v>
                </c:pt>
                <c:pt idx="670">
                  <c:v>43441</c:v>
                </c:pt>
                <c:pt idx="671">
                  <c:v>43440</c:v>
                </c:pt>
                <c:pt idx="672">
                  <c:v>43439</c:v>
                </c:pt>
                <c:pt idx="673">
                  <c:v>43438</c:v>
                </c:pt>
                <c:pt idx="674">
                  <c:v>43437</c:v>
                </c:pt>
                <c:pt idx="675">
                  <c:v>43434</c:v>
                </c:pt>
                <c:pt idx="676">
                  <c:v>43433</c:v>
                </c:pt>
                <c:pt idx="677">
                  <c:v>43432</c:v>
                </c:pt>
                <c:pt idx="678">
                  <c:v>43431</c:v>
                </c:pt>
                <c:pt idx="679">
                  <c:v>43430</c:v>
                </c:pt>
                <c:pt idx="680">
                  <c:v>43427</c:v>
                </c:pt>
                <c:pt idx="681">
                  <c:v>43426</c:v>
                </c:pt>
                <c:pt idx="682">
                  <c:v>43425</c:v>
                </c:pt>
                <c:pt idx="683">
                  <c:v>43424</c:v>
                </c:pt>
                <c:pt idx="684">
                  <c:v>43423</c:v>
                </c:pt>
                <c:pt idx="685">
                  <c:v>43420</c:v>
                </c:pt>
                <c:pt idx="686">
                  <c:v>43419</c:v>
                </c:pt>
                <c:pt idx="687">
                  <c:v>43418</c:v>
                </c:pt>
                <c:pt idx="688">
                  <c:v>43417</c:v>
                </c:pt>
                <c:pt idx="689">
                  <c:v>43416</c:v>
                </c:pt>
                <c:pt idx="690">
                  <c:v>43413</c:v>
                </c:pt>
                <c:pt idx="691">
                  <c:v>43412</c:v>
                </c:pt>
                <c:pt idx="692">
                  <c:v>43411</c:v>
                </c:pt>
                <c:pt idx="693">
                  <c:v>43410</c:v>
                </c:pt>
                <c:pt idx="694">
                  <c:v>43409</c:v>
                </c:pt>
                <c:pt idx="695">
                  <c:v>43406</c:v>
                </c:pt>
                <c:pt idx="696">
                  <c:v>43405</c:v>
                </c:pt>
                <c:pt idx="697">
                  <c:v>43404</c:v>
                </c:pt>
                <c:pt idx="698">
                  <c:v>43403</c:v>
                </c:pt>
                <c:pt idx="699">
                  <c:v>43402</c:v>
                </c:pt>
                <c:pt idx="700">
                  <c:v>43399</c:v>
                </c:pt>
                <c:pt idx="701">
                  <c:v>43398</c:v>
                </c:pt>
                <c:pt idx="702">
                  <c:v>43397</c:v>
                </c:pt>
                <c:pt idx="703">
                  <c:v>43396</c:v>
                </c:pt>
                <c:pt idx="704">
                  <c:v>43395</c:v>
                </c:pt>
                <c:pt idx="705">
                  <c:v>43392</c:v>
                </c:pt>
                <c:pt idx="706">
                  <c:v>43391</c:v>
                </c:pt>
                <c:pt idx="707">
                  <c:v>43390</c:v>
                </c:pt>
                <c:pt idx="708">
                  <c:v>43389</c:v>
                </c:pt>
                <c:pt idx="709">
                  <c:v>43388</c:v>
                </c:pt>
                <c:pt idx="710">
                  <c:v>43385</c:v>
                </c:pt>
                <c:pt idx="711">
                  <c:v>43384</c:v>
                </c:pt>
                <c:pt idx="712">
                  <c:v>43383</c:v>
                </c:pt>
                <c:pt idx="713">
                  <c:v>43382</c:v>
                </c:pt>
                <c:pt idx="714">
                  <c:v>43381</c:v>
                </c:pt>
                <c:pt idx="715">
                  <c:v>43371</c:v>
                </c:pt>
                <c:pt idx="716">
                  <c:v>43370</c:v>
                </c:pt>
                <c:pt idx="717">
                  <c:v>43369</c:v>
                </c:pt>
                <c:pt idx="718">
                  <c:v>43368</c:v>
                </c:pt>
                <c:pt idx="719">
                  <c:v>43364</c:v>
                </c:pt>
                <c:pt idx="720">
                  <c:v>43363</c:v>
                </c:pt>
                <c:pt idx="721">
                  <c:v>43362</c:v>
                </c:pt>
                <c:pt idx="722">
                  <c:v>43361</c:v>
                </c:pt>
                <c:pt idx="723">
                  <c:v>43360</c:v>
                </c:pt>
                <c:pt idx="724">
                  <c:v>43357</c:v>
                </c:pt>
                <c:pt idx="725">
                  <c:v>43356</c:v>
                </c:pt>
                <c:pt idx="726">
                  <c:v>43355</c:v>
                </c:pt>
                <c:pt idx="727">
                  <c:v>43354</c:v>
                </c:pt>
                <c:pt idx="728">
                  <c:v>43353</c:v>
                </c:pt>
                <c:pt idx="729">
                  <c:v>43350</c:v>
                </c:pt>
                <c:pt idx="730">
                  <c:v>43349</c:v>
                </c:pt>
                <c:pt idx="731">
                  <c:v>43348</c:v>
                </c:pt>
                <c:pt idx="732">
                  <c:v>43347</c:v>
                </c:pt>
                <c:pt idx="733">
                  <c:v>43346</c:v>
                </c:pt>
                <c:pt idx="734">
                  <c:v>43343</c:v>
                </c:pt>
                <c:pt idx="735">
                  <c:v>43342</c:v>
                </c:pt>
                <c:pt idx="736">
                  <c:v>43341</c:v>
                </c:pt>
                <c:pt idx="737">
                  <c:v>43340</c:v>
                </c:pt>
                <c:pt idx="738">
                  <c:v>43339</c:v>
                </c:pt>
                <c:pt idx="739">
                  <c:v>43336</c:v>
                </c:pt>
                <c:pt idx="740">
                  <c:v>43335</c:v>
                </c:pt>
                <c:pt idx="741">
                  <c:v>43334</c:v>
                </c:pt>
                <c:pt idx="742">
                  <c:v>43333</c:v>
                </c:pt>
                <c:pt idx="743">
                  <c:v>43332</c:v>
                </c:pt>
                <c:pt idx="744">
                  <c:v>43329</c:v>
                </c:pt>
                <c:pt idx="745">
                  <c:v>43328</c:v>
                </c:pt>
                <c:pt idx="746">
                  <c:v>43327</c:v>
                </c:pt>
                <c:pt idx="747">
                  <c:v>43326</c:v>
                </c:pt>
                <c:pt idx="748">
                  <c:v>43325</c:v>
                </c:pt>
                <c:pt idx="749">
                  <c:v>43322</c:v>
                </c:pt>
                <c:pt idx="750">
                  <c:v>43321</c:v>
                </c:pt>
                <c:pt idx="751">
                  <c:v>43320</c:v>
                </c:pt>
                <c:pt idx="752">
                  <c:v>43319</c:v>
                </c:pt>
                <c:pt idx="753">
                  <c:v>43318</c:v>
                </c:pt>
                <c:pt idx="754">
                  <c:v>43315</c:v>
                </c:pt>
                <c:pt idx="755">
                  <c:v>43314</c:v>
                </c:pt>
                <c:pt idx="756">
                  <c:v>43313</c:v>
                </c:pt>
                <c:pt idx="757">
                  <c:v>43312</c:v>
                </c:pt>
                <c:pt idx="758">
                  <c:v>43311</c:v>
                </c:pt>
                <c:pt idx="759">
                  <c:v>43308</c:v>
                </c:pt>
                <c:pt idx="760">
                  <c:v>43307</c:v>
                </c:pt>
                <c:pt idx="761">
                  <c:v>43306</c:v>
                </c:pt>
                <c:pt idx="762">
                  <c:v>43305</c:v>
                </c:pt>
                <c:pt idx="763">
                  <c:v>43304</c:v>
                </c:pt>
                <c:pt idx="764">
                  <c:v>43301</c:v>
                </c:pt>
                <c:pt idx="765">
                  <c:v>43300</c:v>
                </c:pt>
                <c:pt idx="766">
                  <c:v>43299</c:v>
                </c:pt>
                <c:pt idx="767">
                  <c:v>43298</c:v>
                </c:pt>
                <c:pt idx="768">
                  <c:v>43297</c:v>
                </c:pt>
                <c:pt idx="769">
                  <c:v>43294</c:v>
                </c:pt>
                <c:pt idx="770">
                  <c:v>43293</c:v>
                </c:pt>
                <c:pt idx="771">
                  <c:v>43292</c:v>
                </c:pt>
                <c:pt idx="772">
                  <c:v>43291</c:v>
                </c:pt>
                <c:pt idx="773">
                  <c:v>43290</c:v>
                </c:pt>
                <c:pt idx="774">
                  <c:v>43287</c:v>
                </c:pt>
                <c:pt idx="775">
                  <c:v>43286</c:v>
                </c:pt>
                <c:pt idx="776">
                  <c:v>43285</c:v>
                </c:pt>
                <c:pt idx="777">
                  <c:v>43284</c:v>
                </c:pt>
                <c:pt idx="778">
                  <c:v>43283</c:v>
                </c:pt>
                <c:pt idx="779">
                  <c:v>43280</c:v>
                </c:pt>
                <c:pt idx="780">
                  <c:v>43279</c:v>
                </c:pt>
                <c:pt idx="781">
                  <c:v>43278</c:v>
                </c:pt>
                <c:pt idx="782">
                  <c:v>43277</c:v>
                </c:pt>
                <c:pt idx="783">
                  <c:v>43276</c:v>
                </c:pt>
                <c:pt idx="784">
                  <c:v>43273</c:v>
                </c:pt>
                <c:pt idx="785">
                  <c:v>43272</c:v>
                </c:pt>
                <c:pt idx="786">
                  <c:v>43271</c:v>
                </c:pt>
                <c:pt idx="787">
                  <c:v>43270</c:v>
                </c:pt>
                <c:pt idx="788">
                  <c:v>43266</c:v>
                </c:pt>
                <c:pt idx="789">
                  <c:v>43265</c:v>
                </c:pt>
                <c:pt idx="790">
                  <c:v>43264</c:v>
                </c:pt>
                <c:pt idx="791">
                  <c:v>43263</c:v>
                </c:pt>
                <c:pt idx="792">
                  <c:v>43262</c:v>
                </c:pt>
                <c:pt idx="793">
                  <c:v>43259</c:v>
                </c:pt>
                <c:pt idx="794">
                  <c:v>43258</c:v>
                </c:pt>
                <c:pt idx="795">
                  <c:v>43257</c:v>
                </c:pt>
                <c:pt idx="796">
                  <c:v>43256</c:v>
                </c:pt>
                <c:pt idx="797">
                  <c:v>43255</c:v>
                </c:pt>
                <c:pt idx="798">
                  <c:v>43252</c:v>
                </c:pt>
                <c:pt idx="799">
                  <c:v>43251</c:v>
                </c:pt>
                <c:pt idx="800">
                  <c:v>43250</c:v>
                </c:pt>
                <c:pt idx="801">
                  <c:v>43249</c:v>
                </c:pt>
                <c:pt idx="802">
                  <c:v>43248</c:v>
                </c:pt>
                <c:pt idx="803">
                  <c:v>43245</c:v>
                </c:pt>
                <c:pt idx="804">
                  <c:v>43244</c:v>
                </c:pt>
                <c:pt idx="805">
                  <c:v>43243</c:v>
                </c:pt>
                <c:pt idx="806">
                  <c:v>43242</c:v>
                </c:pt>
                <c:pt idx="807">
                  <c:v>43241</c:v>
                </c:pt>
                <c:pt idx="808">
                  <c:v>43238</c:v>
                </c:pt>
                <c:pt idx="809">
                  <c:v>43237</c:v>
                </c:pt>
                <c:pt idx="810">
                  <c:v>43236</c:v>
                </c:pt>
                <c:pt idx="811">
                  <c:v>43235</c:v>
                </c:pt>
                <c:pt idx="812">
                  <c:v>43234</c:v>
                </c:pt>
                <c:pt idx="813">
                  <c:v>43231</c:v>
                </c:pt>
                <c:pt idx="814">
                  <c:v>43230</c:v>
                </c:pt>
                <c:pt idx="815">
                  <c:v>43229</c:v>
                </c:pt>
                <c:pt idx="816">
                  <c:v>43228</c:v>
                </c:pt>
                <c:pt idx="817">
                  <c:v>43227</c:v>
                </c:pt>
                <c:pt idx="818">
                  <c:v>43224</c:v>
                </c:pt>
                <c:pt idx="819">
                  <c:v>43223</c:v>
                </c:pt>
                <c:pt idx="820">
                  <c:v>43222</c:v>
                </c:pt>
                <c:pt idx="821">
                  <c:v>43217</c:v>
                </c:pt>
                <c:pt idx="822">
                  <c:v>43216</c:v>
                </c:pt>
                <c:pt idx="823">
                  <c:v>43215</c:v>
                </c:pt>
                <c:pt idx="824">
                  <c:v>43214</c:v>
                </c:pt>
                <c:pt idx="825">
                  <c:v>43213</c:v>
                </c:pt>
                <c:pt idx="826">
                  <c:v>43210</c:v>
                </c:pt>
                <c:pt idx="827">
                  <c:v>43209</c:v>
                </c:pt>
                <c:pt idx="828">
                  <c:v>43208</c:v>
                </c:pt>
                <c:pt idx="829">
                  <c:v>43207</c:v>
                </c:pt>
                <c:pt idx="830">
                  <c:v>43206</c:v>
                </c:pt>
                <c:pt idx="831">
                  <c:v>43203</c:v>
                </c:pt>
                <c:pt idx="832">
                  <c:v>43202</c:v>
                </c:pt>
                <c:pt idx="833">
                  <c:v>43201</c:v>
                </c:pt>
                <c:pt idx="834">
                  <c:v>43200</c:v>
                </c:pt>
                <c:pt idx="835">
                  <c:v>43199</c:v>
                </c:pt>
                <c:pt idx="836">
                  <c:v>43194</c:v>
                </c:pt>
                <c:pt idx="837">
                  <c:v>43193</c:v>
                </c:pt>
                <c:pt idx="838">
                  <c:v>43192</c:v>
                </c:pt>
                <c:pt idx="839">
                  <c:v>43189</c:v>
                </c:pt>
                <c:pt idx="840">
                  <c:v>43188</c:v>
                </c:pt>
                <c:pt idx="841">
                  <c:v>43187</c:v>
                </c:pt>
                <c:pt idx="842">
                  <c:v>43186</c:v>
                </c:pt>
                <c:pt idx="843">
                  <c:v>43185</c:v>
                </c:pt>
                <c:pt idx="844">
                  <c:v>43182</c:v>
                </c:pt>
                <c:pt idx="845">
                  <c:v>43181</c:v>
                </c:pt>
                <c:pt idx="846">
                  <c:v>43180</c:v>
                </c:pt>
                <c:pt idx="847">
                  <c:v>43179</c:v>
                </c:pt>
                <c:pt idx="848">
                  <c:v>43178</c:v>
                </c:pt>
                <c:pt idx="849">
                  <c:v>43175</c:v>
                </c:pt>
                <c:pt idx="850">
                  <c:v>43174</c:v>
                </c:pt>
                <c:pt idx="851">
                  <c:v>43173</c:v>
                </c:pt>
                <c:pt idx="852">
                  <c:v>43172</c:v>
                </c:pt>
                <c:pt idx="853">
                  <c:v>43171</c:v>
                </c:pt>
                <c:pt idx="854">
                  <c:v>43168</c:v>
                </c:pt>
                <c:pt idx="855">
                  <c:v>43167</c:v>
                </c:pt>
                <c:pt idx="856">
                  <c:v>43166</c:v>
                </c:pt>
                <c:pt idx="857">
                  <c:v>43165</c:v>
                </c:pt>
                <c:pt idx="858">
                  <c:v>43164</c:v>
                </c:pt>
              </c:numCache>
            </c:numRef>
          </c:cat>
          <c:val>
            <c:numRef>
              <c:f>个券数据!$E$1:$E$859</c:f>
              <c:numCache>
                <c:formatCode>0.00</c:formatCode>
                <c:ptCount val="859"/>
                <c:pt idx="0">
                  <c:v>114.9585</c:v>
                </c:pt>
                <c:pt idx="1">
                  <c:v>120.377</c:v>
                </c:pt>
                <c:pt idx="2">
                  <c:v>119.78319999999999</c:v>
                </c:pt>
                <c:pt idx="3">
                  <c:v>119.0397</c:v>
                </c:pt>
                <c:pt idx="4">
                  <c:v>119.64190000000001</c:v>
                </c:pt>
                <c:pt idx="5">
                  <c:v>119.7551</c:v>
                </c:pt>
                <c:pt idx="6">
                  <c:v>121.2563</c:v>
                </c:pt>
                <c:pt idx="7">
                  <c:v>121.8895</c:v>
                </c:pt>
                <c:pt idx="8">
                  <c:v>119.4551</c:v>
                </c:pt>
                <c:pt idx="9">
                  <c:v>118.5553</c:v>
                </c:pt>
                <c:pt idx="10">
                  <c:v>120.1395</c:v>
                </c:pt>
                <c:pt idx="11">
                  <c:v>118.77160000000001</c:v>
                </c:pt>
                <c:pt idx="12">
                  <c:v>118.5848</c:v>
                </c:pt>
                <c:pt idx="13">
                  <c:v>115.3574</c:v>
                </c:pt>
                <c:pt idx="14">
                  <c:v>114.7826</c:v>
                </c:pt>
                <c:pt idx="15">
                  <c:v>114.0558</c:v>
                </c:pt>
                <c:pt idx="16">
                  <c:v>114.41500000000001</c:v>
                </c:pt>
                <c:pt idx="17">
                  <c:v>116.3792</c:v>
                </c:pt>
                <c:pt idx="18">
                  <c:v>116.64579999999999</c:v>
                </c:pt>
                <c:pt idx="19">
                  <c:v>112.4179</c:v>
                </c:pt>
                <c:pt idx="20">
                  <c:v>112.0561</c:v>
                </c:pt>
                <c:pt idx="21">
                  <c:v>112.59229999999999</c:v>
                </c:pt>
                <c:pt idx="22">
                  <c:v>111.99550000000001</c:v>
                </c:pt>
                <c:pt idx="23">
                  <c:v>111.1011</c:v>
                </c:pt>
                <c:pt idx="24">
                  <c:v>110.2533</c:v>
                </c:pt>
                <c:pt idx="25">
                  <c:v>110.4555</c:v>
                </c:pt>
                <c:pt idx="26">
                  <c:v>110.2407</c:v>
                </c:pt>
                <c:pt idx="27">
                  <c:v>110.2199</c:v>
                </c:pt>
                <c:pt idx="28">
                  <c:v>109.8164</c:v>
                </c:pt>
                <c:pt idx="29">
                  <c:v>110.31359999999999</c:v>
                </c:pt>
                <c:pt idx="30">
                  <c:v>109.32080000000001</c:v>
                </c:pt>
                <c:pt idx="31">
                  <c:v>110.312</c:v>
                </c:pt>
                <c:pt idx="32">
                  <c:v>108.9252</c:v>
                </c:pt>
                <c:pt idx="33">
                  <c:v>109.86879999999999</c:v>
                </c:pt>
                <c:pt idx="34">
                  <c:v>110.214</c:v>
                </c:pt>
                <c:pt idx="35">
                  <c:v>110.58620000000001</c:v>
                </c:pt>
                <c:pt idx="36">
                  <c:v>110.4984</c:v>
                </c:pt>
                <c:pt idx="37">
                  <c:v>110.3105</c:v>
                </c:pt>
                <c:pt idx="38">
                  <c:v>110.94710000000001</c:v>
                </c:pt>
                <c:pt idx="39">
                  <c:v>110.6373</c:v>
                </c:pt>
                <c:pt idx="40">
                  <c:v>110.3545</c:v>
                </c:pt>
                <c:pt idx="41">
                  <c:v>111.87869999999999</c:v>
                </c:pt>
                <c:pt idx="42">
                  <c:v>111.25490000000001</c:v>
                </c:pt>
                <c:pt idx="43">
                  <c:v>110.6705</c:v>
                </c:pt>
                <c:pt idx="44">
                  <c:v>110.8947</c:v>
                </c:pt>
                <c:pt idx="45">
                  <c:v>108.71680000000001</c:v>
                </c:pt>
                <c:pt idx="46">
                  <c:v>108.71899999999999</c:v>
                </c:pt>
                <c:pt idx="47">
                  <c:v>109.13120000000001</c:v>
                </c:pt>
                <c:pt idx="48">
                  <c:v>109.2778</c:v>
                </c:pt>
                <c:pt idx="49">
                  <c:v>109.42100000000001</c:v>
                </c:pt>
                <c:pt idx="50">
                  <c:v>110.5322</c:v>
                </c:pt>
                <c:pt idx="51">
                  <c:v>110.3494</c:v>
                </c:pt>
                <c:pt idx="52">
                  <c:v>111.16759999999999</c:v>
                </c:pt>
                <c:pt idx="53">
                  <c:v>110.9922</c:v>
                </c:pt>
                <c:pt idx="54">
                  <c:v>110.8083</c:v>
                </c:pt>
                <c:pt idx="55">
                  <c:v>110.3185</c:v>
                </c:pt>
                <c:pt idx="56">
                  <c:v>109.8207</c:v>
                </c:pt>
                <c:pt idx="57">
                  <c:v>109.5829</c:v>
                </c:pt>
                <c:pt idx="58">
                  <c:v>110.0615</c:v>
                </c:pt>
                <c:pt idx="59">
                  <c:v>109.36069999999999</c:v>
                </c:pt>
                <c:pt idx="60">
                  <c:v>109.6129</c:v>
                </c:pt>
                <c:pt idx="61">
                  <c:v>109.9151</c:v>
                </c:pt>
                <c:pt idx="62">
                  <c:v>112.1768</c:v>
                </c:pt>
                <c:pt idx="63">
                  <c:v>112.926</c:v>
                </c:pt>
                <c:pt idx="64">
                  <c:v>113.0402</c:v>
                </c:pt>
                <c:pt idx="65">
                  <c:v>113.6674</c:v>
                </c:pt>
                <c:pt idx="66">
                  <c:v>113.73260000000001</c:v>
                </c:pt>
                <c:pt idx="67">
                  <c:v>112.9122</c:v>
                </c:pt>
                <c:pt idx="68">
                  <c:v>112.7414</c:v>
                </c:pt>
                <c:pt idx="69">
                  <c:v>110.8466</c:v>
                </c:pt>
                <c:pt idx="70">
                  <c:v>110.94580000000001</c:v>
                </c:pt>
                <c:pt idx="71">
                  <c:v>110.9479</c:v>
                </c:pt>
                <c:pt idx="72">
                  <c:v>111.2145</c:v>
                </c:pt>
                <c:pt idx="73">
                  <c:v>110.9577</c:v>
                </c:pt>
                <c:pt idx="74">
                  <c:v>109.8939</c:v>
                </c:pt>
                <c:pt idx="75">
                  <c:v>109.59610000000001</c:v>
                </c:pt>
                <c:pt idx="76">
                  <c:v>108.89830000000001</c:v>
                </c:pt>
                <c:pt idx="77">
                  <c:v>108.7899</c:v>
                </c:pt>
                <c:pt idx="78">
                  <c:v>109.4551</c:v>
                </c:pt>
                <c:pt idx="79">
                  <c:v>109.4532</c:v>
                </c:pt>
                <c:pt idx="80">
                  <c:v>109.0454</c:v>
                </c:pt>
                <c:pt idx="81">
                  <c:v>109.0556</c:v>
                </c:pt>
                <c:pt idx="82">
                  <c:v>108.3682</c:v>
                </c:pt>
                <c:pt idx="83">
                  <c:v>108.1884</c:v>
                </c:pt>
                <c:pt idx="84">
                  <c:v>108.87860000000001</c:v>
                </c:pt>
                <c:pt idx="85">
                  <c:v>108.8818</c:v>
                </c:pt>
                <c:pt idx="86">
                  <c:v>108.395</c:v>
                </c:pt>
                <c:pt idx="87">
                  <c:v>109.0265</c:v>
                </c:pt>
                <c:pt idx="88">
                  <c:v>109.8047</c:v>
                </c:pt>
                <c:pt idx="89">
                  <c:v>111.2559</c:v>
                </c:pt>
                <c:pt idx="90">
                  <c:v>111.98609999999999</c:v>
                </c:pt>
                <c:pt idx="91">
                  <c:v>111.6203</c:v>
                </c:pt>
                <c:pt idx="92">
                  <c:v>111.5205</c:v>
                </c:pt>
                <c:pt idx="93">
                  <c:v>112.8237</c:v>
                </c:pt>
                <c:pt idx="94">
                  <c:v>113.13120000000001</c:v>
                </c:pt>
                <c:pt idx="95">
                  <c:v>113.29340000000001</c:v>
                </c:pt>
                <c:pt idx="96">
                  <c:v>115.0496</c:v>
                </c:pt>
                <c:pt idx="97">
                  <c:v>115.9178</c:v>
                </c:pt>
                <c:pt idx="98">
                  <c:v>114.798</c:v>
                </c:pt>
                <c:pt idx="99">
                  <c:v>112.3566</c:v>
                </c:pt>
                <c:pt idx="100">
                  <c:v>111.9988</c:v>
                </c:pt>
                <c:pt idx="101">
                  <c:v>111.551</c:v>
                </c:pt>
                <c:pt idx="102">
                  <c:v>111.83620000000001</c:v>
                </c:pt>
                <c:pt idx="103">
                  <c:v>111.25530000000001</c:v>
                </c:pt>
                <c:pt idx="104">
                  <c:v>112.5519</c:v>
                </c:pt>
                <c:pt idx="105">
                  <c:v>112.4661</c:v>
                </c:pt>
                <c:pt idx="106">
                  <c:v>112.6733</c:v>
                </c:pt>
                <c:pt idx="107">
                  <c:v>112.5685</c:v>
                </c:pt>
                <c:pt idx="108">
                  <c:v>112.3873</c:v>
                </c:pt>
                <c:pt idx="109">
                  <c:v>113.3775</c:v>
                </c:pt>
                <c:pt idx="110">
                  <c:v>112.7816</c:v>
                </c:pt>
                <c:pt idx="111">
                  <c:v>111.7368</c:v>
                </c:pt>
                <c:pt idx="112">
                  <c:v>111.33</c:v>
                </c:pt>
                <c:pt idx="113">
                  <c:v>110.8926</c:v>
                </c:pt>
                <c:pt idx="114">
                  <c:v>109.1948</c:v>
                </c:pt>
                <c:pt idx="115">
                  <c:v>109.747</c:v>
                </c:pt>
                <c:pt idx="116">
                  <c:v>111.1992</c:v>
                </c:pt>
                <c:pt idx="117">
                  <c:v>111.3514</c:v>
                </c:pt>
                <c:pt idx="118">
                  <c:v>110.9079</c:v>
                </c:pt>
                <c:pt idx="119">
                  <c:v>111.74509999999999</c:v>
                </c:pt>
                <c:pt idx="120">
                  <c:v>110.50230000000001</c:v>
                </c:pt>
                <c:pt idx="121">
                  <c:v>109.4115</c:v>
                </c:pt>
                <c:pt idx="122">
                  <c:v>109.1347</c:v>
                </c:pt>
                <c:pt idx="123">
                  <c:v>113.0733</c:v>
                </c:pt>
                <c:pt idx="124">
                  <c:v>113.82550000000001</c:v>
                </c:pt>
                <c:pt idx="125">
                  <c:v>113.9277</c:v>
                </c:pt>
                <c:pt idx="126">
                  <c:v>113.2349</c:v>
                </c:pt>
                <c:pt idx="127">
                  <c:v>113.43210000000001</c:v>
                </c:pt>
                <c:pt idx="128">
                  <c:v>115.3976</c:v>
                </c:pt>
                <c:pt idx="129">
                  <c:v>114.7398</c:v>
                </c:pt>
                <c:pt idx="130">
                  <c:v>117.343</c:v>
                </c:pt>
                <c:pt idx="131">
                  <c:v>115.7462</c:v>
                </c:pt>
                <c:pt idx="132">
                  <c:v>116.4474</c:v>
                </c:pt>
                <c:pt idx="133">
                  <c:v>114.85299999999999</c:v>
                </c:pt>
                <c:pt idx="134">
                  <c:v>114.7662</c:v>
                </c:pt>
                <c:pt idx="135">
                  <c:v>115.9584</c:v>
                </c:pt>
                <c:pt idx="136">
                  <c:v>118.4265</c:v>
                </c:pt>
                <c:pt idx="137">
                  <c:v>118.6357</c:v>
                </c:pt>
                <c:pt idx="138">
                  <c:v>121.2743</c:v>
                </c:pt>
                <c:pt idx="139">
                  <c:v>119.97150000000001</c:v>
                </c:pt>
                <c:pt idx="140">
                  <c:v>123.989</c:v>
                </c:pt>
                <c:pt idx="141">
                  <c:v>118.49120000000001</c:v>
                </c:pt>
                <c:pt idx="142">
                  <c:v>111.2734</c:v>
                </c:pt>
                <c:pt idx="143">
                  <c:v>108.685</c:v>
                </c:pt>
                <c:pt idx="144">
                  <c:v>112.0016</c:v>
                </c:pt>
                <c:pt idx="145">
                  <c:v>111.60429999999999</c:v>
                </c:pt>
                <c:pt idx="146">
                  <c:v>111.50490000000001</c:v>
                </c:pt>
                <c:pt idx="147">
                  <c:v>112.70659999999999</c:v>
                </c:pt>
                <c:pt idx="148">
                  <c:v>112.41249999999999</c:v>
                </c:pt>
                <c:pt idx="149">
                  <c:v>115.7132</c:v>
                </c:pt>
                <c:pt idx="150">
                  <c:v>120.6498</c:v>
                </c:pt>
                <c:pt idx="151">
                  <c:v>120.7804</c:v>
                </c:pt>
                <c:pt idx="152">
                  <c:v>123.0261</c:v>
                </c:pt>
                <c:pt idx="153">
                  <c:v>124.82</c:v>
                </c:pt>
                <c:pt idx="154">
                  <c:v>121.82470000000001</c:v>
                </c:pt>
                <c:pt idx="155">
                  <c:v>121.8263</c:v>
                </c:pt>
                <c:pt idx="156">
                  <c:v>121.5279</c:v>
                </c:pt>
                <c:pt idx="157">
                  <c:v>120.6396</c:v>
                </c:pt>
                <c:pt idx="158">
                  <c:v>119.83450000000001</c:v>
                </c:pt>
                <c:pt idx="159">
                  <c:v>119.4362</c:v>
                </c:pt>
                <c:pt idx="160">
                  <c:v>118.8428</c:v>
                </c:pt>
                <c:pt idx="161">
                  <c:v>120.0295</c:v>
                </c:pt>
                <c:pt idx="162">
                  <c:v>115.7911</c:v>
                </c:pt>
                <c:pt idx="163">
                  <c:v>119.251</c:v>
                </c:pt>
                <c:pt idx="164">
                  <c:v>117.54770000000001</c:v>
                </c:pt>
                <c:pt idx="165">
                  <c:v>113.1493</c:v>
                </c:pt>
                <c:pt idx="166">
                  <c:v>114.932</c:v>
                </c:pt>
                <c:pt idx="167">
                  <c:v>112.4486</c:v>
                </c:pt>
                <c:pt idx="168">
                  <c:v>109.50920000000001</c:v>
                </c:pt>
                <c:pt idx="169">
                  <c:v>108.1268</c:v>
                </c:pt>
                <c:pt idx="170">
                  <c:v>104.5675</c:v>
                </c:pt>
                <c:pt idx="171">
                  <c:v>104.4491</c:v>
                </c:pt>
                <c:pt idx="172">
                  <c:v>106.089</c:v>
                </c:pt>
                <c:pt idx="173">
                  <c:v>107.2607</c:v>
                </c:pt>
                <c:pt idx="174">
                  <c:v>107.6443</c:v>
                </c:pt>
                <c:pt idx="175">
                  <c:v>106.23399999999999</c:v>
                </c:pt>
                <c:pt idx="176">
                  <c:v>108.3556</c:v>
                </c:pt>
                <c:pt idx="177">
                  <c:v>108.93049999999999</c:v>
                </c:pt>
                <c:pt idx="178">
                  <c:v>108.48220000000001</c:v>
                </c:pt>
                <c:pt idx="179">
                  <c:v>105.63079999999999</c:v>
                </c:pt>
                <c:pt idx="180">
                  <c:v>106.4355</c:v>
                </c:pt>
                <c:pt idx="181">
                  <c:v>106.5361</c:v>
                </c:pt>
                <c:pt idx="182">
                  <c:v>107.2921</c:v>
                </c:pt>
                <c:pt idx="183">
                  <c:v>108.08369999999999</c:v>
                </c:pt>
                <c:pt idx="184">
                  <c:v>108.4953</c:v>
                </c:pt>
                <c:pt idx="185">
                  <c:v>109.48699999999999</c:v>
                </c:pt>
                <c:pt idx="186">
                  <c:v>110.1596</c:v>
                </c:pt>
                <c:pt idx="187">
                  <c:v>110.5056</c:v>
                </c:pt>
                <c:pt idx="188">
                  <c:v>111.5052</c:v>
                </c:pt>
                <c:pt idx="189">
                  <c:v>111.6168</c:v>
                </c:pt>
                <c:pt idx="190">
                  <c:v>111.2585</c:v>
                </c:pt>
                <c:pt idx="191">
                  <c:v>110.9971</c:v>
                </c:pt>
                <c:pt idx="192">
                  <c:v>110.9691</c:v>
                </c:pt>
                <c:pt idx="193">
                  <c:v>110.8677</c:v>
                </c:pt>
                <c:pt idx="194">
                  <c:v>110.2984</c:v>
                </c:pt>
                <c:pt idx="195">
                  <c:v>110.92</c:v>
                </c:pt>
                <c:pt idx="196">
                  <c:v>111.0706</c:v>
                </c:pt>
                <c:pt idx="197">
                  <c:v>111.2376</c:v>
                </c:pt>
                <c:pt idx="198">
                  <c:v>110.83620000000001</c:v>
                </c:pt>
                <c:pt idx="199">
                  <c:v>110.6439</c:v>
                </c:pt>
                <c:pt idx="200">
                  <c:v>111.53149999999999</c:v>
                </c:pt>
                <c:pt idx="201">
                  <c:v>113.1632</c:v>
                </c:pt>
                <c:pt idx="202">
                  <c:v>113.3481</c:v>
                </c:pt>
                <c:pt idx="203">
                  <c:v>112.83969999999999</c:v>
                </c:pt>
                <c:pt idx="204">
                  <c:v>112.2414</c:v>
                </c:pt>
                <c:pt idx="205">
                  <c:v>114.04300000000001</c:v>
                </c:pt>
                <c:pt idx="206">
                  <c:v>114.8437</c:v>
                </c:pt>
                <c:pt idx="207">
                  <c:v>113.2296</c:v>
                </c:pt>
                <c:pt idx="208">
                  <c:v>113.1512</c:v>
                </c:pt>
                <c:pt idx="209">
                  <c:v>111.5539</c:v>
                </c:pt>
                <c:pt idx="210">
                  <c:v>111.40649999999999</c:v>
                </c:pt>
                <c:pt idx="211">
                  <c:v>110.79519999999999</c:v>
                </c:pt>
                <c:pt idx="212">
                  <c:v>110.0391</c:v>
                </c:pt>
                <c:pt idx="213">
                  <c:v>110.6627</c:v>
                </c:pt>
                <c:pt idx="214">
                  <c:v>111.5654</c:v>
                </c:pt>
                <c:pt idx="215">
                  <c:v>110.515</c:v>
                </c:pt>
                <c:pt idx="216">
                  <c:v>109.9717</c:v>
                </c:pt>
                <c:pt idx="217">
                  <c:v>108.2526</c:v>
                </c:pt>
                <c:pt idx="218">
                  <c:v>108.74420000000001</c:v>
                </c:pt>
                <c:pt idx="219">
                  <c:v>108.1559</c:v>
                </c:pt>
                <c:pt idx="220">
                  <c:v>108.4605</c:v>
                </c:pt>
                <c:pt idx="221">
                  <c:v>108.4872</c:v>
                </c:pt>
                <c:pt idx="222">
                  <c:v>108.2861</c:v>
                </c:pt>
                <c:pt idx="223">
                  <c:v>108.2958</c:v>
                </c:pt>
                <c:pt idx="224">
                  <c:v>108.28740000000001</c:v>
                </c:pt>
                <c:pt idx="225">
                  <c:v>108.188</c:v>
                </c:pt>
                <c:pt idx="226">
                  <c:v>107.9687</c:v>
                </c:pt>
                <c:pt idx="227">
                  <c:v>107.77460000000001</c:v>
                </c:pt>
                <c:pt idx="228">
                  <c:v>107.1104</c:v>
                </c:pt>
                <c:pt idx="229">
                  <c:v>106.6011</c:v>
                </c:pt>
                <c:pt idx="230">
                  <c:v>105.41370000000001</c:v>
                </c:pt>
                <c:pt idx="231">
                  <c:v>106.42959999999999</c:v>
                </c:pt>
                <c:pt idx="232">
                  <c:v>106.6203</c:v>
                </c:pt>
                <c:pt idx="233">
                  <c:v>107.62390000000001</c:v>
                </c:pt>
                <c:pt idx="234">
                  <c:v>107.9746</c:v>
                </c:pt>
                <c:pt idx="235">
                  <c:v>108.2252</c:v>
                </c:pt>
                <c:pt idx="236">
                  <c:v>107.8301</c:v>
                </c:pt>
                <c:pt idx="237">
                  <c:v>107.6018</c:v>
                </c:pt>
                <c:pt idx="238">
                  <c:v>108.0724</c:v>
                </c:pt>
                <c:pt idx="239">
                  <c:v>108.0851</c:v>
                </c:pt>
                <c:pt idx="240">
                  <c:v>108.4367</c:v>
                </c:pt>
                <c:pt idx="241">
                  <c:v>107.74160000000001</c:v>
                </c:pt>
                <c:pt idx="242">
                  <c:v>108.1403</c:v>
                </c:pt>
                <c:pt idx="243">
                  <c:v>108.4449</c:v>
                </c:pt>
                <c:pt idx="244">
                  <c:v>109.6866</c:v>
                </c:pt>
                <c:pt idx="245">
                  <c:v>109.4982</c:v>
                </c:pt>
                <c:pt idx="246">
                  <c:v>111.0532</c:v>
                </c:pt>
                <c:pt idx="247">
                  <c:v>110.4678</c:v>
                </c:pt>
                <c:pt idx="248">
                  <c:v>111.32640000000001</c:v>
                </c:pt>
                <c:pt idx="249">
                  <c:v>111.9581</c:v>
                </c:pt>
                <c:pt idx="250">
                  <c:v>111.8107</c:v>
                </c:pt>
                <c:pt idx="251">
                  <c:v>111.9847</c:v>
                </c:pt>
                <c:pt idx="252">
                  <c:v>111.16630000000001</c:v>
                </c:pt>
                <c:pt idx="253">
                  <c:v>110.7079</c:v>
                </c:pt>
                <c:pt idx="254">
                  <c:v>110.8596</c:v>
                </c:pt>
                <c:pt idx="255">
                  <c:v>111.3212</c:v>
                </c:pt>
                <c:pt idx="256">
                  <c:v>110.67619999999999</c:v>
                </c:pt>
                <c:pt idx="257">
                  <c:v>110.6888</c:v>
                </c:pt>
                <c:pt idx="258">
                  <c:v>111.7795</c:v>
                </c:pt>
                <c:pt idx="259">
                  <c:v>113.5801</c:v>
                </c:pt>
                <c:pt idx="260">
                  <c:v>113.5827</c:v>
                </c:pt>
                <c:pt idx="261">
                  <c:v>113.18770000000001</c:v>
                </c:pt>
                <c:pt idx="262">
                  <c:v>112.8173</c:v>
                </c:pt>
                <c:pt idx="263">
                  <c:v>112.499</c:v>
                </c:pt>
                <c:pt idx="264">
                  <c:v>112.62260000000001</c:v>
                </c:pt>
                <c:pt idx="265">
                  <c:v>113.5492</c:v>
                </c:pt>
                <c:pt idx="266">
                  <c:v>114.2992</c:v>
                </c:pt>
                <c:pt idx="267">
                  <c:v>115.60080000000001</c:v>
                </c:pt>
                <c:pt idx="268">
                  <c:v>115.19450000000001</c:v>
                </c:pt>
                <c:pt idx="269">
                  <c:v>114.8511</c:v>
                </c:pt>
                <c:pt idx="270">
                  <c:v>114.2058</c:v>
                </c:pt>
                <c:pt idx="271">
                  <c:v>114.72369999999999</c:v>
                </c:pt>
                <c:pt idx="272">
                  <c:v>111.2003</c:v>
                </c:pt>
                <c:pt idx="273">
                  <c:v>112.75</c:v>
                </c:pt>
                <c:pt idx="274">
                  <c:v>111.5166</c:v>
                </c:pt>
                <c:pt idx="275">
                  <c:v>111.7123</c:v>
                </c:pt>
                <c:pt idx="276">
                  <c:v>112.0442</c:v>
                </c:pt>
                <c:pt idx="277">
                  <c:v>114.8038</c:v>
                </c:pt>
                <c:pt idx="278">
                  <c:v>113.8355</c:v>
                </c:pt>
                <c:pt idx="279">
                  <c:v>111.97709999999999</c:v>
                </c:pt>
                <c:pt idx="280">
                  <c:v>112.5348</c:v>
                </c:pt>
                <c:pt idx="281">
                  <c:v>112.7047</c:v>
                </c:pt>
                <c:pt idx="282">
                  <c:v>111.3353</c:v>
                </c:pt>
                <c:pt idx="283">
                  <c:v>113.29600000000001</c:v>
                </c:pt>
                <c:pt idx="284">
                  <c:v>111.1876</c:v>
                </c:pt>
                <c:pt idx="285">
                  <c:v>111.2403</c:v>
                </c:pt>
                <c:pt idx="286">
                  <c:v>111.3462</c:v>
                </c:pt>
                <c:pt idx="287">
                  <c:v>113.2968</c:v>
                </c:pt>
                <c:pt idx="288">
                  <c:v>111.9485</c:v>
                </c:pt>
                <c:pt idx="289">
                  <c:v>112.0301</c:v>
                </c:pt>
                <c:pt idx="290">
                  <c:v>110.7518</c:v>
                </c:pt>
                <c:pt idx="291">
                  <c:v>109.5767</c:v>
                </c:pt>
                <c:pt idx="292">
                  <c:v>109.4284</c:v>
                </c:pt>
                <c:pt idx="293">
                  <c:v>107.57</c:v>
                </c:pt>
                <c:pt idx="294">
                  <c:v>107.01560000000001</c:v>
                </c:pt>
                <c:pt idx="295">
                  <c:v>105.9933</c:v>
                </c:pt>
                <c:pt idx="296">
                  <c:v>106.7805</c:v>
                </c:pt>
                <c:pt idx="297">
                  <c:v>106.3832</c:v>
                </c:pt>
                <c:pt idx="298">
                  <c:v>107.27979999999999</c:v>
                </c:pt>
                <c:pt idx="299">
                  <c:v>107.7427</c:v>
                </c:pt>
                <c:pt idx="300">
                  <c:v>106.8634</c:v>
                </c:pt>
                <c:pt idx="301">
                  <c:v>106.033</c:v>
                </c:pt>
                <c:pt idx="302">
                  <c:v>106.1347</c:v>
                </c:pt>
                <c:pt idx="303">
                  <c:v>105.6863</c:v>
                </c:pt>
                <c:pt idx="304">
                  <c:v>105.2992</c:v>
                </c:pt>
                <c:pt idx="305">
                  <c:v>105.1819</c:v>
                </c:pt>
                <c:pt idx="306">
                  <c:v>105.2945</c:v>
                </c:pt>
                <c:pt idx="307">
                  <c:v>105.37520000000001</c:v>
                </c:pt>
                <c:pt idx="308">
                  <c:v>105.82080000000001</c:v>
                </c:pt>
                <c:pt idx="309">
                  <c:v>105.7837</c:v>
                </c:pt>
                <c:pt idx="310">
                  <c:v>106.8044</c:v>
                </c:pt>
                <c:pt idx="311">
                  <c:v>107.006</c:v>
                </c:pt>
                <c:pt idx="312">
                  <c:v>107.90770000000001</c:v>
                </c:pt>
                <c:pt idx="313">
                  <c:v>106.8193</c:v>
                </c:pt>
                <c:pt idx="314">
                  <c:v>105.6172</c:v>
                </c:pt>
                <c:pt idx="315">
                  <c:v>104.91289999999999</c:v>
                </c:pt>
                <c:pt idx="316">
                  <c:v>104.3985</c:v>
                </c:pt>
                <c:pt idx="317">
                  <c:v>104.9092</c:v>
                </c:pt>
                <c:pt idx="318">
                  <c:v>104.2208</c:v>
                </c:pt>
                <c:pt idx="319">
                  <c:v>105.72580000000001</c:v>
                </c:pt>
                <c:pt idx="320">
                  <c:v>107.42740000000001</c:v>
                </c:pt>
                <c:pt idx="321">
                  <c:v>107.539</c:v>
                </c:pt>
                <c:pt idx="322">
                  <c:v>108.16070000000001</c:v>
                </c:pt>
                <c:pt idx="323">
                  <c:v>108.14230000000001</c:v>
                </c:pt>
                <c:pt idx="324">
                  <c:v>108.54730000000001</c:v>
                </c:pt>
                <c:pt idx="325">
                  <c:v>108.5389</c:v>
                </c:pt>
                <c:pt idx="326">
                  <c:v>109.1405</c:v>
                </c:pt>
                <c:pt idx="327">
                  <c:v>108.8622</c:v>
                </c:pt>
                <c:pt idx="328">
                  <c:v>109.3908</c:v>
                </c:pt>
                <c:pt idx="329">
                  <c:v>108.8488</c:v>
                </c:pt>
                <c:pt idx="330">
                  <c:v>109.0604</c:v>
                </c:pt>
                <c:pt idx="331">
                  <c:v>109.2161</c:v>
                </c:pt>
                <c:pt idx="332">
                  <c:v>109.2619</c:v>
                </c:pt>
                <c:pt idx="333">
                  <c:v>107.9836</c:v>
                </c:pt>
                <c:pt idx="334">
                  <c:v>107.84520000000001</c:v>
                </c:pt>
                <c:pt idx="335">
                  <c:v>107.8698</c:v>
                </c:pt>
                <c:pt idx="336">
                  <c:v>108.0608</c:v>
                </c:pt>
                <c:pt idx="337">
                  <c:v>108.1734</c:v>
                </c:pt>
                <c:pt idx="338">
                  <c:v>108.62609999999999</c:v>
                </c:pt>
                <c:pt idx="339">
                  <c:v>108.5767</c:v>
                </c:pt>
                <c:pt idx="340">
                  <c:v>109.68040000000001</c:v>
                </c:pt>
                <c:pt idx="341">
                  <c:v>109.1943</c:v>
                </c:pt>
                <c:pt idx="342">
                  <c:v>108.0749</c:v>
                </c:pt>
                <c:pt idx="343">
                  <c:v>107.63760000000001</c:v>
                </c:pt>
                <c:pt idx="344">
                  <c:v>108.1842</c:v>
                </c:pt>
                <c:pt idx="345">
                  <c:v>108.0599</c:v>
                </c:pt>
                <c:pt idx="346">
                  <c:v>108.6968</c:v>
                </c:pt>
                <c:pt idx="347">
                  <c:v>109.88639999999999</c:v>
                </c:pt>
                <c:pt idx="348">
                  <c:v>108.95010000000001</c:v>
                </c:pt>
                <c:pt idx="349">
                  <c:v>109.22969999999999</c:v>
                </c:pt>
                <c:pt idx="350">
                  <c:v>108.16630000000001</c:v>
                </c:pt>
                <c:pt idx="351">
                  <c:v>108.01090000000001</c:v>
                </c:pt>
                <c:pt idx="352">
                  <c:v>107.7486</c:v>
                </c:pt>
                <c:pt idx="353">
                  <c:v>107.71120000000001</c:v>
                </c:pt>
                <c:pt idx="354">
                  <c:v>107.7329</c:v>
                </c:pt>
                <c:pt idx="355">
                  <c:v>107.7878</c:v>
                </c:pt>
                <c:pt idx="356">
                  <c:v>107.56950000000001</c:v>
                </c:pt>
                <c:pt idx="357">
                  <c:v>107.6011</c:v>
                </c:pt>
                <c:pt idx="358">
                  <c:v>106.2227</c:v>
                </c:pt>
                <c:pt idx="359">
                  <c:v>105.7244</c:v>
                </c:pt>
                <c:pt idx="360">
                  <c:v>107.6293</c:v>
                </c:pt>
                <c:pt idx="361">
                  <c:v>106.331</c:v>
                </c:pt>
                <c:pt idx="362">
                  <c:v>108.2426</c:v>
                </c:pt>
                <c:pt idx="363">
                  <c:v>108.1592</c:v>
                </c:pt>
                <c:pt idx="364">
                  <c:v>111.53489999999999</c:v>
                </c:pt>
                <c:pt idx="365">
                  <c:v>113.9408</c:v>
                </c:pt>
                <c:pt idx="366">
                  <c:v>113.5575</c:v>
                </c:pt>
                <c:pt idx="367">
                  <c:v>114.3741</c:v>
                </c:pt>
                <c:pt idx="368">
                  <c:v>114.2448</c:v>
                </c:pt>
                <c:pt idx="369">
                  <c:v>114.4474</c:v>
                </c:pt>
                <c:pt idx="370">
                  <c:v>118.0523</c:v>
                </c:pt>
                <c:pt idx="371">
                  <c:v>117.02500000000001</c:v>
                </c:pt>
                <c:pt idx="372">
                  <c:v>115.98560000000001</c:v>
                </c:pt>
                <c:pt idx="373">
                  <c:v>118.7503</c:v>
                </c:pt>
                <c:pt idx="374">
                  <c:v>116.9999</c:v>
                </c:pt>
                <c:pt idx="375">
                  <c:v>117.9602</c:v>
                </c:pt>
                <c:pt idx="376">
                  <c:v>120.96380000000001</c:v>
                </c:pt>
                <c:pt idx="377">
                  <c:v>123.8655</c:v>
                </c:pt>
                <c:pt idx="378">
                  <c:v>124.9671</c:v>
                </c:pt>
                <c:pt idx="379">
                  <c:v>124.5688</c:v>
                </c:pt>
                <c:pt idx="380">
                  <c:v>122.3737</c:v>
                </c:pt>
                <c:pt idx="381">
                  <c:v>120.13930000000001</c:v>
                </c:pt>
                <c:pt idx="382">
                  <c:v>119.497</c:v>
                </c:pt>
                <c:pt idx="383">
                  <c:v>120.0986</c:v>
                </c:pt>
                <c:pt idx="384">
                  <c:v>120.5103</c:v>
                </c:pt>
                <c:pt idx="385">
                  <c:v>118.9952</c:v>
                </c:pt>
                <c:pt idx="386">
                  <c:v>119.98779999999999</c:v>
                </c:pt>
                <c:pt idx="387">
                  <c:v>120.2885</c:v>
                </c:pt>
                <c:pt idx="388">
                  <c:v>118.2701</c:v>
                </c:pt>
                <c:pt idx="389">
                  <c:v>116.39279999999999</c:v>
                </c:pt>
                <c:pt idx="390">
                  <c:v>117.4967</c:v>
                </c:pt>
                <c:pt idx="391">
                  <c:v>117.99939999999999</c:v>
                </c:pt>
                <c:pt idx="392">
                  <c:v>117.6</c:v>
                </c:pt>
                <c:pt idx="393">
                  <c:v>115.4611</c:v>
                </c:pt>
                <c:pt idx="394">
                  <c:v>113.1022</c:v>
                </c:pt>
                <c:pt idx="395">
                  <c:v>118.2162</c:v>
                </c:pt>
                <c:pt idx="396">
                  <c:v>121.4603</c:v>
                </c:pt>
                <c:pt idx="397">
                  <c:v>119.4164</c:v>
                </c:pt>
                <c:pt idx="398">
                  <c:v>119.61750000000001</c:v>
                </c:pt>
                <c:pt idx="399">
                  <c:v>116.8408</c:v>
                </c:pt>
                <c:pt idx="400">
                  <c:v>116.5719</c:v>
                </c:pt>
                <c:pt idx="401">
                  <c:v>116.623</c:v>
                </c:pt>
                <c:pt idx="402">
                  <c:v>118.1241</c:v>
                </c:pt>
                <c:pt idx="403">
                  <c:v>117.9742</c:v>
                </c:pt>
                <c:pt idx="404">
                  <c:v>117.6485</c:v>
                </c:pt>
                <c:pt idx="405">
                  <c:v>117.9286</c:v>
                </c:pt>
                <c:pt idx="406">
                  <c:v>118.1307</c:v>
                </c:pt>
                <c:pt idx="407">
                  <c:v>119.1448</c:v>
                </c:pt>
                <c:pt idx="408">
                  <c:v>118.6339</c:v>
                </c:pt>
                <c:pt idx="409">
                  <c:v>116.63420000000001</c:v>
                </c:pt>
                <c:pt idx="410">
                  <c:v>116.62730000000001</c:v>
                </c:pt>
                <c:pt idx="411">
                  <c:v>116.1895</c:v>
                </c:pt>
                <c:pt idx="412">
                  <c:v>114.8105</c:v>
                </c:pt>
                <c:pt idx="413">
                  <c:v>114.6438</c:v>
                </c:pt>
                <c:pt idx="414">
                  <c:v>114.8449</c:v>
                </c:pt>
                <c:pt idx="415">
                  <c:v>114.846</c:v>
                </c:pt>
                <c:pt idx="416">
                  <c:v>114.0371</c:v>
                </c:pt>
                <c:pt idx="417">
                  <c:v>112.4482</c:v>
                </c:pt>
                <c:pt idx="418">
                  <c:v>112.8395</c:v>
                </c:pt>
                <c:pt idx="419">
                  <c:v>112.7736</c:v>
                </c:pt>
                <c:pt idx="420">
                  <c:v>113.1247</c:v>
                </c:pt>
                <c:pt idx="421">
                  <c:v>111.65479999999999</c:v>
                </c:pt>
                <c:pt idx="422">
                  <c:v>111.5569</c:v>
                </c:pt>
                <c:pt idx="423">
                  <c:v>110.9102</c:v>
                </c:pt>
                <c:pt idx="424">
                  <c:v>110.2103</c:v>
                </c:pt>
                <c:pt idx="425">
                  <c:v>109.7114</c:v>
                </c:pt>
                <c:pt idx="426">
                  <c:v>109.8625</c:v>
                </c:pt>
                <c:pt idx="427">
                  <c:v>109.06359999999999</c:v>
                </c:pt>
                <c:pt idx="428">
                  <c:v>109.5668</c:v>
                </c:pt>
                <c:pt idx="429">
                  <c:v>109.4679</c:v>
                </c:pt>
                <c:pt idx="430">
                  <c:v>109.26900000000001</c:v>
                </c:pt>
                <c:pt idx="431">
                  <c:v>108.2201</c:v>
                </c:pt>
                <c:pt idx="432">
                  <c:v>107.9712</c:v>
                </c:pt>
                <c:pt idx="433">
                  <c:v>108.6545</c:v>
                </c:pt>
                <c:pt idx="434">
                  <c:v>108.6756</c:v>
                </c:pt>
                <c:pt idx="435">
                  <c:v>108.35769999999999</c:v>
                </c:pt>
                <c:pt idx="436">
                  <c:v>108.8788</c:v>
                </c:pt>
                <c:pt idx="437">
                  <c:v>108.19889999999999</c:v>
                </c:pt>
                <c:pt idx="438">
                  <c:v>108.0802</c:v>
                </c:pt>
                <c:pt idx="439">
                  <c:v>108.0973</c:v>
                </c:pt>
                <c:pt idx="440">
                  <c:v>108.29040000000001</c:v>
                </c:pt>
                <c:pt idx="441">
                  <c:v>108.5855</c:v>
                </c:pt>
                <c:pt idx="442">
                  <c:v>108.2766</c:v>
                </c:pt>
                <c:pt idx="443">
                  <c:v>107.3899</c:v>
                </c:pt>
                <c:pt idx="444">
                  <c:v>109.057</c:v>
                </c:pt>
                <c:pt idx="445">
                  <c:v>108.59010000000001</c:v>
                </c:pt>
                <c:pt idx="446">
                  <c:v>109.0822</c:v>
                </c:pt>
                <c:pt idx="447">
                  <c:v>109.49420000000001</c:v>
                </c:pt>
                <c:pt idx="448">
                  <c:v>110.19750000000001</c:v>
                </c:pt>
                <c:pt idx="449">
                  <c:v>109.8086</c:v>
                </c:pt>
                <c:pt idx="450">
                  <c:v>109.69970000000001</c:v>
                </c:pt>
                <c:pt idx="451">
                  <c:v>109.70180000000001</c:v>
                </c:pt>
                <c:pt idx="452">
                  <c:v>109.7319</c:v>
                </c:pt>
                <c:pt idx="453">
                  <c:v>109.7042</c:v>
                </c:pt>
                <c:pt idx="454">
                  <c:v>108.1563</c:v>
                </c:pt>
                <c:pt idx="455">
                  <c:v>108.70740000000001</c:v>
                </c:pt>
                <c:pt idx="456">
                  <c:v>109.8475</c:v>
                </c:pt>
                <c:pt idx="457">
                  <c:v>110.7106</c:v>
                </c:pt>
                <c:pt idx="458">
                  <c:v>109.7129</c:v>
                </c:pt>
                <c:pt idx="459">
                  <c:v>108.714</c:v>
                </c:pt>
                <c:pt idx="460">
                  <c:v>108.23309999999999</c:v>
                </c:pt>
                <c:pt idx="461">
                  <c:v>108.4962</c:v>
                </c:pt>
                <c:pt idx="462">
                  <c:v>108.4443</c:v>
                </c:pt>
                <c:pt idx="463">
                  <c:v>109.52849999999999</c:v>
                </c:pt>
                <c:pt idx="464">
                  <c:v>109.7216</c:v>
                </c:pt>
                <c:pt idx="465">
                  <c:v>109.0527</c:v>
                </c:pt>
                <c:pt idx="466">
                  <c:v>109.5338</c:v>
                </c:pt>
                <c:pt idx="467">
                  <c:v>110.0249</c:v>
                </c:pt>
                <c:pt idx="468">
                  <c:v>108.0282</c:v>
                </c:pt>
                <c:pt idx="469">
                  <c:v>107.7393</c:v>
                </c:pt>
                <c:pt idx="470">
                  <c:v>106.0504</c:v>
                </c:pt>
                <c:pt idx="471">
                  <c:v>107.3415</c:v>
                </c:pt>
                <c:pt idx="472">
                  <c:v>106.7403</c:v>
                </c:pt>
                <c:pt idx="473">
                  <c:v>106.8536</c:v>
                </c:pt>
                <c:pt idx="474">
                  <c:v>105.54470000000001</c:v>
                </c:pt>
                <c:pt idx="475">
                  <c:v>107.5468</c:v>
                </c:pt>
                <c:pt idx="476">
                  <c:v>107.5468</c:v>
                </c:pt>
                <c:pt idx="477">
                  <c:v>106.74890000000001</c:v>
                </c:pt>
                <c:pt idx="478">
                  <c:v>106.74120000000001</c:v>
                </c:pt>
                <c:pt idx="479">
                  <c:v>106.6523</c:v>
                </c:pt>
                <c:pt idx="480">
                  <c:v>104.7534</c:v>
                </c:pt>
                <c:pt idx="481">
                  <c:v>104.5545</c:v>
                </c:pt>
                <c:pt idx="482">
                  <c:v>103.8866</c:v>
                </c:pt>
                <c:pt idx="483">
                  <c:v>103.298</c:v>
                </c:pt>
                <c:pt idx="484">
                  <c:v>103.7611</c:v>
                </c:pt>
                <c:pt idx="485">
                  <c:v>103.89919999999999</c:v>
                </c:pt>
                <c:pt idx="486">
                  <c:v>104.7533</c:v>
                </c:pt>
                <c:pt idx="487">
                  <c:v>104.4556</c:v>
                </c:pt>
                <c:pt idx="488">
                  <c:v>103.69970000000001</c:v>
                </c:pt>
                <c:pt idx="489">
                  <c:v>102.5538</c:v>
                </c:pt>
                <c:pt idx="490">
                  <c:v>102.76990000000001</c:v>
                </c:pt>
                <c:pt idx="491">
                  <c:v>102.748</c:v>
                </c:pt>
                <c:pt idx="492">
                  <c:v>102.5762</c:v>
                </c:pt>
                <c:pt idx="493">
                  <c:v>102.51730000000001</c:v>
                </c:pt>
                <c:pt idx="494">
                  <c:v>102.5014</c:v>
                </c:pt>
                <c:pt idx="495">
                  <c:v>102.5775</c:v>
                </c:pt>
                <c:pt idx="496">
                  <c:v>101.9786</c:v>
                </c:pt>
                <c:pt idx="497">
                  <c:v>102.7419</c:v>
                </c:pt>
                <c:pt idx="498">
                  <c:v>101.983</c:v>
                </c:pt>
                <c:pt idx="499">
                  <c:v>102.55410000000001</c:v>
                </c:pt>
                <c:pt idx="500">
                  <c:v>102.5792</c:v>
                </c:pt>
                <c:pt idx="501">
                  <c:v>102.3963</c:v>
                </c:pt>
                <c:pt idx="502">
                  <c:v>100.3896</c:v>
                </c:pt>
                <c:pt idx="503">
                  <c:v>99.699700000000007</c:v>
                </c:pt>
                <c:pt idx="504">
                  <c:v>99.608800000000002</c:v>
                </c:pt>
                <c:pt idx="505">
                  <c:v>99.692899999999995</c:v>
                </c:pt>
                <c:pt idx="506">
                  <c:v>99.697999999999993</c:v>
                </c:pt>
                <c:pt idx="507">
                  <c:v>99.707300000000004</c:v>
                </c:pt>
                <c:pt idx="508">
                  <c:v>99.398399999999995</c:v>
                </c:pt>
                <c:pt idx="509">
                  <c:v>99.313500000000005</c:v>
                </c:pt>
                <c:pt idx="510">
                  <c:v>98.370500000000007</c:v>
                </c:pt>
                <c:pt idx="511">
                  <c:v>98.111599999999996</c:v>
                </c:pt>
                <c:pt idx="512">
                  <c:v>97.729900000000001</c:v>
                </c:pt>
                <c:pt idx="513">
                  <c:v>98.805999999999997</c:v>
                </c:pt>
                <c:pt idx="514">
                  <c:v>101.37609999999999</c:v>
                </c:pt>
                <c:pt idx="515">
                  <c:v>101.70820000000001</c:v>
                </c:pt>
                <c:pt idx="516">
                  <c:v>100.1593</c:v>
                </c:pt>
                <c:pt idx="517">
                  <c:v>100.1626</c:v>
                </c:pt>
                <c:pt idx="518">
                  <c:v>99.574700000000007</c:v>
                </c:pt>
                <c:pt idx="519">
                  <c:v>98.640799999999999</c:v>
                </c:pt>
                <c:pt idx="520">
                  <c:v>97.919899999999998</c:v>
                </c:pt>
                <c:pt idx="521">
                  <c:v>97.917000000000002</c:v>
                </c:pt>
                <c:pt idx="522">
                  <c:v>98.8703</c:v>
                </c:pt>
                <c:pt idx="523">
                  <c:v>99.5214</c:v>
                </c:pt>
                <c:pt idx="524">
                  <c:v>101.5625</c:v>
                </c:pt>
                <c:pt idx="525">
                  <c:v>101.92359999999999</c:v>
                </c:pt>
                <c:pt idx="526">
                  <c:v>101.7247</c:v>
                </c:pt>
                <c:pt idx="527">
                  <c:v>103.6279</c:v>
                </c:pt>
                <c:pt idx="528">
                  <c:v>103.289</c:v>
                </c:pt>
                <c:pt idx="529">
                  <c:v>103.0231</c:v>
                </c:pt>
                <c:pt idx="530">
                  <c:v>103.4562</c:v>
                </c:pt>
                <c:pt idx="531">
                  <c:v>103.7893</c:v>
                </c:pt>
                <c:pt idx="532">
                  <c:v>104.0356</c:v>
                </c:pt>
                <c:pt idx="533">
                  <c:v>104.2567</c:v>
                </c:pt>
                <c:pt idx="534">
                  <c:v>103.5878</c:v>
                </c:pt>
                <c:pt idx="535">
                  <c:v>103.4389</c:v>
                </c:pt>
                <c:pt idx="536">
                  <c:v>104.05200000000001</c:v>
                </c:pt>
                <c:pt idx="537">
                  <c:v>103.3283</c:v>
                </c:pt>
                <c:pt idx="538">
                  <c:v>103.5444</c:v>
                </c:pt>
                <c:pt idx="539">
                  <c:v>103.04049999999999</c:v>
                </c:pt>
                <c:pt idx="540">
                  <c:v>103.14660000000001</c:v>
                </c:pt>
                <c:pt idx="541">
                  <c:v>102.4877</c:v>
                </c:pt>
                <c:pt idx="542">
                  <c:v>103.151</c:v>
                </c:pt>
                <c:pt idx="543">
                  <c:v>102.3141</c:v>
                </c:pt>
                <c:pt idx="544">
                  <c:v>101.4532</c:v>
                </c:pt>
                <c:pt idx="545">
                  <c:v>100.6542</c:v>
                </c:pt>
                <c:pt idx="546">
                  <c:v>100.63630000000001</c:v>
                </c:pt>
                <c:pt idx="547">
                  <c:v>100.56359999999999</c:v>
                </c:pt>
                <c:pt idx="548">
                  <c:v>101.3597</c:v>
                </c:pt>
                <c:pt idx="549">
                  <c:v>101.48480000000001</c:v>
                </c:pt>
                <c:pt idx="550">
                  <c:v>101.9619</c:v>
                </c:pt>
                <c:pt idx="551">
                  <c:v>101.961</c:v>
                </c:pt>
                <c:pt idx="552">
                  <c:v>101.4674</c:v>
                </c:pt>
                <c:pt idx="553">
                  <c:v>101.99850000000001</c:v>
                </c:pt>
                <c:pt idx="554">
                  <c:v>102.1686</c:v>
                </c:pt>
                <c:pt idx="555">
                  <c:v>102.4207</c:v>
                </c:pt>
                <c:pt idx="556">
                  <c:v>103.11799999999999</c:v>
                </c:pt>
                <c:pt idx="557">
                  <c:v>103.1651</c:v>
                </c:pt>
                <c:pt idx="558">
                  <c:v>103.6652</c:v>
                </c:pt>
                <c:pt idx="559">
                  <c:v>103.6773</c:v>
                </c:pt>
                <c:pt idx="560">
                  <c:v>104.4284</c:v>
                </c:pt>
                <c:pt idx="561">
                  <c:v>104.3806</c:v>
                </c:pt>
                <c:pt idx="562">
                  <c:v>104.9757</c:v>
                </c:pt>
                <c:pt idx="563">
                  <c:v>104.6678</c:v>
                </c:pt>
                <c:pt idx="564">
                  <c:v>103.9969</c:v>
                </c:pt>
                <c:pt idx="565">
                  <c:v>103.76600000000001</c:v>
                </c:pt>
                <c:pt idx="566">
                  <c:v>103.7893</c:v>
                </c:pt>
                <c:pt idx="567">
                  <c:v>104.04040000000001</c:v>
                </c:pt>
                <c:pt idx="568">
                  <c:v>103.99250000000001</c:v>
                </c:pt>
                <c:pt idx="569">
                  <c:v>103.9846</c:v>
                </c:pt>
                <c:pt idx="570">
                  <c:v>104.3437</c:v>
                </c:pt>
                <c:pt idx="571">
                  <c:v>104.70699999999999</c:v>
                </c:pt>
                <c:pt idx="572">
                  <c:v>103.64709999999999</c:v>
                </c:pt>
                <c:pt idx="573">
                  <c:v>104.2092</c:v>
                </c:pt>
                <c:pt idx="574">
                  <c:v>103.00230000000001</c:v>
                </c:pt>
                <c:pt idx="575">
                  <c:v>102.0014</c:v>
                </c:pt>
                <c:pt idx="576">
                  <c:v>104.00790000000001</c:v>
                </c:pt>
                <c:pt idx="577">
                  <c:v>103.69799999999999</c:v>
                </c:pt>
                <c:pt idx="578">
                  <c:v>103.60129999999999</c:v>
                </c:pt>
                <c:pt idx="579">
                  <c:v>104.9134</c:v>
                </c:pt>
                <c:pt idx="580">
                  <c:v>105.6955</c:v>
                </c:pt>
                <c:pt idx="581">
                  <c:v>106.51560000000001</c:v>
                </c:pt>
                <c:pt idx="582">
                  <c:v>108.17870000000001</c:v>
                </c:pt>
                <c:pt idx="583">
                  <c:v>109.08799999999999</c:v>
                </c:pt>
                <c:pt idx="584">
                  <c:v>108.92310000000001</c:v>
                </c:pt>
                <c:pt idx="585">
                  <c:v>108.92319999999999</c:v>
                </c:pt>
                <c:pt idx="586">
                  <c:v>109.9533</c:v>
                </c:pt>
                <c:pt idx="587">
                  <c:v>109.1144</c:v>
                </c:pt>
                <c:pt idx="588">
                  <c:v>109.7277</c:v>
                </c:pt>
                <c:pt idx="589">
                  <c:v>110.0488</c:v>
                </c:pt>
                <c:pt idx="590">
                  <c:v>110.9299</c:v>
                </c:pt>
                <c:pt idx="591">
                  <c:v>112.321</c:v>
                </c:pt>
                <c:pt idx="592">
                  <c:v>112.0321</c:v>
                </c:pt>
                <c:pt idx="593">
                  <c:v>113.0364</c:v>
                </c:pt>
                <c:pt idx="594">
                  <c:v>114.2375</c:v>
                </c:pt>
                <c:pt idx="595">
                  <c:v>114.3686</c:v>
                </c:pt>
                <c:pt idx="596">
                  <c:v>112.2997</c:v>
                </c:pt>
                <c:pt idx="597">
                  <c:v>109.943</c:v>
                </c:pt>
                <c:pt idx="598">
                  <c:v>108.25409999999999</c:v>
                </c:pt>
                <c:pt idx="599">
                  <c:v>108.6452</c:v>
                </c:pt>
                <c:pt idx="600">
                  <c:v>108.8663</c:v>
                </c:pt>
                <c:pt idx="601">
                  <c:v>111.81740000000001</c:v>
                </c:pt>
                <c:pt idx="602">
                  <c:v>113.7107</c:v>
                </c:pt>
                <c:pt idx="603">
                  <c:v>114.0018</c:v>
                </c:pt>
                <c:pt idx="604">
                  <c:v>113.4529</c:v>
                </c:pt>
                <c:pt idx="605">
                  <c:v>114.95399999999999</c:v>
                </c:pt>
                <c:pt idx="606">
                  <c:v>113.0551</c:v>
                </c:pt>
                <c:pt idx="607">
                  <c:v>111.4704</c:v>
                </c:pt>
                <c:pt idx="608">
                  <c:v>111.6795</c:v>
                </c:pt>
                <c:pt idx="609">
                  <c:v>113.0825</c:v>
                </c:pt>
                <c:pt idx="610">
                  <c:v>114.2616</c:v>
                </c:pt>
                <c:pt idx="611">
                  <c:v>113.6127</c:v>
                </c:pt>
                <c:pt idx="612">
                  <c:v>110.566</c:v>
                </c:pt>
                <c:pt idx="613">
                  <c:v>111.36709999999999</c:v>
                </c:pt>
                <c:pt idx="614">
                  <c:v>112.6662</c:v>
                </c:pt>
                <c:pt idx="615">
                  <c:v>109.9593</c:v>
                </c:pt>
                <c:pt idx="616">
                  <c:v>108.2704</c:v>
                </c:pt>
                <c:pt idx="617">
                  <c:v>107.3537</c:v>
                </c:pt>
                <c:pt idx="618">
                  <c:v>107.5538</c:v>
                </c:pt>
                <c:pt idx="619">
                  <c:v>107.9269</c:v>
                </c:pt>
                <c:pt idx="620">
                  <c:v>108.577</c:v>
                </c:pt>
                <c:pt idx="621">
                  <c:v>108.9781</c:v>
                </c:pt>
                <c:pt idx="622">
                  <c:v>107.62439999999999</c:v>
                </c:pt>
                <c:pt idx="623">
                  <c:v>105.9825</c:v>
                </c:pt>
                <c:pt idx="624">
                  <c:v>105.8036</c:v>
                </c:pt>
                <c:pt idx="625">
                  <c:v>105.8947</c:v>
                </c:pt>
                <c:pt idx="626">
                  <c:v>107.6408</c:v>
                </c:pt>
                <c:pt idx="627">
                  <c:v>106.989</c:v>
                </c:pt>
                <c:pt idx="628">
                  <c:v>107.1511</c:v>
                </c:pt>
                <c:pt idx="629">
                  <c:v>107.0112</c:v>
                </c:pt>
                <c:pt idx="630">
                  <c:v>105.8723</c:v>
                </c:pt>
                <c:pt idx="631">
                  <c:v>105.49339999999999</c:v>
                </c:pt>
                <c:pt idx="632">
                  <c:v>104.5022</c:v>
                </c:pt>
                <c:pt idx="633">
                  <c:v>101.6027</c:v>
                </c:pt>
                <c:pt idx="634">
                  <c:v>100.9033</c:v>
                </c:pt>
                <c:pt idx="635">
                  <c:v>100.70480000000001</c:v>
                </c:pt>
                <c:pt idx="636">
                  <c:v>101.3044</c:v>
                </c:pt>
                <c:pt idx="637">
                  <c:v>101.316</c:v>
                </c:pt>
                <c:pt idx="638">
                  <c:v>100.6266</c:v>
                </c:pt>
                <c:pt idx="639">
                  <c:v>100.3171</c:v>
                </c:pt>
                <c:pt idx="640">
                  <c:v>100.5077</c:v>
                </c:pt>
                <c:pt idx="641">
                  <c:v>100.6062</c:v>
                </c:pt>
                <c:pt idx="642">
                  <c:v>99.809899999999999</c:v>
                </c:pt>
                <c:pt idx="643">
                  <c:v>99.506399999999999</c:v>
                </c:pt>
                <c:pt idx="644">
                  <c:v>99.819000000000003</c:v>
                </c:pt>
                <c:pt idx="645">
                  <c:v>99.9315</c:v>
                </c:pt>
                <c:pt idx="646">
                  <c:v>99.312100000000001</c:v>
                </c:pt>
                <c:pt idx="647">
                  <c:v>99.5077</c:v>
                </c:pt>
                <c:pt idx="648">
                  <c:v>98.8142</c:v>
                </c:pt>
                <c:pt idx="649">
                  <c:v>98.314800000000005</c:v>
                </c:pt>
                <c:pt idx="650">
                  <c:v>98.126300000000001</c:v>
                </c:pt>
                <c:pt idx="651">
                  <c:v>98.115899999999996</c:v>
                </c:pt>
                <c:pt idx="652">
                  <c:v>97.527500000000003</c:v>
                </c:pt>
                <c:pt idx="653">
                  <c:v>97.408100000000005</c:v>
                </c:pt>
                <c:pt idx="654">
                  <c:v>97.331599999999995</c:v>
                </c:pt>
                <c:pt idx="655">
                  <c:v>97.624399999999994</c:v>
                </c:pt>
                <c:pt idx="656">
                  <c:v>97.331900000000005</c:v>
                </c:pt>
                <c:pt idx="657">
                  <c:v>97.855500000000006</c:v>
                </c:pt>
                <c:pt idx="658">
                  <c:v>98.075000000000003</c:v>
                </c:pt>
                <c:pt idx="659">
                  <c:v>98.373599999999996</c:v>
                </c:pt>
                <c:pt idx="660">
                  <c:v>98.600200000000001</c:v>
                </c:pt>
                <c:pt idx="661">
                  <c:v>99.025800000000004</c:v>
                </c:pt>
                <c:pt idx="662">
                  <c:v>99.560299999999998</c:v>
                </c:pt>
                <c:pt idx="663">
                  <c:v>100.0568</c:v>
                </c:pt>
                <c:pt idx="664">
                  <c:v>100.06440000000001</c:v>
                </c:pt>
                <c:pt idx="665">
                  <c:v>100.35</c:v>
                </c:pt>
                <c:pt idx="666">
                  <c:v>100.5796</c:v>
                </c:pt>
                <c:pt idx="667">
                  <c:v>100.4571</c:v>
                </c:pt>
                <c:pt idx="668">
                  <c:v>100.7307</c:v>
                </c:pt>
                <c:pt idx="669">
                  <c:v>101.63120000000001</c:v>
                </c:pt>
                <c:pt idx="670">
                  <c:v>101.8289</c:v>
                </c:pt>
                <c:pt idx="671">
                  <c:v>102.1824</c:v>
                </c:pt>
                <c:pt idx="672">
                  <c:v>102.03400000000001</c:v>
                </c:pt>
                <c:pt idx="673">
                  <c:v>102.0795</c:v>
                </c:pt>
                <c:pt idx="674">
                  <c:v>102.13509999999999</c:v>
                </c:pt>
                <c:pt idx="675">
                  <c:v>100.7377</c:v>
                </c:pt>
                <c:pt idx="676">
                  <c:v>100.84829999999999</c:v>
                </c:pt>
                <c:pt idx="677">
                  <c:v>100.9378</c:v>
                </c:pt>
                <c:pt idx="678">
                  <c:v>100.94840000000001</c:v>
                </c:pt>
                <c:pt idx="679">
                  <c:v>101.0389</c:v>
                </c:pt>
                <c:pt idx="680">
                  <c:v>100.9405</c:v>
                </c:pt>
                <c:pt idx="681">
                  <c:v>101.0411</c:v>
                </c:pt>
                <c:pt idx="682">
                  <c:v>101.44159999999999</c:v>
                </c:pt>
                <c:pt idx="683">
                  <c:v>101.23820000000001</c:v>
                </c:pt>
                <c:pt idx="684">
                  <c:v>103.3527</c:v>
                </c:pt>
                <c:pt idx="685">
                  <c:v>102.7444</c:v>
                </c:pt>
                <c:pt idx="686">
                  <c:v>101.1249</c:v>
                </c:pt>
                <c:pt idx="687">
                  <c:v>100.0485</c:v>
                </c:pt>
                <c:pt idx="688">
                  <c:v>100.337</c:v>
                </c:pt>
                <c:pt idx="689">
                  <c:v>100.4526</c:v>
                </c:pt>
                <c:pt idx="690">
                  <c:v>99.751199999999997</c:v>
                </c:pt>
                <c:pt idx="691">
                  <c:v>100.0508</c:v>
                </c:pt>
                <c:pt idx="692">
                  <c:v>100.9003</c:v>
                </c:pt>
                <c:pt idx="693">
                  <c:v>100.07989999999999</c:v>
                </c:pt>
                <c:pt idx="694">
                  <c:v>100.0394</c:v>
                </c:pt>
                <c:pt idx="695">
                  <c:v>100.35209999999999</c:v>
                </c:pt>
                <c:pt idx="696">
                  <c:v>98.164599999999993</c:v>
                </c:pt>
                <c:pt idx="697">
                  <c:v>97.181200000000004</c:v>
                </c:pt>
                <c:pt idx="698">
                  <c:v>97.473699999999994</c:v>
                </c:pt>
                <c:pt idx="699">
                  <c:v>97.014200000000002</c:v>
                </c:pt>
                <c:pt idx="700">
                  <c:v>97.451899999999995</c:v>
                </c:pt>
                <c:pt idx="701">
                  <c:v>97.256399999999999</c:v>
                </c:pt>
                <c:pt idx="702">
                  <c:v>97.966999999999999</c:v>
                </c:pt>
                <c:pt idx="703">
                  <c:v>98.456500000000005</c:v>
                </c:pt>
                <c:pt idx="704">
                  <c:v>99.238100000000003</c:v>
                </c:pt>
                <c:pt idx="705">
                  <c:v>99.953699999999998</c:v>
                </c:pt>
                <c:pt idx="706">
                  <c:v>99.930300000000003</c:v>
                </c:pt>
                <c:pt idx="707">
                  <c:v>100.3108</c:v>
                </c:pt>
                <c:pt idx="708">
                  <c:v>99.961399999999998</c:v>
                </c:pt>
                <c:pt idx="709">
                  <c:v>100.4169</c:v>
                </c:pt>
                <c:pt idx="710">
                  <c:v>101.0646</c:v>
                </c:pt>
                <c:pt idx="711">
                  <c:v>100.6641</c:v>
                </c:pt>
                <c:pt idx="712">
                  <c:v>101.1657</c:v>
                </c:pt>
                <c:pt idx="713">
                  <c:v>101.84520000000001</c:v>
                </c:pt>
                <c:pt idx="714">
                  <c:v>103.2158</c:v>
                </c:pt>
                <c:pt idx="715">
                  <c:v>104.3712</c:v>
                </c:pt>
                <c:pt idx="716">
                  <c:v>104.37479999999999</c:v>
                </c:pt>
                <c:pt idx="717">
                  <c:v>104.8733</c:v>
                </c:pt>
                <c:pt idx="718">
                  <c:v>104.6739</c:v>
                </c:pt>
                <c:pt idx="719">
                  <c:v>105.3751</c:v>
                </c:pt>
                <c:pt idx="720">
                  <c:v>104.9756</c:v>
                </c:pt>
                <c:pt idx="721">
                  <c:v>105.17619999999999</c:v>
                </c:pt>
                <c:pt idx="722">
                  <c:v>105.1067</c:v>
                </c:pt>
                <c:pt idx="723">
                  <c:v>105.1193</c:v>
                </c:pt>
                <c:pt idx="724">
                  <c:v>106.0459</c:v>
                </c:pt>
                <c:pt idx="725">
                  <c:v>105.7805</c:v>
                </c:pt>
                <c:pt idx="726">
                  <c:v>105.38200000000001</c:v>
                </c:pt>
                <c:pt idx="727">
                  <c:v>106.3775</c:v>
                </c:pt>
                <c:pt idx="728">
                  <c:v>106.00109999999999</c:v>
                </c:pt>
                <c:pt idx="729">
                  <c:v>106.9327</c:v>
                </c:pt>
                <c:pt idx="730">
                  <c:v>107.08329999999999</c:v>
                </c:pt>
                <c:pt idx="731">
                  <c:v>107.0838</c:v>
                </c:pt>
                <c:pt idx="732">
                  <c:v>107.09439999999999</c:v>
                </c:pt>
                <c:pt idx="733">
                  <c:v>106.9419</c:v>
                </c:pt>
                <c:pt idx="734">
                  <c:v>107.7196</c:v>
                </c:pt>
                <c:pt idx="735">
                  <c:v>107.8601</c:v>
                </c:pt>
                <c:pt idx="736">
                  <c:v>108.9207</c:v>
                </c:pt>
                <c:pt idx="737">
                  <c:v>109.24120000000001</c:v>
                </c:pt>
                <c:pt idx="738">
                  <c:v>108.3888</c:v>
                </c:pt>
                <c:pt idx="739">
                  <c:v>106.88039999999999</c:v>
                </c:pt>
                <c:pt idx="740">
                  <c:v>106.89100000000001</c:v>
                </c:pt>
                <c:pt idx="741">
                  <c:v>106.89149999999999</c:v>
                </c:pt>
                <c:pt idx="742">
                  <c:v>106.8931</c:v>
                </c:pt>
                <c:pt idx="743">
                  <c:v>106.1926</c:v>
                </c:pt>
                <c:pt idx="744">
                  <c:v>105.9432</c:v>
                </c:pt>
                <c:pt idx="745">
                  <c:v>106.8048</c:v>
                </c:pt>
                <c:pt idx="746">
                  <c:v>106.2953</c:v>
                </c:pt>
                <c:pt idx="747">
                  <c:v>107.19589999999999</c:v>
                </c:pt>
                <c:pt idx="748">
                  <c:v>107.8964</c:v>
                </c:pt>
                <c:pt idx="749">
                  <c:v>108.0231</c:v>
                </c:pt>
                <c:pt idx="750">
                  <c:v>108.4526</c:v>
                </c:pt>
                <c:pt idx="751">
                  <c:v>105.6002</c:v>
                </c:pt>
                <c:pt idx="752">
                  <c:v>107.4177</c:v>
                </c:pt>
                <c:pt idx="753">
                  <c:v>106.0003</c:v>
                </c:pt>
                <c:pt idx="754">
                  <c:v>105.72190000000001</c:v>
                </c:pt>
                <c:pt idx="755">
                  <c:v>107.35250000000001</c:v>
                </c:pt>
                <c:pt idx="756">
                  <c:v>109.10299999999999</c:v>
                </c:pt>
                <c:pt idx="757">
                  <c:v>110.0236</c:v>
                </c:pt>
                <c:pt idx="758">
                  <c:v>109.4341</c:v>
                </c:pt>
                <c:pt idx="759">
                  <c:v>109.7658</c:v>
                </c:pt>
                <c:pt idx="760">
                  <c:v>110.70529999999999</c:v>
                </c:pt>
                <c:pt idx="761">
                  <c:v>113.8378</c:v>
                </c:pt>
                <c:pt idx="762">
                  <c:v>114.4074</c:v>
                </c:pt>
                <c:pt idx="763">
                  <c:v>114.7089</c:v>
                </c:pt>
                <c:pt idx="764">
                  <c:v>113.80759999999999</c:v>
                </c:pt>
                <c:pt idx="765">
                  <c:v>113.2611</c:v>
                </c:pt>
                <c:pt idx="766">
                  <c:v>113.3107</c:v>
                </c:pt>
                <c:pt idx="767">
                  <c:v>113.6232</c:v>
                </c:pt>
                <c:pt idx="768">
                  <c:v>114.53279999999999</c:v>
                </c:pt>
                <c:pt idx="769">
                  <c:v>114.7234</c:v>
                </c:pt>
                <c:pt idx="770">
                  <c:v>114.664</c:v>
                </c:pt>
                <c:pt idx="771">
                  <c:v>111.8995</c:v>
                </c:pt>
                <c:pt idx="772">
                  <c:v>112.0681</c:v>
                </c:pt>
                <c:pt idx="773">
                  <c:v>111.9156</c:v>
                </c:pt>
                <c:pt idx="774">
                  <c:v>109.3873</c:v>
                </c:pt>
                <c:pt idx="775">
                  <c:v>108.5558</c:v>
                </c:pt>
                <c:pt idx="776">
                  <c:v>108.75839999999999</c:v>
                </c:pt>
                <c:pt idx="777">
                  <c:v>110.2189</c:v>
                </c:pt>
                <c:pt idx="778">
                  <c:v>111.89149999999999</c:v>
                </c:pt>
                <c:pt idx="779">
                  <c:v>114.7811</c:v>
                </c:pt>
                <c:pt idx="780">
                  <c:v>112.2216</c:v>
                </c:pt>
                <c:pt idx="781">
                  <c:v>111.2222</c:v>
                </c:pt>
                <c:pt idx="782">
                  <c:v>113.6087</c:v>
                </c:pt>
                <c:pt idx="783">
                  <c:v>113.59829999999999</c:v>
                </c:pt>
                <c:pt idx="784">
                  <c:v>113.81489999999999</c:v>
                </c:pt>
                <c:pt idx="785">
                  <c:v>113.2955</c:v>
                </c:pt>
                <c:pt idx="786">
                  <c:v>113.426</c:v>
                </c:pt>
                <c:pt idx="787">
                  <c:v>113.3266</c:v>
                </c:pt>
                <c:pt idx="788">
                  <c:v>117.8188</c:v>
                </c:pt>
                <c:pt idx="789">
                  <c:v>118.1193</c:v>
                </c:pt>
                <c:pt idx="790">
                  <c:v>118.90989999999999</c:v>
                </c:pt>
                <c:pt idx="791">
                  <c:v>120.1084</c:v>
                </c:pt>
                <c:pt idx="792">
                  <c:v>118.631</c:v>
                </c:pt>
                <c:pt idx="793">
                  <c:v>119.07259999999999</c:v>
                </c:pt>
                <c:pt idx="794">
                  <c:v>119.1332</c:v>
                </c:pt>
                <c:pt idx="795">
                  <c:v>119.8837</c:v>
                </c:pt>
                <c:pt idx="796">
                  <c:v>120.7842</c:v>
                </c:pt>
                <c:pt idx="797">
                  <c:v>116.02379999999999</c:v>
                </c:pt>
                <c:pt idx="798">
                  <c:v>116.7364</c:v>
                </c:pt>
                <c:pt idx="799">
                  <c:v>117.087</c:v>
                </c:pt>
                <c:pt idx="800">
                  <c:v>115.3875</c:v>
                </c:pt>
                <c:pt idx="801">
                  <c:v>116.9181</c:v>
                </c:pt>
                <c:pt idx="802">
                  <c:v>116.98860000000001</c:v>
                </c:pt>
                <c:pt idx="803">
                  <c:v>116.8253</c:v>
                </c:pt>
                <c:pt idx="804">
                  <c:v>116.6028</c:v>
                </c:pt>
                <c:pt idx="805">
                  <c:v>117.1264</c:v>
                </c:pt>
                <c:pt idx="806">
                  <c:v>117.5519</c:v>
                </c:pt>
                <c:pt idx="807">
                  <c:v>117.74250000000001</c:v>
                </c:pt>
                <c:pt idx="808">
                  <c:v>116.8741</c:v>
                </c:pt>
                <c:pt idx="809">
                  <c:v>117.3437</c:v>
                </c:pt>
                <c:pt idx="810">
                  <c:v>116.4952</c:v>
                </c:pt>
                <c:pt idx="811">
                  <c:v>116.5458</c:v>
                </c:pt>
                <c:pt idx="812">
                  <c:v>117.4263</c:v>
                </c:pt>
                <c:pt idx="813">
                  <c:v>116.8479</c:v>
                </c:pt>
                <c:pt idx="814">
                  <c:v>116.85850000000001</c:v>
                </c:pt>
                <c:pt idx="815">
                  <c:v>116.866</c:v>
                </c:pt>
                <c:pt idx="816">
                  <c:v>117.11960000000001</c:v>
                </c:pt>
                <c:pt idx="817">
                  <c:v>116.45010000000001</c:v>
                </c:pt>
                <c:pt idx="818">
                  <c:v>116.0518</c:v>
                </c:pt>
                <c:pt idx="819">
                  <c:v>115.6523</c:v>
                </c:pt>
                <c:pt idx="820">
                  <c:v>114.1529</c:v>
                </c:pt>
                <c:pt idx="821">
                  <c:v>115.4556</c:v>
                </c:pt>
                <c:pt idx="822">
                  <c:v>113.5462</c:v>
                </c:pt>
                <c:pt idx="823">
                  <c:v>113.8687</c:v>
                </c:pt>
                <c:pt idx="824">
                  <c:v>114.8663</c:v>
                </c:pt>
                <c:pt idx="825">
                  <c:v>114.15779999999999</c:v>
                </c:pt>
                <c:pt idx="826">
                  <c:v>117.45950000000001</c:v>
                </c:pt>
                <c:pt idx="827">
                  <c:v>117.661</c:v>
                </c:pt>
                <c:pt idx="828">
                  <c:v>115.6705</c:v>
                </c:pt>
                <c:pt idx="829">
                  <c:v>115.6611</c:v>
                </c:pt>
                <c:pt idx="830">
                  <c:v>117.9716</c:v>
                </c:pt>
                <c:pt idx="831">
                  <c:v>117.6433</c:v>
                </c:pt>
                <c:pt idx="832">
                  <c:v>118.47880000000001</c:v>
                </c:pt>
                <c:pt idx="833">
                  <c:v>118.9644</c:v>
                </c:pt>
                <c:pt idx="834">
                  <c:v>118.4729</c:v>
                </c:pt>
                <c:pt idx="835">
                  <c:v>117.87949999999999</c:v>
                </c:pt>
                <c:pt idx="836">
                  <c:v>118.5582</c:v>
                </c:pt>
                <c:pt idx="837">
                  <c:v>118.5488</c:v>
                </c:pt>
                <c:pt idx="838">
                  <c:v>118.4593</c:v>
                </c:pt>
                <c:pt idx="839">
                  <c:v>117.071</c:v>
                </c:pt>
                <c:pt idx="840">
                  <c:v>114.7715</c:v>
                </c:pt>
                <c:pt idx="841">
                  <c:v>115.0271</c:v>
                </c:pt>
                <c:pt idx="842">
                  <c:v>117.5226</c:v>
                </c:pt>
                <c:pt idx="843">
                  <c:v>116.72320000000001</c:v>
                </c:pt>
                <c:pt idx="844">
                  <c:v>115.8548</c:v>
                </c:pt>
                <c:pt idx="845">
                  <c:v>117.4753</c:v>
                </c:pt>
                <c:pt idx="846">
                  <c:v>118.8959</c:v>
                </c:pt>
                <c:pt idx="847">
                  <c:v>119.0964</c:v>
                </c:pt>
                <c:pt idx="848">
                  <c:v>119.685</c:v>
                </c:pt>
                <c:pt idx="849">
                  <c:v>119.87860000000001</c:v>
                </c:pt>
                <c:pt idx="850">
                  <c:v>119.5292</c:v>
                </c:pt>
                <c:pt idx="851">
                  <c:v>119.1297</c:v>
                </c:pt>
                <c:pt idx="852">
                  <c:v>118.9803</c:v>
                </c:pt>
                <c:pt idx="853">
                  <c:v>119.71080000000001</c:v>
                </c:pt>
                <c:pt idx="854">
                  <c:v>118.5625</c:v>
                </c:pt>
                <c:pt idx="855">
                  <c:v>116.30800000000001</c:v>
                </c:pt>
                <c:pt idx="856">
                  <c:v>116.0136</c:v>
                </c:pt>
                <c:pt idx="857">
                  <c:v>116.7841</c:v>
                </c:pt>
                <c:pt idx="858">
                  <c:v>116.32470000000001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15-4CD1-8F72-0EC102F70E61}"/>
            </c:ext>
          </c:extLst>
        </c:ser>
        <c:ser>
          <c:idx val="1"/>
          <c:order val="1"/>
          <c:spPr>
            <a:ln w="1905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个券数据!$D$1:$D$859</c:f>
              <c:numCache>
                <c:formatCode>yyyy/mm/dd\(aaa\)</c:formatCode>
                <c:ptCount val="859"/>
                <c:pt idx="0">
                  <c:v>44446</c:v>
                </c:pt>
                <c:pt idx="1">
                  <c:v>44446</c:v>
                </c:pt>
                <c:pt idx="2">
                  <c:v>44445</c:v>
                </c:pt>
                <c:pt idx="3">
                  <c:v>44442</c:v>
                </c:pt>
                <c:pt idx="4">
                  <c:v>44441</c:v>
                </c:pt>
                <c:pt idx="5">
                  <c:v>44440</c:v>
                </c:pt>
                <c:pt idx="6">
                  <c:v>44439</c:v>
                </c:pt>
                <c:pt idx="7">
                  <c:v>44438</c:v>
                </c:pt>
                <c:pt idx="8">
                  <c:v>44435</c:v>
                </c:pt>
                <c:pt idx="9">
                  <c:v>44434</c:v>
                </c:pt>
                <c:pt idx="10">
                  <c:v>44433</c:v>
                </c:pt>
                <c:pt idx="11">
                  <c:v>44432</c:v>
                </c:pt>
                <c:pt idx="12">
                  <c:v>44431</c:v>
                </c:pt>
                <c:pt idx="13">
                  <c:v>44428</c:v>
                </c:pt>
                <c:pt idx="14">
                  <c:v>44427</c:v>
                </c:pt>
                <c:pt idx="15">
                  <c:v>44426</c:v>
                </c:pt>
                <c:pt idx="16">
                  <c:v>44425</c:v>
                </c:pt>
                <c:pt idx="17">
                  <c:v>44424</c:v>
                </c:pt>
                <c:pt idx="18">
                  <c:v>44421</c:v>
                </c:pt>
                <c:pt idx="19">
                  <c:v>44420</c:v>
                </c:pt>
                <c:pt idx="20">
                  <c:v>44419</c:v>
                </c:pt>
                <c:pt idx="21">
                  <c:v>44418</c:v>
                </c:pt>
                <c:pt idx="22">
                  <c:v>44417</c:v>
                </c:pt>
                <c:pt idx="23">
                  <c:v>44414</c:v>
                </c:pt>
                <c:pt idx="24">
                  <c:v>44413</c:v>
                </c:pt>
                <c:pt idx="25">
                  <c:v>44412</c:v>
                </c:pt>
                <c:pt idx="26">
                  <c:v>44411</c:v>
                </c:pt>
                <c:pt idx="27">
                  <c:v>44410</c:v>
                </c:pt>
                <c:pt idx="28">
                  <c:v>44407</c:v>
                </c:pt>
                <c:pt idx="29">
                  <c:v>44406</c:v>
                </c:pt>
                <c:pt idx="30">
                  <c:v>44405</c:v>
                </c:pt>
                <c:pt idx="31">
                  <c:v>44404</c:v>
                </c:pt>
                <c:pt idx="32">
                  <c:v>44403</c:v>
                </c:pt>
                <c:pt idx="33">
                  <c:v>44400</c:v>
                </c:pt>
                <c:pt idx="34">
                  <c:v>44399</c:v>
                </c:pt>
                <c:pt idx="35">
                  <c:v>44398</c:v>
                </c:pt>
                <c:pt idx="36">
                  <c:v>44397</c:v>
                </c:pt>
                <c:pt idx="37">
                  <c:v>44396</c:v>
                </c:pt>
                <c:pt idx="38">
                  <c:v>44393</c:v>
                </c:pt>
                <c:pt idx="39">
                  <c:v>44392</c:v>
                </c:pt>
                <c:pt idx="40">
                  <c:v>44391</c:v>
                </c:pt>
                <c:pt idx="41">
                  <c:v>44390</c:v>
                </c:pt>
                <c:pt idx="42">
                  <c:v>44389</c:v>
                </c:pt>
                <c:pt idx="43">
                  <c:v>44386</c:v>
                </c:pt>
                <c:pt idx="44">
                  <c:v>44385</c:v>
                </c:pt>
                <c:pt idx="45">
                  <c:v>44384</c:v>
                </c:pt>
                <c:pt idx="46">
                  <c:v>44383</c:v>
                </c:pt>
                <c:pt idx="47">
                  <c:v>44382</c:v>
                </c:pt>
                <c:pt idx="48">
                  <c:v>44379</c:v>
                </c:pt>
                <c:pt idx="49">
                  <c:v>44378</c:v>
                </c:pt>
                <c:pt idx="50">
                  <c:v>44377</c:v>
                </c:pt>
                <c:pt idx="51">
                  <c:v>44376</c:v>
                </c:pt>
                <c:pt idx="52">
                  <c:v>44375</c:v>
                </c:pt>
                <c:pt idx="53">
                  <c:v>44372</c:v>
                </c:pt>
                <c:pt idx="54">
                  <c:v>44371</c:v>
                </c:pt>
                <c:pt idx="55">
                  <c:v>44370</c:v>
                </c:pt>
                <c:pt idx="56">
                  <c:v>44369</c:v>
                </c:pt>
                <c:pt idx="57">
                  <c:v>44368</c:v>
                </c:pt>
                <c:pt idx="58">
                  <c:v>44365</c:v>
                </c:pt>
                <c:pt idx="59">
                  <c:v>44364</c:v>
                </c:pt>
                <c:pt idx="60">
                  <c:v>44363</c:v>
                </c:pt>
                <c:pt idx="61">
                  <c:v>44362</c:v>
                </c:pt>
                <c:pt idx="62">
                  <c:v>44358</c:v>
                </c:pt>
                <c:pt idx="63">
                  <c:v>44357</c:v>
                </c:pt>
                <c:pt idx="64">
                  <c:v>44356</c:v>
                </c:pt>
                <c:pt idx="65">
                  <c:v>44355</c:v>
                </c:pt>
                <c:pt idx="66">
                  <c:v>44354</c:v>
                </c:pt>
                <c:pt idx="67">
                  <c:v>44351</c:v>
                </c:pt>
                <c:pt idx="68">
                  <c:v>44350</c:v>
                </c:pt>
                <c:pt idx="69">
                  <c:v>44349</c:v>
                </c:pt>
                <c:pt idx="70">
                  <c:v>44348</c:v>
                </c:pt>
                <c:pt idx="71">
                  <c:v>44347</c:v>
                </c:pt>
                <c:pt idx="72">
                  <c:v>44344</c:v>
                </c:pt>
                <c:pt idx="73">
                  <c:v>44343</c:v>
                </c:pt>
                <c:pt idx="74">
                  <c:v>44342</c:v>
                </c:pt>
                <c:pt idx="75">
                  <c:v>44341</c:v>
                </c:pt>
                <c:pt idx="76">
                  <c:v>44340</c:v>
                </c:pt>
                <c:pt idx="77">
                  <c:v>44337</c:v>
                </c:pt>
                <c:pt idx="78">
                  <c:v>44336</c:v>
                </c:pt>
                <c:pt idx="79">
                  <c:v>44335</c:v>
                </c:pt>
                <c:pt idx="80">
                  <c:v>44334</c:v>
                </c:pt>
                <c:pt idx="81">
                  <c:v>44333</c:v>
                </c:pt>
                <c:pt idx="82">
                  <c:v>44330</c:v>
                </c:pt>
                <c:pt idx="83">
                  <c:v>44329</c:v>
                </c:pt>
                <c:pt idx="84">
                  <c:v>44328</c:v>
                </c:pt>
                <c:pt idx="85">
                  <c:v>44327</c:v>
                </c:pt>
                <c:pt idx="86">
                  <c:v>44326</c:v>
                </c:pt>
                <c:pt idx="87">
                  <c:v>44323</c:v>
                </c:pt>
                <c:pt idx="88">
                  <c:v>44322</c:v>
                </c:pt>
                <c:pt idx="89">
                  <c:v>44316</c:v>
                </c:pt>
                <c:pt idx="90">
                  <c:v>44315</c:v>
                </c:pt>
                <c:pt idx="91">
                  <c:v>44314</c:v>
                </c:pt>
                <c:pt idx="92">
                  <c:v>44313</c:v>
                </c:pt>
                <c:pt idx="93">
                  <c:v>44312</c:v>
                </c:pt>
                <c:pt idx="94">
                  <c:v>44309</c:v>
                </c:pt>
                <c:pt idx="95">
                  <c:v>44308</c:v>
                </c:pt>
                <c:pt idx="96">
                  <c:v>44307</c:v>
                </c:pt>
                <c:pt idx="97">
                  <c:v>44306</c:v>
                </c:pt>
                <c:pt idx="98">
                  <c:v>44305</c:v>
                </c:pt>
                <c:pt idx="99">
                  <c:v>44302</c:v>
                </c:pt>
                <c:pt idx="100">
                  <c:v>44301</c:v>
                </c:pt>
                <c:pt idx="101">
                  <c:v>44300</c:v>
                </c:pt>
                <c:pt idx="102">
                  <c:v>44299</c:v>
                </c:pt>
                <c:pt idx="103">
                  <c:v>44298</c:v>
                </c:pt>
                <c:pt idx="104">
                  <c:v>44295</c:v>
                </c:pt>
                <c:pt idx="105">
                  <c:v>44294</c:v>
                </c:pt>
                <c:pt idx="106">
                  <c:v>44293</c:v>
                </c:pt>
                <c:pt idx="107">
                  <c:v>44292</c:v>
                </c:pt>
                <c:pt idx="108">
                  <c:v>44288</c:v>
                </c:pt>
                <c:pt idx="109">
                  <c:v>44287</c:v>
                </c:pt>
                <c:pt idx="110">
                  <c:v>44286</c:v>
                </c:pt>
                <c:pt idx="111">
                  <c:v>44285</c:v>
                </c:pt>
                <c:pt idx="112">
                  <c:v>44284</c:v>
                </c:pt>
                <c:pt idx="113">
                  <c:v>44281</c:v>
                </c:pt>
                <c:pt idx="114">
                  <c:v>44280</c:v>
                </c:pt>
                <c:pt idx="115">
                  <c:v>44279</c:v>
                </c:pt>
                <c:pt idx="116">
                  <c:v>44278</c:v>
                </c:pt>
                <c:pt idx="117">
                  <c:v>44277</c:v>
                </c:pt>
                <c:pt idx="118">
                  <c:v>44274</c:v>
                </c:pt>
                <c:pt idx="119">
                  <c:v>44273</c:v>
                </c:pt>
                <c:pt idx="120">
                  <c:v>44272</c:v>
                </c:pt>
                <c:pt idx="121">
                  <c:v>44271</c:v>
                </c:pt>
                <c:pt idx="122">
                  <c:v>44270</c:v>
                </c:pt>
                <c:pt idx="123">
                  <c:v>44267</c:v>
                </c:pt>
                <c:pt idx="124">
                  <c:v>44266</c:v>
                </c:pt>
                <c:pt idx="125">
                  <c:v>44265</c:v>
                </c:pt>
                <c:pt idx="126">
                  <c:v>44264</c:v>
                </c:pt>
                <c:pt idx="127">
                  <c:v>44263</c:v>
                </c:pt>
                <c:pt idx="128">
                  <c:v>44260</c:v>
                </c:pt>
                <c:pt idx="129">
                  <c:v>44259</c:v>
                </c:pt>
                <c:pt idx="130">
                  <c:v>44258</c:v>
                </c:pt>
                <c:pt idx="131">
                  <c:v>44257</c:v>
                </c:pt>
                <c:pt idx="132">
                  <c:v>44256</c:v>
                </c:pt>
                <c:pt idx="133">
                  <c:v>44253</c:v>
                </c:pt>
                <c:pt idx="134">
                  <c:v>44252</c:v>
                </c:pt>
                <c:pt idx="135">
                  <c:v>44251</c:v>
                </c:pt>
                <c:pt idx="136">
                  <c:v>44250</c:v>
                </c:pt>
                <c:pt idx="137">
                  <c:v>44249</c:v>
                </c:pt>
                <c:pt idx="138">
                  <c:v>44246</c:v>
                </c:pt>
                <c:pt idx="139">
                  <c:v>44245</c:v>
                </c:pt>
                <c:pt idx="140">
                  <c:v>44237</c:v>
                </c:pt>
                <c:pt idx="141">
                  <c:v>44236</c:v>
                </c:pt>
                <c:pt idx="142">
                  <c:v>44235</c:v>
                </c:pt>
                <c:pt idx="143">
                  <c:v>44232</c:v>
                </c:pt>
                <c:pt idx="144">
                  <c:v>44231</c:v>
                </c:pt>
                <c:pt idx="145">
                  <c:v>44230</c:v>
                </c:pt>
                <c:pt idx="146">
                  <c:v>44229</c:v>
                </c:pt>
                <c:pt idx="147">
                  <c:v>44228</c:v>
                </c:pt>
                <c:pt idx="148">
                  <c:v>44225</c:v>
                </c:pt>
                <c:pt idx="149">
                  <c:v>44224</c:v>
                </c:pt>
                <c:pt idx="150">
                  <c:v>44223</c:v>
                </c:pt>
                <c:pt idx="151">
                  <c:v>44222</c:v>
                </c:pt>
                <c:pt idx="152">
                  <c:v>44221</c:v>
                </c:pt>
                <c:pt idx="153">
                  <c:v>44218</c:v>
                </c:pt>
                <c:pt idx="154">
                  <c:v>44217</c:v>
                </c:pt>
                <c:pt idx="155">
                  <c:v>44216</c:v>
                </c:pt>
                <c:pt idx="156">
                  <c:v>44215</c:v>
                </c:pt>
                <c:pt idx="157">
                  <c:v>44214</c:v>
                </c:pt>
                <c:pt idx="158">
                  <c:v>44211</c:v>
                </c:pt>
                <c:pt idx="159">
                  <c:v>44210</c:v>
                </c:pt>
                <c:pt idx="160">
                  <c:v>44209</c:v>
                </c:pt>
                <c:pt idx="161">
                  <c:v>44208</c:v>
                </c:pt>
                <c:pt idx="162">
                  <c:v>44207</c:v>
                </c:pt>
                <c:pt idx="163">
                  <c:v>44204</c:v>
                </c:pt>
                <c:pt idx="164">
                  <c:v>44203</c:v>
                </c:pt>
                <c:pt idx="165">
                  <c:v>44202</c:v>
                </c:pt>
                <c:pt idx="166">
                  <c:v>44201</c:v>
                </c:pt>
                <c:pt idx="167">
                  <c:v>44200</c:v>
                </c:pt>
                <c:pt idx="168">
                  <c:v>44196</c:v>
                </c:pt>
                <c:pt idx="169">
                  <c:v>44195</c:v>
                </c:pt>
                <c:pt idx="170">
                  <c:v>44194</c:v>
                </c:pt>
                <c:pt idx="171">
                  <c:v>44193</c:v>
                </c:pt>
                <c:pt idx="172">
                  <c:v>44190</c:v>
                </c:pt>
                <c:pt idx="173">
                  <c:v>44189</c:v>
                </c:pt>
                <c:pt idx="174">
                  <c:v>44188</c:v>
                </c:pt>
                <c:pt idx="175">
                  <c:v>44187</c:v>
                </c:pt>
                <c:pt idx="176">
                  <c:v>44186</c:v>
                </c:pt>
                <c:pt idx="177">
                  <c:v>44183</c:v>
                </c:pt>
                <c:pt idx="178">
                  <c:v>44182</c:v>
                </c:pt>
                <c:pt idx="179">
                  <c:v>44181</c:v>
                </c:pt>
                <c:pt idx="180">
                  <c:v>44180</c:v>
                </c:pt>
                <c:pt idx="181">
                  <c:v>44179</c:v>
                </c:pt>
                <c:pt idx="182">
                  <c:v>44176</c:v>
                </c:pt>
                <c:pt idx="183">
                  <c:v>44175</c:v>
                </c:pt>
                <c:pt idx="184">
                  <c:v>44174</c:v>
                </c:pt>
                <c:pt idx="185">
                  <c:v>44173</c:v>
                </c:pt>
                <c:pt idx="186">
                  <c:v>44172</c:v>
                </c:pt>
                <c:pt idx="187">
                  <c:v>44169</c:v>
                </c:pt>
                <c:pt idx="188">
                  <c:v>44168</c:v>
                </c:pt>
                <c:pt idx="189">
                  <c:v>44167</c:v>
                </c:pt>
                <c:pt idx="190">
                  <c:v>44166</c:v>
                </c:pt>
                <c:pt idx="191">
                  <c:v>44165</c:v>
                </c:pt>
                <c:pt idx="192">
                  <c:v>44162</c:v>
                </c:pt>
                <c:pt idx="193">
                  <c:v>44161</c:v>
                </c:pt>
                <c:pt idx="194">
                  <c:v>44160</c:v>
                </c:pt>
                <c:pt idx="195">
                  <c:v>44159</c:v>
                </c:pt>
                <c:pt idx="196">
                  <c:v>44158</c:v>
                </c:pt>
                <c:pt idx="197">
                  <c:v>44155</c:v>
                </c:pt>
                <c:pt idx="198">
                  <c:v>44154</c:v>
                </c:pt>
                <c:pt idx="199">
                  <c:v>44153</c:v>
                </c:pt>
                <c:pt idx="200">
                  <c:v>44152</c:v>
                </c:pt>
                <c:pt idx="201">
                  <c:v>44151</c:v>
                </c:pt>
                <c:pt idx="202">
                  <c:v>44148</c:v>
                </c:pt>
                <c:pt idx="203">
                  <c:v>44147</c:v>
                </c:pt>
                <c:pt idx="204">
                  <c:v>44146</c:v>
                </c:pt>
                <c:pt idx="205">
                  <c:v>44145</c:v>
                </c:pt>
                <c:pt idx="206">
                  <c:v>44144</c:v>
                </c:pt>
                <c:pt idx="207">
                  <c:v>44141</c:v>
                </c:pt>
                <c:pt idx="208">
                  <c:v>44140</c:v>
                </c:pt>
                <c:pt idx="209">
                  <c:v>44139</c:v>
                </c:pt>
                <c:pt idx="210">
                  <c:v>44138</c:v>
                </c:pt>
                <c:pt idx="211">
                  <c:v>44137</c:v>
                </c:pt>
                <c:pt idx="212">
                  <c:v>44134</c:v>
                </c:pt>
                <c:pt idx="213">
                  <c:v>44133</c:v>
                </c:pt>
                <c:pt idx="214">
                  <c:v>44132</c:v>
                </c:pt>
                <c:pt idx="215">
                  <c:v>44131</c:v>
                </c:pt>
                <c:pt idx="216">
                  <c:v>44130</c:v>
                </c:pt>
                <c:pt idx="217">
                  <c:v>44127</c:v>
                </c:pt>
                <c:pt idx="218">
                  <c:v>44126</c:v>
                </c:pt>
                <c:pt idx="219">
                  <c:v>44125</c:v>
                </c:pt>
                <c:pt idx="220">
                  <c:v>44124</c:v>
                </c:pt>
                <c:pt idx="221">
                  <c:v>44123</c:v>
                </c:pt>
                <c:pt idx="222">
                  <c:v>44120</c:v>
                </c:pt>
                <c:pt idx="223">
                  <c:v>44119</c:v>
                </c:pt>
                <c:pt idx="224">
                  <c:v>44118</c:v>
                </c:pt>
                <c:pt idx="225">
                  <c:v>44117</c:v>
                </c:pt>
                <c:pt idx="226">
                  <c:v>44116</c:v>
                </c:pt>
                <c:pt idx="227">
                  <c:v>44113</c:v>
                </c:pt>
                <c:pt idx="228">
                  <c:v>44104</c:v>
                </c:pt>
                <c:pt idx="229">
                  <c:v>44103</c:v>
                </c:pt>
                <c:pt idx="230">
                  <c:v>44102</c:v>
                </c:pt>
                <c:pt idx="231">
                  <c:v>44099</c:v>
                </c:pt>
                <c:pt idx="232">
                  <c:v>44098</c:v>
                </c:pt>
                <c:pt idx="233">
                  <c:v>44097</c:v>
                </c:pt>
                <c:pt idx="234">
                  <c:v>44096</c:v>
                </c:pt>
                <c:pt idx="235">
                  <c:v>44095</c:v>
                </c:pt>
                <c:pt idx="236">
                  <c:v>44092</c:v>
                </c:pt>
                <c:pt idx="237">
                  <c:v>44091</c:v>
                </c:pt>
                <c:pt idx="238">
                  <c:v>44090</c:v>
                </c:pt>
                <c:pt idx="239">
                  <c:v>44089</c:v>
                </c:pt>
                <c:pt idx="240">
                  <c:v>44088</c:v>
                </c:pt>
                <c:pt idx="241">
                  <c:v>44085</c:v>
                </c:pt>
                <c:pt idx="242">
                  <c:v>44084</c:v>
                </c:pt>
                <c:pt idx="243">
                  <c:v>44083</c:v>
                </c:pt>
                <c:pt idx="244">
                  <c:v>44082</c:v>
                </c:pt>
                <c:pt idx="245">
                  <c:v>44081</c:v>
                </c:pt>
                <c:pt idx="246">
                  <c:v>44078</c:v>
                </c:pt>
                <c:pt idx="247">
                  <c:v>44077</c:v>
                </c:pt>
                <c:pt idx="248">
                  <c:v>44076</c:v>
                </c:pt>
                <c:pt idx="249">
                  <c:v>44075</c:v>
                </c:pt>
                <c:pt idx="250">
                  <c:v>44074</c:v>
                </c:pt>
                <c:pt idx="251">
                  <c:v>44071</c:v>
                </c:pt>
                <c:pt idx="252">
                  <c:v>44070</c:v>
                </c:pt>
                <c:pt idx="253">
                  <c:v>44069</c:v>
                </c:pt>
                <c:pt idx="254">
                  <c:v>44068</c:v>
                </c:pt>
                <c:pt idx="255">
                  <c:v>44067</c:v>
                </c:pt>
                <c:pt idx="256">
                  <c:v>44064</c:v>
                </c:pt>
                <c:pt idx="257">
                  <c:v>44063</c:v>
                </c:pt>
                <c:pt idx="258">
                  <c:v>44062</c:v>
                </c:pt>
                <c:pt idx="259">
                  <c:v>44061</c:v>
                </c:pt>
                <c:pt idx="260">
                  <c:v>44060</c:v>
                </c:pt>
                <c:pt idx="261">
                  <c:v>44057</c:v>
                </c:pt>
                <c:pt idx="262">
                  <c:v>44056</c:v>
                </c:pt>
                <c:pt idx="263">
                  <c:v>44055</c:v>
                </c:pt>
                <c:pt idx="264">
                  <c:v>44054</c:v>
                </c:pt>
                <c:pt idx="265">
                  <c:v>44053</c:v>
                </c:pt>
                <c:pt idx="266">
                  <c:v>44050</c:v>
                </c:pt>
                <c:pt idx="267">
                  <c:v>44049</c:v>
                </c:pt>
                <c:pt idx="268">
                  <c:v>44048</c:v>
                </c:pt>
                <c:pt idx="269">
                  <c:v>44047</c:v>
                </c:pt>
                <c:pt idx="270">
                  <c:v>44046</c:v>
                </c:pt>
                <c:pt idx="271">
                  <c:v>44043</c:v>
                </c:pt>
                <c:pt idx="272">
                  <c:v>44042</c:v>
                </c:pt>
                <c:pt idx="273">
                  <c:v>44041</c:v>
                </c:pt>
                <c:pt idx="274">
                  <c:v>44040</c:v>
                </c:pt>
                <c:pt idx="275">
                  <c:v>44039</c:v>
                </c:pt>
                <c:pt idx="276">
                  <c:v>44036</c:v>
                </c:pt>
                <c:pt idx="277">
                  <c:v>44035</c:v>
                </c:pt>
                <c:pt idx="278">
                  <c:v>44034</c:v>
                </c:pt>
                <c:pt idx="279">
                  <c:v>44033</c:v>
                </c:pt>
                <c:pt idx="280">
                  <c:v>44032</c:v>
                </c:pt>
                <c:pt idx="281">
                  <c:v>44029</c:v>
                </c:pt>
                <c:pt idx="282">
                  <c:v>44028</c:v>
                </c:pt>
                <c:pt idx="283">
                  <c:v>44027</c:v>
                </c:pt>
                <c:pt idx="284">
                  <c:v>44026</c:v>
                </c:pt>
                <c:pt idx="285">
                  <c:v>44025</c:v>
                </c:pt>
                <c:pt idx="286">
                  <c:v>44022</c:v>
                </c:pt>
                <c:pt idx="287">
                  <c:v>44021</c:v>
                </c:pt>
                <c:pt idx="288">
                  <c:v>44020</c:v>
                </c:pt>
                <c:pt idx="289">
                  <c:v>44019</c:v>
                </c:pt>
                <c:pt idx="290">
                  <c:v>44018</c:v>
                </c:pt>
                <c:pt idx="291">
                  <c:v>44015</c:v>
                </c:pt>
                <c:pt idx="292">
                  <c:v>44014</c:v>
                </c:pt>
                <c:pt idx="293">
                  <c:v>44013</c:v>
                </c:pt>
                <c:pt idx="294">
                  <c:v>44012</c:v>
                </c:pt>
                <c:pt idx="295">
                  <c:v>44011</c:v>
                </c:pt>
                <c:pt idx="296">
                  <c:v>44006</c:v>
                </c:pt>
                <c:pt idx="297">
                  <c:v>44005</c:v>
                </c:pt>
                <c:pt idx="298">
                  <c:v>44004</c:v>
                </c:pt>
                <c:pt idx="299">
                  <c:v>44001</c:v>
                </c:pt>
                <c:pt idx="300">
                  <c:v>44000</c:v>
                </c:pt>
                <c:pt idx="301">
                  <c:v>43999</c:v>
                </c:pt>
                <c:pt idx="302">
                  <c:v>43998</c:v>
                </c:pt>
                <c:pt idx="303">
                  <c:v>43997</c:v>
                </c:pt>
                <c:pt idx="304">
                  <c:v>43994</c:v>
                </c:pt>
                <c:pt idx="305">
                  <c:v>43993</c:v>
                </c:pt>
                <c:pt idx="306">
                  <c:v>43992</c:v>
                </c:pt>
                <c:pt idx="307">
                  <c:v>43991</c:v>
                </c:pt>
                <c:pt idx="308">
                  <c:v>43990</c:v>
                </c:pt>
                <c:pt idx="309">
                  <c:v>43987</c:v>
                </c:pt>
                <c:pt idx="310">
                  <c:v>43986</c:v>
                </c:pt>
                <c:pt idx="311">
                  <c:v>43985</c:v>
                </c:pt>
                <c:pt idx="312">
                  <c:v>43984</c:v>
                </c:pt>
                <c:pt idx="313">
                  <c:v>43983</c:v>
                </c:pt>
                <c:pt idx="314">
                  <c:v>43980</c:v>
                </c:pt>
                <c:pt idx="315">
                  <c:v>43979</c:v>
                </c:pt>
                <c:pt idx="316">
                  <c:v>43978</c:v>
                </c:pt>
                <c:pt idx="317">
                  <c:v>43977</c:v>
                </c:pt>
                <c:pt idx="318">
                  <c:v>43976</c:v>
                </c:pt>
                <c:pt idx="319">
                  <c:v>43973</c:v>
                </c:pt>
                <c:pt idx="320">
                  <c:v>43972</c:v>
                </c:pt>
                <c:pt idx="321">
                  <c:v>43971</c:v>
                </c:pt>
                <c:pt idx="322">
                  <c:v>43970</c:v>
                </c:pt>
                <c:pt idx="323">
                  <c:v>43969</c:v>
                </c:pt>
                <c:pt idx="324">
                  <c:v>43966</c:v>
                </c:pt>
                <c:pt idx="325">
                  <c:v>43965</c:v>
                </c:pt>
                <c:pt idx="326">
                  <c:v>43964</c:v>
                </c:pt>
                <c:pt idx="327">
                  <c:v>43963</c:v>
                </c:pt>
                <c:pt idx="328">
                  <c:v>43962</c:v>
                </c:pt>
                <c:pt idx="329">
                  <c:v>43959</c:v>
                </c:pt>
                <c:pt idx="330">
                  <c:v>43958</c:v>
                </c:pt>
                <c:pt idx="331">
                  <c:v>43957</c:v>
                </c:pt>
                <c:pt idx="332">
                  <c:v>43951</c:v>
                </c:pt>
                <c:pt idx="333">
                  <c:v>43950</c:v>
                </c:pt>
                <c:pt idx="334">
                  <c:v>43949</c:v>
                </c:pt>
                <c:pt idx="335">
                  <c:v>43948</c:v>
                </c:pt>
                <c:pt idx="336">
                  <c:v>43945</c:v>
                </c:pt>
                <c:pt idx="337">
                  <c:v>43944</c:v>
                </c:pt>
                <c:pt idx="338">
                  <c:v>43943</c:v>
                </c:pt>
                <c:pt idx="339">
                  <c:v>43942</c:v>
                </c:pt>
                <c:pt idx="340">
                  <c:v>43941</c:v>
                </c:pt>
                <c:pt idx="341">
                  <c:v>43938</c:v>
                </c:pt>
                <c:pt idx="342">
                  <c:v>43937</c:v>
                </c:pt>
                <c:pt idx="343">
                  <c:v>43936</c:v>
                </c:pt>
                <c:pt idx="344">
                  <c:v>43935</c:v>
                </c:pt>
                <c:pt idx="345">
                  <c:v>43934</c:v>
                </c:pt>
                <c:pt idx="346">
                  <c:v>43931</c:v>
                </c:pt>
                <c:pt idx="347">
                  <c:v>43930</c:v>
                </c:pt>
                <c:pt idx="348">
                  <c:v>43929</c:v>
                </c:pt>
                <c:pt idx="349">
                  <c:v>43928</c:v>
                </c:pt>
                <c:pt idx="350">
                  <c:v>43924</c:v>
                </c:pt>
                <c:pt idx="351">
                  <c:v>43923</c:v>
                </c:pt>
                <c:pt idx="352">
                  <c:v>43922</c:v>
                </c:pt>
                <c:pt idx="353">
                  <c:v>43921</c:v>
                </c:pt>
                <c:pt idx="354">
                  <c:v>43920</c:v>
                </c:pt>
                <c:pt idx="355">
                  <c:v>43917</c:v>
                </c:pt>
                <c:pt idx="356">
                  <c:v>43916</c:v>
                </c:pt>
                <c:pt idx="357">
                  <c:v>43915</c:v>
                </c:pt>
                <c:pt idx="358">
                  <c:v>43914</c:v>
                </c:pt>
                <c:pt idx="359">
                  <c:v>43913</c:v>
                </c:pt>
                <c:pt idx="360">
                  <c:v>43910</c:v>
                </c:pt>
                <c:pt idx="361">
                  <c:v>43909</c:v>
                </c:pt>
                <c:pt idx="362">
                  <c:v>43908</c:v>
                </c:pt>
                <c:pt idx="363">
                  <c:v>43907</c:v>
                </c:pt>
                <c:pt idx="364">
                  <c:v>43906</c:v>
                </c:pt>
                <c:pt idx="365">
                  <c:v>43903</c:v>
                </c:pt>
                <c:pt idx="366">
                  <c:v>43902</c:v>
                </c:pt>
                <c:pt idx="367">
                  <c:v>43901</c:v>
                </c:pt>
                <c:pt idx="368">
                  <c:v>43900</c:v>
                </c:pt>
                <c:pt idx="369">
                  <c:v>43899</c:v>
                </c:pt>
                <c:pt idx="370">
                  <c:v>43896</c:v>
                </c:pt>
                <c:pt idx="371">
                  <c:v>43895</c:v>
                </c:pt>
                <c:pt idx="372">
                  <c:v>43894</c:v>
                </c:pt>
                <c:pt idx="373">
                  <c:v>43893</c:v>
                </c:pt>
                <c:pt idx="374">
                  <c:v>43892</c:v>
                </c:pt>
                <c:pt idx="375">
                  <c:v>43889</c:v>
                </c:pt>
                <c:pt idx="376">
                  <c:v>43888</c:v>
                </c:pt>
                <c:pt idx="377">
                  <c:v>43887</c:v>
                </c:pt>
                <c:pt idx="378">
                  <c:v>43886</c:v>
                </c:pt>
                <c:pt idx="379">
                  <c:v>43885</c:v>
                </c:pt>
                <c:pt idx="380">
                  <c:v>43882</c:v>
                </c:pt>
                <c:pt idx="381">
                  <c:v>43881</c:v>
                </c:pt>
                <c:pt idx="382">
                  <c:v>43880</c:v>
                </c:pt>
                <c:pt idx="383">
                  <c:v>43879</c:v>
                </c:pt>
                <c:pt idx="384">
                  <c:v>43878</c:v>
                </c:pt>
                <c:pt idx="385">
                  <c:v>43875</c:v>
                </c:pt>
                <c:pt idx="386">
                  <c:v>43874</c:v>
                </c:pt>
                <c:pt idx="387">
                  <c:v>43873</c:v>
                </c:pt>
                <c:pt idx="388">
                  <c:v>43872</c:v>
                </c:pt>
                <c:pt idx="389">
                  <c:v>43871</c:v>
                </c:pt>
                <c:pt idx="390">
                  <c:v>43868</c:v>
                </c:pt>
                <c:pt idx="391">
                  <c:v>43867</c:v>
                </c:pt>
                <c:pt idx="392">
                  <c:v>43866</c:v>
                </c:pt>
                <c:pt idx="393">
                  <c:v>43865</c:v>
                </c:pt>
                <c:pt idx="394">
                  <c:v>43864</c:v>
                </c:pt>
                <c:pt idx="395">
                  <c:v>43853</c:v>
                </c:pt>
                <c:pt idx="396">
                  <c:v>43852</c:v>
                </c:pt>
                <c:pt idx="397">
                  <c:v>43851</c:v>
                </c:pt>
                <c:pt idx="398">
                  <c:v>43850</c:v>
                </c:pt>
                <c:pt idx="399">
                  <c:v>43847</c:v>
                </c:pt>
                <c:pt idx="400">
                  <c:v>43846</c:v>
                </c:pt>
                <c:pt idx="401">
                  <c:v>43845</c:v>
                </c:pt>
                <c:pt idx="402">
                  <c:v>43844</c:v>
                </c:pt>
                <c:pt idx="403">
                  <c:v>43843</c:v>
                </c:pt>
                <c:pt idx="404">
                  <c:v>43840</c:v>
                </c:pt>
                <c:pt idx="405">
                  <c:v>43839</c:v>
                </c:pt>
                <c:pt idx="406">
                  <c:v>43838</c:v>
                </c:pt>
                <c:pt idx="407">
                  <c:v>43837</c:v>
                </c:pt>
                <c:pt idx="408">
                  <c:v>43836</c:v>
                </c:pt>
                <c:pt idx="409">
                  <c:v>43833</c:v>
                </c:pt>
                <c:pt idx="410">
                  <c:v>43832</c:v>
                </c:pt>
                <c:pt idx="411">
                  <c:v>43830</c:v>
                </c:pt>
                <c:pt idx="412">
                  <c:v>43829</c:v>
                </c:pt>
                <c:pt idx="413">
                  <c:v>43826</c:v>
                </c:pt>
                <c:pt idx="414">
                  <c:v>43825</c:v>
                </c:pt>
                <c:pt idx="415">
                  <c:v>43824</c:v>
                </c:pt>
                <c:pt idx="416">
                  <c:v>43823</c:v>
                </c:pt>
                <c:pt idx="417">
                  <c:v>43822</c:v>
                </c:pt>
                <c:pt idx="418">
                  <c:v>43819</c:v>
                </c:pt>
                <c:pt idx="419">
                  <c:v>43818</c:v>
                </c:pt>
                <c:pt idx="420">
                  <c:v>43817</c:v>
                </c:pt>
                <c:pt idx="421">
                  <c:v>43816</c:v>
                </c:pt>
                <c:pt idx="422">
                  <c:v>43815</c:v>
                </c:pt>
                <c:pt idx="423">
                  <c:v>43812</c:v>
                </c:pt>
                <c:pt idx="424">
                  <c:v>43811</c:v>
                </c:pt>
                <c:pt idx="425">
                  <c:v>43810</c:v>
                </c:pt>
                <c:pt idx="426">
                  <c:v>43809</c:v>
                </c:pt>
                <c:pt idx="427">
                  <c:v>43808</c:v>
                </c:pt>
                <c:pt idx="428">
                  <c:v>43805</c:v>
                </c:pt>
                <c:pt idx="429">
                  <c:v>43804</c:v>
                </c:pt>
                <c:pt idx="430">
                  <c:v>43803</c:v>
                </c:pt>
                <c:pt idx="431">
                  <c:v>43802</c:v>
                </c:pt>
                <c:pt idx="432">
                  <c:v>43801</c:v>
                </c:pt>
                <c:pt idx="433">
                  <c:v>43798</c:v>
                </c:pt>
                <c:pt idx="434">
                  <c:v>43797</c:v>
                </c:pt>
                <c:pt idx="435">
                  <c:v>43796</c:v>
                </c:pt>
                <c:pt idx="436">
                  <c:v>43795</c:v>
                </c:pt>
                <c:pt idx="437">
                  <c:v>43794</c:v>
                </c:pt>
                <c:pt idx="438">
                  <c:v>43791</c:v>
                </c:pt>
                <c:pt idx="439">
                  <c:v>43790</c:v>
                </c:pt>
                <c:pt idx="440">
                  <c:v>43789</c:v>
                </c:pt>
                <c:pt idx="441">
                  <c:v>43788</c:v>
                </c:pt>
                <c:pt idx="442">
                  <c:v>43787</c:v>
                </c:pt>
                <c:pt idx="443">
                  <c:v>43784</c:v>
                </c:pt>
                <c:pt idx="444">
                  <c:v>43783</c:v>
                </c:pt>
                <c:pt idx="445">
                  <c:v>43782</c:v>
                </c:pt>
                <c:pt idx="446">
                  <c:v>43781</c:v>
                </c:pt>
                <c:pt idx="447">
                  <c:v>43780</c:v>
                </c:pt>
                <c:pt idx="448">
                  <c:v>43777</c:v>
                </c:pt>
                <c:pt idx="449">
                  <c:v>43776</c:v>
                </c:pt>
                <c:pt idx="450">
                  <c:v>43775</c:v>
                </c:pt>
                <c:pt idx="451">
                  <c:v>43774</c:v>
                </c:pt>
                <c:pt idx="452">
                  <c:v>43773</c:v>
                </c:pt>
                <c:pt idx="453">
                  <c:v>43770</c:v>
                </c:pt>
                <c:pt idx="454">
                  <c:v>43769</c:v>
                </c:pt>
                <c:pt idx="455">
                  <c:v>43768</c:v>
                </c:pt>
                <c:pt idx="456">
                  <c:v>43767</c:v>
                </c:pt>
                <c:pt idx="457">
                  <c:v>43766</c:v>
                </c:pt>
                <c:pt idx="458">
                  <c:v>43763</c:v>
                </c:pt>
                <c:pt idx="459">
                  <c:v>43762</c:v>
                </c:pt>
                <c:pt idx="460">
                  <c:v>43761</c:v>
                </c:pt>
                <c:pt idx="461">
                  <c:v>43760</c:v>
                </c:pt>
                <c:pt idx="462">
                  <c:v>43759</c:v>
                </c:pt>
                <c:pt idx="463">
                  <c:v>43756</c:v>
                </c:pt>
                <c:pt idx="464">
                  <c:v>43755</c:v>
                </c:pt>
                <c:pt idx="465">
                  <c:v>43754</c:v>
                </c:pt>
                <c:pt idx="466">
                  <c:v>43753</c:v>
                </c:pt>
                <c:pt idx="467">
                  <c:v>43752</c:v>
                </c:pt>
                <c:pt idx="468">
                  <c:v>43749</c:v>
                </c:pt>
                <c:pt idx="469">
                  <c:v>43748</c:v>
                </c:pt>
                <c:pt idx="470">
                  <c:v>43747</c:v>
                </c:pt>
                <c:pt idx="471">
                  <c:v>43746</c:v>
                </c:pt>
                <c:pt idx="472">
                  <c:v>43738</c:v>
                </c:pt>
                <c:pt idx="473">
                  <c:v>43735</c:v>
                </c:pt>
                <c:pt idx="474">
                  <c:v>43734</c:v>
                </c:pt>
                <c:pt idx="475">
                  <c:v>43733</c:v>
                </c:pt>
                <c:pt idx="476">
                  <c:v>43732</c:v>
                </c:pt>
                <c:pt idx="477">
                  <c:v>43731</c:v>
                </c:pt>
                <c:pt idx="478">
                  <c:v>43728</c:v>
                </c:pt>
                <c:pt idx="479">
                  <c:v>43727</c:v>
                </c:pt>
                <c:pt idx="480">
                  <c:v>43726</c:v>
                </c:pt>
                <c:pt idx="481">
                  <c:v>43725</c:v>
                </c:pt>
                <c:pt idx="482">
                  <c:v>43724</c:v>
                </c:pt>
                <c:pt idx="483">
                  <c:v>43720</c:v>
                </c:pt>
                <c:pt idx="484">
                  <c:v>43719</c:v>
                </c:pt>
                <c:pt idx="485">
                  <c:v>43718</c:v>
                </c:pt>
                <c:pt idx="486">
                  <c:v>43717</c:v>
                </c:pt>
                <c:pt idx="487">
                  <c:v>43714</c:v>
                </c:pt>
                <c:pt idx="488">
                  <c:v>43713</c:v>
                </c:pt>
                <c:pt idx="489">
                  <c:v>43712</c:v>
                </c:pt>
                <c:pt idx="490">
                  <c:v>43711</c:v>
                </c:pt>
                <c:pt idx="491">
                  <c:v>43710</c:v>
                </c:pt>
                <c:pt idx="492">
                  <c:v>43707</c:v>
                </c:pt>
                <c:pt idx="493">
                  <c:v>43706</c:v>
                </c:pt>
                <c:pt idx="494">
                  <c:v>43705</c:v>
                </c:pt>
                <c:pt idx="495">
                  <c:v>43704</c:v>
                </c:pt>
                <c:pt idx="496">
                  <c:v>43703</c:v>
                </c:pt>
                <c:pt idx="497">
                  <c:v>43700</c:v>
                </c:pt>
                <c:pt idx="498">
                  <c:v>43699</c:v>
                </c:pt>
                <c:pt idx="499">
                  <c:v>43698</c:v>
                </c:pt>
                <c:pt idx="500">
                  <c:v>43697</c:v>
                </c:pt>
                <c:pt idx="501">
                  <c:v>43696</c:v>
                </c:pt>
                <c:pt idx="502">
                  <c:v>43693</c:v>
                </c:pt>
                <c:pt idx="503">
                  <c:v>43692</c:v>
                </c:pt>
                <c:pt idx="504">
                  <c:v>43691</c:v>
                </c:pt>
                <c:pt idx="505">
                  <c:v>43690</c:v>
                </c:pt>
                <c:pt idx="506">
                  <c:v>43689</c:v>
                </c:pt>
                <c:pt idx="507">
                  <c:v>43686</c:v>
                </c:pt>
                <c:pt idx="508">
                  <c:v>43685</c:v>
                </c:pt>
                <c:pt idx="509">
                  <c:v>43684</c:v>
                </c:pt>
                <c:pt idx="510">
                  <c:v>43683</c:v>
                </c:pt>
                <c:pt idx="511">
                  <c:v>43682</c:v>
                </c:pt>
                <c:pt idx="512">
                  <c:v>43679</c:v>
                </c:pt>
                <c:pt idx="513">
                  <c:v>43678</c:v>
                </c:pt>
                <c:pt idx="514">
                  <c:v>43677</c:v>
                </c:pt>
                <c:pt idx="515">
                  <c:v>43676</c:v>
                </c:pt>
                <c:pt idx="516">
                  <c:v>43675</c:v>
                </c:pt>
                <c:pt idx="517">
                  <c:v>43672</c:v>
                </c:pt>
                <c:pt idx="518">
                  <c:v>43671</c:v>
                </c:pt>
                <c:pt idx="519">
                  <c:v>43670</c:v>
                </c:pt>
                <c:pt idx="520">
                  <c:v>43669</c:v>
                </c:pt>
                <c:pt idx="521">
                  <c:v>43668</c:v>
                </c:pt>
                <c:pt idx="522">
                  <c:v>43665</c:v>
                </c:pt>
                <c:pt idx="523">
                  <c:v>43664</c:v>
                </c:pt>
                <c:pt idx="524">
                  <c:v>43663</c:v>
                </c:pt>
                <c:pt idx="525">
                  <c:v>43662</c:v>
                </c:pt>
                <c:pt idx="526">
                  <c:v>43661</c:v>
                </c:pt>
                <c:pt idx="527">
                  <c:v>43658</c:v>
                </c:pt>
                <c:pt idx="528">
                  <c:v>43657</c:v>
                </c:pt>
                <c:pt idx="529">
                  <c:v>43656</c:v>
                </c:pt>
                <c:pt idx="530">
                  <c:v>43655</c:v>
                </c:pt>
                <c:pt idx="531">
                  <c:v>43654</c:v>
                </c:pt>
                <c:pt idx="532">
                  <c:v>43651</c:v>
                </c:pt>
                <c:pt idx="533">
                  <c:v>43650</c:v>
                </c:pt>
                <c:pt idx="534">
                  <c:v>43649</c:v>
                </c:pt>
                <c:pt idx="535">
                  <c:v>43648</c:v>
                </c:pt>
                <c:pt idx="536">
                  <c:v>43647</c:v>
                </c:pt>
                <c:pt idx="537">
                  <c:v>43644</c:v>
                </c:pt>
                <c:pt idx="538">
                  <c:v>43643</c:v>
                </c:pt>
                <c:pt idx="539">
                  <c:v>43642</c:v>
                </c:pt>
                <c:pt idx="540">
                  <c:v>43641</c:v>
                </c:pt>
                <c:pt idx="541">
                  <c:v>43640</c:v>
                </c:pt>
                <c:pt idx="542">
                  <c:v>43637</c:v>
                </c:pt>
                <c:pt idx="543">
                  <c:v>43636</c:v>
                </c:pt>
                <c:pt idx="544">
                  <c:v>43635</c:v>
                </c:pt>
                <c:pt idx="545">
                  <c:v>43634</c:v>
                </c:pt>
                <c:pt idx="546">
                  <c:v>43633</c:v>
                </c:pt>
                <c:pt idx="547">
                  <c:v>43630</c:v>
                </c:pt>
                <c:pt idx="548">
                  <c:v>43629</c:v>
                </c:pt>
                <c:pt idx="549">
                  <c:v>43628</c:v>
                </c:pt>
                <c:pt idx="550">
                  <c:v>43627</c:v>
                </c:pt>
                <c:pt idx="551">
                  <c:v>43626</c:v>
                </c:pt>
                <c:pt idx="552">
                  <c:v>43622</c:v>
                </c:pt>
                <c:pt idx="553">
                  <c:v>43621</c:v>
                </c:pt>
                <c:pt idx="554">
                  <c:v>43620</c:v>
                </c:pt>
                <c:pt idx="555">
                  <c:v>43619</c:v>
                </c:pt>
                <c:pt idx="556">
                  <c:v>43616</c:v>
                </c:pt>
                <c:pt idx="557">
                  <c:v>43615</c:v>
                </c:pt>
                <c:pt idx="558">
                  <c:v>43614</c:v>
                </c:pt>
                <c:pt idx="559">
                  <c:v>43613</c:v>
                </c:pt>
                <c:pt idx="560">
                  <c:v>43612</c:v>
                </c:pt>
                <c:pt idx="561">
                  <c:v>43609</c:v>
                </c:pt>
                <c:pt idx="562">
                  <c:v>43608</c:v>
                </c:pt>
                <c:pt idx="563">
                  <c:v>43607</c:v>
                </c:pt>
                <c:pt idx="564">
                  <c:v>43606</c:v>
                </c:pt>
                <c:pt idx="565">
                  <c:v>43605</c:v>
                </c:pt>
                <c:pt idx="566">
                  <c:v>43602</c:v>
                </c:pt>
                <c:pt idx="567">
                  <c:v>43601</c:v>
                </c:pt>
                <c:pt idx="568">
                  <c:v>43600</c:v>
                </c:pt>
                <c:pt idx="569">
                  <c:v>43599</c:v>
                </c:pt>
                <c:pt idx="570">
                  <c:v>43598</c:v>
                </c:pt>
                <c:pt idx="571">
                  <c:v>43595</c:v>
                </c:pt>
                <c:pt idx="572">
                  <c:v>43594</c:v>
                </c:pt>
                <c:pt idx="573">
                  <c:v>43593</c:v>
                </c:pt>
                <c:pt idx="574">
                  <c:v>43592</c:v>
                </c:pt>
                <c:pt idx="575">
                  <c:v>43591</c:v>
                </c:pt>
                <c:pt idx="576">
                  <c:v>43585</c:v>
                </c:pt>
                <c:pt idx="577">
                  <c:v>43584</c:v>
                </c:pt>
                <c:pt idx="578">
                  <c:v>43581</c:v>
                </c:pt>
                <c:pt idx="579">
                  <c:v>43580</c:v>
                </c:pt>
                <c:pt idx="580">
                  <c:v>43579</c:v>
                </c:pt>
                <c:pt idx="581">
                  <c:v>43578</c:v>
                </c:pt>
                <c:pt idx="582">
                  <c:v>43577</c:v>
                </c:pt>
                <c:pt idx="583">
                  <c:v>43574</c:v>
                </c:pt>
                <c:pt idx="584">
                  <c:v>43573</c:v>
                </c:pt>
                <c:pt idx="585">
                  <c:v>43572</c:v>
                </c:pt>
                <c:pt idx="586">
                  <c:v>43571</c:v>
                </c:pt>
                <c:pt idx="587">
                  <c:v>43570</c:v>
                </c:pt>
                <c:pt idx="588">
                  <c:v>43567</c:v>
                </c:pt>
                <c:pt idx="589">
                  <c:v>43566</c:v>
                </c:pt>
                <c:pt idx="590">
                  <c:v>43565</c:v>
                </c:pt>
                <c:pt idx="591">
                  <c:v>43564</c:v>
                </c:pt>
                <c:pt idx="592">
                  <c:v>43563</c:v>
                </c:pt>
                <c:pt idx="593">
                  <c:v>43559</c:v>
                </c:pt>
                <c:pt idx="594">
                  <c:v>43558</c:v>
                </c:pt>
                <c:pt idx="595">
                  <c:v>43557</c:v>
                </c:pt>
                <c:pt idx="596">
                  <c:v>43556</c:v>
                </c:pt>
                <c:pt idx="597">
                  <c:v>43553</c:v>
                </c:pt>
                <c:pt idx="598">
                  <c:v>43552</c:v>
                </c:pt>
                <c:pt idx="599">
                  <c:v>43551</c:v>
                </c:pt>
                <c:pt idx="600">
                  <c:v>43550</c:v>
                </c:pt>
                <c:pt idx="601">
                  <c:v>43549</c:v>
                </c:pt>
                <c:pt idx="602">
                  <c:v>43546</c:v>
                </c:pt>
                <c:pt idx="603">
                  <c:v>43545</c:v>
                </c:pt>
                <c:pt idx="604">
                  <c:v>43544</c:v>
                </c:pt>
                <c:pt idx="605">
                  <c:v>43543</c:v>
                </c:pt>
                <c:pt idx="606">
                  <c:v>43542</c:v>
                </c:pt>
                <c:pt idx="607">
                  <c:v>43539</c:v>
                </c:pt>
                <c:pt idx="608">
                  <c:v>43538</c:v>
                </c:pt>
                <c:pt idx="609">
                  <c:v>43537</c:v>
                </c:pt>
                <c:pt idx="610">
                  <c:v>43536</c:v>
                </c:pt>
                <c:pt idx="611">
                  <c:v>43535</c:v>
                </c:pt>
                <c:pt idx="612">
                  <c:v>43532</c:v>
                </c:pt>
                <c:pt idx="613">
                  <c:v>43531</c:v>
                </c:pt>
                <c:pt idx="614">
                  <c:v>43530</c:v>
                </c:pt>
                <c:pt idx="615">
                  <c:v>43529</c:v>
                </c:pt>
                <c:pt idx="616">
                  <c:v>43528</c:v>
                </c:pt>
                <c:pt idx="617">
                  <c:v>43525</c:v>
                </c:pt>
                <c:pt idx="618">
                  <c:v>43524</c:v>
                </c:pt>
                <c:pt idx="619">
                  <c:v>43523</c:v>
                </c:pt>
                <c:pt idx="620">
                  <c:v>43522</c:v>
                </c:pt>
                <c:pt idx="621">
                  <c:v>43521</c:v>
                </c:pt>
                <c:pt idx="622">
                  <c:v>43518</c:v>
                </c:pt>
                <c:pt idx="623">
                  <c:v>43517</c:v>
                </c:pt>
                <c:pt idx="624">
                  <c:v>43516</c:v>
                </c:pt>
                <c:pt idx="625">
                  <c:v>43515</c:v>
                </c:pt>
                <c:pt idx="626">
                  <c:v>43514</c:v>
                </c:pt>
                <c:pt idx="627">
                  <c:v>43511</c:v>
                </c:pt>
                <c:pt idx="628">
                  <c:v>43510</c:v>
                </c:pt>
                <c:pt idx="629">
                  <c:v>43509</c:v>
                </c:pt>
                <c:pt idx="630">
                  <c:v>43508</c:v>
                </c:pt>
                <c:pt idx="631">
                  <c:v>43507</c:v>
                </c:pt>
                <c:pt idx="632">
                  <c:v>43497</c:v>
                </c:pt>
                <c:pt idx="633">
                  <c:v>43496</c:v>
                </c:pt>
                <c:pt idx="634">
                  <c:v>43495</c:v>
                </c:pt>
                <c:pt idx="635">
                  <c:v>43494</c:v>
                </c:pt>
                <c:pt idx="636">
                  <c:v>43493</c:v>
                </c:pt>
                <c:pt idx="637">
                  <c:v>43490</c:v>
                </c:pt>
                <c:pt idx="638">
                  <c:v>43489</c:v>
                </c:pt>
                <c:pt idx="639">
                  <c:v>43488</c:v>
                </c:pt>
                <c:pt idx="640">
                  <c:v>43487</c:v>
                </c:pt>
                <c:pt idx="641">
                  <c:v>43486</c:v>
                </c:pt>
                <c:pt idx="642">
                  <c:v>43483</c:v>
                </c:pt>
                <c:pt idx="643">
                  <c:v>43482</c:v>
                </c:pt>
                <c:pt idx="644">
                  <c:v>43481</c:v>
                </c:pt>
                <c:pt idx="645">
                  <c:v>43480</c:v>
                </c:pt>
                <c:pt idx="646">
                  <c:v>43479</c:v>
                </c:pt>
                <c:pt idx="647">
                  <c:v>43476</c:v>
                </c:pt>
                <c:pt idx="648">
                  <c:v>43475</c:v>
                </c:pt>
                <c:pt idx="649">
                  <c:v>43474</c:v>
                </c:pt>
                <c:pt idx="650">
                  <c:v>43473</c:v>
                </c:pt>
                <c:pt idx="651">
                  <c:v>43472</c:v>
                </c:pt>
                <c:pt idx="652">
                  <c:v>43469</c:v>
                </c:pt>
                <c:pt idx="653">
                  <c:v>43468</c:v>
                </c:pt>
                <c:pt idx="654">
                  <c:v>43467</c:v>
                </c:pt>
                <c:pt idx="655">
                  <c:v>43462</c:v>
                </c:pt>
                <c:pt idx="656">
                  <c:v>43461</c:v>
                </c:pt>
                <c:pt idx="657">
                  <c:v>43460</c:v>
                </c:pt>
                <c:pt idx="658">
                  <c:v>43459</c:v>
                </c:pt>
                <c:pt idx="659">
                  <c:v>43458</c:v>
                </c:pt>
                <c:pt idx="660">
                  <c:v>43455</c:v>
                </c:pt>
                <c:pt idx="661">
                  <c:v>43454</c:v>
                </c:pt>
                <c:pt idx="662">
                  <c:v>43453</c:v>
                </c:pt>
                <c:pt idx="663">
                  <c:v>43452</c:v>
                </c:pt>
                <c:pt idx="664">
                  <c:v>43451</c:v>
                </c:pt>
                <c:pt idx="665">
                  <c:v>43448</c:v>
                </c:pt>
                <c:pt idx="666">
                  <c:v>43447</c:v>
                </c:pt>
                <c:pt idx="667">
                  <c:v>43446</c:v>
                </c:pt>
                <c:pt idx="668">
                  <c:v>43445</c:v>
                </c:pt>
                <c:pt idx="669">
                  <c:v>43444</c:v>
                </c:pt>
                <c:pt idx="670">
                  <c:v>43441</c:v>
                </c:pt>
                <c:pt idx="671">
                  <c:v>43440</c:v>
                </c:pt>
                <c:pt idx="672">
                  <c:v>43439</c:v>
                </c:pt>
                <c:pt idx="673">
                  <c:v>43438</c:v>
                </c:pt>
                <c:pt idx="674">
                  <c:v>43437</c:v>
                </c:pt>
                <c:pt idx="675">
                  <c:v>43434</c:v>
                </c:pt>
                <c:pt idx="676">
                  <c:v>43433</c:v>
                </c:pt>
                <c:pt idx="677">
                  <c:v>43432</c:v>
                </c:pt>
                <c:pt idx="678">
                  <c:v>43431</c:v>
                </c:pt>
                <c:pt idx="679">
                  <c:v>43430</c:v>
                </c:pt>
                <c:pt idx="680">
                  <c:v>43427</c:v>
                </c:pt>
                <c:pt idx="681">
                  <c:v>43426</c:v>
                </c:pt>
                <c:pt idx="682">
                  <c:v>43425</c:v>
                </c:pt>
                <c:pt idx="683">
                  <c:v>43424</c:v>
                </c:pt>
                <c:pt idx="684">
                  <c:v>43423</c:v>
                </c:pt>
                <c:pt idx="685">
                  <c:v>43420</c:v>
                </c:pt>
                <c:pt idx="686">
                  <c:v>43419</c:v>
                </c:pt>
                <c:pt idx="687">
                  <c:v>43418</c:v>
                </c:pt>
                <c:pt idx="688">
                  <c:v>43417</c:v>
                </c:pt>
                <c:pt idx="689">
                  <c:v>43416</c:v>
                </c:pt>
                <c:pt idx="690">
                  <c:v>43413</c:v>
                </c:pt>
                <c:pt idx="691">
                  <c:v>43412</c:v>
                </c:pt>
                <c:pt idx="692">
                  <c:v>43411</c:v>
                </c:pt>
                <c:pt idx="693">
                  <c:v>43410</c:v>
                </c:pt>
                <c:pt idx="694">
                  <c:v>43409</c:v>
                </c:pt>
                <c:pt idx="695">
                  <c:v>43406</c:v>
                </c:pt>
                <c:pt idx="696">
                  <c:v>43405</c:v>
                </c:pt>
                <c:pt idx="697">
                  <c:v>43404</c:v>
                </c:pt>
                <c:pt idx="698">
                  <c:v>43403</c:v>
                </c:pt>
                <c:pt idx="699">
                  <c:v>43402</c:v>
                </c:pt>
                <c:pt idx="700">
                  <c:v>43399</c:v>
                </c:pt>
                <c:pt idx="701">
                  <c:v>43398</c:v>
                </c:pt>
                <c:pt idx="702">
                  <c:v>43397</c:v>
                </c:pt>
                <c:pt idx="703">
                  <c:v>43396</c:v>
                </c:pt>
                <c:pt idx="704">
                  <c:v>43395</c:v>
                </c:pt>
                <c:pt idx="705">
                  <c:v>43392</c:v>
                </c:pt>
                <c:pt idx="706">
                  <c:v>43391</c:v>
                </c:pt>
                <c:pt idx="707">
                  <c:v>43390</c:v>
                </c:pt>
                <c:pt idx="708">
                  <c:v>43389</c:v>
                </c:pt>
                <c:pt idx="709">
                  <c:v>43388</c:v>
                </c:pt>
                <c:pt idx="710">
                  <c:v>43385</c:v>
                </c:pt>
                <c:pt idx="711">
                  <c:v>43384</c:v>
                </c:pt>
                <c:pt idx="712">
                  <c:v>43383</c:v>
                </c:pt>
                <c:pt idx="713">
                  <c:v>43382</c:v>
                </c:pt>
                <c:pt idx="714">
                  <c:v>43381</c:v>
                </c:pt>
                <c:pt idx="715">
                  <c:v>43371</c:v>
                </c:pt>
                <c:pt idx="716">
                  <c:v>43370</c:v>
                </c:pt>
                <c:pt idx="717">
                  <c:v>43369</c:v>
                </c:pt>
                <c:pt idx="718">
                  <c:v>43368</c:v>
                </c:pt>
                <c:pt idx="719">
                  <c:v>43364</c:v>
                </c:pt>
                <c:pt idx="720">
                  <c:v>43363</c:v>
                </c:pt>
                <c:pt idx="721">
                  <c:v>43362</c:v>
                </c:pt>
                <c:pt idx="722">
                  <c:v>43361</c:v>
                </c:pt>
                <c:pt idx="723">
                  <c:v>43360</c:v>
                </c:pt>
                <c:pt idx="724">
                  <c:v>43357</c:v>
                </c:pt>
                <c:pt idx="725">
                  <c:v>43356</c:v>
                </c:pt>
                <c:pt idx="726">
                  <c:v>43355</c:v>
                </c:pt>
                <c:pt idx="727">
                  <c:v>43354</c:v>
                </c:pt>
                <c:pt idx="728">
                  <c:v>43353</c:v>
                </c:pt>
                <c:pt idx="729">
                  <c:v>43350</c:v>
                </c:pt>
                <c:pt idx="730">
                  <c:v>43349</c:v>
                </c:pt>
                <c:pt idx="731">
                  <c:v>43348</c:v>
                </c:pt>
                <c:pt idx="732">
                  <c:v>43347</c:v>
                </c:pt>
                <c:pt idx="733">
                  <c:v>43346</c:v>
                </c:pt>
                <c:pt idx="734">
                  <c:v>43343</c:v>
                </c:pt>
                <c:pt idx="735">
                  <c:v>43342</c:v>
                </c:pt>
                <c:pt idx="736">
                  <c:v>43341</c:v>
                </c:pt>
                <c:pt idx="737">
                  <c:v>43340</c:v>
                </c:pt>
                <c:pt idx="738">
                  <c:v>43339</c:v>
                </c:pt>
                <c:pt idx="739">
                  <c:v>43336</c:v>
                </c:pt>
                <c:pt idx="740">
                  <c:v>43335</c:v>
                </c:pt>
                <c:pt idx="741">
                  <c:v>43334</c:v>
                </c:pt>
                <c:pt idx="742">
                  <c:v>43333</c:v>
                </c:pt>
                <c:pt idx="743">
                  <c:v>43332</c:v>
                </c:pt>
                <c:pt idx="744">
                  <c:v>43329</c:v>
                </c:pt>
                <c:pt idx="745">
                  <c:v>43328</c:v>
                </c:pt>
                <c:pt idx="746">
                  <c:v>43327</c:v>
                </c:pt>
                <c:pt idx="747">
                  <c:v>43326</c:v>
                </c:pt>
                <c:pt idx="748">
                  <c:v>43325</c:v>
                </c:pt>
                <c:pt idx="749">
                  <c:v>43322</c:v>
                </c:pt>
                <c:pt idx="750">
                  <c:v>43321</c:v>
                </c:pt>
                <c:pt idx="751">
                  <c:v>43320</c:v>
                </c:pt>
                <c:pt idx="752">
                  <c:v>43319</c:v>
                </c:pt>
                <c:pt idx="753">
                  <c:v>43318</c:v>
                </c:pt>
                <c:pt idx="754">
                  <c:v>43315</c:v>
                </c:pt>
                <c:pt idx="755">
                  <c:v>43314</c:v>
                </c:pt>
                <c:pt idx="756">
                  <c:v>43313</c:v>
                </c:pt>
                <c:pt idx="757">
                  <c:v>43312</c:v>
                </c:pt>
                <c:pt idx="758">
                  <c:v>43311</c:v>
                </c:pt>
                <c:pt idx="759">
                  <c:v>43308</c:v>
                </c:pt>
                <c:pt idx="760">
                  <c:v>43307</c:v>
                </c:pt>
                <c:pt idx="761">
                  <c:v>43306</c:v>
                </c:pt>
                <c:pt idx="762">
                  <c:v>43305</c:v>
                </c:pt>
                <c:pt idx="763">
                  <c:v>43304</c:v>
                </c:pt>
                <c:pt idx="764">
                  <c:v>43301</c:v>
                </c:pt>
                <c:pt idx="765">
                  <c:v>43300</c:v>
                </c:pt>
                <c:pt idx="766">
                  <c:v>43299</c:v>
                </c:pt>
                <c:pt idx="767">
                  <c:v>43298</c:v>
                </c:pt>
                <c:pt idx="768">
                  <c:v>43297</c:v>
                </c:pt>
                <c:pt idx="769">
                  <c:v>43294</c:v>
                </c:pt>
                <c:pt idx="770">
                  <c:v>43293</c:v>
                </c:pt>
                <c:pt idx="771">
                  <c:v>43292</c:v>
                </c:pt>
                <c:pt idx="772">
                  <c:v>43291</c:v>
                </c:pt>
                <c:pt idx="773">
                  <c:v>43290</c:v>
                </c:pt>
                <c:pt idx="774">
                  <c:v>43287</c:v>
                </c:pt>
                <c:pt idx="775">
                  <c:v>43286</c:v>
                </c:pt>
                <c:pt idx="776">
                  <c:v>43285</c:v>
                </c:pt>
                <c:pt idx="777">
                  <c:v>43284</c:v>
                </c:pt>
                <c:pt idx="778">
                  <c:v>43283</c:v>
                </c:pt>
                <c:pt idx="779">
                  <c:v>43280</c:v>
                </c:pt>
                <c:pt idx="780">
                  <c:v>43279</c:v>
                </c:pt>
                <c:pt idx="781">
                  <c:v>43278</c:v>
                </c:pt>
                <c:pt idx="782">
                  <c:v>43277</c:v>
                </c:pt>
                <c:pt idx="783">
                  <c:v>43276</c:v>
                </c:pt>
                <c:pt idx="784">
                  <c:v>43273</c:v>
                </c:pt>
                <c:pt idx="785">
                  <c:v>43272</c:v>
                </c:pt>
                <c:pt idx="786">
                  <c:v>43271</c:v>
                </c:pt>
                <c:pt idx="787">
                  <c:v>43270</c:v>
                </c:pt>
                <c:pt idx="788">
                  <c:v>43266</c:v>
                </c:pt>
                <c:pt idx="789">
                  <c:v>43265</c:v>
                </c:pt>
                <c:pt idx="790">
                  <c:v>43264</c:v>
                </c:pt>
                <c:pt idx="791">
                  <c:v>43263</c:v>
                </c:pt>
                <c:pt idx="792">
                  <c:v>43262</c:v>
                </c:pt>
                <c:pt idx="793">
                  <c:v>43259</c:v>
                </c:pt>
                <c:pt idx="794">
                  <c:v>43258</c:v>
                </c:pt>
                <c:pt idx="795">
                  <c:v>43257</c:v>
                </c:pt>
                <c:pt idx="796">
                  <c:v>43256</c:v>
                </c:pt>
                <c:pt idx="797">
                  <c:v>43255</c:v>
                </c:pt>
                <c:pt idx="798">
                  <c:v>43252</c:v>
                </c:pt>
                <c:pt idx="799">
                  <c:v>43251</c:v>
                </c:pt>
                <c:pt idx="800">
                  <c:v>43250</c:v>
                </c:pt>
                <c:pt idx="801">
                  <c:v>43249</c:v>
                </c:pt>
                <c:pt idx="802">
                  <c:v>43248</c:v>
                </c:pt>
                <c:pt idx="803">
                  <c:v>43245</c:v>
                </c:pt>
                <c:pt idx="804">
                  <c:v>43244</c:v>
                </c:pt>
                <c:pt idx="805">
                  <c:v>43243</c:v>
                </c:pt>
                <c:pt idx="806">
                  <c:v>43242</c:v>
                </c:pt>
                <c:pt idx="807">
                  <c:v>43241</c:v>
                </c:pt>
                <c:pt idx="808">
                  <c:v>43238</c:v>
                </c:pt>
                <c:pt idx="809">
                  <c:v>43237</c:v>
                </c:pt>
                <c:pt idx="810">
                  <c:v>43236</c:v>
                </c:pt>
                <c:pt idx="811">
                  <c:v>43235</c:v>
                </c:pt>
                <c:pt idx="812">
                  <c:v>43234</c:v>
                </c:pt>
                <c:pt idx="813">
                  <c:v>43231</c:v>
                </c:pt>
                <c:pt idx="814">
                  <c:v>43230</c:v>
                </c:pt>
                <c:pt idx="815">
                  <c:v>43229</c:v>
                </c:pt>
                <c:pt idx="816">
                  <c:v>43228</c:v>
                </c:pt>
                <c:pt idx="817">
                  <c:v>43227</c:v>
                </c:pt>
                <c:pt idx="818">
                  <c:v>43224</c:v>
                </c:pt>
                <c:pt idx="819">
                  <c:v>43223</c:v>
                </c:pt>
                <c:pt idx="820">
                  <c:v>43222</c:v>
                </c:pt>
                <c:pt idx="821">
                  <c:v>43217</c:v>
                </c:pt>
                <c:pt idx="822">
                  <c:v>43216</c:v>
                </c:pt>
                <c:pt idx="823">
                  <c:v>43215</c:v>
                </c:pt>
                <c:pt idx="824">
                  <c:v>43214</c:v>
                </c:pt>
                <c:pt idx="825">
                  <c:v>43213</c:v>
                </c:pt>
                <c:pt idx="826">
                  <c:v>43210</c:v>
                </c:pt>
                <c:pt idx="827">
                  <c:v>43209</c:v>
                </c:pt>
                <c:pt idx="828">
                  <c:v>43208</c:v>
                </c:pt>
                <c:pt idx="829">
                  <c:v>43207</c:v>
                </c:pt>
                <c:pt idx="830">
                  <c:v>43206</c:v>
                </c:pt>
                <c:pt idx="831">
                  <c:v>43203</c:v>
                </c:pt>
                <c:pt idx="832">
                  <c:v>43202</c:v>
                </c:pt>
                <c:pt idx="833">
                  <c:v>43201</c:v>
                </c:pt>
                <c:pt idx="834">
                  <c:v>43200</c:v>
                </c:pt>
                <c:pt idx="835">
                  <c:v>43199</c:v>
                </c:pt>
                <c:pt idx="836">
                  <c:v>43194</c:v>
                </c:pt>
                <c:pt idx="837">
                  <c:v>43193</c:v>
                </c:pt>
                <c:pt idx="838">
                  <c:v>43192</c:v>
                </c:pt>
                <c:pt idx="839">
                  <c:v>43189</c:v>
                </c:pt>
                <c:pt idx="840">
                  <c:v>43188</c:v>
                </c:pt>
                <c:pt idx="841">
                  <c:v>43187</c:v>
                </c:pt>
                <c:pt idx="842">
                  <c:v>43186</c:v>
                </c:pt>
                <c:pt idx="843">
                  <c:v>43185</c:v>
                </c:pt>
                <c:pt idx="844">
                  <c:v>43182</c:v>
                </c:pt>
                <c:pt idx="845">
                  <c:v>43181</c:v>
                </c:pt>
                <c:pt idx="846">
                  <c:v>43180</c:v>
                </c:pt>
                <c:pt idx="847">
                  <c:v>43179</c:v>
                </c:pt>
                <c:pt idx="848">
                  <c:v>43178</c:v>
                </c:pt>
                <c:pt idx="849">
                  <c:v>43175</c:v>
                </c:pt>
                <c:pt idx="850">
                  <c:v>43174</c:v>
                </c:pt>
                <c:pt idx="851">
                  <c:v>43173</c:v>
                </c:pt>
                <c:pt idx="852">
                  <c:v>43172</c:v>
                </c:pt>
                <c:pt idx="853">
                  <c:v>43171</c:v>
                </c:pt>
                <c:pt idx="854">
                  <c:v>43168</c:v>
                </c:pt>
                <c:pt idx="855">
                  <c:v>43167</c:v>
                </c:pt>
                <c:pt idx="856">
                  <c:v>43166</c:v>
                </c:pt>
                <c:pt idx="857">
                  <c:v>43165</c:v>
                </c:pt>
                <c:pt idx="858">
                  <c:v>43164</c:v>
                </c:pt>
              </c:numCache>
            </c:numRef>
          </c:cat>
          <c:val>
            <c:numRef>
              <c:f>个券数据!$F$1:$F$859</c:f>
              <c:numCache>
                <c:formatCode>0.00</c:formatCode>
                <c:ptCount val="859"/>
                <c:pt idx="0">
                  <c:v>77.265799999999999</c:v>
                </c:pt>
                <c:pt idx="1">
                  <c:v>86.223500000000001</c:v>
                </c:pt>
                <c:pt idx="2">
                  <c:v>83.737899999999996</c:v>
                </c:pt>
                <c:pt idx="3">
                  <c:v>83.795699999999997</c:v>
                </c:pt>
                <c:pt idx="4">
                  <c:v>83.641599999999997</c:v>
                </c:pt>
                <c:pt idx="5">
                  <c:v>82.832400000000007</c:v>
                </c:pt>
                <c:pt idx="6">
                  <c:v>86.435400000000001</c:v>
                </c:pt>
                <c:pt idx="7">
                  <c:v>89.653199999999998</c:v>
                </c:pt>
                <c:pt idx="8">
                  <c:v>85.086699999999993</c:v>
                </c:pt>
                <c:pt idx="9">
                  <c:v>84.701300000000003</c:v>
                </c:pt>
                <c:pt idx="10">
                  <c:v>84.971100000000007</c:v>
                </c:pt>
                <c:pt idx="11">
                  <c:v>84.431600000000003</c:v>
                </c:pt>
                <c:pt idx="12">
                  <c:v>84.296700000000001</c:v>
                </c:pt>
                <c:pt idx="13">
                  <c:v>79.344899999999996</c:v>
                </c:pt>
                <c:pt idx="14">
                  <c:v>76.936400000000006</c:v>
                </c:pt>
                <c:pt idx="15">
                  <c:v>76.127200000000002</c:v>
                </c:pt>
                <c:pt idx="16">
                  <c:v>76.319800000000001</c:v>
                </c:pt>
                <c:pt idx="17">
                  <c:v>80.115600000000001</c:v>
                </c:pt>
                <c:pt idx="18">
                  <c:v>81.117500000000007</c:v>
                </c:pt>
                <c:pt idx="19">
                  <c:v>73.737899999999996</c:v>
                </c:pt>
                <c:pt idx="20">
                  <c:v>69.961500000000001</c:v>
                </c:pt>
                <c:pt idx="21">
                  <c:v>70.578000000000003</c:v>
                </c:pt>
                <c:pt idx="22">
                  <c:v>69.903700000000001</c:v>
                </c:pt>
                <c:pt idx="23">
                  <c:v>69.787999999999997</c:v>
                </c:pt>
                <c:pt idx="24">
                  <c:v>69.017300000000006</c:v>
                </c:pt>
                <c:pt idx="25">
                  <c:v>72.427700000000002</c:v>
                </c:pt>
                <c:pt idx="26">
                  <c:v>71.560699999999997</c:v>
                </c:pt>
                <c:pt idx="27">
                  <c:v>72.678200000000004</c:v>
                </c:pt>
                <c:pt idx="28">
                  <c:v>70.963399999999993</c:v>
                </c:pt>
                <c:pt idx="29">
                  <c:v>71.367999999999995</c:v>
                </c:pt>
                <c:pt idx="30">
                  <c:v>67.707099999999997</c:v>
                </c:pt>
                <c:pt idx="31">
                  <c:v>69.749499999999998</c:v>
                </c:pt>
                <c:pt idx="32">
                  <c:v>68.131</c:v>
                </c:pt>
                <c:pt idx="33">
                  <c:v>70</c:v>
                </c:pt>
                <c:pt idx="34">
                  <c:v>72.620400000000004</c:v>
                </c:pt>
                <c:pt idx="35">
                  <c:v>73.256299999999996</c:v>
                </c:pt>
                <c:pt idx="36">
                  <c:v>72.620400000000004</c:v>
                </c:pt>
                <c:pt idx="37">
                  <c:v>72.100200000000001</c:v>
                </c:pt>
                <c:pt idx="38">
                  <c:v>73.217699999999994</c:v>
                </c:pt>
                <c:pt idx="39">
                  <c:v>73.814999999999998</c:v>
                </c:pt>
                <c:pt idx="40">
                  <c:v>74.412300000000002</c:v>
                </c:pt>
                <c:pt idx="41">
                  <c:v>75.953699999999998</c:v>
                </c:pt>
                <c:pt idx="42">
                  <c:v>75.067400000000006</c:v>
                </c:pt>
                <c:pt idx="43">
                  <c:v>75.183000000000007</c:v>
                </c:pt>
                <c:pt idx="44">
                  <c:v>75.915199999999999</c:v>
                </c:pt>
                <c:pt idx="45">
                  <c:v>72.447000000000003</c:v>
                </c:pt>
                <c:pt idx="46">
                  <c:v>74.566500000000005</c:v>
                </c:pt>
                <c:pt idx="47">
                  <c:v>74.296700000000001</c:v>
                </c:pt>
                <c:pt idx="48">
                  <c:v>74.990399999999994</c:v>
                </c:pt>
                <c:pt idx="49">
                  <c:v>74.701300000000003</c:v>
                </c:pt>
                <c:pt idx="50">
                  <c:v>77.822699999999998</c:v>
                </c:pt>
                <c:pt idx="51">
                  <c:v>76.840100000000007</c:v>
                </c:pt>
                <c:pt idx="52">
                  <c:v>75.433499999999995</c:v>
                </c:pt>
                <c:pt idx="53">
                  <c:v>74.643500000000003</c:v>
                </c:pt>
                <c:pt idx="54">
                  <c:v>73.8536</c:v>
                </c:pt>
                <c:pt idx="55">
                  <c:v>74.585700000000003</c:v>
                </c:pt>
                <c:pt idx="56">
                  <c:v>73.236999999999995</c:v>
                </c:pt>
                <c:pt idx="57">
                  <c:v>74.027000000000001</c:v>
                </c:pt>
                <c:pt idx="58">
                  <c:v>74.373800000000003</c:v>
                </c:pt>
                <c:pt idx="59">
                  <c:v>71.965299999999999</c:v>
                </c:pt>
                <c:pt idx="60">
                  <c:v>69.132900000000006</c:v>
                </c:pt>
                <c:pt idx="61">
                  <c:v>71.522099999999995</c:v>
                </c:pt>
                <c:pt idx="62">
                  <c:v>72.716800000000006</c:v>
                </c:pt>
                <c:pt idx="63">
                  <c:v>74.0077</c:v>
                </c:pt>
                <c:pt idx="64">
                  <c:v>73.236999999999995</c:v>
                </c:pt>
                <c:pt idx="65">
                  <c:v>73.8536</c:v>
                </c:pt>
                <c:pt idx="66">
                  <c:v>75.279399999999995</c:v>
                </c:pt>
                <c:pt idx="67">
                  <c:v>74.393100000000004</c:v>
                </c:pt>
                <c:pt idx="68">
                  <c:v>73.448899999999995</c:v>
                </c:pt>
                <c:pt idx="69">
                  <c:v>71.965299999999999</c:v>
                </c:pt>
                <c:pt idx="70">
                  <c:v>71.772599999999997</c:v>
                </c:pt>
                <c:pt idx="71">
                  <c:v>72.254300000000001</c:v>
                </c:pt>
                <c:pt idx="72">
                  <c:v>71.869</c:v>
                </c:pt>
                <c:pt idx="73">
                  <c:v>71.271699999999996</c:v>
                </c:pt>
                <c:pt idx="74">
                  <c:v>69.113699999999994</c:v>
                </c:pt>
                <c:pt idx="75">
                  <c:v>70.2119</c:v>
                </c:pt>
                <c:pt idx="76">
                  <c:v>68.632000000000005</c:v>
                </c:pt>
                <c:pt idx="77">
                  <c:v>67.938299999999998</c:v>
                </c:pt>
                <c:pt idx="78">
                  <c:v>69.075100000000006</c:v>
                </c:pt>
                <c:pt idx="79">
                  <c:v>69.9422</c:v>
                </c:pt>
                <c:pt idx="80">
                  <c:v>68.246600000000001</c:v>
                </c:pt>
                <c:pt idx="81">
                  <c:v>68.882499999999993</c:v>
                </c:pt>
                <c:pt idx="82">
                  <c:v>68.458600000000004</c:v>
                </c:pt>
                <c:pt idx="83">
                  <c:v>66.127200000000002</c:v>
                </c:pt>
                <c:pt idx="84">
                  <c:v>66.756200000000007</c:v>
                </c:pt>
                <c:pt idx="85">
                  <c:v>67.082499999999996</c:v>
                </c:pt>
                <c:pt idx="86">
                  <c:v>66.641099999999994</c:v>
                </c:pt>
                <c:pt idx="87">
                  <c:v>69.136300000000006</c:v>
                </c:pt>
                <c:pt idx="88">
                  <c:v>71.420400000000001</c:v>
                </c:pt>
                <c:pt idx="89">
                  <c:v>77.101699999999994</c:v>
                </c:pt>
                <c:pt idx="90">
                  <c:v>78.119</c:v>
                </c:pt>
                <c:pt idx="91">
                  <c:v>78.080600000000004</c:v>
                </c:pt>
                <c:pt idx="92">
                  <c:v>76.967399999999998</c:v>
                </c:pt>
                <c:pt idx="93">
                  <c:v>80.057599999999994</c:v>
                </c:pt>
                <c:pt idx="94">
                  <c:v>81.765799999999999</c:v>
                </c:pt>
                <c:pt idx="95">
                  <c:v>80.998099999999994</c:v>
                </c:pt>
                <c:pt idx="96">
                  <c:v>81.765799999999999</c:v>
                </c:pt>
                <c:pt idx="97">
                  <c:v>82.303299999999993</c:v>
                </c:pt>
                <c:pt idx="98">
                  <c:v>82.917500000000004</c:v>
                </c:pt>
                <c:pt idx="99">
                  <c:v>79.712100000000007</c:v>
                </c:pt>
                <c:pt idx="100">
                  <c:v>79.635300000000001</c:v>
                </c:pt>
                <c:pt idx="101">
                  <c:v>77.62</c:v>
                </c:pt>
                <c:pt idx="102">
                  <c:v>76.7179</c:v>
                </c:pt>
                <c:pt idx="103">
                  <c:v>76.046099999999996</c:v>
                </c:pt>
                <c:pt idx="104">
                  <c:v>78.694800000000001</c:v>
                </c:pt>
                <c:pt idx="105">
                  <c:v>79.424199999999999</c:v>
                </c:pt>
                <c:pt idx="106">
                  <c:v>81.305199999999999</c:v>
                </c:pt>
                <c:pt idx="107">
                  <c:v>79.635300000000001</c:v>
                </c:pt>
                <c:pt idx="108">
                  <c:v>80.844499999999996</c:v>
                </c:pt>
                <c:pt idx="109">
                  <c:v>81.209199999999996</c:v>
                </c:pt>
                <c:pt idx="110">
                  <c:v>81.305199999999999</c:v>
                </c:pt>
                <c:pt idx="111">
                  <c:v>80.115200000000002</c:v>
                </c:pt>
                <c:pt idx="112">
                  <c:v>79.731300000000005</c:v>
                </c:pt>
                <c:pt idx="113">
                  <c:v>79.328199999999995</c:v>
                </c:pt>
                <c:pt idx="114">
                  <c:v>77.216899999999995</c:v>
                </c:pt>
                <c:pt idx="115">
                  <c:v>75.719800000000006</c:v>
                </c:pt>
                <c:pt idx="116">
                  <c:v>77.063299999999998</c:v>
                </c:pt>
                <c:pt idx="117">
                  <c:v>76.506699999999995</c:v>
                </c:pt>
                <c:pt idx="118">
                  <c:v>75.527799999999999</c:v>
                </c:pt>
                <c:pt idx="119">
                  <c:v>77.389600000000002</c:v>
                </c:pt>
                <c:pt idx="120">
                  <c:v>76.103700000000003</c:v>
                </c:pt>
                <c:pt idx="121">
                  <c:v>75.815700000000007</c:v>
                </c:pt>
                <c:pt idx="122">
                  <c:v>74.913600000000002</c:v>
                </c:pt>
                <c:pt idx="123">
                  <c:v>79.328199999999995</c:v>
                </c:pt>
                <c:pt idx="124">
                  <c:v>83.070999999999998</c:v>
                </c:pt>
                <c:pt idx="125">
                  <c:v>82.0154</c:v>
                </c:pt>
                <c:pt idx="126">
                  <c:v>80.115200000000002</c:v>
                </c:pt>
                <c:pt idx="127">
                  <c:v>79.846500000000006</c:v>
                </c:pt>
                <c:pt idx="128">
                  <c:v>83.090199999999996</c:v>
                </c:pt>
                <c:pt idx="129">
                  <c:v>81.631500000000003</c:v>
                </c:pt>
                <c:pt idx="130">
                  <c:v>85.643000000000001</c:v>
                </c:pt>
                <c:pt idx="131">
                  <c:v>84.184299999999993</c:v>
                </c:pt>
                <c:pt idx="132">
                  <c:v>85.623800000000003</c:v>
                </c:pt>
                <c:pt idx="133">
                  <c:v>82.744699999999995</c:v>
                </c:pt>
                <c:pt idx="134">
                  <c:v>85.8733</c:v>
                </c:pt>
                <c:pt idx="135">
                  <c:v>88.176599999999993</c:v>
                </c:pt>
                <c:pt idx="136">
                  <c:v>93.0518</c:v>
                </c:pt>
                <c:pt idx="137">
                  <c:v>92.687100000000001</c:v>
                </c:pt>
                <c:pt idx="138">
                  <c:v>95.8733</c:v>
                </c:pt>
                <c:pt idx="139">
                  <c:v>97.504800000000003</c:v>
                </c:pt>
                <c:pt idx="140">
                  <c:v>99.078699999999998</c:v>
                </c:pt>
                <c:pt idx="141">
                  <c:v>91.842600000000004</c:v>
                </c:pt>
                <c:pt idx="142">
                  <c:v>83.493300000000005</c:v>
                </c:pt>
                <c:pt idx="143">
                  <c:v>80.959699999999998</c:v>
                </c:pt>
                <c:pt idx="144">
                  <c:v>85.8733</c:v>
                </c:pt>
                <c:pt idx="145">
                  <c:v>85.355099999999993</c:v>
                </c:pt>
                <c:pt idx="146">
                  <c:v>87.236099999999993</c:v>
                </c:pt>
                <c:pt idx="147">
                  <c:v>85.201499999999996</c:v>
                </c:pt>
                <c:pt idx="148">
                  <c:v>82.264899999999997</c:v>
                </c:pt>
                <c:pt idx="149">
                  <c:v>85.028800000000004</c:v>
                </c:pt>
                <c:pt idx="150">
                  <c:v>90.115200000000002</c:v>
                </c:pt>
                <c:pt idx="151">
                  <c:v>92.072900000000004</c:v>
                </c:pt>
                <c:pt idx="152">
                  <c:v>96.929000000000002</c:v>
                </c:pt>
                <c:pt idx="153">
                  <c:v>99.040300000000002</c:v>
                </c:pt>
                <c:pt idx="154">
                  <c:v>96.065299999999993</c:v>
                </c:pt>
                <c:pt idx="155">
                  <c:v>94.510599999999997</c:v>
                </c:pt>
                <c:pt idx="156">
                  <c:v>89.232299999999995</c:v>
                </c:pt>
                <c:pt idx="157">
                  <c:v>92.149699999999996</c:v>
                </c:pt>
                <c:pt idx="158">
                  <c:v>90.422300000000007</c:v>
                </c:pt>
                <c:pt idx="159">
                  <c:v>89.462599999999995</c:v>
                </c:pt>
                <c:pt idx="160">
                  <c:v>90.614199999999997</c:v>
                </c:pt>
                <c:pt idx="161">
                  <c:v>92.840699999999998</c:v>
                </c:pt>
                <c:pt idx="162">
                  <c:v>90.211100000000002</c:v>
                </c:pt>
                <c:pt idx="163">
                  <c:v>90.978899999999996</c:v>
                </c:pt>
                <c:pt idx="164">
                  <c:v>90.211100000000002</c:v>
                </c:pt>
                <c:pt idx="165">
                  <c:v>85.604600000000005</c:v>
                </c:pt>
                <c:pt idx="166">
                  <c:v>85.124799999999993</c:v>
                </c:pt>
                <c:pt idx="167">
                  <c:v>84.222700000000003</c:v>
                </c:pt>
                <c:pt idx="168">
                  <c:v>82.053799999999995</c:v>
                </c:pt>
                <c:pt idx="169">
                  <c:v>81.881</c:v>
                </c:pt>
                <c:pt idx="170">
                  <c:v>74.433800000000005</c:v>
                </c:pt>
                <c:pt idx="171">
                  <c:v>73.493300000000005</c:v>
                </c:pt>
                <c:pt idx="172">
                  <c:v>75.182299999999998</c:v>
                </c:pt>
                <c:pt idx="173">
                  <c:v>76.238</c:v>
                </c:pt>
                <c:pt idx="174">
                  <c:v>78.886799999999994</c:v>
                </c:pt>
                <c:pt idx="175">
                  <c:v>76.046099999999996</c:v>
                </c:pt>
                <c:pt idx="176">
                  <c:v>78.483699999999999</c:v>
                </c:pt>
                <c:pt idx="177">
                  <c:v>76.602699999999999</c:v>
                </c:pt>
                <c:pt idx="178">
                  <c:v>76.391599999999997</c:v>
                </c:pt>
                <c:pt idx="179">
                  <c:v>72.994200000000006</c:v>
                </c:pt>
                <c:pt idx="180">
                  <c:v>73.512500000000003</c:v>
                </c:pt>
                <c:pt idx="181">
                  <c:v>71.612300000000005</c:v>
                </c:pt>
                <c:pt idx="182">
                  <c:v>70.998099999999994</c:v>
                </c:pt>
                <c:pt idx="183">
                  <c:v>72.9559</c:v>
                </c:pt>
                <c:pt idx="184">
                  <c:v>72.149699999999996</c:v>
                </c:pt>
                <c:pt idx="185">
                  <c:v>77.504800000000003</c:v>
                </c:pt>
                <c:pt idx="186">
                  <c:v>76.832999999999998</c:v>
                </c:pt>
                <c:pt idx="187">
                  <c:v>75.7774</c:v>
                </c:pt>
                <c:pt idx="188">
                  <c:v>76.199600000000004</c:v>
                </c:pt>
                <c:pt idx="189">
                  <c:v>77.005799999999994</c:v>
                </c:pt>
                <c:pt idx="190">
                  <c:v>77.293700000000001</c:v>
                </c:pt>
                <c:pt idx="191">
                  <c:v>75.892499999999998</c:v>
                </c:pt>
                <c:pt idx="192">
                  <c:v>76.257199999999997</c:v>
                </c:pt>
                <c:pt idx="193">
                  <c:v>76.756200000000007</c:v>
                </c:pt>
                <c:pt idx="194">
                  <c:v>76.103700000000003</c:v>
                </c:pt>
                <c:pt idx="195">
                  <c:v>77.6584</c:v>
                </c:pt>
                <c:pt idx="196">
                  <c:v>78.215000000000003</c:v>
                </c:pt>
                <c:pt idx="197">
                  <c:v>80.422300000000007</c:v>
                </c:pt>
                <c:pt idx="198">
                  <c:v>80.2303</c:v>
                </c:pt>
                <c:pt idx="199">
                  <c:v>80.268699999999995</c:v>
                </c:pt>
                <c:pt idx="200">
                  <c:v>82.975099999999998</c:v>
                </c:pt>
                <c:pt idx="201">
                  <c:v>83.570099999999996</c:v>
                </c:pt>
                <c:pt idx="202">
                  <c:v>82.783100000000005</c:v>
                </c:pt>
                <c:pt idx="203">
                  <c:v>80.326300000000003</c:v>
                </c:pt>
                <c:pt idx="204">
                  <c:v>78.349299999999999</c:v>
                </c:pt>
                <c:pt idx="205">
                  <c:v>81.823400000000007</c:v>
                </c:pt>
                <c:pt idx="206">
                  <c:v>86.545100000000005</c:v>
                </c:pt>
                <c:pt idx="207">
                  <c:v>82.514399999999995</c:v>
                </c:pt>
                <c:pt idx="208">
                  <c:v>80.345500000000001</c:v>
                </c:pt>
                <c:pt idx="209">
                  <c:v>80.383899999999997</c:v>
                </c:pt>
                <c:pt idx="210">
                  <c:v>78.656400000000005</c:v>
                </c:pt>
                <c:pt idx="211">
                  <c:v>79.577699999999993</c:v>
                </c:pt>
                <c:pt idx="212">
                  <c:v>77.159300000000002</c:v>
                </c:pt>
                <c:pt idx="213">
                  <c:v>79.001900000000006</c:v>
                </c:pt>
                <c:pt idx="214">
                  <c:v>77.485600000000005</c:v>
                </c:pt>
                <c:pt idx="215">
                  <c:v>73.877200000000002</c:v>
                </c:pt>
                <c:pt idx="216">
                  <c:v>72.130499999999998</c:v>
                </c:pt>
                <c:pt idx="217">
                  <c:v>67.562399999999997</c:v>
                </c:pt>
                <c:pt idx="218">
                  <c:v>68.310900000000004</c:v>
                </c:pt>
                <c:pt idx="219">
                  <c:v>66.353200000000001</c:v>
                </c:pt>
                <c:pt idx="220">
                  <c:v>67.332099999999997</c:v>
                </c:pt>
                <c:pt idx="221">
                  <c:v>66.161199999999994</c:v>
                </c:pt>
                <c:pt idx="222">
                  <c:v>66.852199999999996</c:v>
                </c:pt>
                <c:pt idx="223">
                  <c:v>68.349299999999999</c:v>
                </c:pt>
                <c:pt idx="224">
                  <c:v>66.641099999999994</c:v>
                </c:pt>
                <c:pt idx="225">
                  <c:v>68.042199999999994</c:v>
                </c:pt>
                <c:pt idx="226">
                  <c:v>67.581599999999995</c:v>
                </c:pt>
                <c:pt idx="227">
                  <c:v>66.046099999999996</c:v>
                </c:pt>
                <c:pt idx="228">
                  <c:v>63.147799999999997</c:v>
                </c:pt>
                <c:pt idx="229">
                  <c:v>63.608499999999999</c:v>
                </c:pt>
                <c:pt idx="230">
                  <c:v>63.339700000000001</c:v>
                </c:pt>
                <c:pt idx="231">
                  <c:v>63.320500000000003</c:v>
                </c:pt>
                <c:pt idx="232">
                  <c:v>62.648800000000001</c:v>
                </c:pt>
                <c:pt idx="233">
                  <c:v>64.625699999999995</c:v>
                </c:pt>
                <c:pt idx="234">
                  <c:v>64.088300000000004</c:v>
                </c:pt>
                <c:pt idx="235">
                  <c:v>66.103700000000003</c:v>
                </c:pt>
                <c:pt idx="236">
                  <c:v>68.291799999999995</c:v>
                </c:pt>
                <c:pt idx="237">
                  <c:v>67.773499999999999</c:v>
                </c:pt>
                <c:pt idx="238">
                  <c:v>66.929000000000002</c:v>
                </c:pt>
                <c:pt idx="239">
                  <c:v>66.641099999999994</c:v>
                </c:pt>
                <c:pt idx="240">
                  <c:v>67.159300000000002</c:v>
                </c:pt>
                <c:pt idx="241">
                  <c:v>65.911699999999996</c:v>
                </c:pt>
                <c:pt idx="242">
                  <c:v>64.683300000000003</c:v>
                </c:pt>
                <c:pt idx="243">
                  <c:v>65.355099999999993</c:v>
                </c:pt>
                <c:pt idx="244">
                  <c:v>67.427999999999997</c:v>
                </c:pt>
                <c:pt idx="245">
                  <c:v>68.022999999999996</c:v>
                </c:pt>
                <c:pt idx="246">
                  <c:v>69.136300000000006</c:v>
                </c:pt>
                <c:pt idx="247">
                  <c:v>68.272599999999997</c:v>
                </c:pt>
                <c:pt idx="248">
                  <c:v>71.113299999999995</c:v>
                </c:pt>
                <c:pt idx="249">
                  <c:v>70.959699999999998</c:v>
                </c:pt>
                <c:pt idx="250">
                  <c:v>71.324399999999997</c:v>
                </c:pt>
                <c:pt idx="251">
                  <c:v>71.881</c:v>
                </c:pt>
                <c:pt idx="252">
                  <c:v>71.209199999999996</c:v>
                </c:pt>
                <c:pt idx="253">
                  <c:v>71.343599999999995</c:v>
                </c:pt>
                <c:pt idx="254">
                  <c:v>73.320499999999996</c:v>
                </c:pt>
                <c:pt idx="255">
                  <c:v>73.953900000000004</c:v>
                </c:pt>
                <c:pt idx="256">
                  <c:v>71.804199999999994</c:v>
                </c:pt>
                <c:pt idx="257">
                  <c:v>71.458699999999993</c:v>
                </c:pt>
                <c:pt idx="258">
                  <c:v>72.859899999999996</c:v>
                </c:pt>
                <c:pt idx="259">
                  <c:v>76.103700000000003</c:v>
                </c:pt>
                <c:pt idx="260">
                  <c:v>77.140100000000004</c:v>
                </c:pt>
                <c:pt idx="261">
                  <c:v>76.353200000000001</c:v>
                </c:pt>
                <c:pt idx="262">
                  <c:v>75.662199999999999</c:v>
                </c:pt>
                <c:pt idx="263">
                  <c:v>75.911699999999996</c:v>
                </c:pt>
                <c:pt idx="264">
                  <c:v>74.990399999999994</c:v>
                </c:pt>
                <c:pt idx="265">
                  <c:v>77.543199999999999</c:v>
                </c:pt>
                <c:pt idx="266">
                  <c:v>78.445300000000003</c:v>
                </c:pt>
                <c:pt idx="267">
                  <c:v>81.094099999999997</c:v>
                </c:pt>
                <c:pt idx="268">
                  <c:v>81.938599999999994</c:v>
                </c:pt>
                <c:pt idx="269">
                  <c:v>82.994299999999996</c:v>
                </c:pt>
                <c:pt idx="270">
                  <c:v>79.0595</c:v>
                </c:pt>
                <c:pt idx="271">
                  <c:v>76.698700000000002</c:v>
                </c:pt>
                <c:pt idx="272">
                  <c:v>73.858000000000004</c:v>
                </c:pt>
                <c:pt idx="273">
                  <c:v>75.200800000000001</c:v>
                </c:pt>
                <c:pt idx="274">
                  <c:v>73.7667</c:v>
                </c:pt>
                <c:pt idx="275">
                  <c:v>71.453199999999995</c:v>
                </c:pt>
                <c:pt idx="276">
                  <c:v>72.695999999999998</c:v>
                </c:pt>
                <c:pt idx="277">
                  <c:v>80.038200000000003</c:v>
                </c:pt>
                <c:pt idx="278">
                  <c:v>81.663499999999999</c:v>
                </c:pt>
                <c:pt idx="279">
                  <c:v>74.837500000000006</c:v>
                </c:pt>
                <c:pt idx="280">
                  <c:v>75.506699999999995</c:v>
                </c:pt>
                <c:pt idx="281">
                  <c:v>78.011499999999998</c:v>
                </c:pt>
                <c:pt idx="282">
                  <c:v>74.5124</c:v>
                </c:pt>
                <c:pt idx="283">
                  <c:v>75.4876</c:v>
                </c:pt>
                <c:pt idx="284">
                  <c:v>75.755300000000005</c:v>
                </c:pt>
                <c:pt idx="285">
                  <c:v>79.196899999999999</c:v>
                </c:pt>
                <c:pt idx="286">
                  <c:v>77.590800000000002</c:v>
                </c:pt>
                <c:pt idx="287">
                  <c:v>78.164400000000001</c:v>
                </c:pt>
                <c:pt idx="288">
                  <c:v>74.722800000000007</c:v>
                </c:pt>
                <c:pt idx="289">
                  <c:v>72.619500000000002</c:v>
                </c:pt>
                <c:pt idx="290">
                  <c:v>72.619500000000002</c:v>
                </c:pt>
                <c:pt idx="291">
                  <c:v>69.445499999999996</c:v>
                </c:pt>
                <c:pt idx="292">
                  <c:v>70.267700000000005</c:v>
                </c:pt>
                <c:pt idx="293">
                  <c:v>70.1721</c:v>
                </c:pt>
                <c:pt idx="294">
                  <c:v>68.738100000000003</c:v>
                </c:pt>
                <c:pt idx="295">
                  <c:v>66.998099999999994</c:v>
                </c:pt>
                <c:pt idx="296">
                  <c:v>66.214200000000005</c:v>
                </c:pt>
                <c:pt idx="297">
                  <c:v>62.581299999999999</c:v>
                </c:pt>
                <c:pt idx="298">
                  <c:v>63.996200000000002</c:v>
                </c:pt>
                <c:pt idx="299">
                  <c:v>65.334599999999995</c:v>
                </c:pt>
                <c:pt idx="300">
                  <c:v>65.372900000000001</c:v>
                </c:pt>
                <c:pt idx="301">
                  <c:v>63.728499999999997</c:v>
                </c:pt>
                <c:pt idx="302">
                  <c:v>64.971299999999999</c:v>
                </c:pt>
                <c:pt idx="303">
                  <c:v>64.933099999999996</c:v>
                </c:pt>
                <c:pt idx="304">
                  <c:v>60.516300000000001</c:v>
                </c:pt>
                <c:pt idx="305">
                  <c:v>60.956000000000003</c:v>
                </c:pt>
                <c:pt idx="306">
                  <c:v>62.218000000000004</c:v>
                </c:pt>
                <c:pt idx="307">
                  <c:v>61.395800000000001</c:v>
                </c:pt>
                <c:pt idx="308">
                  <c:v>61.606099999999998</c:v>
                </c:pt>
                <c:pt idx="309">
                  <c:v>60.478000000000002</c:v>
                </c:pt>
                <c:pt idx="310">
                  <c:v>60.994300000000003</c:v>
                </c:pt>
                <c:pt idx="311">
                  <c:v>62.351799999999997</c:v>
                </c:pt>
                <c:pt idx="312">
                  <c:v>61.720799999999997</c:v>
                </c:pt>
                <c:pt idx="313">
                  <c:v>61.491399999999999</c:v>
                </c:pt>
                <c:pt idx="314">
                  <c:v>58.164400000000001</c:v>
                </c:pt>
                <c:pt idx="315">
                  <c:v>57.131900000000002</c:v>
                </c:pt>
                <c:pt idx="316">
                  <c:v>57.246699999999997</c:v>
                </c:pt>
                <c:pt idx="317">
                  <c:v>58.049700000000001</c:v>
                </c:pt>
                <c:pt idx="318">
                  <c:v>55.716999999999999</c:v>
                </c:pt>
                <c:pt idx="319">
                  <c:v>56.730400000000003</c:v>
                </c:pt>
                <c:pt idx="320">
                  <c:v>58.068800000000003</c:v>
                </c:pt>
                <c:pt idx="321">
                  <c:v>59.483800000000002</c:v>
                </c:pt>
                <c:pt idx="322">
                  <c:v>61.0899</c:v>
                </c:pt>
                <c:pt idx="323">
                  <c:v>59.024900000000002</c:v>
                </c:pt>
                <c:pt idx="324">
                  <c:v>60.592700000000001</c:v>
                </c:pt>
                <c:pt idx="325">
                  <c:v>61.567900000000002</c:v>
                </c:pt>
                <c:pt idx="326">
                  <c:v>62.409199999999998</c:v>
                </c:pt>
                <c:pt idx="327">
                  <c:v>62.581299999999999</c:v>
                </c:pt>
                <c:pt idx="328">
                  <c:v>63.824100000000001</c:v>
                </c:pt>
                <c:pt idx="329">
                  <c:v>64.0535</c:v>
                </c:pt>
                <c:pt idx="330">
                  <c:v>62.275300000000001</c:v>
                </c:pt>
                <c:pt idx="331">
                  <c:v>61.453200000000002</c:v>
                </c:pt>
                <c:pt idx="332">
                  <c:v>57.935000000000002</c:v>
                </c:pt>
                <c:pt idx="333">
                  <c:v>55.3155</c:v>
                </c:pt>
                <c:pt idx="334">
                  <c:v>54.3977</c:v>
                </c:pt>
                <c:pt idx="335">
                  <c:v>54.952199999999998</c:v>
                </c:pt>
                <c:pt idx="336">
                  <c:v>54.588900000000002</c:v>
                </c:pt>
                <c:pt idx="337">
                  <c:v>55.468499999999999</c:v>
                </c:pt>
                <c:pt idx="338">
                  <c:v>56.4054</c:v>
                </c:pt>
                <c:pt idx="339">
                  <c:v>56.003799999999998</c:v>
                </c:pt>
                <c:pt idx="340">
                  <c:v>57.3996</c:v>
                </c:pt>
                <c:pt idx="341">
                  <c:v>57.437899999999999</c:v>
                </c:pt>
                <c:pt idx="342">
                  <c:v>56.768599999999999</c:v>
                </c:pt>
                <c:pt idx="343">
                  <c:v>56.367100000000001</c:v>
                </c:pt>
                <c:pt idx="344">
                  <c:v>56.520099999999999</c:v>
                </c:pt>
                <c:pt idx="345">
                  <c:v>54.588900000000002</c:v>
                </c:pt>
                <c:pt idx="346">
                  <c:v>55.506700000000002</c:v>
                </c:pt>
                <c:pt idx="347">
                  <c:v>57.858499999999999</c:v>
                </c:pt>
                <c:pt idx="348">
                  <c:v>59.292499999999997</c:v>
                </c:pt>
                <c:pt idx="349">
                  <c:v>59.369</c:v>
                </c:pt>
                <c:pt idx="350">
                  <c:v>55.755299999999998</c:v>
                </c:pt>
                <c:pt idx="351">
                  <c:v>56.921599999999998</c:v>
                </c:pt>
                <c:pt idx="352">
                  <c:v>54.971299999999999</c:v>
                </c:pt>
                <c:pt idx="353">
                  <c:v>53.900599999999997</c:v>
                </c:pt>
                <c:pt idx="354">
                  <c:v>53.135800000000003</c:v>
                </c:pt>
                <c:pt idx="355">
                  <c:v>54.722799999999999</c:v>
                </c:pt>
                <c:pt idx="356">
                  <c:v>54.5124</c:v>
                </c:pt>
                <c:pt idx="357">
                  <c:v>56.118600000000001</c:v>
                </c:pt>
                <c:pt idx="358">
                  <c:v>53.193100000000001</c:v>
                </c:pt>
                <c:pt idx="359">
                  <c:v>52.466500000000003</c:v>
                </c:pt>
                <c:pt idx="360">
                  <c:v>56.214199999999998</c:v>
                </c:pt>
                <c:pt idx="361">
                  <c:v>56.749499999999998</c:v>
                </c:pt>
                <c:pt idx="362">
                  <c:v>56.558300000000003</c:v>
                </c:pt>
                <c:pt idx="363">
                  <c:v>57.705500000000001</c:v>
                </c:pt>
                <c:pt idx="364">
                  <c:v>58.298299999999998</c:v>
                </c:pt>
                <c:pt idx="365">
                  <c:v>63.632899999999999</c:v>
                </c:pt>
                <c:pt idx="366">
                  <c:v>65.391999999999996</c:v>
                </c:pt>
                <c:pt idx="367">
                  <c:v>68.183599999999998</c:v>
                </c:pt>
                <c:pt idx="368">
                  <c:v>70.1721</c:v>
                </c:pt>
                <c:pt idx="369">
                  <c:v>68.107100000000003</c:v>
                </c:pt>
                <c:pt idx="370">
                  <c:v>72.849000000000004</c:v>
                </c:pt>
                <c:pt idx="371">
                  <c:v>74.569800000000001</c:v>
                </c:pt>
                <c:pt idx="372">
                  <c:v>72.657700000000006</c:v>
                </c:pt>
                <c:pt idx="373">
                  <c:v>73.174000000000007</c:v>
                </c:pt>
                <c:pt idx="374">
                  <c:v>74.206500000000005</c:v>
                </c:pt>
                <c:pt idx="375">
                  <c:v>72.829800000000006</c:v>
                </c:pt>
                <c:pt idx="376">
                  <c:v>77.131900000000002</c:v>
                </c:pt>
                <c:pt idx="377">
                  <c:v>77.915899999999993</c:v>
                </c:pt>
                <c:pt idx="378">
                  <c:v>83.174000000000007</c:v>
                </c:pt>
                <c:pt idx="379">
                  <c:v>84.340299999999999</c:v>
                </c:pt>
                <c:pt idx="380">
                  <c:v>81.472300000000004</c:v>
                </c:pt>
                <c:pt idx="381">
                  <c:v>77.915899999999993</c:v>
                </c:pt>
                <c:pt idx="382">
                  <c:v>76.539199999999994</c:v>
                </c:pt>
                <c:pt idx="383">
                  <c:v>78.240899999999996</c:v>
                </c:pt>
                <c:pt idx="384">
                  <c:v>79.5411</c:v>
                </c:pt>
                <c:pt idx="385">
                  <c:v>78.049700000000001</c:v>
                </c:pt>
                <c:pt idx="386">
                  <c:v>77.017200000000003</c:v>
                </c:pt>
                <c:pt idx="387">
                  <c:v>76.539199999999994</c:v>
                </c:pt>
                <c:pt idx="388">
                  <c:v>76.099400000000003</c:v>
                </c:pt>
                <c:pt idx="389">
                  <c:v>73.843199999999996</c:v>
                </c:pt>
                <c:pt idx="390">
                  <c:v>74.13</c:v>
                </c:pt>
                <c:pt idx="391">
                  <c:v>76.673000000000002</c:v>
                </c:pt>
                <c:pt idx="392">
                  <c:v>76.864199999999997</c:v>
                </c:pt>
                <c:pt idx="393">
                  <c:v>76.615700000000004</c:v>
                </c:pt>
                <c:pt idx="394">
                  <c:v>74.780100000000004</c:v>
                </c:pt>
                <c:pt idx="395">
                  <c:v>83.097499999999997</c:v>
                </c:pt>
                <c:pt idx="396">
                  <c:v>86.902500000000003</c:v>
                </c:pt>
                <c:pt idx="397">
                  <c:v>83.957899999999995</c:v>
                </c:pt>
                <c:pt idx="398">
                  <c:v>85.525800000000004</c:v>
                </c:pt>
                <c:pt idx="399">
                  <c:v>82.0077</c:v>
                </c:pt>
                <c:pt idx="400">
                  <c:v>82.026799999999994</c:v>
                </c:pt>
                <c:pt idx="401">
                  <c:v>82.791600000000003</c:v>
                </c:pt>
                <c:pt idx="402">
                  <c:v>84.168300000000002</c:v>
                </c:pt>
                <c:pt idx="403">
                  <c:v>82.695999999999998</c:v>
                </c:pt>
                <c:pt idx="404">
                  <c:v>81.625200000000007</c:v>
                </c:pt>
                <c:pt idx="405">
                  <c:v>82.218000000000004</c:v>
                </c:pt>
                <c:pt idx="406">
                  <c:v>82.198899999999995</c:v>
                </c:pt>
                <c:pt idx="407">
                  <c:v>84.703599999999994</c:v>
                </c:pt>
                <c:pt idx="408">
                  <c:v>80.554500000000004</c:v>
                </c:pt>
                <c:pt idx="409">
                  <c:v>78.6233</c:v>
                </c:pt>
                <c:pt idx="410">
                  <c:v>79.885300000000001</c:v>
                </c:pt>
                <c:pt idx="411">
                  <c:v>76.481800000000007</c:v>
                </c:pt>
                <c:pt idx="412">
                  <c:v>73.977099999999993</c:v>
                </c:pt>
                <c:pt idx="413">
                  <c:v>73.652000000000001</c:v>
                </c:pt>
                <c:pt idx="414">
                  <c:v>74.436000000000007</c:v>
                </c:pt>
                <c:pt idx="415">
                  <c:v>76.2333</c:v>
                </c:pt>
                <c:pt idx="416">
                  <c:v>75.716999999999999</c:v>
                </c:pt>
                <c:pt idx="417">
                  <c:v>73.269599999999997</c:v>
                </c:pt>
                <c:pt idx="418">
                  <c:v>75.200800000000001</c:v>
                </c:pt>
                <c:pt idx="419">
                  <c:v>75.219899999999996</c:v>
                </c:pt>
                <c:pt idx="420">
                  <c:v>76.290599999999998</c:v>
                </c:pt>
                <c:pt idx="421">
                  <c:v>76.673000000000002</c:v>
                </c:pt>
                <c:pt idx="422">
                  <c:v>74.933099999999996</c:v>
                </c:pt>
                <c:pt idx="423">
                  <c:v>73.001900000000006</c:v>
                </c:pt>
                <c:pt idx="424">
                  <c:v>72.466499999999996</c:v>
                </c:pt>
                <c:pt idx="425">
                  <c:v>72.084100000000007</c:v>
                </c:pt>
                <c:pt idx="426">
                  <c:v>72.160600000000002</c:v>
                </c:pt>
                <c:pt idx="427">
                  <c:v>68.967500000000001</c:v>
                </c:pt>
                <c:pt idx="428">
                  <c:v>71.147199999999998</c:v>
                </c:pt>
                <c:pt idx="429">
                  <c:v>70.592699999999994</c:v>
                </c:pt>
                <c:pt idx="430">
                  <c:v>69.885300000000001</c:v>
                </c:pt>
                <c:pt idx="431">
                  <c:v>67.648200000000003</c:v>
                </c:pt>
                <c:pt idx="432">
                  <c:v>66.520099999999999</c:v>
                </c:pt>
                <c:pt idx="433">
                  <c:v>66.902500000000003</c:v>
                </c:pt>
                <c:pt idx="434">
                  <c:v>67.131900000000002</c:v>
                </c:pt>
                <c:pt idx="435">
                  <c:v>66.328900000000004</c:v>
                </c:pt>
                <c:pt idx="436">
                  <c:v>65.697900000000004</c:v>
                </c:pt>
                <c:pt idx="437">
                  <c:v>63.422600000000003</c:v>
                </c:pt>
                <c:pt idx="438">
                  <c:v>63.403399999999998</c:v>
                </c:pt>
                <c:pt idx="439">
                  <c:v>66.558300000000003</c:v>
                </c:pt>
                <c:pt idx="440">
                  <c:v>66.921599999999998</c:v>
                </c:pt>
                <c:pt idx="441">
                  <c:v>70.076499999999996</c:v>
                </c:pt>
                <c:pt idx="442">
                  <c:v>69.5411</c:v>
                </c:pt>
                <c:pt idx="443">
                  <c:v>70.305899999999994</c:v>
                </c:pt>
                <c:pt idx="444">
                  <c:v>69.655799999999999</c:v>
                </c:pt>
                <c:pt idx="445">
                  <c:v>69.885300000000001</c:v>
                </c:pt>
                <c:pt idx="446">
                  <c:v>69.445499999999996</c:v>
                </c:pt>
                <c:pt idx="447">
                  <c:v>69.043999999999997</c:v>
                </c:pt>
                <c:pt idx="448">
                  <c:v>71.166399999999996</c:v>
                </c:pt>
                <c:pt idx="449">
                  <c:v>70.9178</c:v>
                </c:pt>
                <c:pt idx="450">
                  <c:v>71.567899999999995</c:v>
                </c:pt>
                <c:pt idx="451">
                  <c:v>73.116600000000005</c:v>
                </c:pt>
                <c:pt idx="452">
                  <c:v>73.231399999999994</c:v>
                </c:pt>
                <c:pt idx="453">
                  <c:v>72.447400000000002</c:v>
                </c:pt>
                <c:pt idx="454">
                  <c:v>72.657700000000006</c:v>
                </c:pt>
                <c:pt idx="455">
                  <c:v>74.569800000000001</c:v>
                </c:pt>
                <c:pt idx="456">
                  <c:v>73.709400000000002</c:v>
                </c:pt>
                <c:pt idx="457">
                  <c:v>75.353700000000003</c:v>
                </c:pt>
                <c:pt idx="458">
                  <c:v>75.200800000000001</c:v>
                </c:pt>
                <c:pt idx="459">
                  <c:v>73.805000000000007</c:v>
                </c:pt>
                <c:pt idx="460">
                  <c:v>72.370900000000006</c:v>
                </c:pt>
                <c:pt idx="461">
                  <c:v>71.070700000000002</c:v>
                </c:pt>
                <c:pt idx="462">
                  <c:v>69.522000000000006</c:v>
                </c:pt>
                <c:pt idx="463">
                  <c:v>70.535399999999996</c:v>
                </c:pt>
                <c:pt idx="464">
                  <c:v>71.988500000000002</c:v>
                </c:pt>
                <c:pt idx="465">
                  <c:v>70.554500000000004</c:v>
                </c:pt>
                <c:pt idx="466">
                  <c:v>71.778199999999998</c:v>
                </c:pt>
                <c:pt idx="467">
                  <c:v>73.040199999999999</c:v>
                </c:pt>
                <c:pt idx="468">
                  <c:v>70.076499999999996</c:v>
                </c:pt>
                <c:pt idx="469">
                  <c:v>70.1721</c:v>
                </c:pt>
                <c:pt idx="470">
                  <c:v>66.921599999999998</c:v>
                </c:pt>
                <c:pt idx="471">
                  <c:v>68.068799999999996</c:v>
                </c:pt>
                <c:pt idx="472">
                  <c:v>67.973200000000006</c:v>
                </c:pt>
                <c:pt idx="473">
                  <c:v>71.319299999999998</c:v>
                </c:pt>
                <c:pt idx="474">
                  <c:v>70.363299999999995</c:v>
                </c:pt>
                <c:pt idx="475">
                  <c:v>71.223699999999994</c:v>
                </c:pt>
                <c:pt idx="476">
                  <c:v>73.7667</c:v>
                </c:pt>
                <c:pt idx="477">
                  <c:v>75.621399999999994</c:v>
                </c:pt>
                <c:pt idx="478">
                  <c:v>76.003799999999998</c:v>
                </c:pt>
                <c:pt idx="479">
                  <c:v>72.179699999999997</c:v>
                </c:pt>
                <c:pt idx="480">
                  <c:v>69.407300000000006</c:v>
                </c:pt>
                <c:pt idx="481">
                  <c:v>69.024900000000002</c:v>
                </c:pt>
                <c:pt idx="482">
                  <c:v>68.317400000000006</c:v>
                </c:pt>
                <c:pt idx="483">
                  <c:v>64.034400000000005</c:v>
                </c:pt>
                <c:pt idx="484">
                  <c:v>63.728499999999997</c:v>
                </c:pt>
                <c:pt idx="485">
                  <c:v>63.996200000000002</c:v>
                </c:pt>
                <c:pt idx="486">
                  <c:v>66.252399999999994</c:v>
                </c:pt>
                <c:pt idx="487">
                  <c:v>66.520099999999999</c:v>
                </c:pt>
                <c:pt idx="488">
                  <c:v>65.965599999999995</c:v>
                </c:pt>
                <c:pt idx="489">
                  <c:v>63.728499999999997</c:v>
                </c:pt>
                <c:pt idx="490">
                  <c:v>65.621399999999994</c:v>
                </c:pt>
                <c:pt idx="491">
                  <c:v>61.74</c:v>
                </c:pt>
                <c:pt idx="492">
                  <c:v>59.273400000000002</c:v>
                </c:pt>
                <c:pt idx="493">
                  <c:v>58.604199999999999</c:v>
                </c:pt>
                <c:pt idx="494">
                  <c:v>59.063099999999999</c:v>
                </c:pt>
                <c:pt idx="495">
                  <c:v>59.502899999999997</c:v>
                </c:pt>
                <c:pt idx="496">
                  <c:v>58.890999999999998</c:v>
                </c:pt>
                <c:pt idx="497">
                  <c:v>60.956000000000003</c:v>
                </c:pt>
                <c:pt idx="498">
                  <c:v>58.604199999999999</c:v>
                </c:pt>
                <c:pt idx="499">
                  <c:v>59.751399999999997</c:v>
                </c:pt>
                <c:pt idx="500">
                  <c:v>60.535400000000003</c:v>
                </c:pt>
                <c:pt idx="501">
                  <c:v>62.064999999999998</c:v>
                </c:pt>
                <c:pt idx="502">
                  <c:v>59.617600000000003</c:v>
                </c:pt>
                <c:pt idx="503">
                  <c:v>56.271500000000003</c:v>
                </c:pt>
                <c:pt idx="504">
                  <c:v>55.028700000000001</c:v>
                </c:pt>
                <c:pt idx="505">
                  <c:v>53.212200000000003</c:v>
                </c:pt>
                <c:pt idx="506">
                  <c:v>52.045900000000003</c:v>
                </c:pt>
                <c:pt idx="507">
                  <c:v>51.3767</c:v>
                </c:pt>
                <c:pt idx="508">
                  <c:v>50.248600000000003</c:v>
                </c:pt>
                <c:pt idx="509">
                  <c:v>49.980899999999998</c:v>
                </c:pt>
                <c:pt idx="510">
                  <c:v>47.667299999999997</c:v>
                </c:pt>
                <c:pt idx="511">
                  <c:v>48.183599999999998</c:v>
                </c:pt>
                <c:pt idx="512">
                  <c:v>49.866199999999999</c:v>
                </c:pt>
                <c:pt idx="513">
                  <c:v>54.6845</c:v>
                </c:pt>
                <c:pt idx="514">
                  <c:v>55.927300000000002</c:v>
                </c:pt>
                <c:pt idx="515">
                  <c:v>56.845100000000002</c:v>
                </c:pt>
                <c:pt idx="516">
                  <c:v>56.864199999999997</c:v>
                </c:pt>
                <c:pt idx="517">
                  <c:v>54.8566</c:v>
                </c:pt>
                <c:pt idx="518">
                  <c:v>53.288699999999999</c:v>
                </c:pt>
                <c:pt idx="519">
                  <c:v>53.575499999999998</c:v>
                </c:pt>
                <c:pt idx="520">
                  <c:v>51.988500000000002</c:v>
                </c:pt>
                <c:pt idx="521">
                  <c:v>52.906300000000002</c:v>
                </c:pt>
                <c:pt idx="522">
                  <c:v>52.7151</c:v>
                </c:pt>
                <c:pt idx="523">
                  <c:v>54.588900000000002</c:v>
                </c:pt>
                <c:pt idx="524">
                  <c:v>60.057400000000001</c:v>
                </c:pt>
                <c:pt idx="525">
                  <c:v>60.764800000000001</c:v>
                </c:pt>
                <c:pt idx="526">
                  <c:v>62.045900000000003</c:v>
                </c:pt>
                <c:pt idx="527">
                  <c:v>68.948400000000007</c:v>
                </c:pt>
                <c:pt idx="528">
                  <c:v>68.030600000000007</c:v>
                </c:pt>
                <c:pt idx="529">
                  <c:v>68.279200000000003</c:v>
                </c:pt>
                <c:pt idx="530">
                  <c:v>68.107100000000003</c:v>
                </c:pt>
                <c:pt idx="531">
                  <c:v>67.686400000000006</c:v>
                </c:pt>
                <c:pt idx="532">
                  <c:v>69.674999999999997</c:v>
                </c:pt>
                <c:pt idx="533">
                  <c:v>69.139600000000002</c:v>
                </c:pt>
                <c:pt idx="534">
                  <c:v>70.1721</c:v>
                </c:pt>
                <c:pt idx="535">
                  <c:v>71.835599999999999</c:v>
                </c:pt>
                <c:pt idx="536">
                  <c:v>71.281099999999995</c:v>
                </c:pt>
                <c:pt idx="537">
                  <c:v>65.736099999999993</c:v>
                </c:pt>
                <c:pt idx="538">
                  <c:v>66.902500000000003</c:v>
                </c:pt>
                <c:pt idx="539">
                  <c:v>65.506699999999995</c:v>
                </c:pt>
                <c:pt idx="540">
                  <c:v>65.391999999999996</c:v>
                </c:pt>
                <c:pt idx="541">
                  <c:v>66.883399999999995</c:v>
                </c:pt>
                <c:pt idx="542">
                  <c:v>68.432100000000005</c:v>
                </c:pt>
                <c:pt idx="543">
                  <c:v>67.705500000000001</c:v>
                </c:pt>
                <c:pt idx="544">
                  <c:v>66.003799999999998</c:v>
                </c:pt>
                <c:pt idx="545">
                  <c:v>64.072699999999998</c:v>
                </c:pt>
                <c:pt idx="546">
                  <c:v>63.7667</c:v>
                </c:pt>
                <c:pt idx="547">
                  <c:v>64.608000000000004</c:v>
                </c:pt>
                <c:pt idx="548">
                  <c:v>66.730400000000003</c:v>
                </c:pt>
                <c:pt idx="549">
                  <c:v>67.724699999999999</c:v>
                </c:pt>
                <c:pt idx="550">
                  <c:v>67.609899999999996</c:v>
                </c:pt>
                <c:pt idx="551">
                  <c:v>65.812600000000003</c:v>
                </c:pt>
                <c:pt idx="552">
                  <c:v>63.403399999999998</c:v>
                </c:pt>
                <c:pt idx="553">
                  <c:v>65.391999999999996</c:v>
                </c:pt>
                <c:pt idx="554">
                  <c:v>63.288699999999999</c:v>
                </c:pt>
                <c:pt idx="555">
                  <c:v>63.078400000000002</c:v>
                </c:pt>
                <c:pt idx="556">
                  <c:v>63.3461</c:v>
                </c:pt>
                <c:pt idx="557">
                  <c:v>61.682600000000001</c:v>
                </c:pt>
                <c:pt idx="558">
                  <c:v>62.533299999999997</c:v>
                </c:pt>
                <c:pt idx="559">
                  <c:v>62.247599999999998</c:v>
                </c:pt>
                <c:pt idx="560">
                  <c:v>63.447600000000001</c:v>
                </c:pt>
                <c:pt idx="561">
                  <c:v>62.057099999999998</c:v>
                </c:pt>
                <c:pt idx="562">
                  <c:v>61.7714</c:v>
                </c:pt>
                <c:pt idx="563">
                  <c:v>64.533299999999997</c:v>
                </c:pt>
                <c:pt idx="564">
                  <c:v>63.485700000000001</c:v>
                </c:pt>
                <c:pt idx="565">
                  <c:v>61.142899999999997</c:v>
                </c:pt>
                <c:pt idx="566">
                  <c:v>63.371400000000001</c:v>
                </c:pt>
                <c:pt idx="567">
                  <c:v>66.647599999999997</c:v>
                </c:pt>
                <c:pt idx="568">
                  <c:v>66.8</c:v>
                </c:pt>
                <c:pt idx="569">
                  <c:v>66.247600000000006</c:v>
                </c:pt>
                <c:pt idx="570">
                  <c:v>68.952399999999997</c:v>
                </c:pt>
                <c:pt idx="571">
                  <c:v>72.381</c:v>
                </c:pt>
                <c:pt idx="572">
                  <c:v>69.523799999999994</c:v>
                </c:pt>
                <c:pt idx="573">
                  <c:v>70.838099999999997</c:v>
                </c:pt>
                <c:pt idx="574">
                  <c:v>72.971400000000003</c:v>
                </c:pt>
                <c:pt idx="575">
                  <c:v>68.781000000000006</c:v>
                </c:pt>
                <c:pt idx="576">
                  <c:v>74.476200000000006</c:v>
                </c:pt>
                <c:pt idx="577">
                  <c:v>71.619100000000003</c:v>
                </c:pt>
                <c:pt idx="578">
                  <c:v>72.057100000000005</c:v>
                </c:pt>
                <c:pt idx="579">
                  <c:v>74.609499999999997</c:v>
                </c:pt>
                <c:pt idx="580">
                  <c:v>78.0762</c:v>
                </c:pt>
                <c:pt idx="581">
                  <c:v>77.219099999999997</c:v>
                </c:pt>
                <c:pt idx="582">
                  <c:v>78.457099999999997</c:v>
                </c:pt>
                <c:pt idx="583">
                  <c:v>81.6952</c:v>
                </c:pt>
                <c:pt idx="584">
                  <c:v>80.3429</c:v>
                </c:pt>
                <c:pt idx="585">
                  <c:v>81.542900000000003</c:v>
                </c:pt>
                <c:pt idx="586">
                  <c:v>81.333299999999994</c:v>
                </c:pt>
                <c:pt idx="587">
                  <c:v>78.8</c:v>
                </c:pt>
                <c:pt idx="588">
                  <c:v>77.333299999999994</c:v>
                </c:pt>
                <c:pt idx="589">
                  <c:v>77.980999999999995</c:v>
                </c:pt>
                <c:pt idx="590">
                  <c:v>79.180999999999997</c:v>
                </c:pt>
                <c:pt idx="591">
                  <c:v>81.238100000000003</c:v>
                </c:pt>
                <c:pt idx="592">
                  <c:v>81.123800000000003</c:v>
                </c:pt>
                <c:pt idx="593">
                  <c:v>83.104799999999997</c:v>
                </c:pt>
                <c:pt idx="594">
                  <c:v>83.523799999999994</c:v>
                </c:pt>
                <c:pt idx="595">
                  <c:v>84.933300000000003</c:v>
                </c:pt>
                <c:pt idx="596">
                  <c:v>81.8476</c:v>
                </c:pt>
                <c:pt idx="597">
                  <c:v>80.381</c:v>
                </c:pt>
                <c:pt idx="598">
                  <c:v>77.161900000000003</c:v>
                </c:pt>
                <c:pt idx="599">
                  <c:v>76.761899999999997</c:v>
                </c:pt>
                <c:pt idx="600">
                  <c:v>75.504800000000003</c:v>
                </c:pt>
                <c:pt idx="601">
                  <c:v>77.066699999999997</c:v>
                </c:pt>
                <c:pt idx="602">
                  <c:v>79.676199999999994</c:v>
                </c:pt>
                <c:pt idx="603">
                  <c:v>80.742900000000006</c:v>
                </c:pt>
                <c:pt idx="604">
                  <c:v>80.704800000000006</c:v>
                </c:pt>
                <c:pt idx="605">
                  <c:v>82.1524</c:v>
                </c:pt>
                <c:pt idx="606">
                  <c:v>82.628600000000006</c:v>
                </c:pt>
                <c:pt idx="607">
                  <c:v>80.3048</c:v>
                </c:pt>
                <c:pt idx="608">
                  <c:v>79.676199999999994</c:v>
                </c:pt>
                <c:pt idx="609">
                  <c:v>80.095200000000006</c:v>
                </c:pt>
                <c:pt idx="610">
                  <c:v>83.790499999999994</c:v>
                </c:pt>
                <c:pt idx="611">
                  <c:v>84.781000000000006</c:v>
                </c:pt>
                <c:pt idx="612">
                  <c:v>81.047600000000003</c:v>
                </c:pt>
                <c:pt idx="613">
                  <c:v>80.838099999999997</c:v>
                </c:pt>
                <c:pt idx="614">
                  <c:v>84.133300000000006</c:v>
                </c:pt>
                <c:pt idx="615">
                  <c:v>80.495199999999997</c:v>
                </c:pt>
                <c:pt idx="616">
                  <c:v>80</c:v>
                </c:pt>
                <c:pt idx="617">
                  <c:v>76.209500000000006</c:v>
                </c:pt>
                <c:pt idx="618">
                  <c:v>75.752399999999994</c:v>
                </c:pt>
                <c:pt idx="619">
                  <c:v>77.104799999999997</c:v>
                </c:pt>
                <c:pt idx="620">
                  <c:v>77.904799999999994</c:v>
                </c:pt>
                <c:pt idx="621">
                  <c:v>76.819100000000006</c:v>
                </c:pt>
                <c:pt idx="622">
                  <c:v>74.571399999999997</c:v>
                </c:pt>
                <c:pt idx="623">
                  <c:v>71.619100000000003</c:v>
                </c:pt>
                <c:pt idx="624">
                  <c:v>72.666700000000006</c:v>
                </c:pt>
                <c:pt idx="625">
                  <c:v>73.276200000000003</c:v>
                </c:pt>
                <c:pt idx="626">
                  <c:v>74.2667</c:v>
                </c:pt>
                <c:pt idx="627">
                  <c:v>69.409499999999994</c:v>
                </c:pt>
                <c:pt idx="628">
                  <c:v>70.723799999999997</c:v>
                </c:pt>
                <c:pt idx="629">
                  <c:v>71.238100000000003</c:v>
                </c:pt>
                <c:pt idx="630">
                  <c:v>66.971400000000003</c:v>
                </c:pt>
                <c:pt idx="631">
                  <c:v>66.1905</c:v>
                </c:pt>
                <c:pt idx="632">
                  <c:v>63.276200000000003</c:v>
                </c:pt>
                <c:pt idx="633">
                  <c:v>60.133299999999998</c:v>
                </c:pt>
                <c:pt idx="634">
                  <c:v>58.761899999999997</c:v>
                </c:pt>
                <c:pt idx="635">
                  <c:v>58.742899999999999</c:v>
                </c:pt>
                <c:pt idx="636">
                  <c:v>60.1143</c:v>
                </c:pt>
                <c:pt idx="637">
                  <c:v>59.619100000000003</c:v>
                </c:pt>
                <c:pt idx="638">
                  <c:v>57.295200000000001</c:v>
                </c:pt>
                <c:pt idx="639">
                  <c:v>57.142899999999997</c:v>
                </c:pt>
                <c:pt idx="640">
                  <c:v>57.371400000000001</c:v>
                </c:pt>
                <c:pt idx="641">
                  <c:v>57.866700000000002</c:v>
                </c:pt>
                <c:pt idx="642">
                  <c:v>56.933300000000003</c:v>
                </c:pt>
                <c:pt idx="643">
                  <c:v>54.933300000000003</c:v>
                </c:pt>
                <c:pt idx="644">
                  <c:v>54.609499999999997</c:v>
                </c:pt>
                <c:pt idx="645">
                  <c:v>55.428600000000003</c:v>
                </c:pt>
                <c:pt idx="646">
                  <c:v>52.133299999999998</c:v>
                </c:pt>
                <c:pt idx="647">
                  <c:v>54.685699999999997</c:v>
                </c:pt>
                <c:pt idx="648">
                  <c:v>54.780999999999999</c:v>
                </c:pt>
                <c:pt idx="649">
                  <c:v>54.990499999999997</c:v>
                </c:pt>
                <c:pt idx="650">
                  <c:v>54.590499999999999</c:v>
                </c:pt>
                <c:pt idx="651">
                  <c:v>54.990499999999997</c:v>
                </c:pt>
                <c:pt idx="652">
                  <c:v>53.066699999999997</c:v>
                </c:pt>
                <c:pt idx="653">
                  <c:v>52.495199999999997</c:v>
                </c:pt>
                <c:pt idx="654">
                  <c:v>55.828600000000002</c:v>
                </c:pt>
                <c:pt idx="655">
                  <c:v>57.828600000000002</c:v>
                </c:pt>
                <c:pt idx="656">
                  <c:v>57.180999999999997</c:v>
                </c:pt>
                <c:pt idx="657">
                  <c:v>56.857100000000003</c:v>
                </c:pt>
                <c:pt idx="658">
                  <c:v>57.390500000000003</c:v>
                </c:pt>
                <c:pt idx="659">
                  <c:v>57.7333</c:v>
                </c:pt>
                <c:pt idx="660">
                  <c:v>57.314300000000003</c:v>
                </c:pt>
                <c:pt idx="661">
                  <c:v>56.857100000000003</c:v>
                </c:pt>
                <c:pt idx="662">
                  <c:v>57.447600000000001</c:v>
                </c:pt>
                <c:pt idx="663">
                  <c:v>58.2286</c:v>
                </c:pt>
                <c:pt idx="664">
                  <c:v>59.9238</c:v>
                </c:pt>
                <c:pt idx="665">
                  <c:v>60.323799999999999</c:v>
                </c:pt>
                <c:pt idx="666">
                  <c:v>61.8857</c:v>
                </c:pt>
                <c:pt idx="667">
                  <c:v>60.1524</c:v>
                </c:pt>
                <c:pt idx="668">
                  <c:v>59.981000000000002</c:v>
                </c:pt>
                <c:pt idx="669">
                  <c:v>62.0762</c:v>
                </c:pt>
                <c:pt idx="670">
                  <c:v>62.8</c:v>
                </c:pt>
                <c:pt idx="671">
                  <c:v>62.647599999999997</c:v>
                </c:pt>
                <c:pt idx="672">
                  <c:v>65.123800000000003</c:v>
                </c:pt>
                <c:pt idx="673">
                  <c:v>66.1905</c:v>
                </c:pt>
                <c:pt idx="674">
                  <c:v>66.723799999999997</c:v>
                </c:pt>
                <c:pt idx="675">
                  <c:v>64.0381</c:v>
                </c:pt>
                <c:pt idx="676">
                  <c:v>62.285699999999999</c:v>
                </c:pt>
                <c:pt idx="677">
                  <c:v>63.066699999999997</c:v>
                </c:pt>
                <c:pt idx="678">
                  <c:v>61.219099999999997</c:v>
                </c:pt>
                <c:pt idx="679">
                  <c:v>60.876199999999997</c:v>
                </c:pt>
                <c:pt idx="680">
                  <c:v>61.428600000000003</c:v>
                </c:pt>
                <c:pt idx="681">
                  <c:v>63.581000000000003</c:v>
                </c:pt>
                <c:pt idx="682">
                  <c:v>64.381</c:v>
                </c:pt>
                <c:pt idx="683">
                  <c:v>64</c:v>
                </c:pt>
                <c:pt idx="684">
                  <c:v>67.314300000000003</c:v>
                </c:pt>
                <c:pt idx="685">
                  <c:v>66.914299999999997</c:v>
                </c:pt>
                <c:pt idx="686">
                  <c:v>63.676200000000001</c:v>
                </c:pt>
                <c:pt idx="687">
                  <c:v>62.971400000000003</c:v>
                </c:pt>
                <c:pt idx="688">
                  <c:v>63.752400000000002</c:v>
                </c:pt>
                <c:pt idx="689">
                  <c:v>64.2667</c:v>
                </c:pt>
                <c:pt idx="690">
                  <c:v>62.1524</c:v>
                </c:pt>
                <c:pt idx="691">
                  <c:v>62.1905</c:v>
                </c:pt>
                <c:pt idx="692">
                  <c:v>63.142899999999997</c:v>
                </c:pt>
                <c:pt idx="693">
                  <c:v>63.466700000000003</c:v>
                </c:pt>
                <c:pt idx="694">
                  <c:v>64.761899999999997</c:v>
                </c:pt>
                <c:pt idx="695">
                  <c:v>67.047600000000003</c:v>
                </c:pt>
                <c:pt idx="696">
                  <c:v>60.952399999999997</c:v>
                </c:pt>
                <c:pt idx="697">
                  <c:v>59.7333</c:v>
                </c:pt>
                <c:pt idx="698">
                  <c:v>58.323799999999999</c:v>
                </c:pt>
                <c:pt idx="699">
                  <c:v>57.238100000000003</c:v>
                </c:pt>
                <c:pt idx="700">
                  <c:v>57.428600000000003</c:v>
                </c:pt>
                <c:pt idx="701">
                  <c:v>57.676200000000001</c:v>
                </c:pt>
                <c:pt idx="702">
                  <c:v>60.2286</c:v>
                </c:pt>
                <c:pt idx="703">
                  <c:v>62.647599999999997</c:v>
                </c:pt>
                <c:pt idx="704">
                  <c:v>67.219099999999997</c:v>
                </c:pt>
                <c:pt idx="705">
                  <c:v>65.714299999999994</c:v>
                </c:pt>
                <c:pt idx="706">
                  <c:v>68.552400000000006</c:v>
                </c:pt>
                <c:pt idx="707">
                  <c:v>68.895200000000003</c:v>
                </c:pt>
                <c:pt idx="708">
                  <c:v>67.409499999999994</c:v>
                </c:pt>
                <c:pt idx="709">
                  <c:v>68.590500000000006</c:v>
                </c:pt>
                <c:pt idx="710">
                  <c:v>69.142899999999997</c:v>
                </c:pt>
                <c:pt idx="711">
                  <c:v>67.942899999999995</c:v>
                </c:pt>
                <c:pt idx="712">
                  <c:v>71.942899999999995</c:v>
                </c:pt>
                <c:pt idx="713">
                  <c:v>72.971400000000003</c:v>
                </c:pt>
                <c:pt idx="714">
                  <c:v>75.619100000000003</c:v>
                </c:pt>
                <c:pt idx="715">
                  <c:v>80.704800000000006</c:v>
                </c:pt>
                <c:pt idx="716">
                  <c:v>79.447599999999994</c:v>
                </c:pt>
                <c:pt idx="717">
                  <c:v>81.523799999999994</c:v>
                </c:pt>
                <c:pt idx="718">
                  <c:v>80.761899999999997</c:v>
                </c:pt>
                <c:pt idx="719">
                  <c:v>81.523799999999994</c:v>
                </c:pt>
                <c:pt idx="720">
                  <c:v>79.409499999999994</c:v>
                </c:pt>
                <c:pt idx="721">
                  <c:v>79.409499999999994</c:v>
                </c:pt>
                <c:pt idx="722">
                  <c:v>77.714299999999994</c:v>
                </c:pt>
                <c:pt idx="723">
                  <c:v>76.590500000000006</c:v>
                </c:pt>
                <c:pt idx="724">
                  <c:v>76.590500000000006</c:v>
                </c:pt>
                <c:pt idx="725">
                  <c:v>76.742900000000006</c:v>
                </c:pt>
                <c:pt idx="726">
                  <c:v>75.276200000000003</c:v>
                </c:pt>
                <c:pt idx="727">
                  <c:v>76.1524</c:v>
                </c:pt>
                <c:pt idx="728">
                  <c:v>75.599999999999994</c:v>
                </c:pt>
                <c:pt idx="729">
                  <c:v>79.047600000000003</c:v>
                </c:pt>
                <c:pt idx="730">
                  <c:v>79.104799999999997</c:v>
                </c:pt>
                <c:pt idx="731">
                  <c:v>79.904799999999994</c:v>
                </c:pt>
                <c:pt idx="732">
                  <c:v>82.285700000000006</c:v>
                </c:pt>
                <c:pt idx="733">
                  <c:v>81.466700000000003</c:v>
                </c:pt>
                <c:pt idx="734">
                  <c:v>83.2</c:v>
                </c:pt>
                <c:pt idx="735">
                  <c:v>85.161900000000003</c:v>
                </c:pt>
                <c:pt idx="736">
                  <c:v>84.761899999999997</c:v>
                </c:pt>
                <c:pt idx="737">
                  <c:v>85.8476</c:v>
                </c:pt>
                <c:pt idx="738">
                  <c:v>85.428600000000003</c:v>
                </c:pt>
                <c:pt idx="739">
                  <c:v>82.742900000000006</c:v>
                </c:pt>
                <c:pt idx="740">
                  <c:v>83.561899999999994</c:v>
                </c:pt>
                <c:pt idx="741">
                  <c:v>83.714299999999994</c:v>
                </c:pt>
                <c:pt idx="742">
                  <c:v>85.523799999999994</c:v>
                </c:pt>
                <c:pt idx="743">
                  <c:v>83.752399999999994</c:v>
                </c:pt>
                <c:pt idx="744">
                  <c:v>80.952399999999997</c:v>
                </c:pt>
                <c:pt idx="745">
                  <c:v>80.952399999999997</c:v>
                </c:pt>
                <c:pt idx="746">
                  <c:v>82.1143</c:v>
                </c:pt>
                <c:pt idx="747">
                  <c:v>83.523799999999994</c:v>
                </c:pt>
                <c:pt idx="748">
                  <c:v>83.980999999999995</c:v>
                </c:pt>
                <c:pt idx="749">
                  <c:v>82.761899999999997</c:v>
                </c:pt>
                <c:pt idx="750">
                  <c:v>80.171400000000006</c:v>
                </c:pt>
                <c:pt idx="751">
                  <c:v>76.209500000000006</c:v>
                </c:pt>
                <c:pt idx="752">
                  <c:v>80.571399999999997</c:v>
                </c:pt>
                <c:pt idx="753">
                  <c:v>77.542900000000003</c:v>
                </c:pt>
                <c:pt idx="754">
                  <c:v>78.381</c:v>
                </c:pt>
                <c:pt idx="755">
                  <c:v>83.638099999999994</c:v>
                </c:pt>
                <c:pt idx="756">
                  <c:v>87.314300000000003</c:v>
                </c:pt>
                <c:pt idx="757">
                  <c:v>91.790499999999994</c:v>
                </c:pt>
                <c:pt idx="758">
                  <c:v>89.352400000000003</c:v>
                </c:pt>
                <c:pt idx="759">
                  <c:v>92.361900000000006</c:v>
                </c:pt>
                <c:pt idx="760">
                  <c:v>90.781000000000006</c:v>
                </c:pt>
                <c:pt idx="761">
                  <c:v>95.2</c:v>
                </c:pt>
                <c:pt idx="762">
                  <c:v>96.914299999999997</c:v>
                </c:pt>
                <c:pt idx="763">
                  <c:v>96.685699999999997</c:v>
                </c:pt>
                <c:pt idx="764">
                  <c:v>96.609499999999997</c:v>
                </c:pt>
                <c:pt idx="765">
                  <c:v>93.6952</c:v>
                </c:pt>
                <c:pt idx="766">
                  <c:v>95.238100000000003</c:v>
                </c:pt>
                <c:pt idx="767">
                  <c:v>97.504800000000003</c:v>
                </c:pt>
                <c:pt idx="768">
                  <c:v>98.609499999999997</c:v>
                </c:pt>
                <c:pt idx="769">
                  <c:v>99.2</c:v>
                </c:pt>
                <c:pt idx="770">
                  <c:v>96.781000000000006</c:v>
                </c:pt>
                <c:pt idx="771">
                  <c:v>92.8</c:v>
                </c:pt>
                <c:pt idx="772">
                  <c:v>94.971400000000003</c:v>
                </c:pt>
                <c:pt idx="773">
                  <c:v>94.133300000000006</c:v>
                </c:pt>
                <c:pt idx="774">
                  <c:v>88.8</c:v>
                </c:pt>
                <c:pt idx="775">
                  <c:v>88.476200000000006</c:v>
                </c:pt>
                <c:pt idx="776">
                  <c:v>90.095200000000006</c:v>
                </c:pt>
                <c:pt idx="777">
                  <c:v>94.2286</c:v>
                </c:pt>
                <c:pt idx="778">
                  <c:v>96.933300000000003</c:v>
                </c:pt>
                <c:pt idx="779">
                  <c:v>101.3143</c:v>
                </c:pt>
                <c:pt idx="780">
                  <c:v>96.476200000000006</c:v>
                </c:pt>
                <c:pt idx="781">
                  <c:v>95.619100000000003</c:v>
                </c:pt>
                <c:pt idx="782">
                  <c:v>99.333299999999994</c:v>
                </c:pt>
                <c:pt idx="783">
                  <c:v>98.209500000000006</c:v>
                </c:pt>
                <c:pt idx="784">
                  <c:v>99.6571</c:v>
                </c:pt>
                <c:pt idx="785">
                  <c:v>98.057100000000005</c:v>
                </c:pt>
                <c:pt idx="786">
                  <c:v>102.09520000000001</c:v>
                </c:pt>
                <c:pt idx="787">
                  <c:v>101.1238</c:v>
                </c:pt>
                <c:pt idx="788">
                  <c:v>106.32380000000001</c:v>
                </c:pt>
                <c:pt idx="789">
                  <c:v>108.09520000000001</c:v>
                </c:pt>
                <c:pt idx="790">
                  <c:v>105.71429999999999</c:v>
                </c:pt>
                <c:pt idx="791">
                  <c:v>110.8571</c:v>
                </c:pt>
                <c:pt idx="792">
                  <c:v>111.33329999999999</c:v>
                </c:pt>
                <c:pt idx="793">
                  <c:v>114.09520000000001</c:v>
                </c:pt>
                <c:pt idx="794">
                  <c:v>110.5333</c:v>
                </c:pt>
                <c:pt idx="795">
                  <c:v>110.09520000000001</c:v>
                </c:pt>
                <c:pt idx="796">
                  <c:v>110.47620000000001</c:v>
                </c:pt>
                <c:pt idx="797">
                  <c:v>105.5429</c:v>
                </c:pt>
                <c:pt idx="798">
                  <c:v>102.5714</c:v>
                </c:pt>
                <c:pt idx="799">
                  <c:v>104.7619</c:v>
                </c:pt>
                <c:pt idx="800">
                  <c:v>100.7619</c:v>
                </c:pt>
                <c:pt idx="801">
                  <c:v>104.1143</c:v>
                </c:pt>
                <c:pt idx="802">
                  <c:v>105.1048</c:v>
                </c:pt>
                <c:pt idx="803">
                  <c:v>102.51430000000001</c:v>
                </c:pt>
                <c:pt idx="804">
                  <c:v>101.90479999999999</c:v>
                </c:pt>
                <c:pt idx="805">
                  <c:v>105.86669999999999</c:v>
                </c:pt>
                <c:pt idx="806">
                  <c:v>105.2762</c:v>
                </c:pt>
                <c:pt idx="807">
                  <c:v>104.0381</c:v>
                </c:pt>
                <c:pt idx="808">
                  <c:v>102.46680000000001</c:v>
                </c:pt>
                <c:pt idx="809">
                  <c:v>102.7894</c:v>
                </c:pt>
                <c:pt idx="810">
                  <c:v>102.06829999999999</c:v>
                </c:pt>
                <c:pt idx="811">
                  <c:v>100.1708</c:v>
                </c:pt>
                <c:pt idx="812">
                  <c:v>100</c:v>
                </c:pt>
                <c:pt idx="813">
                  <c:v>98.330200000000005</c:v>
                </c:pt>
                <c:pt idx="814">
                  <c:v>98.444000000000003</c:v>
                </c:pt>
                <c:pt idx="815">
                  <c:v>98.671700000000001</c:v>
                </c:pt>
                <c:pt idx="816">
                  <c:v>97.950699999999998</c:v>
                </c:pt>
                <c:pt idx="817">
                  <c:v>94.800700000000006</c:v>
                </c:pt>
                <c:pt idx="818">
                  <c:v>92.390900000000002</c:v>
                </c:pt>
                <c:pt idx="819">
                  <c:v>92.979100000000003</c:v>
                </c:pt>
                <c:pt idx="820">
                  <c:v>89.582499999999996</c:v>
                </c:pt>
                <c:pt idx="821">
                  <c:v>88.614800000000002</c:v>
                </c:pt>
                <c:pt idx="822">
                  <c:v>89.715400000000002</c:v>
                </c:pt>
                <c:pt idx="823">
                  <c:v>90.284599999999998</c:v>
                </c:pt>
                <c:pt idx="824">
                  <c:v>92.979100000000003</c:v>
                </c:pt>
                <c:pt idx="825">
                  <c:v>92.6755</c:v>
                </c:pt>
                <c:pt idx="826">
                  <c:v>99.487700000000004</c:v>
                </c:pt>
                <c:pt idx="827">
                  <c:v>99.905100000000004</c:v>
                </c:pt>
                <c:pt idx="828">
                  <c:v>97.191599999999994</c:v>
                </c:pt>
                <c:pt idx="829">
                  <c:v>96.963899999999995</c:v>
                </c:pt>
                <c:pt idx="830">
                  <c:v>104.74379999999999</c:v>
                </c:pt>
                <c:pt idx="831">
                  <c:v>104.4212</c:v>
                </c:pt>
                <c:pt idx="832">
                  <c:v>104.55410000000001</c:v>
                </c:pt>
                <c:pt idx="833">
                  <c:v>104.55410000000001</c:v>
                </c:pt>
                <c:pt idx="834">
                  <c:v>103.3776</c:v>
                </c:pt>
                <c:pt idx="835">
                  <c:v>100.5692</c:v>
                </c:pt>
                <c:pt idx="836">
                  <c:v>100.6641</c:v>
                </c:pt>
                <c:pt idx="837">
                  <c:v>103.41549999999999</c:v>
                </c:pt>
                <c:pt idx="838">
                  <c:v>103.6812</c:v>
                </c:pt>
                <c:pt idx="839">
                  <c:v>103.79510000000001</c:v>
                </c:pt>
                <c:pt idx="840">
                  <c:v>100.37949999999999</c:v>
                </c:pt>
                <c:pt idx="841">
                  <c:v>100.37949999999999</c:v>
                </c:pt>
                <c:pt idx="842">
                  <c:v>104.0607</c:v>
                </c:pt>
                <c:pt idx="843">
                  <c:v>102.18219999999999</c:v>
                </c:pt>
                <c:pt idx="844">
                  <c:v>99.146100000000004</c:v>
                </c:pt>
                <c:pt idx="845">
                  <c:v>102.18219999999999</c:v>
                </c:pt>
                <c:pt idx="846">
                  <c:v>107.2865</c:v>
                </c:pt>
                <c:pt idx="847">
                  <c:v>108.1973</c:v>
                </c:pt>
                <c:pt idx="848">
                  <c:v>107.9696</c:v>
                </c:pt>
                <c:pt idx="849">
                  <c:v>107.9696</c:v>
                </c:pt>
                <c:pt idx="850">
                  <c:v>110.03789999999999</c:v>
                </c:pt>
                <c:pt idx="851">
                  <c:v>110.6641</c:v>
                </c:pt>
                <c:pt idx="852">
                  <c:v>109.8861</c:v>
                </c:pt>
                <c:pt idx="853">
                  <c:v>112.1442</c:v>
                </c:pt>
                <c:pt idx="854">
                  <c:v>112.12520000000001</c:v>
                </c:pt>
                <c:pt idx="855">
                  <c:v>106.0911</c:v>
                </c:pt>
                <c:pt idx="856">
                  <c:v>104.8766</c:v>
                </c:pt>
                <c:pt idx="857">
                  <c:v>106.0911</c:v>
                </c:pt>
                <c:pt idx="858">
                  <c:v>106.4516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15-4CD1-8F72-0EC102F70E61}"/>
            </c:ext>
          </c:extLst>
        </c:ser>
        <c:ser>
          <c:idx val="2"/>
          <c:order val="2"/>
          <c:spPr>
            <a:ln w="12700">
              <a:solidFill>
                <a:srgbClr val="AABCE6"/>
              </a:solidFill>
              <a:prstDash val="sysDash"/>
            </a:ln>
          </c:spPr>
          <c:marker>
            <c:symbol val="none"/>
          </c:marker>
          <c:cat>
            <c:numRef>
              <c:f>个券数据!$D$1:$D$859</c:f>
              <c:numCache>
                <c:formatCode>yyyy/mm/dd\(aaa\)</c:formatCode>
                <c:ptCount val="859"/>
                <c:pt idx="0">
                  <c:v>44446</c:v>
                </c:pt>
                <c:pt idx="1">
                  <c:v>44446</c:v>
                </c:pt>
                <c:pt idx="2">
                  <c:v>44445</c:v>
                </c:pt>
                <c:pt idx="3">
                  <c:v>44442</c:v>
                </c:pt>
                <c:pt idx="4">
                  <c:v>44441</c:v>
                </c:pt>
                <c:pt idx="5">
                  <c:v>44440</c:v>
                </c:pt>
                <c:pt idx="6">
                  <c:v>44439</c:v>
                </c:pt>
                <c:pt idx="7">
                  <c:v>44438</c:v>
                </c:pt>
                <c:pt idx="8">
                  <c:v>44435</c:v>
                </c:pt>
                <c:pt idx="9">
                  <c:v>44434</c:v>
                </c:pt>
                <c:pt idx="10">
                  <c:v>44433</c:v>
                </c:pt>
                <c:pt idx="11">
                  <c:v>44432</c:v>
                </c:pt>
                <c:pt idx="12">
                  <c:v>44431</c:v>
                </c:pt>
                <c:pt idx="13">
                  <c:v>44428</c:v>
                </c:pt>
                <c:pt idx="14">
                  <c:v>44427</c:v>
                </c:pt>
                <c:pt idx="15">
                  <c:v>44426</c:v>
                </c:pt>
                <c:pt idx="16">
                  <c:v>44425</c:v>
                </c:pt>
                <c:pt idx="17">
                  <c:v>44424</c:v>
                </c:pt>
                <c:pt idx="18">
                  <c:v>44421</c:v>
                </c:pt>
                <c:pt idx="19">
                  <c:v>44420</c:v>
                </c:pt>
                <c:pt idx="20">
                  <c:v>44419</c:v>
                </c:pt>
                <c:pt idx="21">
                  <c:v>44418</c:v>
                </c:pt>
                <c:pt idx="22">
                  <c:v>44417</c:v>
                </c:pt>
                <c:pt idx="23">
                  <c:v>44414</c:v>
                </c:pt>
                <c:pt idx="24">
                  <c:v>44413</c:v>
                </c:pt>
                <c:pt idx="25">
                  <c:v>44412</c:v>
                </c:pt>
                <c:pt idx="26">
                  <c:v>44411</c:v>
                </c:pt>
                <c:pt idx="27">
                  <c:v>44410</c:v>
                </c:pt>
                <c:pt idx="28">
                  <c:v>44407</c:v>
                </c:pt>
                <c:pt idx="29">
                  <c:v>44406</c:v>
                </c:pt>
                <c:pt idx="30">
                  <c:v>44405</c:v>
                </c:pt>
                <c:pt idx="31">
                  <c:v>44404</c:v>
                </c:pt>
                <c:pt idx="32">
                  <c:v>44403</c:v>
                </c:pt>
                <c:pt idx="33">
                  <c:v>44400</c:v>
                </c:pt>
                <c:pt idx="34">
                  <c:v>44399</c:v>
                </c:pt>
                <c:pt idx="35">
                  <c:v>44398</c:v>
                </c:pt>
                <c:pt idx="36">
                  <c:v>44397</c:v>
                </c:pt>
                <c:pt idx="37">
                  <c:v>44396</c:v>
                </c:pt>
                <c:pt idx="38">
                  <c:v>44393</c:v>
                </c:pt>
                <c:pt idx="39">
                  <c:v>44392</c:v>
                </c:pt>
                <c:pt idx="40">
                  <c:v>44391</c:v>
                </c:pt>
                <c:pt idx="41">
                  <c:v>44390</c:v>
                </c:pt>
                <c:pt idx="42">
                  <c:v>44389</c:v>
                </c:pt>
                <c:pt idx="43">
                  <c:v>44386</c:v>
                </c:pt>
                <c:pt idx="44">
                  <c:v>44385</c:v>
                </c:pt>
                <c:pt idx="45">
                  <c:v>44384</c:v>
                </c:pt>
                <c:pt idx="46">
                  <c:v>44383</c:v>
                </c:pt>
                <c:pt idx="47">
                  <c:v>44382</c:v>
                </c:pt>
                <c:pt idx="48">
                  <c:v>44379</c:v>
                </c:pt>
                <c:pt idx="49">
                  <c:v>44378</c:v>
                </c:pt>
                <c:pt idx="50">
                  <c:v>44377</c:v>
                </c:pt>
                <c:pt idx="51">
                  <c:v>44376</c:v>
                </c:pt>
                <c:pt idx="52">
                  <c:v>44375</c:v>
                </c:pt>
                <c:pt idx="53">
                  <c:v>44372</c:v>
                </c:pt>
                <c:pt idx="54">
                  <c:v>44371</c:v>
                </c:pt>
                <c:pt idx="55">
                  <c:v>44370</c:v>
                </c:pt>
                <c:pt idx="56">
                  <c:v>44369</c:v>
                </c:pt>
                <c:pt idx="57">
                  <c:v>44368</c:v>
                </c:pt>
                <c:pt idx="58">
                  <c:v>44365</c:v>
                </c:pt>
                <c:pt idx="59">
                  <c:v>44364</c:v>
                </c:pt>
                <c:pt idx="60">
                  <c:v>44363</c:v>
                </c:pt>
                <c:pt idx="61">
                  <c:v>44362</c:v>
                </c:pt>
                <c:pt idx="62">
                  <c:v>44358</c:v>
                </c:pt>
                <c:pt idx="63">
                  <c:v>44357</c:v>
                </c:pt>
                <c:pt idx="64">
                  <c:v>44356</c:v>
                </c:pt>
                <c:pt idx="65">
                  <c:v>44355</c:v>
                </c:pt>
                <c:pt idx="66">
                  <c:v>44354</c:v>
                </c:pt>
                <c:pt idx="67">
                  <c:v>44351</c:v>
                </c:pt>
                <c:pt idx="68">
                  <c:v>44350</c:v>
                </c:pt>
                <c:pt idx="69">
                  <c:v>44349</c:v>
                </c:pt>
                <c:pt idx="70">
                  <c:v>44348</c:v>
                </c:pt>
                <c:pt idx="71">
                  <c:v>44347</c:v>
                </c:pt>
                <c:pt idx="72">
                  <c:v>44344</c:v>
                </c:pt>
                <c:pt idx="73">
                  <c:v>44343</c:v>
                </c:pt>
                <c:pt idx="74">
                  <c:v>44342</c:v>
                </c:pt>
                <c:pt idx="75">
                  <c:v>44341</c:v>
                </c:pt>
                <c:pt idx="76">
                  <c:v>44340</c:v>
                </c:pt>
                <c:pt idx="77">
                  <c:v>44337</c:v>
                </c:pt>
                <c:pt idx="78">
                  <c:v>44336</c:v>
                </c:pt>
                <c:pt idx="79">
                  <c:v>44335</c:v>
                </c:pt>
                <c:pt idx="80">
                  <c:v>44334</c:v>
                </c:pt>
                <c:pt idx="81">
                  <c:v>44333</c:v>
                </c:pt>
                <c:pt idx="82">
                  <c:v>44330</c:v>
                </c:pt>
                <c:pt idx="83">
                  <c:v>44329</c:v>
                </c:pt>
                <c:pt idx="84">
                  <c:v>44328</c:v>
                </c:pt>
                <c:pt idx="85">
                  <c:v>44327</c:v>
                </c:pt>
                <c:pt idx="86">
                  <c:v>44326</c:v>
                </c:pt>
                <c:pt idx="87">
                  <c:v>44323</c:v>
                </c:pt>
                <c:pt idx="88">
                  <c:v>44322</c:v>
                </c:pt>
                <c:pt idx="89">
                  <c:v>44316</c:v>
                </c:pt>
                <c:pt idx="90">
                  <c:v>44315</c:v>
                </c:pt>
                <c:pt idx="91">
                  <c:v>44314</c:v>
                </c:pt>
                <c:pt idx="92">
                  <c:v>44313</c:v>
                </c:pt>
                <c:pt idx="93">
                  <c:v>44312</c:v>
                </c:pt>
                <c:pt idx="94">
                  <c:v>44309</c:v>
                </c:pt>
                <c:pt idx="95">
                  <c:v>44308</c:v>
                </c:pt>
                <c:pt idx="96">
                  <c:v>44307</c:v>
                </c:pt>
                <c:pt idx="97">
                  <c:v>44306</c:v>
                </c:pt>
                <c:pt idx="98">
                  <c:v>44305</c:v>
                </c:pt>
                <c:pt idx="99">
                  <c:v>44302</c:v>
                </c:pt>
                <c:pt idx="100">
                  <c:v>44301</c:v>
                </c:pt>
                <c:pt idx="101">
                  <c:v>44300</c:v>
                </c:pt>
                <c:pt idx="102">
                  <c:v>44299</c:v>
                </c:pt>
                <c:pt idx="103">
                  <c:v>44298</c:v>
                </c:pt>
                <c:pt idx="104">
                  <c:v>44295</c:v>
                </c:pt>
                <c:pt idx="105">
                  <c:v>44294</c:v>
                </c:pt>
                <c:pt idx="106">
                  <c:v>44293</c:v>
                </c:pt>
                <c:pt idx="107">
                  <c:v>44292</c:v>
                </c:pt>
                <c:pt idx="108">
                  <c:v>44288</c:v>
                </c:pt>
                <c:pt idx="109">
                  <c:v>44287</c:v>
                </c:pt>
                <c:pt idx="110">
                  <c:v>44286</c:v>
                </c:pt>
                <c:pt idx="111">
                  <c:v>44285</c:v>
                </c:pt>
                <c:pt idx="112">
                  <c:v>44284</c:v>
                </c:pt>
                <c:pt idx="113">
                  <c:v>44281</c:v>
                </c:pt>
                <c:pt idx="114">
                  <c:v>44280</c:v>
                </c:pt>
                <c:pt idx="115">
                  <c:v>44279</c:v>
                </c:pt>
                <c:pt idx="116">
                  <c:v>44278</c:v>
                </c:pt>
                <c:pt idx="117">
                  <c:v>44277</c:v>
                </c:pt>
                <c:pt idx="118">
                  <c:v>44274</c:v>
                </c:pt>
                <c:pt idx="119">
                  <c:v>44273</c:v>
                </c:pt>
                <c:pt idx="120">
                  <c:v>44272</c:v>
                </c:pt>
                <c:pt idx="121">
                  <c:v>44271</c:v>
                </c:pt>
                <c:pt idx="122">
                  <c:v>44270</c:v>
                </c:pt>
                <c:pt idx="123">
                  <c:v>44267</c:v>
                </c:pt>
                <c:pt idx="124">
                  <c:v>44266</c:v>
                </c:pt>
                <c:pt idx="125">
                  <c:v>44265</c:v>
                </c:pt>
                <c:pt idx="126">
                  <c:v>44264</c:v>
                </c:pt>
                <c:pt idx="127">
                  <c:v>44263</c:v>
                </c:pt>
                <c:pt idx="128">
                  <c:v>44260</c:v>
                </c:pt>
                <c:pt idx="129">
                  <c:v>44259</c:v>
                </c:pt>
                <c:pt idx="130">
                  <c:v>44258</c:v>
                </c:pt>
                <c:pt idx="131">
                  <c:v>44257</c:v>
                </c:pt>
                <c:pt idx="132">
                  <c:v>44256</c:v>
                </c:pt>
                <c:pt idx="133">
                  <c:v>44253</c:v>
                </c:pt>
                <c:pt idx="134">
                  <c:v>44252</c:v>
                </c:pt>
                <c:pt idx="135">
                  <c:v>44251</c:v>
                </c:pt>
                <c:pt idx="136">
                  <c:v>44250</c:v>
                </c:pt>
                <c:pt idx="137">
                  <c:v>44249</c:v>
                </c:pt>
                <c:pt idx="138">
                  <c:v>44246</c:v>
                </c:pt>
                <c:pt idx="139">
                  <c:v>44245</c:v>
                </c:pt>
                <c:pt idx="140">
                  <c:v>44237</c:v>
                </c:pt>
                <c:pt idx="141">
                  <c:v>44236</c:v>
                </c:pt>
                <c:pt idx="142">
                  <c:v>44235</c:v>
                </c:pt>
                <c:pt idx="143">
                  <c:v>44232</c:v>
                </c:pt>
                <c:pt idx="144">
                  <c:v>44231</c:v>
                </c:pt>
                <c:pt idx="145">
                  <c:v>44230</c:v>
                </c:pt>
                <c:pt idx="146">
                  <c:v>44229</c:v>
                </c:pt>
                <c:pt idx="147">
                  <c:v>44228</c:v>
                </c:pt>
                <c:pt idx="148">
                  <c:v>44225</c:v>
                </c:pt>
                <c:pt idx="149">
                  <c:v>44224</c:v>
                </c:pt>
                <c:pt idx="150">
                  <c:v>44223</c:v>
                </c:pt>
                <c:pt idx="151">
                  <c:v>44222</c:v>
                </c:pt>
                <c:pt idx="152">
                  <c:v>44221</c:v>
                </c:pt>
                <c:pt idx="153">
                  <c:v>44218</c:v>
                </c:pt>
                <c:pt idx="154">
                  <c:v>44217</c:v>
                </c:pt>
                <c:pt idx="155">
                  <c:v>44216</c:v>
                </c:pt>
                <c:pt idx="156">
                  <c:v>44215</c:v>
                </c:pt>
                <c:pt idx="157">
                  <c:v>44214</c:v>
                </c:pt>
                <c:pt idx="158">
                  <c:v>44211</c:v>
                </c:pt>
                <c:pt idx="159">
                  <c:v>44210</c:v>
                </c:pt>
                <c:pt idx="160">
                  <c:v>44209</c:v>
                </c:pt>
                <c:pt idx="161">
                  <c:v>44208</c:v>
                </c:pt>
                <c:pt idx="162">
                  <c:v>44207</c:v>
                </c:pt>
                <c:pt idx="163">
                  <c:v>44204</c:v>
                </c:pt>
                <c:pt idx="164">
                  <c:v>44203</c:v>
                </c:pt>
                <c:pt idx="165">
                  <c:v>44202</c:v>
                </c:pt>
                <c:pt idx="166">
                  <c:v>44201</c:v>
                </c:pt>
                <c:pt idx="167">
                  <c:v>44200</c:v>
                </c:pt>
                <c:pt idx="168">
                  <c:v>44196</c:v>
                </c:pt>
                <c:pt idx="169">
                  <c:v>44195</c:v>
                </c:pt>
                <c:pt idx="170">
                  <c:v>44194</c:v>
                </c:pt>
                <c:pt idx="171">
                  <c:v>44193</c:v>
                </c:pt>
                <c:pt idx="172">
                  <c:v>44190</c:v>
                </c:pt>
                <c:pt idx="173">
                  <c:v>44189</c:v>
                </c:pt>
                <c:pt idx="174">
                  <c:v>44188</c:v>
                </c:pt>
                <c:pt idx="175">
                  <c:v>44187</c:v>
                </c:pt>
                <c:pt idx="176">
                  <c:v>44186</c:v>
                </c:pt>
                <c:pt idx="177">
                  <c:v>44183</c:v>
                </c:pt>
                <c:pt idx="178">
                  <c:v>44182</c:v>
                </c:pt>
                <c:pt idx="179">
                  <c:v>44181</c:v>
                </c:pt>
                <c:pt idx="180">
                  <c:v>44180</c:v>
                </c:pt>
                <c:pt idx="181">
                  <c:v>44179</c:v>
                </c:pt>
                <c:pt idx="182">
                  <c:v>44176</c:v>
                </c:pt>
                <c:pt idx="183">
                  <c:v>44175</c:v>
                </c:pt>
                <c:pt idx="184">
                  <c:v>44174</c:v>
                </c:pt>
                <c:pt idx="185">
                  <c:v>44173</c:v>
                </c:pt>
                <c:pt idx="186">
                  <c:v>44172</c:v>
                </c:pt>
                <c:pt idx="187">
                  <c:v>44169</c:v>
                </c:pt>
                <c:pt idx="188">
                  <c:v>44168</c:v>
                </c:pt>
                <c:pt idx="189">
                  <c:v>44167</c:v>
                </c:pt>
                <c:pt idx="190">
                  <c:v>44166</c:v>
                </c:pt>
                <c:pt idx="191">
                  <c:v>44165</c:v>
                </c:pt>
                <c:pt idx="192">
                  <c:v>44162</c:v>
                </c:pt>
                <c:pt idx="193">
                  <c:v>44161</c:v>
                </c:pt>
                <c:pt idx="194">
                  <c:v>44160</c:v>
                </c:pt>
                <c:pt idx="195">
                  <c:v>44159</c:v>
                </c:pt>
                <c:pt idx="196">
                  <c:v>44158</c:v>
                </c:pt>
                <c:pt idx="197">
                  <c:v>44155</c:v>
                </c:pt>
                <c:pt idx="198">
                  <c:v>44154</c:v>
                </c:pt>
                <c:pt idx="199">
                  <c:v>44153</c:v>
                </c:pt>
                <c:pt idx="200">
                  <c:v>44152</c:v>
                </c:pt>
                <c:pt idx="201">
                  <c:v>44151</c:v>
                </c:pt>
                <c:pt idx="202">
                  <c:v>44148</c:v>
                </c:pt>
                <c:pt idx="203">
                  <c:v>44147</c:v>
                </c:pt>
                <c:pt idx="204">
                  <c:v>44146</c:v>
                </c:pt>
                <c:pt idx="205">
                  <c:v>44145</c:v>
                </c:pt>
                <c:pt idx="206">
                  <c:v>44144</c:v>
                </c:pt>
                <c:pt idx="207">
                  <c:v>44141</c:v>
                </c:pt>
                <c:pt idx="208">
                  <c:v>44140</c:v>
                </c:pt>
                <c:pt idx="209">
                  <c:v>44139</c:v>
                </c:pt>
                <c:pt idx="210">
                  <c:v>44138</c:v>
                </c:pt>
                <c:pt idx="211">
                  <c:v>44137</c:v>
                </c:pt>
                <c:pt idx="212">
                  <c:v>44134</c:v>
                </c:pt>
                <c:pt idx="213">
                  <c:v>44133</c:v>
                </c:pt>
                <c:pt idx="214">
                  <c:v>44132</c:v>
                </c:pt>
                <c:pt idx="215">
                  <c:v>44131</c:v>
                </c:pt>
                <c:pt idx="216">
                  <c:v>44130</c:v>
                </c:pt>
                <c:pt idx="217">
                  <c:v>44127</c:v>
                </c:pt>
                <c:pt idx="218">
                  <c:v>44126</c:v>
                </c:pt>
                <c:pt idx="219">
                  <c:v>44125</c:v>
                </c:pt>
                <c:pt idx="220">
                  <c:v>44124</c:v>
                </c:pt>
                <c:pt idx="221">
                  <c:v>44123</c:v>
                </c:pt>
                <c:pt idx="222">
                  <c:v>44120</c:v>
                </c:pt>
                <c:pt idx="223">
                  <c:v>44119</c:v>
                </c:pt>
                <c:pt idx="224">
                  <c:v>44118</c:v>
                </c:pt>
                <c:pt idx="225">
                  <c:v>44117</c:v>
                </c:pt>
                <c:pt idx="226">
                  <c:v>44116</c:v>
                </c:pt>
                <c:pt idx="227">
                  <c:v>44113</c:v>
                </c:pt>
                <c:pt idx="228">
                  <c:v>44104</c:v>
                </c:pt>
                <c:pt idx="229">
                  <c:v>44103</c:v>
                </c:pt>
                <c:pt idx="230">
                  <c:v>44102</c:v>
                </c:pt>
                <c:pt idx="231">
                  <c:v>44099</c:v>
                </c:pt>
                <c:pt idx="232">
                  <c:v>44098</c:v>
                </c:pt>
                <c:pt idx="233">
                  <c:v>44097</c:v>
                </c:pt>
                <c:pt idx="234">
                  <c:v>44096</c:v>
                </c:pt>
                <c:pt idx="235">
                  <c:v>44095</c:v>
                </c:pt>
                <c:pt idx="236">
                  <c:v>44092</c:v>
                </c:pt>
                <c:pt idx="237">
                  <c:v>44091</c:v>
                </c:pt>
                <c:pt idx="238">
                  <c:v>44090</c:v>
                </c:pt>
                <c:pt idx="239">
                  <c:v>44089</c:v>
                </c:pt>
                <c:pt idx="240">
                  <c:v>44088</c:v>
                </c:pt>
                <c:pt idx="241">
                  <c:v>44085</c:v>
                </c:pt>
                <c:pt idx="242">
                  <c:v>44084</c:v>
                </c:pt>
                <c:pt idx="243">
                  <c:v>44083</c:v>
                </c:pt>
                <c:pt idx="244">
                  <c:v>44082</c:v>
                </c:pt>
                <c:pt idx="245">
                  <c:v>44081</c:v>
                </c:pt>
                <c:pt idx="246">
                  <c:v>44078</c:v>
                </c:pt>
                <c:pt idx="247">
                  <c:v>44077</c:v>
                </c:pt>
                <c:pt idx="248">
                  <c:v>44076</c:v>
                </c:pt>
                <c:pt idx="249">
                  <c:v>44075</c:v>
                </c:pt>
                <c:pt idx="250">
                  <c:v>44074</c:v>
                </c:pt>
                <c:pt idx="251">
                  <c:v>44071</c:v>
                </c:pt>
                <c:pt idx="252">
                  <c:v>44070</c:v>
                </c:pt>
                <c:pt idx="253">
                  <c:v>44069</c:v>
                </c:pt>
                <c:pt idx="254">
                  <c:v>44068</c:v>
                </c:pt>
                <c:pt idx="255">
                  <c:v>44067</c:v>
                </c:pt>
                <c:pt idx="256">
                  <c:v>44064</c:v>
                </c:pt>
                <c:pt idx="257">
                  <c:v>44063</c:v>
                </c:pt>
                <c:pt idx="258">
                  <c:v>44062</c:v>
                </c:pt>
                <c:pt idx="259">
                  <c:v>44061</c:v>
                </c:pt>
                <c:pt idx="260">
                  <c:v>44060</c:v>
                </c:pt>
                <c:pt idx="261">
                  <c:v>44057</c:v>
                </c:pt>
                <c:pt idx="262">
                  <c:v>44056</c:v>
                </c:pt>
                <c:pt idx="263">
                  <c:v>44055</c:v>
                </c:pt>
                <c:pt idx="264">
                  <c:v>44054</c:v>
                </c:pt>
                <c:pt idx="265">
                  <c:v>44053</c:v>
                </c:pt>
                <c:pt idx="266">
                  <c:v>44050</c:v>
                </c:pt>
                <c:pt idx="267">
                  <c:v>44049</c:v>
                </c:pt>
                <c:pt idx="268">
                  <c:v>44048</c:v>
                </c:pt>
                <c:pt idx="269">
                  <c:v>44047</c:v>
                </c:pt>
                <c:pt idx="270">
                  <c:v>44046</c:v>
                </c:pt>
                <c:pt idx="271">
                  <c:v>44043</c:v>
                </c:pt>
                <c:pt idx="272">
                  <c:v>44042</c:v>
                </c:pt>
                <c:pt idx="273">
                  <c:v>44041</c:v>
                </c:pt>
                <c:pt idx="274">
                  <c:v>44040</c:v>
                </c:pt>
                <c:pt idx="275">
                  <c:v>44039</c:v>
                </c:pt>
                <c:pt idx="276">
                  <c:v>44036</c:v>
                </c:pt>
                <c:pt idx="277">
                  <c:v>44035</c:v>
                </c:pt>
                <c:pt idx="278">
                  <c:v>44034</c:v>
                </c:pt>
                <c:pt idx="279">
                  <c:v>44033</c:v>
                </c:pt>
                <c:pt idx="280">
                  <c:v>44032</c:v>
                </c:pt>
                <c:pt idx="281">
                  <c:v>44029</c:v>
                </c:pt>
                <c:pt idx="282">
                  <c:v>44028</c:v>
                </c:pt>
                <c:pt idx="283">
                  <c:v>44027</c:v>
                </c:pt>
                <c:pt idx="284">
                  <c:v>44026</c:v>
                </c:pt>
                <c:pt idx="285">
                  <c:v>44025</c:v>
                </c:pt>
                <c:pt idx="286">
                  <c:v>44022</c:v>
                </c:pt>
                <c:pt idx="287">
                  <c:v>44021</c:v>
                </c:pt>
                <c:pt idx="288">
                  <c:v>44020</c:v>
                </c:pt>
                <c:pt idx="289">
                  <c:v>44019</c:v>
                </c:pt>
                <c:pt idx="290">
                  <c:v>44018</c:v>
                </c:pt>
                <c:pt idx="291">
                  <c:v>44015</c:v>
                </c:pt>
                <c:pt idx="292">
                  <c:v>44014</c:v>
                </c:pt>
                <c:pt idx="293">
                  <c:v>44013</c:v>
                </c:pt>
                <c:pt idx="294">
                  <c:v>44012</c:v>
                </c:pt>
                <c:pt idx="295">
                  <c:v>44011</c:v>
                </c:pt>
                <c:pt idx="296">
                  <c:v>44006</c:v>
                </c:pt>
                <c:pt idx="297">
                  <c:v>44005</c:v>
                </c:pt>
                <c:pt idx="298">
                  <c:v>44004</c:v>
                </c:pt>
                <c:pt idx="299">
                  <c:v>44001</c:v>
                </c:pt>
                <c:pt idx="300">
                  <c:v>44000</c:v>
                </c:pt>
                <c:pt idx="301">
                  <c:v>43999</c:v>
                </c:pt>
                <c:pt idx="302">
                  <c:v>43998</c:v>
                </c:pt>
                <c:pt idx="303">
                  <c:v>43997</c:v>
                </c:pt>
                <c:pt idx="304">
                  <c:v>43994</c:v>
                </c:pt>
                <c:pt idx="305">
                  <c:v>43993</c:v>
                </c:pt>
                <c:pt idx="306">
                  <c:v>43992</c:v>
                </c:pt>
                <c:pt idx="307">
                  <c:v>43991</c:v>
                </c:pt>
                <c:pt idx="308">
                  <c:v>43990</c:v>
                </c:pt>
                <c:pt idx="309">
                  <c:v>43987</c:v>
                </c:pt>
                <c:pt idx="310">
                  <c:v>43986</c:v>
                </c:pt>
                <c:pt idx="311">
                  <c:v>43985</c:v>
                </c:pt>
                <c:pt idx="312">
                  <c:v>43984</c:v>
                </c:pt>
                <c:pt idx="313">
                  <c:v>43983</c:v>
                </c:pt>
                <c:pt idx="314">
                  <c:v>43980</c:v>
                </c:pt>
                <c:pt idx="315">
                  <c:v>43979</c:v>
                </c:pt>
                <c:pt idx="316">
                  <c:v>43978</c:v>
                </c:pt>
                <c:pt idx="317">
                  <c:v>43977</c:v>
                </c:pt>
                <c:pt idx="318">
                  <c:v>43976</c:v>
                </c:pt>
                <c:pt idx="319">
                  <c:v>43973</c:v>
                </c:pt>
                <c:pt idx="320">
                  <c:v>43972</c:v>
                </c:pt>
                <c:pt idx="321">
                  <c:v>43971</c:v>
                </c:pt>
                <c:pt idx="322">
                  <c:v>43970</c:v>
                </c:pt>
                <c:pt idx="323">
                  <c:v>43969</c:v>
                </c:pt>
                <c:pt idx="324">
                  <c:v>43966</c:v>
                </c:pt>
                <c:pt idx="325">
                  <c:v>43965</c:v>
                </c:pt>
                <c:pt idx="326">
                  <c:v>43964</c:v>
                </c:pt>
                <c:pt idx="327">
                  <c:v>43963</c:v>
                </c:pt>
                <c:pt idx="328">
                  <c:v>43962</c:v>
                </c:pt>
                <c:pt idx="329">
                  <c:v>43959</c:v>
                </c:pt>
                <c:pt idx="330">
                  <c:v>43958</c:v>
                </c:pt>
                <c:pt idx="331">
                  <c:v>43957</c:v>
                </c:pt>
                <c:pt idx="332">
                  <c:v>43951</c:v>
                </c:pt>
                <c:pt idx="333">
                  <c:v>43950</c:v>
                </c:pt>
                <c:pt idx="334">
                  <c:v>43949</c:v>
                </c:pt>
                <c:pt idx="335">
                  <c:v>43948</c:v>
                </c:pt>
                <c:pt idx="336">
                  <c:v>43945</c:v>
                </c:pt>
                <c:pt idx="337">
                  <c:v>43944</c:v>
                </c:pt>
                <c:pt idx="338">
                  <c:v>43943</c:v>
                </c:pt>
                <c:pt idx="339">
                  <c:v>43942</c:v>
                </c:pt>
                <c:pt idx="340">
                  <c:v>43941</c:v>
                </c:pt>
                <c:pt idx="341">
                  <c:v>43938</c:v>
                </c:pt>
                <c:pt idx="342">
                  <c:v>43937</c:v>
                </c:pt>
                <c:pt idx="343">
                  <c:v>43936</c:v>
                </c:pt>
                <c:pt idx="344">
                  <c:v>43935</c:v>
                </c:pt>
                <c:pt idx="345">
                  <c:v>43934</c:v>
                </c:pt>
                <c:pt idx="346">
                  <c:v>43931</c:v>
                </c:pt>
                <c:pt idx="347">
                  <c:v>43930</c:v>
                </c:pt>
                <c:pt idx="348">
                  <c:v>43929</c:v>
                </c:pt>
                <c:pt idx="349">
                  <c:v>43928</c:v>
                </c:pt>
                <c:pt idx="350">
                  <c:v>43924</c:v>
                </c:pt>
                <c:pt idx="351">
                  <c:v>43923</c:v>
                </c:pt>
                <c:pt idx="352">
                  <c:v>43922</c:v>
                </c:pt>
                <c:pt idx="353">
                  <c:v>43921</c:v>
                </c:pt>
                <c:pt idx="354">
                  <c:v>43920</c:v>
                </c:pt>
                <c:pt idx="355">
                  <c:v>43917</c:v>
                </c:pt>
                <c:pt idx="356">
                  <c:v>43916</c:v>
                </c:pt>
                <c:pt idx="357">
                  <c:v>43915</c:v>
                </c:pt>
                <c:pt idx="358">
                  <c:v>43914</c:v>
                </c:pt>
                <c:pt idx="359">
                  <c:v>43913</c:v>
                </c:pt>
                <c:pt idx="360">
                  <c:v>43910</c:v>
                </c:pt>
                <c:pt idx="361">
                  <c:v>43909</c:v>
                </c:pt>
                <c:pt idx="362">
                  <c:v>43908</c:v>
                </c:pt>
                <c:pt idx="363">
                  <c:v>43907</c:v>
                </c:pt>
                <c:pt idx="364">
                  <c:v>43906</c:v>
                </c:pt>
                <c:pt idx="365">
                  <c:v>43903</c:v>
                </c:pt>
                <c:pt idx="366">
                  <c:v>43902</c:v>
                </c:pt>
                <c:pt idx="367">
                  <c:v>43901</c:v>
                </c:pt>
                <c:pt idx="368">
                  <c:v>43900</c:v>
                </c:pt>
                <c:pt idx="369">
                  <c:v>43899</c:v>
                </c:pt>
                <c:pt idx="370">
                  <c:v>43896</c:v>
                </c:pt>
                <c:pt idx="371">
                  <c:v>43895</c:v>
                </c:pt>
                <c:pt idx="372">
                  <c:v>43894</c:v>
                </c:pt>
                <c:pt idx="373">
                  <c:v>43893</c:v>
                </c:pt>
                <c:pt idx="374">
                  <c:v>43892</c:v>
                </c:pt>
                <c:pt idx="375">
                  <c:v>43889</c:v>
                </c:pt>
                <c:pt idx="376">
                  <c:v>43888</c:v>
                </c:pt>
                <c:pt idx="377">
                  <c:v>43887</c:v>
                </c:pt>
                <c:pt idx="378">
                  <c:v>43886</c:v>
                </c:pt>
                <c:pt idx="379">
                  <c:v>43885</c:v>
                </c:pt>
                <c:pt idx="380">
                  <c:v>43882</c:v>
                </c:pt>
                <c:pt idx="381">
                  <c:v>43881</c:v>
                </c:pt>
                <c:pt idx="382">
                  <c:v>43880</c:v>
                </c:pt>
                <c:pt idx="383">
                  <c:v>43879</c:v>
                </c:pt>
                <c:pt idx="384">
                  <c:v>43878</c:v>
                </c:pt>
                <c:pt idx="385">
                  <c:v>43875</c:v>
                </c:pt>
                <c:pt idx="386">
                  <c:v>43874</c:v>
                </c:pt>
                <c:pt idx="387">
                  <c:v>43873</c:v>
                </c:pt>
                <c:pt idx="388">
                  <c:v>43872</c:v>
                </c:pt>
                <c:pt idx="389">
                  <c:v>43871</c:v>
                </c:pt>
                <c:pt idx="390">
                  <c:v>43868</c:v>
                </c:pt>
                <c:pt idx="391">
                  <c:v>43867</c:v>
                </c:pt>
                <c:pt idx="392">
                  <c:v>43866</c:v>
                </c:pt>
                <c:pt idx="393">
                  <c:v>43865</c:v>
                </c:pt>
                <c:pt idx="394">
                  <c:v>43864</c:v>
                </c:pt>
                <c:pt idx="395">
                  <c:v>43853</c:v>
                </c:pt>
                <c:pt idx="396">
                  <c:v>43852</c:v>
                </c:pt>
                <c:pt idx="397">
                  <c:v>43851</c:v>
                </c:pt>
                <c:pt idx="398">
                  <c:v>43850</c:v>
                </c:pt>
                <c:pt idx="399">
                  <c:v>43847</c:v>
                </c:pt>
                <c:pt idx="400">
                  <c:v>43846</c:v>
                </c:pt>
                <c:pt idx="401">
                  <c:v>43845</c:v>
                </c:pt>
                <c:pt idx="402">
                  <c:v>43844</c:v>
                </c:pt>
                <c:pt idx="403">
                  <c:v>43843</c:v>
                </c:pt>
                <c:pt idx="404">
                  <c:v>43840</c:v>
                </c:pt>
                <c:pt idx="405">
                  <c:v>43839</c:v>
                </c:pt>
                <c:pt idx="406">
                  <c:v>43838</c:v>
                </c:pt>
                <c:pt idx="407">
                  <c:v>43837</c:v>
                </c:pt>
                <c:pt idx="408">
                  <c:v>43836</c:v>
                </c:pt>
                <c:pt idx="409">
                  <c:v>43833</c:v>
                </c:pt>
                <c:pt idx="410">
                  <c:v>43832</c:v>
                </c:pt>
                <c:pt idx="411">
                  <c:v>43830</c:v>
                </c:pt>
                <c:pt idx="412">
                  <c:v>43829</c:v>
                </c:pt>
                <c:pt idx="413">
                  <c:v>43826</c:v>
                </c:pt>
                <c:pt idx="414">
                  <c:v>43825</c:v>
                </c:pt>
                <c:pt idx="415">
                  <c:v>43824</c:v>
                </c:pt>
                <c:pt idx="416">
                  <c:v>43823</c:v>
                </c:pt>
                <c:pt idx="417">
                  <c:v>43822</c:v>
                </c:pt>
                <c:pt idx="418">
                  <c:v>43819</c:v>
                </c:pt>
                <c:pt idx="419">
                  <c:v>43818</c:v>
                </c:pt>
                <c:pt idx="420">
                  <c:v>43817</c:v>
                </c:pt>
                <c:pt idx="421">
                  <c:v>43816</c:v>
                </c:pt>
                <c:pt idx="422">
                  <c:v>43815</c:v>
                </c:pt>
                <c:pt idx="423">
                  <c:v>43812</c:v>
                </c:pt>
                <c:pt idx="424">
                  <c:v>43811</c:v>
                </c:pt>
                <c:pt idx="425">
                  <c:v>43810</c:v>
                </c:pt>
                <c:pt idx="426">
                  <c:v>43809</c:v>
                </c:pt>
                <c:pt idx="427">
                  <c:v>43808</c:v>
                </c:pt>
                <c:pt idx="428">
                  <c:v>43805</c:v>
                </c:pt>
                <c:pt idx="429">
                  <c:v>43804</c:v>
                </c:pt>
                <c:pt idx="430">
                  <c:v>43803</c:v>
                </c:pt>
                <c:pt idx="431">
                  <c:v>43802</c:v>
                </c:pt>
                <c:pt idx="432">
                  <c:v>43801</c:v>
                </c:pt>
                <c:pt idx="433">
                  <c:v>43798</c:v>
                </c:pt>
                <c:pt idx="434">
                  <c:v>43797</c:v>
                </c:pt>
                <c:pt idx="435">
                  <c:v>43796</c:v>
                </c:pt>
                <c:pt idx="436">
                  <c:v>43795</c:v>
                </c:pt>
                <c:pt idx="437">
                  <c:v>43794</c:v>
                </c:pt>
                <c:pt idx="438">
                  <c:v>43791</c:v>
                </c:pt>
                <c:pt idx="439">
                  <c:v>43790</c:v>
                </c:pt>
                <c:pt idx="440">
                  <c:v>43789</c:v>
                </c:pt>
                <c:pt idx="441">
                  <c:v>43788</c:v>
                </c:pt>
                <c:pt idx="442">
                  <c:v>43787</c:v>
                </c:pt>
                <c:pt idx="443">
                  <c:v>43784</c:v>
                </c:pt>
                <c:pt idx="444">
                  <c:v>43783</c:v>
                </c:pt>
                <c:pt idx="445">
                  <c:v>43782</c:v>
                </c:pt>
                <c:pt idx="446">
                  <c:v>43781</c:v>
                </c:pt>
                <c:pt idx="447">
                  <c:v>43780</c:v>
                </c:pt>
                <c:pt idx="448">
                  <c:v>43777</c:v>
                </c:pt>
                <c:pt idx="449">
                  <c:v>43776</c:v>
                </c:pt>
                <c:pt idx="450">
                  <c:v>43775</c:v>
                </c:pt>
                <c:pt idx="451">
                  <c:v>43774</c:v>
                </c:pt>
                <c:pt idx="452">
                  <c:v>43773</c:v>
                </c:pt>
                <c:pt idx="453">
                  <c:v>43770</c:v>
                </c:pt>
                <c:pt idx="454">
                  <c:v>43769</c:v>
                </c:pt>
                <c:pt idx="455">
                  <c:v>43768</c:v>
                </c:pt>
                <c:pt idx="456">
                  <c:v>43767</c:v>
                </c:pt>
                <c:pt idx="457">
                  <c:v>43766</c:v>
                </c:pt>
                <c:pt idx="458">
                  <c:v>43763</c:v>
                </c:pt>
                <c:pt idx="459">
                  <c:v>43762</c:v>
                </c:pt>
                <c:pt idx="460">
                  <c:v>43761</c:v>
                </c:pt>
                <c:pt idx="461">
                  <c:v>43760</c:v>
                </c:pt>
                <c:pt idx="462">
                  <c:v>43759</c:v>
                </c:pt>
                <c:pt idx="463">
                  <c:v>43756</c:v>
                </c:pt>
                <c:pt idx="464">
                  <c:v>43755</c:v>
                </c:pt>
                <c:pt idx="465">
                  <c:v>43754</c:v>
                </c:pt>
                <c:pt idx="466">
                  <c:v>43753</c:v>
                </c:pt>
                <c:pt idx="467">
                  <c:v>43752</c:v>
                </c:pt>
                <c:pt idx="468">
                  <c:v>43749</c:v>
                </c:pt>
                <c:pt idx="469">
                  <c:v>43748</c:v>
                </c:pt>
                <c:pt idx="470">
                  <c:v>43747</c:v>
                </c:pt>
                <c:pt idx="471">
                  <c:v>43746</c:v>
                </c:pt>
                <c:pt idx="472">
                  <c:v>43738</c:v>
                </c:pt>
                <c:pt idx="473">
                  <c:v>43735</c:v>
                </c:pt>
                <c:pt idx="474">
                  <c:v>43734</c:v>
                </c:pt>
                <c:pt idx="475">
                  <c:v>43733</c:v>
                </c:pt>
                <c:pt idx="476">
                  <c:v>43732</c:v>
                </c:pt>
                <c:pt idx="477">
                  <c:v>43731</c:v>
                </c:pt>
                <c:pt idx="478">
                  <c:v>43728</c:v>
                </c:pt>
                <c:pt idx="479">
                  <c:v>43727</c:v>
                </c:pt>
                <c:pt idx="480">
                  <c:v>43726</c:v>
                </c:pt>
                <c:pt idx="481">
                  <c:v>43725</c:v>
                </c:pt>
                <c:pt idx="482">
                  <c:v>43724</c:v>
                </c:pt>
                <c:pt idx="483">
                  <c:v>43720</c:v>
                </c:pt>
                <c:pt idx="484">
                  <c:v>43719</c:v>
                </c:pt>
                <c:pt idx="485">
                  <c:v>43718</c:v>
                </c:pt>
                <c:pt idx="486">
                  <c:v>43717</c:v>
                </c:pt>
                <c:pt idx="487">
                  <c:v>43714</c:v>
                </c:pt>
                <c:pt idx="488">
                  <c:v>43713</c:v>
                </c:pt>
                <c:pt idx="489">
                  <c:v>43712</c:v>
                </c:pt>
                <c:pt idx="490">
                  <c:v>43711</c:v>
                </c:pt>
                <c:pt idx="491">
                  <c:v>43710</c:v>
                </c:pt>
                <c:pt idx="492">
                  <c:v>43707</c:v>
                </c:pt>
                <c:pt idx="493">
                  <c:v>43706</c:v>
                </c:pt>
                <c:pt idx="494">
                  <c:v>43705</c:v>
                </c:pt>
                <c:pt idx="495">
                  <c:v>43704</c:v>
                </c:pt>
                <c:pt idx="496">
                  <c:v>43703</c:v>
                </c:pt>
                <c:pt idx="497">
                  <c:v>43700</c:v>
                </c:pt>
                <c:pt idx="498">
                  <c:v>43699</c:v>
                </c:pt>
                <c:pt idx="499">
                  <c:v>43698</c:v>
                </c:pt>
                <c:pt idx="500">
                  <c:v>43697</c:v>
                </c:pt>
                <c:pt idx="501">
                  <c:v>43696</c:v>
                </c:pt>
                <c:pt idx="502">
                  <c:v>43693</c:v>
                </c:pt>
                <c:pt idx="503">
                  <c:v>43692</c:v>
                </c:pt>
                <c:pt idx="504">
                  <c:v>43691</c:v>
                </c:pt>
                <c:pt idx="505">
                  <c:v>43690</c:v>
                </c:pt>
                <c:pt idx="506">
                  <c:v>43689</c:v>
                </c:pt>
                <c:pt idx="507">
                  <c:v>43686</c:v>
                </c:pt>
                <c:pt idx="508">
                  <c:v>43685</c:v>
                </c:pt>
                <c:pt idx="509">
                  <c:v>43684</c:v>
                </c:pt>
                <c:pt idx="510">
                  <c:v>43683</c:v>
                </c:pt>
                <c:pt idx="511">
                  <c:v>43682</c:v>
                </c:pt>
                <c:pt idx="512">
                  <c:v>43679</c:v>
                </c:pt>
                <c:pt idx="513">
                  <c:v>43678</c:v>
                </c:pt>
                <c:pt idx="514">
                  <c:v>43677</c:v>
                </c:pt>
                <c:pt idx="515">
                  <c:v>43676</c:v>
                </c:pt>
                <c:pt idx="516">
                  <c:v>43675</c:v>
                </c:pt>
                <c:pt idx="517">
                  <c:v>43672</c:v>
                </c:pt>
                <c:pt idx="518">
                  <c:v>43671</c:v>
                </c:pt>
                <c:pt idx="519">
                  <c:v>43670</c:v>
                </c:pt>
                <c:pt idx="520">
                  <c:v>43669</c:v>
                </c:pt>
                <c:pt idx="521">
                  <c:v>43668</c:v>
                </c:pt>
                <c:pt idx="522">
                  <c:v>43665</c:v>
                </c:pt>
                <c:pt idx="523">
                  <c:v>43664</c:v>
                </c:pt>
                <c:pt idx="524">
                  <c:v>43663</c:v>
                </c:pt>
                <c:pt idx="525">
                  <c:v>43662</c:v>
                </c:pt>
                <c:pt idx="526">
                  <c:v>43661</c:v>
                </c:pt>
                <c:pt idx="527">
                  <c:v>43658</c:v>
                </c:pt>
                <c:pt idx="528">
                  <c:v>43657</c:v>
                </c:pt>
                <c:pt idx="529">
                  <c:v>43656</c:v>
                </c:pt>
                <c:pt idx="530">
                  <c:v>43655</c:v>
                </c:pt>
                <c:pt idx="531">
                  <c:v>43654</c:v>
                </c:pt>
                <c:pt idx="532">
                  <c:v>43651</c:v>
                </c:pt>
                <c:pt idx="533">
                  <c:v>43650</c:v>
                </c:pt>
                <c:pt idx="534">
                  <c:v>43649</c:v>
                </c:pt>
                <c:pt idx="535">
                  <c:v>43648</c:v>
                </c:pt>
                <c:pt idx="536">
                  <c:v>43647</c:v>
                </c:pt>
                <c:pt idx="537">
                  <c:v>43644</c:v>
                </c:pt>
                <c:pt idx="538">
                  <c:v>43643</c:v>
                </c:pt>
                <c:pt idx="539">
                  <c:v>43642</c:v>
                </c:pt>
                <c:pt idx="540">
                  <c:v>43641</c:v>
                </c:pt>
                <c:pt idx="541">
                  <c:v>43640</c:v>
                </c:pt>
                <c:pt idx="542">
                  <c:v>43637</c:v>
                </c:pt>
                <c:pt idx="543">
                  <c:v>43636</c:v>
                </c:pt>
                <c:pt idx="544">
                  <c:v>43635</c:v>
                </c:pt>
                <c:pt idx="545">
                  <c:v>43634</c:v>
                </c:pt>
                <c:pt idx="546">
                  <c:v>43633</c:v>
                </c:pt>
                <c:pt idx="547">
                  <c:v>43630</c:v>
                </c:pt>
                <c:pt idx="548">
                  <c:v>43629</c:v>
                </c:pt>
                <c:pt idx="549">
                  <c:v>43628</c:v>
                </c:pt>
                <c:pt idx="550">
                  <c:v>43627</c:v>
                </c:pt>
                <c:pt idx="551">
                  <c:v>43626</c:v>
                </c:pt>
                <c:pt idx="552">
                  <c:v>43622</c:v>
                </c:pt>
                <c:pt idx="553">
                  <c:v>43621</c:v>
                </c:pt>
                <c:pt idx="554">
                  <c:v>43620</c:v>
                </c:pt>
                <c:pt idx="555">
                  <c:v>43619</c:v>
                </c:pt>
                <c:pt idx="556">
                  <c:v>43616</c:v>
                </c:pt>
                <c:pt idx="557">
                  <c:v>43615</c:v>
                </c:pt>
                <c:pt idx="558">
                  <c:v>43614</c:v>
                </c:pt>
                <c:pt idx="559">
                  <c:v>43613</c:v>
                </c:pt>
                <c:pt idx="560">
                  <c:v>43612</c:v>
                </c:pt>
                <c:pt idx="561">
                  <c:v>43609</c:v>
                </c:pt>
                <c:pt idx="562">
                  <c:v>43608</c:v>
                </c:pt>
                <c:pt idx="563">
                  <c:v>43607</c:v>
                </c:pt>
                <c:pt idx="564">
                  <c:v>43606</c:v>
                </c:pt>
                <c:pt idx="565">
                  <c:v>43605</c:v>
                </c:pt>
                <c:pt idx="566">
                  <c:v>43602</c:v>
                </c:pt>
                <c:pt idx="567">
                  <c:v>43601</c:v>
                </c:pt>
                <c:pt idx="568">
                  <c:v>43600</c:v>
                </c:pt>
                <c:pt idx="569">
                  <c:v>43599</c:v>
                </c:pt>
                <c:pt idx="570">
                  <c:v>43598</c:v>
                </c:pt>
                <c:pt idx="571">
                  <c:v>43595</c:v>
                </c:pt>
                <c:pt idx="572">
                  <c:v>43594</c:v>
                </c:pt>
                <c:pt idx="573">
                  <c:v>43593</c:v>
                </c:pt>
                <c:pt idx="574">
                  <c:v>43592</c:v>
                </c:pt>
                <c:pt idx="575">
                  <c:v>43591</c:v>
                </c:pt>
                <c:pt idx="576">
                  <c:v>43585</c:v>
                </c:pt>
                <c:pt idx="577">
                  <c:v>43584</c:v>
                </c:pt>
                <c:pt idx="578">
                  <c:v>43581</c:v>
                </c:pt>
                <c:pt idx="579">
                  <c:v>43580</c:v>
                </c:pt>
                <c:pt idx="580">
                  <c:v>43579</c:v>
                </c:pt>
                <c:pt idx="581">
                  <c:v>43578</c:v>
                </c:pt>
                <c:pt idx="582">
                  <c:v>43577</c:v>
                </c:pt>
                <c:pt idx="583">
                  <c:v>43574</c:v>
                </c:pt>
                <c:pt idx="584">
                  <c:v>43573</c:v>
                </c:pt>
                <c:pt idx="585">
                  <c:v>43572</c:v>
                </c:pt>
                <c:pt idx="586">
                  <c:v>43571</c:v>
                </c:pt>
                <c:pt idx="587">
                  <c:v>43570</c:v>
                </c:pt>
                <c:pt idx="588">
                  <c:v>43567</c:v>
                </c:pt>
                <c:pt idx="589">
                  <c:v>43566</c:v>
                </c:pt>
                <c:pt idx="590">
                  <c:v>43565</c:v>
                </c:pt>
                <c:pt idx="591">
                  <c:v>43564</c:v>
                </c:pt>
                <c:pt idx="592">
                  <c:v>43563</c:v>
                </c:pt>
                <c:pt idx="593">
                  <c:v>43559</c:v>
                </c:pt>
                <c:pt idx="594">
                  <c:v>43558</c:v>
                </c:pt>
                <c:pt idx="595">
                  <c:v>43557</c:v>
                </c:pt>
                <c:pt idx="596">
                  <c:v>43556</c:v>
                </c:pt>
                <c:pt idx="597">
                  <c:v>43553</c:v>
                </c:pt>
                <c:pt idx="598">
                  <c:v>43552</c:v>
                </c:pt>
                <c:pt idx="599">
                  <c:v>43551</c:v>
                </c:pt>
                <c:pt idx="600">
                  <c:v>43550</c:v>
                </c:pt>
                <c:pt idx="601">
                  <c:v>43549</c:v>
                </c:pt>
                <c:pt idx="602">
                  <c:v>43546</c:v>
                </c:pt>
                <c:pt idx="603">
                  <c:v>43545</c:v>
                </c:pt>
                <c:pt idx="604">
                  <c:v>43544</c:v>
                </c:pt>
                <c:pt idx="605">
                  <c:v>43543</c:v>
                </c:pt>
                <c:pt idx="606">
                  <c:v>43542</c:v>
                </c:pt>
                <c:pt idx="607">
                  <c:v>43539</c:v>
                </c:pt>
                <c:pt idx="608">
                  <c:v>43538</c:v>
                </c:pt>
                <c:pt idx="609">
                  <c:v>43537</c:v>
                </c:pt>
                <c:pt idx="610">
                  <c:v>43536</c:v>
                </c:pt>
                <c:pt idx="611">
                  <c:v>43535</c:v>
                </c:pt>
                <c:pt idx="612">
                  <c:v>43532</c:v>
                </c:pt>
                <c:pt idx="613">
                  <c:v>43531</c:v>
                </c:pt>
                <c:pt idx="614">
                  <c:v>43530</c:v>
                </c:pt>
                <c:pt idx="615">
                  <c:v>43529</c:v>
                </c:pt>
                <c:pt idx="616">
                  <c:v>43528</c:v>
                </c:pt>
                <c:pt idx="617">
                  <c:v>43525</c:v>
                </c:pt>
                <c:pt idx="618">
                  <c:v>43524</c:v>
                </c:pt>
                <c:pt idx="619">
                  <c:v>43523</c:v>
                </c:pt>
                <c:pt idx="620">
                  <c:v>43522</c:v>
                </c:pt>
                <c:pt idx="621">
                  <c:v>43521</c:v>
                </c:pt>
                <c:pt idx="622">
                  <c:v>43518</c:v>
                </c:pt>
                <c:pt idx="623">
                  <c:v>43517</c:v>
                </c:pt>
                <c:pt idx="624">
                  <c:v>43516</c:v>
                </c:pt>
                <c:pt idx="625">
                  <c:v>43515</c:v>
                </c:pt>
                <c:pt idx="626">
                  <c:v>43514</c:v>
                </c:pt>
                <c:pt idx="627">
                  <c:v>43511</c:v>
                </c:pt>
                <c:pt idx="628">
                  <c:v>43510</c:v>
                </c:pt>
                <c:pt idx="629">
                  <c:v>43509</c:v>
                </c:pt>
                <c:pt idx="630">
                  <c:v>43508</c:v>
                </c:pt>
                <c:pt idx="631">
                  <c:v>43507</c:v>
                </c:pt>
                <c:pt idx="632">
                  <c:v>43497</c:v>
                </c:pt>
                <c:pt idx="633">
                  <c:v>43496</c:v>
                </c:pt>
                <c:pt idx="634">
                  <c:v>43495</c:v>
                </c:pt>
                <c:pt idx="635">
                  <c:v>43494</c:v>
                </c:pt>
                <c:pt idx="636">
                  <c:v>43493</c:v>
                </c:pt>
                <c:pt idx="637">
                  <c:v>43490</c:v>
                </c:pt>
                <c:pt idx="638">
                  <c:v>43489</c:v>
                </c:pt>
                <c:pt idx="639">
                  <c:v>43488</c:v>
                </c:pt>
                <c:pt idx="640">
                  <c:v>43487</c:v>
                </c:pt>
                <c:pt idx="641">
                  <c:v>43486</c:v>
                </c:pt>
                <c:pt idx="642">
                  <c:v>43483</c:v>
                </c:pt>
                <c:pt idx="643">
                  <c:v>43482</c:v>
                </c:pt>
                <c:pt idx="644">
                  <c:v>43481</c:v>
                </c:pt>
                <c:pt idx="645">
                  <c:v>43480</c:v>
                </c:pt>
                <c:pt idx="646">
                  <c:v>43479</c:v>
                </c:pt>
                <c:pt idx="647">
                  <c:v>43476</c:v>
                </c:pt>
                <c:pt idx="648">
                  <c:v>43475</c:v>
                </c:pt>
                <c:pt idx="649">
                  <c:v>43474</c:v>
                </c:pt>
                <c:pt idx="650">
                  <c:v>43473</c:v>
                </c:pt>
                <c:pt idx="651">
                  <c:v>43472</c:v>
                </c:pt>
                <c:pt idx="652">
                  <c:v>43469</c:v>
                </c:pt>
                <c:pt idx="653">
                  <c:v>43468</c:v>
                </c:pt>
                <c:pt idx="654">
                  <c:v>43467</c:v>
                </c:pt>
                <c:pt idx="655">
                  <c:v>43462</c:v>
                </c:pt>
                <c:pt idx="656">
                  <c:v>43461</c:v>
                </c:pt>
                <c:pt idx="657">
                  <c:v>43460</c:v>
                </c:pt>
                <c:pt idx="658">
                  <c:v>43459</c:v>
                </c:pt>
                <c:pt idx="659">
                  <c:v>43458</c:v>
                </c:pt>
                <c:pt idx="660">
                  <c:v>43455</c:v>
                </c:pt>
                <c:pt idx="661">
                  <c:v>43454</c:v>
                </c:pt>
                <c:pt idx="662">
                  <c:v>43453</c:v>
                </c:pt>
                <c:pt idx="663">
                  <c:v>43452</c:v>
                </c:pt>
                <c:pt idx="664">
                  <c:v>43451</c:v>
                </c:pt>
                <c:pt idx="665">
                  <c:v>43448</c:v>
                </c:pt>
                <c:pt idx="666">
                  <c:v>43447</c:v>
                </c:pt>
                <c:pt idx="667">
                  <c:v>43446</c:v>
                </c:pt>
                <c:pt idx="668">
                  <c:v>43445</c:v>
                </c:pt>
                <c:pt idx="669">
                  <c:v>43444</c:v>
                </c:pt>
                <c:pt idx="670">
                  <c:v>43441</c:v>
                </c:pt>
                <c:pt idx="671">
                  <c:v>43440</c:v>
                </c:pt>
                <c:pt idx="672">
                  <c:v>43439</c:v>
                </c:pt>
                <c:pt idx="673">
                  <c:v>43438</c:v>
                </c:pt>
                <c:pt idx="674">
                  <c:v>43437</c:v>
                </c:pt>
                <c:pt idx="675">
                  <c:v>43434</c:v>
                </c:pt>
                <c:pt idx="676">
                  <c:v>43433</c:v>
                </c:pt>
                <c:pt idx="677">
                  <c:v>43432</c:v>
                </c:pt>
                <c:pt idx="678">
                  <c:v>43431</c:v>
                </c:pt>
                <c:pt idx="679">
                  <c:v>43430</c:v>
                </c:pt>
                <c:pt idx="680">
                  <c:v>43427</c:v>
                </c:pt>
                <c:pt idx="681">
                  <c:v>43426</c:v>
                </c:pt>
                <c:pt idx="682">
                  <c:v>43425</c:v>
                </c:pt>
                <c:pt idx="683">
                  <c:v>43424</c:v>
                </c:pt>
                <c:pt idx="684">
                  <c:v>43423</c:v>
                </c:pt>
                <c:pt idx="685">
                  <c:v>43420</c:v>
                </c:pt>
                <c:pt idx="686">
                  <c:v>43419</c:v>
                </c:pt>
                <c:pt idx="687">
                  <c:v>43418</c:v>
                </c:pt>
                <c:pt idx="688">
                  <c:v>43417</c:v>
                </c:pt>
                <c:pt idx="689">
                  <c:v>43416</c:v>
                </c:pt>
                <c:pt idx="690">
                  <c:v>43413</c:v>
                </c:pt>
                <c:pt idx="691">
                  <c:v>43412</c:v>
                </c:pt>
                <c:pt idx="692">
                  <c:v>43411</c:v>
                </c:pt>
                <c:pt idx="693">
                  <c:v>43410</c:v>
                </c:pt>
                <c:pt idx="694">
                  <c:v>43409</c:v>
                </c:pt>
                <c:pt idx="695">
                  <c:v>43406</c:v>
                </c:pt>
                <c:pt idx="696">
                  <c:v>43405</c:v>
                </c:pt>
                <c:pt idx="697">
                  <c:v>43404</c:v>
                </c:pt>
                <c:pt idx="698">
                  <c:v>43403</c:v>
                </c:pt>
                <c:pt idx="699">
                  <c:v>43402</c:v>
                </c:pt>
                <c:pt idx="700">
                  <c:v>43399</c:v>
                </c:pt>
                <c:pt idx="701">
                  <c:v>43398</c:v>
                </c:pt>
                <c:pt idx="702">
                  <c:v>43397</c:v>
                </c:pt>
                <c:pt idx="703">
                  <c:v>43396</c:v>
                </c:pt>
                <c:pt idx="704">
                  <c:v>43395</c:v>
                </c:pt>
                <c:pt idx="705">
                  <c:v>43392</c:v>
                </c:pt>
                <c:pt idx="706">
                  <c:v>43391</c:v>
                </c:pt>
                <c:pt idx="707">
                  <c:v>43390</c:v>
                </c:pt>
                <c:pt idx="708">
                  <c:v>43389</c:v>
                </c:pt>
                <c:pt idx="709">
                  <c:v>43388</c:v>
                </c:pt>
                <c:pt idx="710">
                  <c:v>43385</c:v>
                </c:pt>
                <c:pt idx="711">
                  <c:v>43384</c:v>
                </c:pt>
                <c:pt idx="712">
                  <c:v>43383</c:v>
                </c:pt>
                <c:pt idx="713">
                  <c:v>43382</c:v>
                </c:pt>
                <c:pt idx="714">
                  <c:v>43381</c:v>
                </c:pt>
                <c:pt idx="715">
                  <c:v>43371</c:v>
                </c:pt>
                <c:pt idx="716">
                  <c:v>43370</c:v>
                </c:pt>
                <c:pt idx="717">
                  <c:v>43369</c:v>
                </c:pt>
                <c:pt idx="718">
                  <c:v>43368</c:v>
                </c:pt>
                <c:pt idx="719">
                  <c:v>43364</c:v>
                </c:pt>
                <c:pt idx="720">
                  <c:v>43363</c:v>
                </c:pt>
                <c:pt idx="721">
                  <c:v>43362</c:v>
                </c:pt>
                <c:pt idx="722">
                  <c:v>43361</c:v>
                </c:pt>
                <c:pt idx="723">
                  <c:v>43360</c:v>
                </c:pt>
                <c:pt idx="724">
                  <c:v>43357</c:v>
                </c:pt>
                <c:pt idx="725">
                  <c:v>43356</c:v>
                </c:pt>
                <c:pt idx="726">
                  <c:v>43355</c:v>
                </c:pt>
                <c:pt idx="727">
                  <c:v>43354</c:v>
                </c:pt>
                <c:pt idx="728">
                  <c:v>43353</c:v>
                </c:pt>
                <c:pt idx="729">
                  <c:v>43350</c:v>
                </c:pt>
                <c:pt idx="730">
                  <c:v>43349</c:v>
                </c:pt>
                <c:pt idx="731">
                  <c:v>43348</c:v>
                </c:pt>
                <c:pt idx="732">
                  <c:v>43347</c:v>
                </c:pt>
                <c:pt idx="733">
                  <c:v>43346</c:v>
                </c:pt>
                <c:pt idx="734">
                  <c:v>43343</c:v>
                </c:pt>
                <c:pt idx="735">
                  <c:v>43342</c:v>
                </c:pt>
                <c:pt idx="736">
                  <c:v>43341</c:v>
                </c:pt>
                <c:pt idx="737">
                  <c:v>43340</c:v>
                </c:pt>
                <c:pt idx="738">
                  <c:v>43339</c:v>
                </c:pt>
                <c:pt idx="739">
                  <c:v>43336</c:v>
                </c:pt>
                <c:pt idx="740">
                  <c:v>43335</c:v>
                </c:pt>
                <c:pt idx="741">
                  <c:v>43334</c:v>
                </c:pt>
                <c:pt idx="742">
                  <c:v>43333</c:v>
                </c:pt>
                <c:pt idx="743">
                  <c:v>43332</c:v>
                </c:pt>
                <c:pt idx="744">
                  <c:v>43329</c:v>
                </c:pt>
                <c:pt idx="745">
                  <c:v>43328</c:v>
                </c:pt>
                <c:pt idx="746">
                  <c:v>43327</c:v>
                </c:pt>
                <c:pt idx="747">
                  <c:v>43326</c:v>
                </c:pt>
                <c:pt idx="748">
                  <c:v>43325</c:v>
                </c:pt>
                <c:pt idx="749">
                  <c:v>43322</c:v>
                </c:pt>
                <c:pt idx="750">
                  <c:v>43321</c:v>
                </c:pt>
                <c:pt idx="751">
                  <c:v>43320</c:v>
                </c:pt>
                <c:pt idx="752">
                  <c:v>43319</c:v>
                </c:pt>
                <c:pt idx="753">
                  <c:v>43318</c:v>
                </c:pt>
                <c:pt idx="754">
                  <c:v>43315</c:v>
                </c:pt>
                <c:pt idx="755">
                  <c:v>43314</c:v>
                </c:pt>
                <c:pt idx="756">
                  <c:v>43313</c:v>
                </c:pt>
                <c:pt idx="757">
                  <c:v>43312</c:v>
                </c:pt>
                <c:pt idx="758">
                  <c:v>43311</c:v>
                </c:pt>
                <c:pt idx="759">
                  <c:v>43308</c:v>
                </c:pt>
                <c:pt idx="760">
                  <c:v>43307</c:v>
                </c:pt>
                <c:pt idx="761">
                  <c:v>43306</c:v>
                </c:pt>
                <c:pt idx="762">
                  <c:v>43305</c:v>
                </c:pt>
                <c:pt idx="763">
                  <c:v>43304</c:v>
                </c:pt>
                <c:pt idx="764">
                  <c:v>43301</c:v>
                </c:pt>
                <c:pt idx="765">
                  <c:v>43300</c:v>
                </c:pt>
                <c:pt idx="766">
                  <c:v>43299</c:v>
                </c:pt>
                <c:pt idx="767">
                  <c:v>43298</c:v>
                </c:pt>
                <c:pt idx="768">
                  <c:v>43297</c:v>
                </c:pt>
                <c:pt idx="769">
                  <c:v>43294</c:v>
                </c:pt>
                <c:pt idx="770">
                  <c:v>43293</c:v>
                </c:pt>
                <c:pt idx="771">
                  <c:v>43292</c:v>
                </c:pt>
                <c:pt idx="772">
                  <c:v>43291</c:v>
                </c:pt>
                <c:pt idx="773">
                  <c:v>43290</c:v>
                </c:pt>
                <c:pt idx="774">
                  <c:v>43287</c:v>
                </c:pt>
                <c:pt idx="775">
                  <c:v>43286</c:v>
                </c:pt>
                <c:pt idx="776">
                  <c:v>43285</c:v>
                </c:pt>
                <c:pt idx="777">
                  <c:v>43284</c:v>
                </c:pt>
                <c:pt idx="778">
                  <c:v>43283</c:v>
                </c:pt>
                <c:pt idx="779">
                  <c:v>43280</c:v>
                </c:pt>
                <c:pt idx="780">
                  <c:v>43279</c:v>
                </c:pt>
                <c:pt idx="781">
                  <c:v>43278</c:v>
                </c:pt>
                <c:pt idx="782">
                  <c:v>43277</c:v>
                </c:pt>
                <c:pt idx="783">
                  <c:v>43276</c:v>
                </c:pt>
                <c:pt idx="784">
                  <c:v>43273</c:v>
                </c:pt>
                <c:pt idx="785">
                  <c:v>43272</c:v>
                </c:pt>
                <c:pt idx="786">
                  <c:v>43271</c:v>
                </c:pt>
                <c:pt idx="787">
                  <c:v>43270</c:v>
                </c:pt>
                <c:pt idx="788">
                  <c:v>43266</c:v>
                </c:pt>
                <c:pt idx="789">
                  <c:v>43265</c:v>
                </c:pt>
                <c:pt idx="790">
                  <c:v>43264</c:v>
                </c:pt>
                <c:pt idx="791">
                  <c:v>43263</c:v>
                </c:pt>
                <c:pt idx="792">
                  <c:v>43262</c:v>
                </c:pt>
                <c:pt idx="793">
                  <c:v>43259</c:v>
                </c:pt>
                <c:pt idx="794">
                  <c:v>43258</c:v>
                </c:pt>
                <c:pt idx="795">
                  <c:v>43257</c:v>
                </c:pt>
                <c:pt idx="796">
                  <c:v>43256</c:v>
                </c:pt>
                <c:pt idx="797">
                  <c:v>43255</c:v>
                </c:pt>
                <c:pt idx="798">
                  <c:v>43252</c:v>
                </c:pt>
                <c:pt idx="799">
                  <c:v>43251</c:v>
                </c:pt>
                <c:pt idx="800">
                  <c:v>43250</c:v>
                </c:pt>
                <c:pt idx="801">
                  <c:v>43249</c:v>
                </c:pt>
                <c:pt idx="802">
                  <c:v>43248</c:v>
                </c:pt>
                <c:pt idx="803">
                  <c:v>43245</c:v>
                </c:pt>
                <c:pt idx="804">
                  <c:v>43244</c:v>
                </c:pt>
                <c:pt idx="805">
                  <c:v>43243</c:v>
                </c:pt>
                <c:pt idx="806">
                  <c:v>43242</c:v>
                </c:pt>
                <c:pt idx="807">
                  <c:v>43241</c:v>
                </c:pt>
                <c:pt idx="808">
                  <c:v>43238</c:v>
                </c:pt>
                <c:pt idx="809">
                  <c:v>43237</c:v>
                </c:pt>
                <c:pt idx="810">
                  <c:v>43236</c:v>
                </c:pt>
                <c:pt idx="811">
                  <c:v>43235</c:v>
                </c:pt>
                <c:pt idx="812">
                  <c:v>43234</c:v>
                </c:pt>
                <c:pt idx="813">
                  <c:v>43231</c:v>
                </c:pt>
                <c:pt idx="814">
                  <c:v>43230</c:v>
                </c:pt>
                <c:pt idx="815">
                  <c:v>43229</c:v>
                </c:pt>
                <c:pt idx="816">
                  <c:v>43228</c:v>
                </c:pt>
                <c:pt idx="817">
                  <c:v>43227</c:v>
                </c:pt>
                <c:pt idx="818">
                  <c:v>43224</c:v>
                </c:pt>
                <c:pt idx="819">
                  <c:v>43223</c:v>
                </c:pt>
                <c:pt idx="820">
                  <c:v>43222</c:v>
                </c:pt>
                <c:pt idx="821">
                  <c:v>43217</c:v>
                </c:pt>
                <c:pt idx="822">
                  <c:v>43216</c:v>
                </c:pt>
                <c:pt idx="823">
                  <c:v>43215</c:v>
                </c:pt>
                <c:pt idx="824">
                  <c:v>43214</c:v>
                </c:pt>
                <c:pt idx="825">
                  <c:v>43213</c:v>
                </c:pt>
                <c:pt idx="826">
                  <c:v>43210</c:v>
                </c:pt>
                <c:pt idx="827">
                  <c:v>43209</c:v>
                </c:pt>
                <c:pt idx="828">
                  <c:v>43208</c:v>
                </c:pt>
                <c:pt idx="829">
                  <c:v>43207</c:v>
                </c:pt>
                <c:pt idx="830">
                  <c:v>43206</c:v>
                </c:pt>
                <c:pt idx="831">
                  <c:v>43203</c:v>
                </c:pt>
                <c:pt idx="832">
                  <c:v>43202</c:v>
                </c:pt>
                <c:pt idx="833">
                  <c:v>43201</c:v>
                </c:pt>
                <c:pt idx="834">
                  <c:v>43200</c:v>
                </c:pt>
                <c:pt idx="835">
                  <c:v>43199</c:v>
                </c:pt>
                <c:pt idx="836">
                  <c:v>43194</c:v>
                </c:pt>
                <c:pt idx="837">
                  <c:v>43193</c:v>
                </c:pt>
                <c:pt idx="838">
                  <c:v>43192</c:v>
                </c:pt>
                <c:pt idx="839">
                  <c:v>43189</c:v>
                </c:pt>
                <c:pt idx="840">
                  <c:v>43188</c:v>
                </c:pt>
                <c:pt idx="841">
                  <c:v>43187</c:v>
                </c:pt>
                <c:pt idx="842">
                  <c:v>43186</c:v>
                </c:pt>
                <c:pt idx="843">
                  <c:v>43185</c:v>
                </c:pt>
                <c:pt idx="844">
                  <c:v>43182</c:v>
                </c:pt>
                <c:pt idx="845">
                  <c:v>43181</c:v>
                </c:pt>
                <c:pt idx="846">
                  <c:v>43180</c:v>
                </c:pt>
                <c:pt idx="847">
                  <c:v>43179</c:v>
                </c:pt>
                <c:pt idx="848">
                  <c:v>43178</c:v>
                </c:pt>
                <c:pt idx="849">
                  <c:v>43175</c:v>
                </c:pt>
                <c:pt idx="850">
                  <c:v>43174</c:v>
                </c:pt>
                <c:pt idx="851">
                  <c:v>43173</c:v>
                </c:pt>
                <c:pt idx="852">
                  <c:v>43172</c:v>
                </c:pt>
                <c:pt idx="853">
                  <c:v>43171</c:v>
                </c:pt>
                <c:pt idx="854">
                  <c:v>43168</c:v>
                </c:pt>
                <c:pt idx="855">
                  <c:v>43167</c:v>
                </c:pt>
                <c:pt idx="856">
                  <c:v>43166</c:v>
                </c:pt>
                <c:pt idx="857">
                  <c:v>43165</c:v>
                </c:pt>
                <c:pt idx="858">
                  <c:v>43164</c:v>
                </c:pt>
              </c:numCache>
            </c:numRef>
          </c:cat>
          <c:val>
            <c:numRef>
              <c:f>个券数据!$G$1:$G$859</c:f>
              <c:numCache>
                <c:formatCode>0.00</c:formatCode>
                <c:ptCount val="859"/>
                <c:pt idx="0">
                  <c:v>91.8386</c:v>
                </c:pt>
                <c:pt idx="1">
                  <c:v>99.805199999999999</c:v>
                </c:pt>
                <c:pt idx="2">
                  <c:v>99.808899999999994</c:v>
                </c:pt>
                <c:pt idx="3">
                  <c:v>99.784000000000006</c:v>
                </c:pt>
                <c:pt idx="4">
                  <c:v>99.770200000000003</c:v>
                </c:pt>
                <c:pt idx="5">
                  <c:v>99.768799999999999</c:v>
                </c:pt>
                <c:pt idx="6">
                  <c:v>99.7333</c:v>
                </c:pt>
                <c:pt idx="7">
                  <c:v>99.7042</c:v>
                </c:pt>
                <c:pt idx="8">
                  <c:v>99.68</c:v>
                </c:pt>
                <c:pt idx="9">
                  <c:v>99.719200000000001</c:v>
                </c:pt>
                <c:pt idx="10">
                  <c:v>99.729299999999995</c:v>
                </c:pt>
                <c:pt idx="11">
                  <c:v>99.729900000000001</c:v>
                </c:pt>
                <c:pt idx="12">
                  <c:v>99.740300000000005</c:v>
                </c:pt>
                <c:pt idx="13">
                  <c:v>99.691699999999997</c:v>
                </c:pt>
                <c:pt idx="14">
                  <c:v>99.662499999999994</c:v>
                </c:pt>
                <c:pt idx="15">
                  <c:v>99.606700000000004</c:v>
                </c:pt>
                <c:pt idx="16">
                  <c:v>99.594700000000003</c:v>
                </c:pt>
                <c:pt idx="17">
                  <c:v>99.623000000000005</c:v>
                </c:pt>
                <c:pt idx="18">
                  <c:v>99.668499999999995</c:v>
                </c:pt>
                <c:pt idx="19">
                  <c:v>99.586100000000002</c:v>
                </c:pt>
                <c:pt idx="20">
                  <c:v>99.613500000000002</c:v>
                </c:pt>
                <c:pt idx="21">
                  <c:v>99.617400000000004</c:v>
                </c:pt>
                <c:pt idx="22">
                  <c:v>99.549800000000005</c:v>
                </c:pt>
                <c:pt idx="23">
                  <c:v>99.593699999999998</c:v>
                </c:pt>
                <c:pt idx="24">
                  <c:v>99.547200000000004</c:v>
                </c:pt>
                <c:pt idx="25">
                  <c:v>99.603499999999997</c:v>
                </c:pt>
                <c:pt idx="26">
                  <c:v>99.550399999999996</c:v>
                </c:pt>
                <c:pt idx="27">
                  <c:v>99.566999999999993</c:v>
                </c:pt>
                <c:pt idx="28">
                  <c:v>99.470200000000006</c:v>
                </c:pt>
                <c:pt idx="29">
                  <c:v>99.462299999999999</c:v>
                </c:pt>
                <c:pt idx="30">
                  <c:v>99.508099999999999</c:v>
                </c:pt>
                <c:pt idx="31">
                  <c:v>99.435900000000004</c:v>
                </c:pt>
                <c:pt idx="32">
                  <c:v>99.389499999999998</c:v>
                </c:pt>
                <c:pt idx="33">
                  <c:v>99.340100000000007</c:v>
                </c:pt>
                <c:pt idx="34">
                  <c:v>99.407399999999996</c:v>
                </c:pt>
                <c:pt idx="35">
                  <c:v>99.293499999999995</c:v>
                </c:pt>
                <c:pt idx="36">
                  <c:v>99.127799999999993</c:v>
                </c:pt>
                <c:pt idx="37">
                  <c:v>99.060500000000005</c:v>
                </c:pt>
                <c:pt idx="38">
                  <c:v>99.075500000000005</c:v>
                </c:pt>
                <c:pt idx="39">
                  <c:v>98.978800000000007</c:v>
                </c:pt>
                <c:pt idx="40">
                  <c:v>98.880499999999998</c:v>
                </c:pt>
                <c:pt idx="41">
                  <c:v>98.859700000000004</c:v>
                </c:pt>
                <c:pt idx="42">
                  <c:v>98.778400000000005</c:v>
                </c:pt>
                <c:pt idx="43">
                  <c:v>98.7102</c:v>
                </c:pt>
                <c:pt idx="44">
                  <c:v>98.607399999999998</c:v>
                </c:pt>
                <c:pt idx="45">
                  <c:v>98.4739</c:v>
                </c:pt>
                <c:pt idx="46">
                  <c:v>98.45</c:v>
                </c:pt>
                <c:pt idx="47">
                  <c:v>98.399100000000004</c:v>
                </c:pt>
                <c:pt idx="48">
                  <c:v>98.363299999999995</c:v>
                </c:pt>
                <c:pt idx="49">
                  <c:v>98.315200000000004</c:v>
                </c:pt>
                <c:pt idx="50">
                  <c:v>98.240200000000002</c:v>
                </c:pt>
                <c:pt idx="51">
                  <c:v>98.242400000000004</c:v>
                </c:pt>
                <c:pt idx="52">
                  <c:v>98.166799999999995</c:v>
                </c:pt>
                <c:pt idx="53">
                  <c:v>98.239500000000007</c:v>
                </c:pt>
                <c:pt idx="54">
                  <c:v>98.183499999999995</c:v>
                </c:pt>
                <c:pt idx="55">
                  <c:v>98.0441</c:v>
                </c:pt>
                <c:pt idx="56">
                  <c:v>97.989400000000003</c:v>
                </c:pt>
                <c:pt idx="57">
                  <c:v>98.054299999999998</c:v>
                </c:pt>
                <c:pt idx="58">
                  <c:v>98.04</c:v>
                </c:pt>
                <c:pt idx="59">
                  <c:v>98.053899999999999</c:v>
                </c:pt>
                <c:pt idx="60">
                  <c:v>98.1126</c:v>
                </c:pt>
                <c:pt idx="61">
                  <c:v>98.138999999999996</c:v>
                </c:pt>
                <c:pt idx="62">
                  <c:v>98.044300000000007</c:v>
                </c:pt>
                <c:pt idx="63">
                  <c:v>98.020700000000005</c:v>
                </c:pt>
                <c:pt idx="64">
                  <c:v>98.011099999999999</c:v>
                </c:pt>
                <c:pt idx="65">
                  <c:v>98.039299999999997</c:v>
                </c:pt>
                <c:pt idx="66">
                  <c:v>98.129499999999993</c:v>
                </c:pt>
                <c:pt idx="67">
                  <c:v>98.163200000000003</c:v>
                </c:pt>
                <c:pt idx="68">
                  <c:v>98.166399999999996</c:v>
                </c:pt>
                <c:pt idx="69">
                  <c:v>98.118499999999997</c:v>
                </c:pt>
                <c:pt idx="70">
                  <c:v>98.078199999999995</c:v>
                </c:pt>
                <c:pt idx="71">
                  <c:v>98.123599999999996</c:v>
                </c:pt>
                <c:pt idx="72">
                  <c:v>98.106700000000004</c:v>
                </c:pt>
                <c:pt idx="73">
                  <c:v>98.065299999999993</c:v>
                </c:pt>
                <c:pt idx="74">
                  <c:v>98</c:v>
                </c:pt>
                <c:pt idx="75">
                  <c:v>97.991</c:v>
                </c:pt>
                <c:pt idx="76">
                  <c:v>97.923900000000003</c:v>
                </c:pt>
                <c:pt idx="77">
                  <c:v>97.912199999999999</c:v>
                </c:pt>
                <c:pt idx="78">
                  <c:v>97.777199999999993</c:v>
                </c:pt>
                <c:pt idx="79">
                  <c:v>97.761399999999995</c:v>
                </c:pt>
                <c:pt idx="80">
                  <c:v>97.712100000000007</c:v>
                </c:pt>
                <c:pt idx="81">
                  <c:v>97.656899999999993</c:v>
                </c:pt>
                <c:pt idx="82">
                  <c:v>97.601600000000005</c:v>
                </c:pt>
                <c:pt idx="83">
                  <c:v>97.582899999999995</c:v>
                </c:pt>
                <c:pt idx="84">
                  <c:v>97.470500000000001</c:v>
                </c:pt>
                <c:pt idx="85">
                  <c:v>97.310100000000006</c:v>
                </c:pt>
                <c:pt idx="86">
                  <c:v>97.292400000000001</c:v>
                </c:pt>
                <c:pt idx="87">
                  <c:v>97.168700000000001</c:v>
                </c:pt>
                <c:pt idx="88">
                  <c:v>97.169700000000006</c:v>
                </c:pt>
                <c:pt idx="89">
                  <c:v>97.174300000000002</c:v>
                </c:pt>
                <c:pt idx="90">
                  <c:v>97.207700000000003</c:v>
                </c:pt>
                <c:pt idx="91">
                  <c:v>97.237300000000005</c:v>
                </c:pt>
                <c:pt idx="92">
                  <c:v>97.143900000000002</c:v>
                </c:pt>
                <c:pt idx="93">
                  <c:v>97.201400000000007</c:v>
                </c:pt>
                <c:pt idx="94">
                  <c:v>97.061300000000003</c:v>
                </c:pt>
                <c:pt idx="95">
                  <c:v>97.080500000000001</c:v>
                </c:pt>
                <c:pt idx="96">
                  <c:v>97.072599999999994</c:v>
                </c:pt>
                <c:pt idx="97">
                  <c:v>97.102599999999995</c:v>
                </c:pt>
                <c:pt idx="98">
                  <c:v>97.105999999999995</c:v>
                </c:pt>
                <c:pt idx="99">
                  <c:v>97.061700000000002</c:v>
                </c:pt>
                <c:pt idx="100">
                  <c:v>97.055800000000005</c:v>
                </c:pt>
                <c:pt idx="101">
                  <c:v>97.025499999999994</c:v>
                </c:pt>
                <c:pt idx="102">
                  <c:v>96.971800000000002</c:v>
                </c:pt>
                <c:pt idx="103">
                  <c:v>96.870400000000004</c:v>
                </c:pt>
                <c:pt idx="104">
                  <c:v>96.845699999999994</c:v>
                </c:pt>
                <c:pt idx="105">
                  <c:v>96.803100000000001</c:v>
                </c:pt>
                <c:pt idx="106">
                  <c:v>96.7273</c:v>
                </c:pt>
                <c:pt idx="107">
                  <c:v>96.728200000000001</c:v>
                </c:pt>
                <c:pt idx="108">
                  <c:v>96.711799999999997</c:v>
                </c:pt>
                <c:pt idx="109">
                  <c:v>96.632900000000006</c:v>
                </c:pt>
                <c:pt idx="110">
                  <c:v>96.623500000000007</c:v>
                </c:pt>
                <c:pt idx="111">
                  <c:v>96.653700000000001</c:v>
                </c:pt>
                <c:pt idx="112">
                  <c:v>96.662499999999994</c:v>
                </c:pt>
                <c:pt idx="113">
                  <c:v>96.645300000000006</c:v>
                </c:pt>
                <c:pt idx="114">
                  <c:v>96.636600000000001</c:v>
                </c:pt>
                <c:pt idx="115">
                  <c:v>96.592299999999994</c:v>
                </c:pt>
                <c:pt idx="116">
                  <c:v>96.527900000000002</c:v>
                </c:pt>
                <c:pt idx="117">
                  <c:v>96.439099999999996</c:v>
                </c:pt>
                <c:pt idx="118">
                  <c:v>96.365099999999998</c:v>
                </c:pt>
                <c:pt idx="119">
                  <c:v>96.392099999999999</c:v>
                </c:pt>
                <c:pt idx="120">
                  <c:v>96.361199999999997</c:v>
                </c:pt>
                <c:pt idx="121">
                  <c:v>96.289599999999993</c:v>
                </c:pt>
                <c:pt idx="122">
                  <c:v>96.2517</c:v>
                </c:pt>
                <c:pt idx="123">
                  <c:v>96.273899999999998</c:v>
                </c:pt>
                <c:pt idx="124">
                  <c:v>96.243600000000001</c:v>
                </c:pt>
                <c:pt idx="125">
                  <c:v>96.225099999999998</c:v>
                </c:pt>
                <c:pt idx="126">
                  <c:v>96.277299999999997</c:v>
                </c:pt>
                <c:pt idx="127">
                  <c:v>96.356399999999994</c:v>
                </c:pt>
                <c:pt idx="128">
                  <c:v>96.134</c:v>
                </c:pt>
                <c:pt idx="129">
                  <c:v>96.143699999999995</c:v>
                </c:pt>
                <c:pt idx="130">
                  <c:v>96.185900000000004</c:v>
                </c:pt>
                <c:pt idx="131">
                  <c:v>96.171899999999994</c:v>
                </c:pt>
                <c:pt idx="132">
                  <c:v>96.022999999999996</c:v>
                </c:pt>
                <c:pt idx="133">
                  <c:v>95.882999999999996</c:v>
                </c:pt>
                <c:pt idx="134">
                  <c:v>95.980400000000003</c:v>
                </c:pt>
                <c:pt idx="135">
                  <c:v>95.970399999999998</c:v>
                </c:pt>
                <c:pt idx="136">
                  <c:v>95.909099999999995</c:v>
                </c:pt>
                <c:pt idx="137">
                  <c:v>95.903800000000004</c:v>
                </c:pt>
                <c:pt idx="138">
                  <c:v>95.757999999999996</c:v>
                </c:pt>
                <c:pt idx="139">
                  <c:v>95.723200000000006</c:v>
                </c:pt>
                <c:pt idx="140">
                  <c:v>95.779300000000006</c:v>
                </c:pt>
                <c:pt idx="141">
                  <c:v>95.811700000000002</c:v>
                </c:pt>
                <c:pt idx="142">
                  <c:v>95.789699999999996</c:v>
                </c:pt>
                <c:pt idx="143">
                  <c:v>96.227900000000005</c:v>
                </c:pt>
                <c:pt idx="144">
                  <c:v>96.360600000000005</c:v>
                </c:pt>
                <c:pt idx="145">
                  <c:v>96.359800000000007</c:v>
                </c:pt>
                <c:pt idx="146">
                  <c:v>96.397499999999994</c:v>
                </c:pt>
                <c:pt idx="147">
                  <c:v>96.271600000000007</c:v>
                </c:pt>
                <c:pt idx="148">
                  <c:v>96.380300000000005</c:v>
                </c:pt>
                <c:pt idx="149">
                  <c:v>96.510999999999996</c:v>
                </c:pt>
                <c:pt idx="150">
                  <c:v>96.5792</c:v>
                </c:pt>
                <c:pt idx="151">
                  <c:v>96.471400000000003</c:v>
                </c:pt>
                <c:pt idx="152">
                  <c:v>96.517300000000006</c:v>
                </c:pt>
                <c:pt idx="153">
                  <c:v>96.414199999999994</c:v>
                </c:pt>
                <c:pt idx="154">
                  <c:v>96.457999999999998</c:v>
                </c:pt>
                <c:pt idx="155">
                  <c:v>96.347700000000003</c:v>
                </c:pt>
                <c:pt idx="156">
                  <c:v>96.369399999999999</c:v>
                </c:pt>
                <c:pt idx="157">
                  <c:v>96.213999999999999</c:v>
                </c:pt>
                <c:pt idx="158">
                  <c:v>96.164599999999993</c:v>
                </c:pt>
                <c:pt idx="159">
                  <c:v>96.216700000000003</c:v>
                </c:pt>
                <c:pt idx="160">
                  <c:v>96.067999999999998</c:v>
                </c:pt>
                <c:pt idx="161">
                  <c:v>96.111800000000002</c:v>
                </c:pt>
                <c:pt idx="162">
                  <c:v>95.992699999999999</c:v>
                </c:pt>
                <c:pt idx="163">
                  <c:v>95.837599999999995</c:v>
                </c:pt>
                <c:pt idx="164">
                  <c:v>95.762299999999996</c:v>
                </c:pt>
                <c:pt idx="165">
                  <c:v>95.681899999999999</c:v>
                </c:pt>
                <c:pt idx="166">
                  <c:v>95.688400000000001</c:v>
                </c:pt>
                <c:pt idx="167">
                  <c:v>95.750900000000001</c:v>
                </c:pt>
                <c:pt idx="168">
                  <c:v>95.674300000000002</c:v>
                </c:pt>
                <c:pt idx="169">
                  <c:v>95.632499999999993</c:v>
                </c:pt>
                <c:pt idx="170">
                  <c:v>95.683599999999998</c:v>
                </c:pt>
                <c:pt idx="171">
                  <c:v>95.654600000000002</c:v>
                </c:pt>
                <c:pt idx="172">
                  <c:v>95.569199999999995</c:v>
                </c:pt>
                <c:pt idx="173">
                  <c:v>95.625100000000003</c:v>
                </c:pt>
                <c:pt idx="174">
                  <c:v>95.564599999999999</c:v>
                </c:pt>
                <c:pt idx="175">
                  <c:v>95.494100000000003</c:v>
                </c:pt>
                <c:pt idx="176">
                  <c:v>95.377899999999997</c:v>
                </c:pt>
                <c:pt idx="177">
                  <c:v>95.245699999999999</c:v>
                </c:pt>
                <c:pt idx="178">
                  <c:v>95.275899999999993</c:v>
                </c:pt>
                <c:pt idx="179">
                  <c:v>95.323599999999999</c:v>
                </c:pt>
                <c:pt idx="180">
                  <c:v>95.228300000000004</c:v>
                </c:pt>
                <c:pt idx="181">
                  <c:v>95.191599999999994</c:v>
                </c:pt>
                <c:pt idx="182">
                  <c:v>95.192499999999995</c:v>
                </c:pt>
                <c:pt idx="183">
                  <c:v>95.1785</c:v>
                </c:pt>
                <c:pt idx="184">
                  <c:v>95.192099999999996</c:v>
                </c:pt>
                <c:pt idx="185">
                  <c:v>95.102800000000002</c:v>
                </c:pt>
                <c:pt idx="186">
                  <c:v>95.068600000000004</c:v>
                </c:pt>
                <c:pt idx="187">
                  <c:v>95.031300000000002</c:v>
                </c:pt>
                <c:pt idx="188">
                  <c:v>95.040700000000001</c:v>
                </c:pt>
                <c:pt idx="189">
                  <c:v>94.987300000000005</c:v>
                </c:pt>
                <c:pt idx="190">
                  <c:v>94.924000000000007</c:v>
                </c:pt>
                <c:pt idx="191">
                  <c:v>94.869399999999999</c:v>
                </c:pt>
                <c:pt idx="192">
                  <c:v>94.873699999999999</c:v>
                </c:pt>
                <c:pt idx="193">
                  <c:v>94.849000000000004</c:v>
                </c:pt>
                <c:pt idx="194">
                  <c:v>94.785200000000003</c:v>
                </c:pt>
                <c:pt idx="195">
                  <c:v>94.792400000000001</c:v>
                </c:pt>
                <c:pt idx="196">
                  <c:v>94.831000000000003</c:v>
                </c:pt>
                <c:pt idx="197">
                  <c:v>94.924199999999999</c:v>
                </c:pt>
                <c:pt idx="198">
                  <c:v>95.060199999999995</c:v>
                </c:pt>
                <c:pt idx="199">
                  <c:v>95.264499999999998</c:v>
                </c:pt>
                <c:pt idx="200">
                  <c:v>95.309700000000007</c:v>
                </c:pt>
                <c:pt idx="201">
                  <c:v>95.479600000000005</c:v>
                </c:pt>
                <c:pt idx="202">
                  <c:v>95.593800000000002</c:v>
                </c:pt>
                <c:pt idx="203">
                  <c:v>95.734999999999999</c:v>
                </c:pt>
                <c:pt idx="204">
                  <c:v>95.762200000000007</c:v>
                </c:pt>
                <c:pt idx="205">
                  <c:v>95.85</c:v>
                </c:pt>
                <c:pt idx="206">
                  <c:v>95.798299999999998</c:v>
                </c:pt>
                <c:pt idx="207">
                  <c:v>95.703100000000006</c:v>
                </c:pt>
                <c:pt idx="208">
                  <c:v>95.697299999999998</c:v>
                </c:pt>
                <c:pt idx="209">
                  <c:v>95.629000000000005</c:v>
                </c:pt>
                <c:pt idx="210">
                  <c:v>95.577799999999996</c:v>
                </c:pt>
                <c:pt idx="211">
                  <c:v>95.5334</c:v>
                </c:pt>
                <c:pt idx="212">
                  <c:v>95.525899999999993</c:v>
                </c:pt>
                <c:pt idx="213">
                  <c:v>95.507900000000006</c:v>
                </c:pt>
                <c:pt idx="214">
                  <c:v>95.432199999999995</c:v>
                </c:pt>
                <c:pt idx="215">
                  <c:v>95.409599999999998</c:v>
                </c:pt>
                <c:pt idx="216">
                  <c:v>95.4602</c:v>
                </c:pt>
                <c:pt idx="217">
                  <c:v>95.362799999999993</c:v>
                </c:pt>
                <c:pt idx="218">
                  <c:v>95.352699999999999</c:v>
                </c:pt>
                <c:pt idx="219">
                  <c:v>95.308300000000003</c:v>
                </c:pt>
                <c:pt idx="220">
                  <c:v>95.189700000000002</c:v>
                </c:pt>
                <c:pt idx="221">
                  <c:v>95.0886</c:v>
                </c:pt>
                <c:pt idx="222">
                  <c:v>95.152000000000001</c:v>
                </c:pt>
                <c:pt idx="223">
                  <c:v>95.000100000000003</c:v>
                </c:pt>
                <c:pt idx="224">
                  <c:v>94.935699999999997</c:v>
                </c:pt>
                <c:pt idx="225">
                  <c:v>94.921400000000006</c:v>
                </c:pt>
                <c:pt idx="226">
                  <c:v>94.885400000000004</c:v>
                </c:pt>
                <c:pt idx="227">
                  <c:v>94.956999999999994</c:v>
                </c:pt>
                <c:pt idx="228">
                  <c:v>94.8035</c:v>
                </c:pt>
                <c:pt idx="229">
                  <c:v>94.808700000000002</c:v>
                </c:pt>
                <c:pt idx="230">
                  <c:v>94.887299999999996</c:v>
                </c:pt>
                <c:pt idx="231">
                  <c:v>94.831500000000005</c:v>
                </c:pt>
                <c:pt idx="232">
                  <c:v>94.828900000000004</c:v>
                </c:pt>
                <c:pt idx="233">
                  <c:v>94.787099999999995</c:v>
                </c:pt>
                <c:pt idx="234">
                  <c:v>94.748999999999995</c:v>
                </c:pt>
                <c:pt idx="235">
                  <c:v>94.721299999999999</c:v>
                </c:pt>
                <c:pt idx="236">
                  <c:v>94.756100000000004</c:v>
                </c:pt>
                <c:pt idx="237">
                  <c:v>94.726500000000001</c:v>
                </c:pt>
                <c:pt idx="238">
                  <c:v>94.7119</c:v>
                </c:pt>
                <c:pt idx="239">
                  <c:v>94.661299999999997</c:v>
                </c:pt>
                <c:pt idx="240">
                  <c:v>94.650400000000005</c:v>
                </c:pt>
                <c:pt idx="241">
                  <c:v>94.592500000000001</c:v>
                </c:pt>
                <c:pt idx="242">
                  <c:v>94.540700000000001</c:v>
                </c:pt>
                <c:pt idx="243">
                  <c:v>94.570899999999995</c:v>
                </c:pt>
                <c:pt idx="244">
                  <c:v>94.538399999999996</c:v>
                </c:pt>
                <c:pt idx="245">
                  <c:v>94.557000000000002</c:v>
                </c:pt>
                <c:pt idx="246">
                  <c:v>94.578999999999994</c:v>
                </c:pt>
                <c:pt idx="247">
                  <c:v>94.670299999999997</c:v>
                </c:pt>
                <c:pt idx="248">
                  <c:v>94.657700000000006</c:v>
                </c:pt>
                <c:pt idx="249">
                  <c:v>94.820499999999996</c:v>
                </c:pt>
                <c:pt idx="250">
                  <c:v>94.696200000000005</c:v>
                </c:pt>
                <c:pt idx="251">
                  <c:v>94.729399999999998</c:v>
                </c:pt>
                <c:pt idx="252">
                  <c:v>94.855999999999995</c:v>
                </c:pt>
                <c:pt idx="253">
                  <c:v>94.929599999999994</c:v>
                </c:pt>
                <c:pt idx="254">
                  <c:v>94.980199999999996</c:v>
                </c:pt>
                <c:pt idx="255">
                  <c:v>95.058700000000002</c:v>
                </c:pt>
                <c:pt idx="256">
                  <c:v>95.052899999999994</c:v>
                </c:pt>
                <c:pt idx="257">
                  <c:v>95.167699999999996</c:v>
                </c:pt>
                <c:pt idx="258">
                  <c:v>95.247</c:v>
                </c:pt>
                <c:pt idx="259">
                  <c:v>95.105900000000005</c:v>
                </c:pt>
                <c:pt idx="260">
                  <c:v>95.0886</c:v>
                </c:pt>
                <c:pt idx="261">
                  <c:v>94.998199999999997</c:v>
                </c:pt>
                <c:pt idx="262">
                  <c:v>94.987499999999997</c:v>
                </c:pt>
                <c:pt idx="263">
                  <c:v>94.955500000000001</c:v>
                </c:pt>
                <c:pt idx="264">
                  <c:v>94.951300000000003</c:v>
                </c:pt>
                <c:pt idx="265">
                  <c:v>94.881900000000002</c:v>
                </c:pt>
                <c:pt idx="266">
                  <c:v>94.853300000000004</c:v>
                </c:pt>
                <c:pt idx="267">
                  <c:v>94.822199999999995</c:v>
                </c:pt>
                <c:pt idx="268">
                  <c:v>94.769099999999995</c:v>
                </c:pt>
                <c:pt idx="269">
                  <c:v>94.688999999999993</c:v>
                </c:pt>
                <c:pt idx="270">
                  <c:v>94.564599999999999</c:v>
                </c:pt>
                <c:pt idx="271">
                  <c:v>94.691599999999994</c:v>
                </c:pt>
                <c:pt idx="272">
                  <c:v>94.697900000000004</c:v>
                </c:pt>
                <c:pt idx="273">
                  <c:v>94.812799999999996</c:v>
                </c:pt>
                <c:pt idx="274">
                  <c:v>94.931700000000006</c:v>
                </c:pt>
                <c:pt idx="275">
                  <c:v>94.926400000000001</c:v>
                </c:pt>
                <c:pt idx="276">
                  <c:v>94.805999999999997</c:v>
                </c:pt>
                <c:pt idx="277">
                  <c:v>94.621499999999997</c:v>
                </c:pt>
                <c:pt idx="278">
                  <c:v>94.585899999999995</c:v>
                </c:pt>
                <c:pt idx="279">
                  <c:v>94.475399999999993</c:v>
                </c:pt>
                <c:pt idx="280">
                  <c:v>94.036100000000005</c:v>
                </c:pt>
                <c:pt idx="281">
                  <c:v>94.099299999999999</c:v>
                </c:pt>
                <c:pt idx="282">
                  <c:v>94.008300000000006</c:v>
                </c:pt>
                <c:pt idx="283">
                  <c:v>93.909899999999993</c:v>
                </c:pt>
                <c:pt idx="284">
                  <c:v>93.854299999999995</c:v>
                </c:pt>
                <c:pt idx="285">
                  <c:v>94.044399999999996</c:v>
                </c:pt>
                <c:pt idx="286">
                  <c:v>94.232200000000006</c:v>
                </c:pt>
                <c:pt idx="287">
                  <c:v>94.317499999999995</c:v>
                </c:pt>
                <c:pt idx="288">
                  <c:v>94.761499999999998</c:v>
                </c:pt>
                <c:pt idx="289">
                  <c:v>94.824399999999997</c:v>
                </c:pt>
                <c:pt idx="290">
                  <c:v>95.062700000000007</c:v>
                </c:pt>
                <c:pt idx="291">
                  <c:v>95.288600000000002</c:v>
                </c:pt>
                <c:pt idx="292">
                  <c:v>95.265600000000006</c:v>
                </c:pt>
                <c:pt idx="293">
                  <c:v>95.240899999999996</c:v>
                </c:pt>
                <c:pt idx="294">
                  <c:v>95.144300000000001</c:v>
                </c:pt>
                <c:pt idx="295">
                  <c:v>95.205399999999997</c:v>
                </c:pt>
                <c:pt idx="296">
                  <c:v>95.058000000000007</c:v>
                </c:pt>
                <c:pt idx="297">
                  <c:v>95.200400000000002</c:v>
                </c:pt>
                <c:pt idx="298">
                  <c:v>95.432500000000005</c:v>
                </c:pt>
                <c:pt idx="299">
                  <c:v>95.538499999999999</c:v>
                </c:pt>
                <c:pt idx="300">
                  <c:v>95.453400000000002</c:v>
                </c:pt>
                <c:pt idx="301">
                  <c:v>95.377099999999999</c:v>
                </c:pt>
                <c:pt idx="302">
                  <c:v>95.482200000000006</c:v>
                </c:pt>
                <c:pt idx="303">
                  <c:v>95.66</c:v>
                </c:pt>
                <c:pt idx="304">
                  <c:v>95.331800000000001</c:v>
                </c:pt>
                <c:pt idx="305">
                  <c:v>95.195599999999999</c:v>
                </c:pt>
                <c:pt idx="306">
                  <c:v>95.211399999999998</c:v>
                </c:pt>
                <c:pt idx="307">
                  <c:v>95.005700000000004</c:v>
                </c:pt>
                <c:pt idx="308">
                  <c:v>94.996499999999997</c:v>
                </c:pt>
                <c:pt idx="309">
                  <c:v>95.275499999999994</c:v>
                </c:pt>
                <c:pt idx="310">
                  <c:v>95.2286</c:v>
                </c:pt>
                <c:pt idx="311">
                  <c:v>95.156700000000001</c:v>
                </c:pt>
                <c:pt idx="312">
                  <c:v>95.773300000000006</c:v>
                </c:pt>
                <c:pt idx="313">
                  <c:v>96.232900000000001</c:v>
                </c:pt>
                <c:pt idx="314">
                  <c:v>96.181799999999996</c:v>
                </c:pt>
                <c:pt idx="315">
                  <c:v>96.121499999999997</c:v>
                </c:pt>
                <c:pt idx="316">
                  <c:v>96.240899999999996</c:v>
                </c:pt>
                <c:pt idx="317">
                  <c:v>96.3566</c:v>
                </c:pt>
                <c:pt idx="318">
                  <c:v>96.442400000000006</c:v>
                </c:pt>
                <c:pt idx="319">
                  <c:v>96.460300000000004</c:v>
                </c:pt>
                <c:pt idx="320">
                  <c:v>96.432900000000004</c:v>
                </c:pt>
                <c:pt idx="321">
                  <c:v>96.412400000000005</c:v>
                </c:pt>
                <c:pt idx="322">
                  <c:v>96.419899999999998</c:v>
                </c:pt>
                <c:pt idx="323">
                  <c:v>96.457499999999996</c:v>
                </c:pt>
                <c:pt idx="324">
                  <c:v>96.381699999999995</c:v>
                </c:pt>
                <c:pt idx="325">
                  <c:v>96.360200000000006</c:v>
                </c:pt>
                <c:pt idx="326">
                  <c:v>96.358400000000003</c:v>
                </c:pt>
                <c:pt idx="327">
                  <c:v>96.474699999999999</c:v>
                </c:pt>
                <c:pt idx="328">
                  <c:v>96.6571</c:v>
                </c:pt>
                <c:pt idx="329">
                  <c:v>96.636200000000002</c:v>
                </c:pt>
                <c:pt idx="330">
                  <c:v>96.804000000000002</c:v>
                </c:pt>
                <c:pt idx="331">
                  <c:v>96.896900000000002</c:v>
                </c:pt>
                <c:pt idx="332">
                  <c:v>96.838800000000006</c:v>
                </c:pt>
                <c:pt idx="333">
                  <c:v>96.666700000000006</c:v>
                </c:pt>
                <c:pt idx="334">
                  <c:v>96.718000000000004</c:v>
                </c:pt>
                <c:pt idx="335">
                  <c:v>96.6374</c:v>
                </c:pt>
                <c:pt idx="336">
                  <c:v>96.726699999999994</c:v>
                </c:pt>
                <c:pt idx="337">
                  <c:v>96.556700000000006</c:v>
                </c:pt>
                <c:pt idx="338">
                  <c:v>96.539599999999993</c:v>
                </c:pt>
                <c:pt idx="339">
                  <c:v>96.517700000000005</c:v>
                </c:pt>
                <c:pt idx="340">
                  <c:v>96.320599999999999</c:v>
                </c:pt>
                <c:pt idx="341">
                  <c:v>96.454099999999997</c:v>
                </c:pt>
                <c:pt idx="342">
                  <c:v>96.400800000000004</c:v>
                </c:pt>
                <c:pt idx="343">
                  <c:v>96.3416</c:v>
                </c:pt>
                <c:pt idx="344">
                  <c:v>96.255499999999998</c:v>
                </c:pt>
                <c:pt idx="345">
                  <c:v>96.447800000000001</c:v>
                </c:pt>
                <c:pt idx="346">
                  <c:v>96.264300000000006</c:v>
                </c:pt>
                <c:pt idx="347">
                  <c:v>96.278700000000001</c:v>
                </c:pt>
                <c:pt idx="348">
                  <c:v>96.255700000000004</c:v>
                </c:pt>
                <c:pt idx="349">
                  <c:v>96.164299999999997</c:v>
                </c:pt>
                <c:pt idx="350">
                  <c:v>95.599900000000005</c:v>
                </c:pt>
                <c:pt idx="351">
                  <c:v>95.572999999999993</c:v>
                </c:pt>
                <c:pt idx="352">
                  <c:v>95.426299999999998</c:v>
                </c:pt>
                <c:pt idx="353">
                  <c:v>95.356200000000001</c:v>
                </c:pt>
                <c:pt idx="354">
                  <c:v>95.412400000000005</c:v>
                </c:pt>
                <c:pt idx="355">
                  <c:v>95.238900000000001</c:v>
                </c:pt>
                <c:pt idx="356">
                  <c:v>95.117000000000004</c:v>
                </c:pt>
                <c:pt idx="357">
                  <c:v>94.938299999999998</c:v>
                </c:pt>
                <c:pt idx="358">
                  <c:v>95.051599999999993</c:v>
                </c:pt>
                <c:pt idx="359">
                  <c:v>94.877899999999997</c:v>
                </c:pt>
                <c:pt idx="360">
                  <c:v>94.648200000000003</c:v>
                </c:pt>
                <c:pt idx="361">
                  <c:v>94.7102</c:v>
                </c:pt>
                <c:pt idx="362">
                  <c:v>94.715199999999996</c:v>
                </c:pt>
                <c:pt idx="363">
                  <c:v>94.806299999999993</c:v>
                </c:pt>
                <c:pt idx="364">
                  <c:v>94.925899999999999</c:v>
                </c:pt>
                <c:pt idx="365">
                  <c:v>95.182299999999998</c:v>
                </c:pt>
                <c:pt idx="366">
                  <c:v>95.267499999999998</c:v>
                </c:pt>
                <c:pt idx="367">
                  <c:v>95.410499999999999</c:v>
                </c:pt>
                <c:pt idx="368">
                  <c:v>95.527500000000003</c:v>
                </c:pt>
                <c:pt idx="369">
                  <c:v>95.579099999999997</c:v>
                </c:pt>
                <c:pt idx="370">
                  <c:v>95.310299999999998</c:v>
                </c:pt>
                <c:pt idx="371">
                  <c:v>95.322299999999998</c:v>
                </c:pt>
                <c:pt idx="372">
                  <c:v>95.242900000000006</c:v>
                </c:pt>
                <c:pt idx="373">
                  <c:v>95.135400000000004</c:v>
                </c:pt>
                <c:pt idx="374">
                  <c:v>95.070899999999995</c:v>
                </c:pt>
                <c:pt idx="375">
                  <c:v>95.040800000000004</c:v>
                </c:pt>
                <c:pt idx="376">
                  <c:v>94.994100000000003</c:v>
                </c:pt>
                <c:pt idx="377">
                  <c:v>94.870199999999997</c:v>
                </c:pt>
                <c:pt idx="378">
                  <c:v>94.732100000000003</c:v>
                </c:pt>
                <c:pt idx="379">
                  <c:v>94.686199999999999</c:v>
                </c:pt>
                <c:pt idx="380">
                  <c:v>94.611800000000002</c:v>
                </c:pt>
                <c:pt idx="381">
                  <c:v>94.526700000000005</c:v>
                </c:pt>
                <c:pt idx="382">
                  <c:v>94.557900000000004</c:v>
                </c:pt>
                <c:pt idx="383">
                  <c:v>94.518299999999996</c:v>
                </c:pt>
                <c:pt idx="384">
                  <c:v>94.430999999999997</c:v>
                </c:pt>
                <c:pt idx="385">
                  <c:v>94.348200000000006</c:v>
                </c:pt>
                <c:pt idx="386">
                  <c:v>94.349299999999999</c:v>
                </c:pt>
                <c:pt idx="387">
                  <c:v>94.257000000000005</c:v>
                </c:pt>
                <c:pt idx="388">
                  <c:v>94.207400000000007</c:v>
                </c:pt>
                <c:pt idx="389">
                  <c:v>94.016900000000007</c:v>
                </c:pt>
                <c:pt idx="390">
                  <c:v>94.036100000000005</c:v>
                </c:pt>
                <c:pt idx="391">
                  <c:v>93.953999999999994</c:v>
                </c:pt>
                <c:pt idx="392">
                  <c:v>94.341499999999996</c:v>
                </c:pt>
                <c:pt idx="393">
                  <c:v>94.250399999999999</c:v>
                </c:pt>
                <c:pt idx="394">
                  <c:v>94.323700000000002</c:v>
                </c:pt>
                <c:pt idx="395">
                  <c:v>93.661900000000003</c:v>
                </c:pt>
                <c:pt idx="396">
                  <c:v>93.719800000000006</c:v>
                </c:pt>
                <c:pt idx="397">
                  <c:v>93.601699999999994</c:v>
                </c:pt>
                <c:pt idx="398">
                  <c:v>93.499700000000004</c:v>
                </c:pt>
                <c:pt idx="399">
                  <c:v>93.496099999999998</c:v>
                </c:pt>
                <c:pt idx="400">
                  <c:v>93.399900000000002</c:v>
                </c:pt>
                <c:pt idx="401">
                  <c:v>93.331900000000005</c:v>
                </c:pt>
                <c:pt idx="402">
                  <c:v>93.319800000000001</c:v>
                </c:pt>
                <c:pt idx="403">
                  <c:v>93.318799999999996</c:v>
                </c:pt>
                <c:pt idx="404">
                  <c:v>93.1374</c:v>
                </c:pt>
                <c:pt idx="405">
                  <c:v>93.080299999999994</c:v>
                </c:pt>
                <c:pt idx="406">
                  <c:v>92.962199999999996</c:v>
                </c:pt>
                <c:pt idx="407">
                  <c:v>92.837199999999996</c:v>
                </c:pt>
                <c:pt idx="408">
                  <c:v>92.903899999999993</c:v>
                </c:pt>
                <c:pt idx="409">
                  <c:v>92.912300000000002</c:v>
                </c:pt>
                <c:pt idx="410">
                  <c:v>92.893900000000002</c:v>
                </c:pt>
                <c:pt idx="411">
                  <c:v>92.8964</c:v>
                </c:pt>
                <c:pt idx="412">
                  <c:v>92.902000000000001</c:v>
                </c:pt>
                <c:pt idx="413">
                  <c:v>92.809100000000001</c:v>
                </c:pt>
                <c:pt idx="414">
                  <c:v>92.760199999999998</c:v>
                </c:pt>
                <c:pt idx="415">
                  <c:v>92.671599999999998</c:v>
                </c:pt>
                <c:pt idx="416">
                  <c:v>92.641599999999997</c:v>
                </c:pt>
                <c:pt idx="417">
                  <c:v>92.6066</c:v>
                </c:pt>
                <c:pt idx="418">
                  <c:v>92.564400000000006</c:v>
                </c:pt>
                <c:pt idx="419">
                  <c:v>92.538600000000002</c:v>
                </c:pt>
                <c:pt idx="420">
                  <c:v>92.516999999999996</c:v>
                </c:pt>
                <c:pt idx="421">
                  <c:v>92.583600000000004</c:v>
                </c:pt>
                <c:pt idx="422">
                  <c:v>92.624300000000005</c:v>
                </c:pt>
                <c:pt idx="423">
                  <c:v>92.587699999999998</c:v>
                </c:pt>
                <c:pt idx="424">
                  <c:v>92.622500000000002</c:v>
                </c:pt>
                <c:pt idx="425">
                  <c:v>92.624099999999999</c:v>
                </c:pt>
                <c:pt idx="426">
                  <c:v>92.561499999999995</c:v>
                </c:pt>
                <c:pt idx="427">
                  <c:v>92.575900000000004</c:v>
                </c:pt>
                <c:pt idx="428">
                  <c:v>92.535600000000002</c:v>
                </c:pt>
                <c:pt idx="429">
                  <c:v>92.483900000000006</c:v>
                </c:pt>
                <c:pt idx="430">
                  <c:v>92.444000000000003</c:v>
                </c:pt>
                <c:pt idx="431">
                  <c:v>92.404700000000005</c:v>
                </c:pt>
                <c:pt idx="432">
                  <c:v>92.366</c:v>
                </c:pt>
                <c:pt idx="433">
                  <c:v>92.342299999999994</c:v>
                </c:pt>
                <c:pt idx="434">
                  <c:v>92.307199999999995</c:v>
                </c:pt>
                <c:pt idx="435">
                  <c:v>92.311199999999999</c:v>
                </c:pt>
                <c:pt idx="436">
                  <c:v>92.311300000000003</c:v>
                </c:pt>
                <c:pt idx="437">
                  <c:v>92.370500000000007</c:v>
                </c:pt>
                <c:pt idx="438">
                  <c:v>92.346000000000004</c:v>
                </c:pt>
                <c:pt idx="439">
                  <c:v>92.3</c:v>
                </c:pt>
                <c:pt idx="440">
                  <c:v>92.175700000000006</c:v>
                </c:pt>
                <c:pt idx="441">
                  <c:v>92.073400000000007</c:v>
                </c:pt>
                <c:pt idx="442">
                  <c:v>91.918800000000005</c:v>
                </c:pt>
                <c:pt idx="443">
                  <c:v>91.8429</c:v>
                </c:pt>
                <c:pt idx="444">
                  <c:v>91.823499999999996</c:v>
                </c:pt>
                <c:pt idx="445">
                  <c:v>91.828999999999994</c:v>
                </c:pt>
                <c:pt idx="446">
                  <c:v>91.829800000000006</c:v>
                </c:pt>
                <c:pt idx="447">
                  <c:v>91.706599999999995</c:v>
                </c:pt>
                <c:pt idx="448">
                  <c:v>91.674700000000001</c:v>
                </c:pt>
                <c:pt idx="449">
                  <c:v>91.532200000000003</c:v>
                </c:pt>
                <c:pt idx="450">
                  <c:v>91.425700000000006</c:v>
                </c:pt>
                <c:pt idx="451">
                  <c:v>91.300899999999999</c:v>
                </c:pt>
                <c:pt idx="452">
                  <c:v>91.287899999999993</c:v>
                </c:pt>
                <c:pt idx="453">
                  <c:v>91.152100000000004</c:v>
                </c:pt>
                <c:pt idx="454">
                  <c:v>91.266599999999997</c:v>
                </c:pt>
                <c:pt idx="455">
                  <c:v>91.422300000000007</c:v>
                </c:pt>
                <c:pt idx="456">
                  <c:v>91.502600000000001</c:v>
                </c:pt>
                <c:pt idx="457">
                  <c:v>91.548100000000005</c:v>
                </c:pt>
                <c:pt idx="458">
                  <c:v>91.593500000000006</c:v>
                </c:pt>
                <c:pt idx="459">
                  <c:v>91.594399999999993</c:v>
                </c:pt>
                <c:pt idx="460">
                  <c:v>91.712999999999994</c:v>
                </c:pt>
                <c:pt idx="461">
                  <c:v>91.729399999999998</c:v>
                </c:pt>
                <c:pt idx="462">
                  <c:v>91.679000000000002</c:v>
                </c:pt>
                <c:pt idx="463">
                  <c:v>91.7226</c:v>
                </c:pt>
                <c:pt idx="464">
                  <c:v>91.731200000000001</c:v>
                </c:pt>
                <c:pt idx="465">
                  <c:v>91.712900000000005</c:v>
                </c:pt>
                <c:pt idx="466">
                  <c:v>91.697900000000004</c:v>
                </c:pt>
                <c:pt idx="467">
                  <c:v>91.695099999999996</c:v>
                </c:pt>
                <c:pt idx="468">
                  <c:v>91.657899999999998</c:v>
                </c:pt>
                <c:pt idx="469">
                  <c:v>91.643799999999999</c:v>
                </c:pt>
                <c:pt idx="470">
                  <c:v>91.634900000000002</c:v>
                </c:pt>
                <c:pt idx="471">
                  <c:v>91.62</c:v>
                </c:pt>
                <c:pt idx="472">
                  <c:v>91.505799999999994</c:v>
                </c:pt>
                <c:pt idx="473">
                  <c:v>91.485399999999998</c:v>
                </c:pt>
                <c:pt idx="474">
                  <c:v>91.549400000000006</c:v>
                </c:pt>
                <c:pt idx="475">
                  <c:v>91.510400000000004</c:v>
                </c:pt>
                <c:pt idx="476">
                  <c:v>91.594200000000001</c:v>
                </c:pt>
                <c:pt idx="477">
                  <c:v>91.564800000000005</c:v>
                </c:pt>
                <c:pt idx="478">
                  <c:v>91.592699999999994</c:v>
                </c:pt>
                <c:pt idx="479">
                  <c:v>91.612200000000001</c:v>
                </c:pt>
                <c:pt idx="480">
                  <c:v>91.6297</c:v>
                </c:pt>
                <c:pt idx="481">
                  <c:v>91.695999999999998</c:v>
                </c:pt>
                <c:pt idx="482">
                  <c:v>91.648200000000003</c:v>
                </c:pt>
                <c:pt idx="483">
                  <c:v>91.615399999999994</c:v>
                </c:pt>
                <c:pt idx="484">
                  <c:v>91.6554</c:v>
                </c:pt>
                <c:pt idx="485">
                  <c:v>91.667100000000005</c:v>
                </c:pt>
                <c:pt idx="486">
                  <c:v>91.673100000000005</c:v>
                </c:pt>
                <c:pt idx="487">
                  <c:v>91.654799999999994</c:v>
                </c:pt>
                <c:pt idx="488">
                  <c:v>91.569400000000002</c:v>
                </c:pt>
                <c:pt idx="489">
                  <c:v>91.555899999999994</c:v>
                </c:pt>
                <c:pt idx="490">
                  <c:v>91.558499999999995</c:v>
                </c:pt>
                <c:pt idx="491">
                  <c:v>91.639099999999999</c:v>
                </c:pt>
                <c:pt idx="492">
                  <c:v>91.591399999999993</c:v>
                </c:pt>
                <c:pt idx="493">
                  <c:v>91.56</c:v>
                </c:pt>
                <c:pt idx="494">
                  <c:v>91.578800000000001</c:v>
                </c:pt>
                <c:pt idx="495">
                  <c:v>91.6434</c:v>
                </c:pt>
                <c:pt idx="496">
                  <c:v>91.682400000000001</c:v>
                </c:pt>
                <c:pt idx="497">
                  <c:v>91.660499999999999</c:v>
                </c:pt>
                <c:pt idx="498">
                  <c:v>91.668700000000001</c:v>
                </c:pt>
                <c:pt idx="499">
                  <c:v>91.737700000000004</c:v>
                </c:pt>
                <c:pt idx="500">
                  <c:v>91.732399999999998</c:v>
                </c:pt>
                <c:pt idx="501">
                  <c:v>91.714100000000002</c:v>
                </c:pt>
                <c:pt idx="502">
                  <c:v>91.790400000000005</c:v>
                </c:pt>
                <c:pt idx="503">
                  <c:v>91.6905</c:v>
                </c:pt>
                <c:pt idx="504">
                  <c:v>91.569000000000003</c:v>
                </c:pt>
                <c:pt idx="505">
                  <c:v>91.510599999999997</c:v>
                </c:pt>
                <c:pt idx="506">
                  <c:v>91.489099999999993</c:v>
                </c:pt>
                <c:pt idx="507">
                  <c:v>91.386200000000002</c:v>
                </c:pt>
                <c:pt idx="508">
                  <c:v>91.232100000000003</c:v>
                </c:pt>
                <c:pt idx="509">
                  <c:v>91.212100000000007</c:v>
                </c:pt>
                <c:pt idx="510">
                  <c:v>91.096199999999996</c:v>
                </c:pt>
                <c:pt idx="511">
                  <c:v>91.008300000000006</c:v>
                </c:pt>
                <c:pt idx="512">
                  <c:v>90.837000000000003</c:v>
                </c:pt>
                <c:pt idx="513">
                  <c:v>90.5976</c:v>
                </c:pt>
                <c:pt idx="514">
                  <c:v>90.494100000000003</c:v>
                </c:pt>
                <c:pt idx="515">
                  <c:v>90.397800000000004</c:v>
                </c:pt>
                <c:pt idx="516">
                  <c:v>90.384100000000004</c:v>
                </c:pt>
                <c:pt idx="517">
                  <c:v>90.283100000000005</c:v>
                </c:pt>
                <c:pt idx="518">
                  <c:v>90.243700000000004</c:v>
                </c:pt>
                <c:pt idx="519">
                  <c:v>90.253399999999999</c:v>
                </c:pt>
                <c:pt idx="520">
                  <c:v>90.238100000000003</c:v>
                </c:pt>
                <c:pt idx="521">
                  <c:v>90.259500000000003</c:v>
                </c:pt>
                <c:pt idx="522">
                  <c:v>90.164500000000004</c:v>
                </c:pt>
                <c:pt idx="523">
                  <c:v>90.135800000000003</c:v>
                </c:pt>
                <c:pt idx="524">
                  <c:v>90.111000000000004</c:v>
                </c:pt>
                <c:pt idx="525">
                  <c:v>90.080100000000002</c:v>
                </c:pt>
                <c:pt idx="526">
                  <c:v>89.984999999999999</c:v>
                </c:pt>
                <c:pt idx="527">
                  <c:v>89.957999999999998</c:v>
                </c:pt>
                <c:pt idx="528">
                  <c:v>89.944000000000003</c:v>
                </c:pt>
                <c:pt idx="529">
                  <c:v>89.961799999999997</c:v>
                </c:pt>
                <c:pt idx="530">
                  <c:v>89.880799999999994</c:v>
                </c:pt>
                <c:pt idx="531">
                  <c:v>89.936000000000007</c:v>
                </c:pt>
                <c:pt idx="532">
                  <c:v>89.834699999999998</c:v>
                </c:pt>
                <c:pt idx="533">
                  <c:v>89.798000000000002</c:v>
                </c:pt>
                <c:pt idx="534">
                  <c:v>89.6357</c:v>
                </c:pt>
                <c:pt idx="535">
                  <c:v>89.461200000000005</c:v>
                </c:pt>
                <c:pt idx="536">
                  <c:v>89.4178</c:v>
                </c:pt>
                <c:pt idx="537">
                  <c:v>89.416200000000003</c:v>
                </c:pt>
                <c:pt idx="538">
                  <c:v>89.354799999999997</c:v>
                </c:pt>
                <c:pt idx="539">
                  <c:v>89.241100000000003</c:v>
                </c:pt>
                <c:pt idx="540">
                  <c:v>89.186999999999998</c:v>
                </c:pt>
                <c:pt idx="541">
                  <c:v>89.187600000000003</c:v>
                </c:pt>
                <c:pt idx="542">
                  <c:v>89.166399999999996</c:v>
                </c:pt>
                <c:pt idx="543">
                  <c:v>89.028300000000002</c:v>
                </c:pt>
                <c:pt idx="544">
                  <c:v>88.925200000000004</c:v>
                </c:pt>
                <c:pt idx="545">
                  <c:v>88.885499999999993</c:v>
                </c:pt>
                <c:pt idx="546">
                  <c:v>88.825400000000002</c:v>
                </c:pt>
                <c:pt idx="547">
                  <c:v>88.903599999999997</c:v>
                </c:pt>
                <c:pt idx="548">
                  <c:v>88.994699999999995</c:v>
                </c:pt>
                <c:pt idx="549">
                  <c:v>89.016199999999998</c:v>
                </c:pt>
                <c:pt idx="550">
                  <c:v>88.974000000000004</c:v>
                </c:pt>
                <c:pt idx="551">
                  <c:v>88.997799999999998</c:v>
                </c:pt>
                <c:pt idx="552">
                  <c:v>88.965900000000005</c:v>
                </c:pt>
                <c:pt idx="553">
                  <c:v>88.976799999999997</c:v>
                </c:pt>
                <c:pt idx="554">
                  <c:v>88.955799999999996</c:v>
                </c:pt>
                <c:pt idx="555">
                  <c:v>88.976900000000001</c:v>
                </c:pt>
                <c:pt idx="556">
                  <c:v>88.987300000000005</c:v>
                </c:pt>
                <c:pt idx="557">
                  <c:v>88.888000000000005</c:v>
                </c:pt>
                <c:pt idx="558">
                  <c:v>88.782899999999998</c:v>
                </c:pt>
                <c:pt idx="559">
                  <c:v>88.854900000000001</c:v>
                </c:pt>
                <c:pt idx="560">
                  <c:v>88.850899999999996</c:v>
                </c:pt>
                <c:pt idx="561">
                  <c:v>88.999899999999997</c:v>
                </c:pt>
                <c:pt idx="562">
                  <c:v>88.960099999999997</c:v>
                </c:pt>
                <c:pt idx="563">
                  <c:v>88.997799999999998</c:v>
                </c:pt>
                <c:pt idx="564">
                  <c:v>88.944599999999994</c:v>
                </c:pt>
                <c:pt idx="565">
                  <c:v>88.918800000000005</c:v>
                </c:pt>
                <c:pt idx="566">
                  <c:v>88.836200000000005</c:v>
                </c:pt>
                <c:pt idx="567">
                  <c:v>88.753</c:v>
                </c:pt>
                <c:pt idx="568">
                  <c:v>88.742400000000004</c:v>
                </c:pt>
                <c:pt idx="569">
                  <c:v>88.684799999999996</c:v>
                </c:pt>
                <c:pt idx="570">
                  <c:v>88.5197</c:v>
                </c:pt>
                <c:pt idx="571">
                  <c:v>88.351100000000002</c:v>
                </c:pt>
                <c:pt idx="572">
                  <c:v>88.284899999999993</c:v>
                </c:pt>
                <c:pt idx="573">
                  <c:v>88.115200000000002</c:v>
                </c:pt>
                <c:pt idx="574">
                  <c:v>88.1267</c:v>
                </c:pt>
                <c:pt idx="575">
                  <c:v>87.976200000000006</c:v>
                </c:pt>
                <c:pt idx="576">
                  <c:v>87.733400000000003</c:v>
                </c:pt>
                <c:pt idx="577">
                  <c:v>87.617599999999996</c:v>
                </c:pt>
                <c:pt idx="578">
                  <c:v>87.855999999999995</c:v>
                </c:pt>
                <c:pt idx="579">
                  <c:v>87.8643</c:v>
                </c:pt>
                <c:pt idx="580">
                  <c:v>87.778800000000004</c:v>
                </c:pt>
                <c:pt idx="581">
                  <c:v>87.806200000000004</c:v>
                </c:pt>
                <c:pt idx="582">
                  <c:v>87.759500000000003</c:v>
                </c:pt>
                <c:pt idx="583">
                  <c:v>87.727199999999996</c:v>
                </c:pt>
                <c:pt idx="584">
                  <c:v>87.616399999999999</c:v>
                </c:pt>
                <c:pt idx="585">
                  <c:v>87.649500000000003</c:v>
                </c:pt>
                <c:pt idx="586">
                  <c:v>87.743499999999997</c:v>
                </c:pt>
                <c:pt idx="587">
                  <c:v>87.933599999999998</c:v>
                </c:pt>
                <c:pt idx="588">
                  <c:v>88.180800000000005</c:v>
                </c:pt>
                <c:pt idx="589">
                  <c:v>88.124799999999993</c:v>
                </c:pt>
                <c:pt idx="590">
                  <c:v>88.336799999999997</c:v>
                </c:pt>
                <c:pt idx="591">
                  <c:v>88.399900000000002</c:v>
                </c:pt>
                <c:pt idx="592">
                  <c:v>88.524799999999999</c:v>
                </c:pt>
                <c:pt idx="593">
                  <c:v>88.603399999999993</c:v>
                </c:pt>
                <c:pt idx="594">
                  <c:v>88.538300000000007</c:v>
                </c:pt>
                <c:pt idx="595">
                  <c:v>88.548500000000004</c:v>
                </c:pt>
                <c:pt idx="596">
                  <c:v>88.542500000000004</c:v>
                </c:pt>
                <c:pt idx="597">
                  <c:v>88.64</c:v>
                </c:pt>
                <c:pt idx="598">
                  <c:v>88.632300000000001</c:v>
                </c:pt>
                <c:pt idx="599">
                  <c:v>88.588099999999997</c:v>
                </c:pt>
                <c:pt idx="600">
                  <c:v>88.531499999999994</c:v>
                </c:pt>
                <c:pt idx="601">
                  <c:v>88.405000000000001</c:v>
                </c:pt>
                <c:pt idx="602">
                  <c:v>88.415700000000001</c:v>
                </c:pt>
                <c:pt idx="603">
                  <c:v>88.211100000000002</c:v>
                </c:pt>
                <c:pt idx="604">
                  <c:v>88.230500000000006</c:v>
                </c:pt>
                <c:pt idx="605">
                  <c:v>88.214299999999994</c:v>
                </c:pt>
                <c:pt idx="606">
                  <c:v>88.161100000000005</c:v>
                </c:pt>
                <c:pt idx="607">
                  <c:v>88.180199999999999</c:v>
                </c:pt>
                <c:pt idx="608">
                  <c:v>88.291899999999998</c:v>
                </c:pt>
                <c:pt idx="609">
                  <c:v>88.331599999999995</c:v>
                </c:pt>
                <c:pt idx="610">
                  <c:v>88.432299999999998</c:v>
                </c:pt>
                <c:pt idx="611">
                  <c:v>88.415499999999994</c:v>
                </c:pt>
                <c:pt idx="612">
                  <c:v>88.444699999999997</c:v>
                </c:pt>
                <c:pt idx="613">
                  <c:v>88.118499999999997</c:v>
                </c:pt>
                <c:pt idx="614">
                  <c:v>88.121499999999997</c:v>
                </c:pt>
                <c:pt idx="615">
                  <c:v>88.376400000000004</c:v>
                </c:pt>
                <c:pt idx="616">
                  <c:v>88.532799999999995</c:v>
                </c:pt>
                <c:pt idx="617">
                  <c:v>88.483699999999999</c:v>
                </c:pt>
                <c:pt idx="618">
                  <c:v>88.552999999999997</c:v>
                </c:pt>
                <c:pt idx="619">
                  <c:v>88.499200000000002</c:v>
                </c:pt>
                <c:pt idx="620">
                  <c:v>88.867400000000004</c:v>
                </c:pt>
                <c:pt idx="621">
                  <c:v>88.808599999999998</c:v>
                </c:pt>
                <c:pt idx="622">
                  <c:v>88.804100000000005</c:v>
                </c:pt>
                <c:pt idx="623">
                  <c:v>88.873599999999996</c:v>
                </c:pt>
                <c:pt idx="624">
                  <c:v>88.904399999999995</c:v>
                </c:pt>
                <c:pt idx="625">
                  <c:v>88.876800000000003</c:v>
                </c:pt>
                <c:pt idx="626">
                  <c:v>88.994799999999998</c:v>
                </c:pt>
                <c:pt idx="627">
                  <c:v>88.966999999999999</c:v>
                </c:pt>
                <c:pt idx="628">
                  <c:v>88.889099999999999</c:v>
                </c:pt>
                <c:pt idx="629">
                  <c:v>88.818700000000007</c:v>
                </c:pt>
                <c:pt idx="630">
                  <c:v>88.775499999999994</c:v>
                </c:pt>
                <c:pt idx="631">
                  <c:v>88.719200000000001</c:v>
                </c:pt>
                <c:pt idx="632">
                  <c:v>88.87</c:v>
                </c:pt>
                <c:pt idx="633">
                  <c:v>88.829099999999997</c:v>
                </c:pt>
                <c:pt idx="634">
                  <c:v>88.837599999999995</c:v>
                </c:pt>
                <c:pt idx="635">
                  <c:v>88.835499999999996</c:v>
                </c:pt>
                <c:pt idx="636">
                  <c:v>88.838499999999996</c:v>
                </c:pt>
                <c:pt idx="637">
                  <c:v>88.688400000000001</c:v>
                </c:pt>
                <c:pt idx="638">
                  <c:v>88.635400000000004</c:v>
                </c:pt>
                <c:pt idx="639">
                  <c:v>88.627300000000005</c:v>
                </c:pt>
                <c:pt idx="640">
                  <c:v>88.787499999999994</c:v>
                </c:pt>
                <c:pt idx="641">
                  <c:v>88.859099999999998</c:v>
                </c:pt>
                <c:pt idx="642">
                  <c:v>88.681100000000001</c:v>
                </c:pt>
                <c:pt idx="643">
                  <c:v>88.658900000000003</c:v>
                </c:pt>
                <c:pt idx="644">
                  <c:v>88.659899999999993</c:v>
                </c:pt>
                <c:pt idx="645">
                  <c:v>88.708299999999994</c:v>
                </c:pt>
                <c:pt idx="646">
                  <c:v>88.828699999999998</c:v>
                </c:pt>
                <c:pt idx="647">
                  <c:v>88.840299999999999</c:v>
                </c:pt>
                <c:pt idx="648">
                  <c:v>88.832300000000004</c:v>
                </c:pt>
                <c:pt idx="649">
                  <c:v>88.705100000000002</c:v>
                </c:pt>
                <c:pt idx="650">
                  <c:v>88.364999999999995</c:v>
                </c:pt>
                <c:pt idx="651">
                  <c:v>88.255700000000004</c:v>
                </c:pt>
                <c:pt idx="652">
                  <c:v>87.897499999999994</c:v>
                </c:pt>
                <c:pt idx="653">
                  <c:v>87.63</c:v>
                </c:pt>
                <c:pt idx="654">
                  <c:v>87.303299999999993</c:v>
                </c:pt>
                <c:pt idx="655">
                  <c:v>87.144000000000005</c:v>
                </c:pt>
                <c:pt idx="656">
                  <c:v>87.087299999999999</c:v>
                </c:pt>
                <c:pt idx="657">
                  <c:v>87.000799999999998</c:v>
                </c:pt>
                <c:pt idx="658">
                  <c:v>86.968400000000003</c:v>
                </c:pt>
                <c:pt idx="659">
                  <c:v>86.960899999999995</c:v>
                </c:pt>
                <c:pt idx="660">
                  <c:v>86.814999999999998</c:v>
                </c:pt>
                <c:pt idx="661">
                  <c:v>86.727199999999996</c:v>
                </c:pt>
                <c:pt idx="662">
                  <c:v>86.681899999999999</c:v>
                </c:pt>
                <c:pt idx="663">
                  <c:v>86.768500000000003</c:v>
                </c:pt>
                <c:pt idx="664">
                  <c:v>86.956299999999999</c:v>
                </c:pt>
                <c:pt idx="665">
                  <c:v>87.080799999999996</c:v>
                </c:pt>
                <c:pt idx="666">
                  <c:v>87.101399999999998</c:v>
                </c:pt>
                <c:pt idx="667">
                  <c:v>87.021000000000001</c:v>
                </c:pt>
                <c:pt idx="668">
                  <c:v>86.967699999999994</c:v>
                </c:pt>
                <c:pt idx="669">
                  <c:v>87.095399999999998</c:v>
                </c:pt>
                <c:pt idx="670">
                  <c:v>86.962999999999994</c:v>
                </c:pt>
                <c:pt idx="671">
                  <c:v>86.776799999999994</c:v>
                </c:pt>
                <c:pt idx="672">
                  <c:v>86.844099999999997</c:v>
                </c:pt>
                <c:pt idx="673">
                  <c:v>86.8125</c:v>
                </c:pt>
                <c:pt idx="674">
                  <c:v>86.812399999999997</c:v>
                </c:pt>
                <c:pt idx="675">
                  <c:v>86.785799999999995</c:v>
                </c:pt>
                <c:pt idx="676">
                  <c:v>86.891000000000005</c:v>
                </c:pt>
                <c:pt idx="677">
                  <c:v>86.934200000000004</c:v>
                </c:pt>
                <c:pt idx="678">
                  <c:v>86.908900000000003</c:v>
                </c:pt>
                <c:pt idx="679">
                  <c:v>86.892099999999999</c:v>
                </c:pt>
                <c:pt idx="680">
                  <c:v>86.903800000000004</c:v>
                </c:pt>
                <c:pt idx="681">
                  <c:v>86.910600000000002</c:v>
                </c:pt>
                <c:pt idx="682">
                  <c:v>86.828699999999998</c:v>
                </c:pt>
                <c:pt idx="683">
                  <c:v>86.760999999999996</c:v>
                </c:pt>
                <c:pt idx="684">
                  <c:v>86.483599999999996</c:v>
                </c:pt>
                <c:pt idx="685">
                  <c:v>86.289000000000001</c:v>
                </c:pt>
                <c:pt idx="686">
                  <c:v>86.168099999999995</c:v>
                </c:pt>
                <c:pt idx="687">
                  <c:v>86.085899999999995</c:v>
                </c:pt>
                <c:pt idx="688">
                  <c:v>85.874300000000005</c:v>
                </c:pt>
                <c:pt idx="689">
                  <c:v>85.738</c:v>
                </c:pt>
                <c:pt idx="690">
                  <c:v>85.807900000000004</c:v>
                </c:pt>
                <c:pt idx="691">
                  <c:v>85.767399999999995</c:v>
                </c:pt>
                <c:pt idx="692">
                  <c:v>85.364599999999996</c:v>
                </c:pt>
                <c:pt idx="693">
                  <c:v>85.281099999999995</c:v>
                </c:pt>
                <c:pt idx="694">
                  <c:v>85.287499999999994</c:v>
                </c:pt>
                <c:pt idx="695">
                  <c:v>85.2744</c:v>
                </c:pt>
                <c:pt idx="696">
                  <c:v>85.246300000000005</c:v>
                </c:pt>
                <c:pt idx="697">
                  <c:v>85.233800000000002</c:v>
                </c:pt>
                <c:pt idx="698">
                  <c:v>85.004199999999997</c:v>
                </c:pt>
                <c:pt idx="699">
                  <c:v>85.137699999999995</c:v>
                </c:pt>
                <c:pt idx="700">
                  <c:v>85.267200000000003</c:v>
                </c:pt>
                <c:pt idx="701">
                  <c:v>85.239199999999997</c:v>
                </c:pt>
                <c:pt idx="702">
                  <c:v>85.135999999999996</c:v>
                </c:pt>
                <c:pt idx="703">
                  <c:v>85.129800000000003</c:v>
                </c:pt>
                <c:pt idx="704">
                  <c:v>85.071200000000005</c:v>
                </c:pt>
                <c:pt idx="705">
                  <c:v>85.069800000000001</c:v>
                </c:pt>
                <c:pt idx="706">
                  <c:v>84.942899999999995</c:v>
                </c:pt>
                <c:pt idx="707">
                  <c:v>84.812700000000007</c:v>
                </c:pt>
                <c:pt idx="708">
                  <c:v>84.742099999999994</c:v>
                </c:pt>
                <c:pt idx="709">
                  <c:v>84.511300000000006</c:v>
                </c:pt>
                <c:pt idx="710">
                  <c:v>84.64</c:v>
                </c:pt>
                <c:pt idx="711">
                  <c:v>84.579300000000003</c:v>
                </c:pt>
                <c:pt idx="712">
                  <c:v>84.474800000000002</c:v>
                </c:pt>
                <c:pt idx="713">
                  <c:v>84.224100000000007</c:v>
                </c:pt>
                <c:pt idx="714">
                  <c:v>84.155100000000004</c:v>
                </c:pt>
                <c:pt idx="715">
                  <c:v>83.702299999999994</c:v>
                </c:pt>
                <c:pt idx="716">
                  <c:v>83.716899999999995</c:v>
                </c:pt>
                <c:pt idx="717">
                  <c:v>83.575900000000004</c:v>
                </c:pt>
                <c:pt idx="718">
                  <c:v>83.677999999999997</c:v>
                </c:pt>
                <c:pt idx="719">
                  <c:v>83.538499999999999</c:v>
                </c:pt>
                <c:pt idx="720">
                  <c:v>83.549400000000006</c:v>
                </c:pt>
                <c:pt idx="721">
                  <c:v>83.6905</c:v>
                </c:pt>
                <c:pt idx="722">
                  <c:v>83.666799999999995</c:v>
                </c:pt>
                <c:pt idx="723">
                  <c:v>83.891599999999997</c:v>
                </c:pt>
                <c:pt idx="724">
                  <c:v>83.876999999999995</c:v>
                </c:pt>
                <c:pt idx="725">
                  <c:v>83.637600000000006</c:v>
                </c:pt>
                <c:pt idx="726">
                  <c:v>83.639499999999998</c:v>
                </c:pt>
                <c:pt idx="727">
                  <c:v>83.645399999999995</c:v>
                </c:pt>
                <c:pt idx="728">
                  <c:v>83.807000000000002</c:v>
                </c:pt>
                <c:pt idx="729">
                  <c:v>83.725899999999996</c:v>
                </c:pt>
                <c:pt idx="730">
                  <c:v>83.8035</c:v>
                </c:pt>
                <c:pt idx="731">
                  <c:v>83.927899999999994</c:v>
                </c:pt>
                <c:pt idx="732">
                  <c:v>83.998699999999999</c:v>
                </c:pt>
                <c:pt idx="733">
                  <c:v>83.863399999999999</c:v>
                </c:pt>
                <c:pt idx="734">
                  <c:v>83.756399999999999</c:v>
                </c:pt>
                <c:pt idx="735">
                  <c:v>83.7273</c:v>
                </c:pt>
                <c:pt idx="736">
                  <c:v>83.768500000000003</c:v>
                </c:pt>
                <c:pt idx="737">
                  <c:v>83.839699999999993</c:v>
                </c:pt>
                <c:pt idx="738">
                  <c:v>83.708799999999997</c:v>
                </c:pt>
                <c:pt idx="739">
                  <c:v>83.533500000000004</c:v>
                </c:pt>
                <c:pt idx="740">
                  <c:v>83.343500000000006</c:v>
                </c:pt>
                <c:pt idx="741">
                  <c:v>83.312299999999993</c:v>
                </c:pt>
                <c:pt idx="742">
                  <c:v>83.450100000000006</c:v>
                </c:pt>
                <c:pt idx="743">
                  <c:v>83.421700000000001</c:v>
                </c:pt>
                <c:pt idx="744">
                  <c:v>83.841499999999996</c:v>
                </c:pt>
                <c:pt idx="745">
                  <c:v>84.097099999999998</c:v>
                </c:pt>
                <c:pt idx="746">
                  <c:v>84.261200000000002</c:v>
                </c:pt>
                <c:pt idx="747">
                  <c:v>84.109800000000007</c:v>
                </c:pt>
                <c:pt idx="748">
                  <c:v>84.329899999999995</c:v>
                </c:pt>
                <c:pt idx="749">
                  <c:v>84.674400000000006</c:v>
                </c:pt>
                <c:pt idx="750">
                  <c:v>84.596000000000004</c:v>
                </c:pt>
                <c:pt idx="751">
                  <c:v>84.818700000000007</c:v>
                </c:pt>
                <c:pt idx="752">
                  <c:v>84.684700000000007</c:v>
                </c:pt>
                <c:pt idx="753">
                  <c:v>84.535600000000002</c:v>
                </c:pt>
                <c:pt idx="754">
                  <c:v>84.449700000000007</c:v>
                </c:pt>
                <c:pt idx="755">
                  <c:v>84.224000000000004</c:v>
                </c:pt>
                <c:pt idx="756">
                  <c:v>84.123999999999995</c:v>
                </c:pt>
                <c:pt idx="757">
                  <c:v>83.9863</c:v>
                </c:pt>
                <c:pt idx="758">
                  <c:v>83.771199999999993</c:v>
                </c:pt>
                <c:pt idx="759">
                  <c:v>83.700599999999994</c:v>
                </c:pt>
                <c:pt idx="760">
                  <c:v>83.358699999999999</c:v>
                </c:pt>
                <c:pt idx="761">
                  <c:v>83.245599999999996</c:v>
                </c:pt>
                <c:pt idx="762">
                  <c:v>83.210300000000004</c:v>
                </c:pt>
                <c:pt idx="763">
                  <c:v>83.120599999999996</c:v>
                </c:pt>
                <c:pt idx="764">
                  <c:v>82.889499999999998</c:v>
                </c:pt>
                <c:pt idx="765">
                  <c:v>82.831199999999995</c:v>
                </c:pt>
                <c:pt idx="766">
                  <c:v>82.806200000000004</c:v>
                </c:pt>
                <c:pt idx="767">
                  <c:v>82.763000000000005</c:v>
                </c:pt>
                <c:pt idx="768">
                  <c:v>82.705299999999994</c:v>
                </c:pt>
                <c:pt idx="769">
                  <c:v>82.730999999999995</c:v>
                </c:pt>
                <c:pt idx="770">
                  <c:v>82.686800000000005</c:v>
                </c:pt>
                <c:pt idx="771">
                  <c:v>82.658900000000003</c:v>
                </c:pt>
                <c:pt idx="772">
                  <c:v>82.724800000000002</c:v>
                </c:pt>
                <c:pt idx="773">
                  <c:v>82.758300000000006</c:v>
                </c:pt>
                <c:pt idx="774">
                  <c:v>82.636499999999998</c:v>
                </c:pt>
                <c:pt idx="775">
                  <c:v>82.499600000000001</c:v>
                </c:pt>
                <c:pt idx="776">
                  <c:v>82.318100000000001</c:v>
                </c:pt>
                <c:pt idx="777">
                  <c:v>82.173199999999994</c:v>
                </c:pt>
                <c:pt idx="778">
                  <c:v>81.967200000000005</c:v>
                </c:pt>
                <c:pt idx="779">
                  <c:v>81.876099999999994</c:v>
                </c:pt>
                <c:pt idx="780">
                  <c:v>81.674899999999994</c:v>
                </c:pt>
                <c:pt idx="781">
                  <c:v>81.661900000000003</c:v>
                </c:pt>
                <c:pt idx="782">
                  <c:v>81.688900000000004</c:v>
                </c:pt>
                <c:pt idx="783">
                  <c:v>81.662400000000005</c:v>
                </c:pt>
                <c:pt idx="784">
                  <c:v>81.611699999999999</c:v>
                </c:pt>
                <c:pt idx="785">
                  <c:v>81.553799999999995</c:v>
                </c:pt>
                <c:pt idx="786">
                  <c:v>81.542400000000001</c:v>
                </c:pt>
                <c:pt idx="787">
                  <c:v>81.503299999999996</c:v>
                </c:pt>
                <c:pt idx="788">
                  <c:v>81.480400000000003</c:v>
                </c:pt>
                <c:pt idx="789">
                  <c:v>81.394000000000005</c:v>
                </c:pt>
                <c:pt idx="790">
                  <c:v>83.015600000000006</c:v>
                </c:pt>
                <c:pt idx="791">
                  <c:v>83.0047</c:v>
                </c:pt>
                <c:pt idx="792">
                  <c:v>82.993700000000004</c:v>
                </c:pt>
                <c:pt idx="793">
                  <c:v>83.018299999999996</c:v>
                </c:pt>
                <c:pt idx="794">
                  <c:v>83.01</c:v>
                </c:pt>
                <c:pt idx="795">
                  <c:v>83.136399999999995</c:v>
                </c:pt>
                <c:pt idx="796">
                  <c:v>83.005099999999999</c:v>
                </c:pt>
                <c:pt idx="797">
                  <c:v>82.9833</c:v>
                </c:pt>
                <c:pt idx="798">
                  <c:v>82.953400000000002</c:v>
                </c:pt>
                <c:pt idx="799">
                  <c:v>82.938999999999993</c:v>
                </c:pt>
                <c:pt idx="800">
                  <c:v>82.895600000000002</c:v>
                </c:pt>
                <c:pt idx="801">
                  <c:v>82.850999999999999</c:v>
                </c:pt>
                <c:pt idx="802">
                  <c:v>82.804199999999994</c:v>
                </c:pt>
                <c:pt idx="803">
                  <c:v>82.730699999999999</c:v>
                </c:pt>
                <c:pt idx="804">
                  <c:v>82.706999999999994</c:v>
                </c:pt>
                <c:pt idx="805">
                  <c:v>82.683800000000005</c:v>
                </c:pt>
                <c:pt idx="806">
                  <c:v>82.535200000000003</c:v>
                </c:pt>
                <c:pt idx="807">
                  <c:v>82.591899999999995</c:v>
                </c:pt>
                <c:pt idx="808">
                  <c:v>82.5702</c:v>
                </c:pt>
                <c:pt idx="809">
                  <c:v>82.496600000000001</c:v>
                </c:pt>
                <c:pt idx="810">
                  <c:v>82.420400000000001</c:v>
                </c:pt>
                <c:pt idx="811">
                  <c:v>82.371899999999997</c:v>
                </c:pt>
                <c:pt idx="812">
                  <c:v>82.179100000000005</c:v>
                </c:pt>
                <c:pt idx="813">
                  <c:v>82.251599999999996</c:v>
                </c:pt>
                <c:pt idx="814">
                  <c:v>82.532499999999999</c:v>
                </c:pt>
                <c:pt idx="815">
                  <c:v>82.7256</c:v>
                </c:pt>
                <c:pt idx="816">
                  <c:v>82.784899999999993</c:v>
                </c:pt>
                <c:pt idx="817">
                  <c:v>82.794899999999998</c:v>
                </c:pt>
                <c:pt idx="818">
                  <c:v>82.762500000000003</c:v>
                </c:pt>
                <c:pt idx="819">
                  <c:v>83.038899999999998</c:v>
                </c:pt>
                <c:pt idx="820">
                  <c:v>82.947699999999998</c:v>
                </c:pt>
                <c:pt idx="821">
                  <c:v>82.9726</c:v>
                </c:pt>
                <c:pt idx="822">
                  <c:v>83.057400000000001</c:v>
                </c:pt>
                <c:pt idx="823">
                  <c:v>83.047799999999995</c:v>
                </c:pt>
                <c:pt idx="824">
                  <c:v>83.176299999999998</c:v>
                </c:pt>
                <c:pt idx="825">
                  <c:v>83.218500000000006</c:v>
                </c:pt>
                <c:pt idx="826">
                  <c:v>83.183499999999995</c:v>
                </c:pt>
                <c:pt idx="827">
                  <c:v>83.165599999999998</c:v>
                </c:pt>
                <c:pt idx="828">
                  <c:v>83.225499999999997</c:v>
                </c:pt>
                <c:pt idx="829">
                  <c:v>82.269499999999994</c:v>
                </c:pt>
                <c:pt idx="830">
                  <c:v>82.032799999999995</c:v>
                </c:pt>
                <c:pt idx="831">
                  <c:v>80.320800000000006</c:v>
                </c:pt>
                <c:pt idx="832">
                  <c:v>81.864999999999995</c:v>
                </c:pt>
                <c:pt idx="833">
                  <c:v>81.883499999999998</c:v>
                </c:pt>
                <c:pt idx="834">
                  <c:v>81.88</c:v>
                </c:pt>
                <c:pt idx="835">
                  <c:v>81.7303</c:v>
                </c:pt>
                <c:pt idx="836">
                  <c:v>81.720699999999994</c:v>
                </c:pt>
                <c:pt idx="837">
                  <c:v>81.529700000000005</c:v>
                </c:pt>
                <c:pt idx="838">
                  <c:v>81.292100000000005</c:v>
                </c:pt>
                <c:pt idx="839">
                  <c:v>81.352500000000006</c:v>
                </c:pt>
                <c:pt idx="840">
                  <c:v>81.274299999999997</c:v>
                </c:pt>
                <c:pt idx="841">
                  <c:v>81.264200000000002</c:v>
                </c:pt>
                <c:pt idx="842">
                  <c:v>81.241200000000006</c:v>
                </c:pt>
                <c:pt idx="843">
                  <c:v>81.325500000000005</c:v>
                </c:pt>
                <c:pt idx="844">
                  <c:v>81.310699999999997</c:v>
                </c:pt>
                <c:pt idx="845">
                  <c:v>80.715500000000006</c:v>
                </c:pt>
                <c:pt idx="846">
                  <c:v>80.453000000000003</c:v>
                </c:pt>
                <c:pt idx="847">
                  <c:v>80.370900000000006</c:v>
                </c:pt>
                <c:pt idx="848">
                  <c:v>80.294399999999996</c:v>
                </c:pt>
                <c:pt idx="849">
                  <c:v>80.306100000000001</c:v>
                </c:pt>
                <c:pt idx="850">
                  <c:v>80.409400000000005</c:v>
                </c:pt>
                <c:pt idx="851">
                  <c:v>80.401300000000006</c:v>
                </c:pt>
                <c:pt idx="852">
                  <c:v>80.363500000000002</c:v>
                </c:pt>
                <c:pt idx="853">
                  <c:v>80.309600000000003</c:v>
                </c:pt>
                <c:pt idx="854">
                  <c:v>80.142399999999995</c:v>
                </c:pt>
                <c:pt idx="855">
                  <c:v>80.074100000000001</c:v>
                </c:pt>
                <c:pt idx="856">
                  <c:v>79.969499999999996</c:v>
                </c:pt>
                <c:pt idx="857">
                  <c:v>79.9268</c:v>
                </c:pt>
                <c:pt idx="858">
                  <c:v>79.8416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15-4CD1-8F72-0EC102F70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093920"/>
        <c:axId val="208094480"/>
      </c:lineChart>
      <c:dateAx>
        <c:axId val="208093920"/>
        <c:scaling>
          <c:orientation val="minMax"/>
        </c:scaling>
        <c:delete val="0"/>
        <c:axPos val="b"/>
        <c:numFmt formatCode="yy\-mm" sourceLinked="0"/>
        <c:majorTickMark val="out"/>
        <c:minorTickMark val="none"/>
        <c:tickLblPos val="low"/>
        <c:spPr>
          <a:ln>
            <a:solidFill>
              <a:srgbClr val="01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208094480"/>
        <c:crosses val="autoZero"/>
        <c:auto val="1"/>
        <c:lblOffset val="100"/>
        <c:baseTimeUnit val="days"/>
        <c:majorUnit val="5"/>
        <c:majorTimeUnit val="months"/>
      </c:dateAx>
      <c:valAx>
        <c:axId val="208094480"/>
        <c:scaling>
          <c:orientation val="minMax"/>
        </c:scaling>
        <c:delete val="0"/>
        <c:axPos val="l"/>
        <c:numFmt formatCode="#,##0_);\(#,##0\)" sourceLinked="0"/>
        <c:majorTickMark val="out"/>
        <c:minorTickMark val="none"/>
        <c:tickLblPos val="nextTo"/>
        <c:spPr>
          <a:ln>
            <a:solidFill>
              <a:srgbClr val="010000"/>
            </a:solidFill>
            <a:prstDash val="solid"/>
          </a:ln>
        </c:spPr>
        <c:crossAx val="208093920"/>
        <c:crosses val="autoZero"/>
        <c:crossBetween val="midCat"/>
        <c:dispUnits>
          <c:custUnit val="1"/>
          <c:dispUnitsLbl>
            <c:layout>
              <c:manualLayout>
                <c:xMode val="edge"/>
                <c:yMode val="edge"/>
                <c:x val="3.3333333333333333E-2"/>
                <c:y val="0"/>
              </c:manualLayout>
            </c:layout>
            <c:tx>
              <c:rich>
                <a:bodyPr rot="0" vert="horz"/>
                <a:lstStyle/>
                <a:p>
                  <a:pPr>
                    <a:defRPr/>
                  </a:pPr>
                  <a:r>
                    <a:rPr lang="en-US"/>
                    <a:t>(</a:t>
                  </a:r>
                  <a:r>
                    <a:rPr lang="zh-CN"/>
                    <a:t>元</a:t>
                  </a:r>
                  <a:r>
                    <a:rPr lang="en-US"/>
                    <a:t>)</a:t>
                  </a:r>
                </a:p>
              </c:rich>
            </c:tx>
          </c:dispUnitsLbl>
        </c:dispUnits>
      </c:valAx>
      <c:spPr>
        <a:noFill/>
        <a:ln w="25400">
          <a:noFill/>
        </a:ln>
      </c:spPr>
    </c:plotArea>
    <c:legend>
      <c:legendPos val="t"/>
      <c:overlay val="1"/>
      <c:spPr>
        <a:noFill/>
        <a:ln w="25400">
          <a:noFill/>
        </a:ln>
      </c:sp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0">
      <a:solidFill>
        <a:schemeClr val="accent1">
          <a:lumMod val="50000"/>
        </a:schemeClr>
      </a:solidFill>
    </a:ln>
  </c:spPr>
  <c:txPr>
    <a:bodyPr/>
    <a:lstStyle/>
    <a:p>
      <a:pPr>
        <a:defRPr sz="800">
          <a:latin typeface="Arial" panose="020B0604020202020204" pitchFamily="34" charset="0"/>
          <a:ea typeface="楷体" panose="02010609060101010101" pitchFamily="49" charset="-122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7604144968854771E-2"/>
          <c:y val="0.10185182956041919"/>
          <c:w val="0.95399309171857516"/>
          <c:h val="0.89814817043958084"/>
        </c:manualLayout>
      </c:layout>
      <c:lineChart>
        <c:grouping val="standard"/>
        <c:varyColors val="0"/>
        <c:ser>
          <c:idx val="0"/>
          <c:order val="0"/>
          <c:tx>
            <c:v>营收TTM</c:v>
          </c:tx>
          <c:marker>
            <c:symbol val="none"/>
          </c:marker>
          <c:cat>
            <c:numRef>
              <c:f>个券分析!$G$25:$G$34</c:f>
              <c:numCache>
                <c:formatCode>yyyy\-mm\-dd</c:formatCode>
                <c:ptCount val="10"/>
                <c:pt idx="0" formatCode="m/d/yyyy">
                  <c:v>44104</c:v>
                </c:pt>
                <c:pt idx="1">
                  <c:v>44012</c:v>
                </c:pt>
                <c:pt idx="2">
                  <c:v>43921</c:v>
                </c:pt>
                <c:pt idx="3">
                  <c:v>43830</c:v>
                </c:pt>
                <c:pt idx="4">
                  <c:v>43738</c:v>
                </c:pt>
                <c:pt idx="5">
                  <c:v>43646</c:v>
                </c:pt>
                <c:pt idx="6">
                  <c:v>43555</c:v>
                </c:pt>
                <c:pt idx="7">
                  <c:v>43465</c:v>
                </c:pt>
                <c:pt idx="8">
                  <c:v>43373</c:v>
                </c:pt>
                <c:pt idx="9">
                  <c:v>43281</c:v>
                </c:pt>
              </c:numCache>
            </c:numRef>
          </c:cat>
          <c:val>
            <c:numRef>
              <c:f>个券分析!$H$25:$H$34</c:f>
              <c:numCache>
                <c:formatCode>0.00_);[Red]\(0.00\)</c:formatCode>
                <c:ptCount val="10"/>
                <c:pt idx="0">
                  <c:v>114.77763074489999</c:v>
                </c:pt>
                <c:pt idx="1">
                  <c:v>99.882663315599999</c:v>
                </c:pt>
                <c:pt idx="2">
                  <c:v>89.468816942399997</c:v>
                </c:pt>
                <c:pt idx="3">
                  <c:v>95.626273436900007</c:v>
                </c:pt>
                <c:pt idx="4">
                  <c:v>93.170738833099989</c:v>
                </c:pt>
                <c:pt idx="5">
                  <c:v>106.5666480191</c:v>
                </c:pt>
                <c:pt idx="6">
                  <c:v>114.6351052249</c:v>
                </c:pt>
                <c:pt idx="7">
                  <c:v>110.2948567981</c:v>
                </c:pt>
                <c:pt idx="8">
                  <c:v>113.0183814537</c:v>
                </c:pt>
                <c:pt idx="9">
                  <c:v>111.31266940569999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BC-47A7-A4E3-6D3B57FB21FF}"/>
            </c:ext>
          </c:extLst>
        </c:ser>
        <c:ser>
          <c:idx val="1"/>
          <c:order val="1"/>
          <c:tx>
            <c:v>环比变化（右）</c:v>
          </c:tx>
          <c:spPr>
            <a:ln w="254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个券分析!$G$25:$G$34</c:f>
              <c:numCache>
                <c:formatCode>yyyy\-mm\-dd</c:formatCode>
                <c:ptCount val="10"/>
                <c:pt idx="0" formatCode="m/d/yyyy">
                  <c:v>44104</c:v>
                </c:pt>
                <c:pt idx="1">
                  <c:v>44012</c:v>
                </c:pt>
                <c:pt idx="2">
                  <c:v>43921</c:v>
                </c:pt>
                <c:pt idx="3">
                  <c:v>43830</c:v>
                </c:pt>
                <c:pt idx="4">
                  <c:v>43738</c:v>
                </c:pt>
                <c:pt idx="5">
                  <c:v>43646</c:v>
                </c:pt>
                <c:pt idx="6">
                  <c:v>43555</c:v>
                </c:pt>
                <c:pt idx="7">
                  <c:v>43465</c:v>
                </c:pt>
                <c:pt idx="8">
                  <c:v>43373</c:v>
                </c:pt>
                <c:pt idx="9">
                  <c:v>43281</c:v>
                </c:pt>
              </c:numCache>
            </c:numRef>
          </c:cat>
          <c:val>
            <c:numRef>
              <c:f>个券分析!$I$25:$I$34</c:f>
              <c:numCache>
                <c:formatCode>0.00_);[Red]\(0.00\)</c:formatCode>
                <c:ptCount val="10"/>
                <c:pt idx="0">
                  <c:v>14.912465221553276</c:v>
                </c:pt>
                <c:pt idx="1">
                  <c:v>11.639637953304373</c:v>
                </c:pt>
                <c:pt idx="2">
                  <c:v>-6.4390844411218069</c:v>
                </c:pt>
                <c:pt idx="3">
                  <c:v>2.6355212318308503</c:v>
                </c:pt>
                <c:pt idx="4">
                  <c:v>-12.570451858070129</c:v>
                </c:pt>
                <c:pt idx="5">
                  <c:v>-7.0383825181393433</c:v>
                </c:pt>
                <c:pt idx="6">
                  <c:v>3.9351322018079458</c:v>
                </c:pt>
                <c:pt idx="7">
                  <c:v>-2.4098068124570773</c:v>
                </c:pt>
                <c:pt idx="8">
                  <c:v>1.5323611023855932</c:v>
                </c:pt>
                <c:pt idx="9">
                  <c:v>-5.1079640346062973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87-4843-96C5-F600A05FB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097840"/>
        <c:axId val="208098400"/>
      </c:lineChart>
      <c:dateAx>
        <c:axId val="208097840"/>
        <c:scaling>
          <c:orientation val="minMax"/>
        </c:scaling>
        <c:delete val="0"/>
        <c:axPos val="b"/>
        <c:numFmt formatCode="yy\-mm" sourceLinked="0"/>
        <c:majorTickMark val="out"/>
        <c:minorTickMark val="none"/>
        <c:tickLblPos val="low"/>
        <c:spPr>
          <a:ln>
            <a:solidFill>
              <a:srgbClr val="01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208098400"/>
        <c:crosses val="autoZero"/>
        <c:auto val="1"/>
        <c:lblOffset val="100"/>
        <c:baseTimeUnit val="months"/>
        <c:majorUnit val="6"/>
      </c:dateAx>
      <c:valAx>
        <c:axId val="208098400"/>
        <c:scaling>
          <c:orientation val="minMax"/>
        </c:scaling>
        <c:delete val="0"/>
        <c:axPos val="l"/>
        <c:numFmt formatCode="#,##0_);\(#,##0\)" sourceLinked="0"/>
        <c:majorTickMark val="out"/>
        <c:minorTickMark val="none"/>
        <c:tickLblPos val="nextTo"/>
        <c:spPr>
          <a:ln>
            <a:solidFill>
              <a:srgbClr val="010000"/>
            </a:solidFill>
            <a:prstDash val="solid"/>
          </a:ln>
        </c:spPr>
        <c:crossAx val="208097840"/>
        <c:crosses val="autoZero"/>
        <c:crossBetween val="midCat"/>
        <c:dispUnits>
          <c:custUnit val="1"/>
          <c:dispUnitsLbl>
            <c:layout>
              <c:manualLayout>
                <c:xMode val="edge"/>
                <c:yMode val="edge"/>
                <c:x val="4.6006908281424619E-2"/>
                <c:y val="0"/>
              </c:manualLayout>
            </c:layout>
            <c:tx>
              <c:rich>
                <a:bodyPr rot="0" vert="horz"/>
                <a:lstStyle/>
                <a:p>
                  <a:pPr>
                    <a:defRPr/>
                  </a:pPr>
                  <a:r>
                    <a:rPr lang="en-US"/>
                    <a:t>(</a:t>
                  </a:r>
                  <a:r>
                    <a:rPr lang="zh-CN"/>
                    <a:t>亿</a:t>
                  </a:r>
                  <a:r>
                    <a:rPr lang="en-US"/>
                    <a:t>)</a:t>
                  </a:r>
                </a:p>
              </c:rich>
            </c:tx>
          </c:dispUnitsLbl>
        </c:dispUnits>
      </c:valAx>
      <c:spPr>
        <a:noFill/>
        <a:ln w="25400">
          <a:noFill/>
        </a:ln>
      </c:spPr>
    </c:plotArea>
    <c:legend>
      <c:legendPos val="t"/>
      <c:overlay val="0"/>
    </c:legend>
    <c:plotVisOnly val="1"/>
    <c:dispBlanksAs val="span"/>
    <c:showDLblsOverMax val="0"/>
  </c:chart>
  <c:spPr>
    <a:ln w="6350">
      <a:solidFill>
        <a:srgbClr val="010000"/>
      </a:solidFill>
    </a:ln>
  </c:spPr>
  <c:txPr>
    <a:bodyPr/>
    <a:lstStyle/>
    <a:p>
      <a:pPr>
        <a:defRPr sz="800">
          <a:latin typeface="Arial" panose="020B0604020202020204" pitchFamily="34" charset="0"/>
          <a:ea typeface="楷体" panose="02010609060101010101" pitchFamily="49" charset="-122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7649769585253458E-2"/>
          <c:y val="0.1018519196728316"/>
          <c:w val="0.95391705069124422"/>
          <c:h val="0.89814808032716842"/>
        </c:manualLayout>
      </c:layout>
      <c:lineChart>
        <c:grouping val="standard"/>
        <c:varyColors val="0"/>
        <c:ser>
          <c:idx val="0"/>
          <c:order val="0"/>
          <c:tx>
            <c:v>净利润TTM</c:v>
          </c:tx>
          <c:marker>
            <c:symbol val="none"/>
          </c:marker>
          <c:cat>
            <c:numRef>
              <c:f>个券分析!$K$25:$K$34</c:f>
              <c:numCache>
                <c:formatCode>m/d/yyyy</c:formatCode>
                <c:ptCount val="10"/>
                <c:pt idx="0">
                  <c:v>44104</c:v>
                </c:pt>
                <c:pt idx="1">
                  <c:v>44012</c:v>
                </c:pt>
                <c:pt idx="2">
                  <c:v>43921</c:v>
                </c:pt>
                <c:pt idx="3">
                  <c:v>43830</c:v>
                </c:pt>
                <c:pt idx="4">
                  <c:v>43738</c:v>
                </c:pt>
                <c:pt idx="5">
                  <c:v>43646</c:v>
                </c:pt>
                <c:pt idx="6">
                  <c:v>43555</c:v>
                </c:pt>
                <c:pt idx="7" formatCode="yyyy\-mm\-dd">
                  <c:v>43465</c:v>
                </c:pt>
                <c:pt idx="8" formatCode="yyyy\-mm\-dd">
                  <c:v>43373</c:v>
                </c:pt>
                <c:pt idx="9" formatCode="yyyy\-mm\-dd">
                  <c:v>43281</c:v>
                </c:pt>
              </c:numCache>
            </c:numRef>
          </c:cat>
          <c:val>
            <c:numRef>
              <c:f>个券分析!$L$25:$L$34</c:f>
              <c:numCache>
                <c:formatCode>0.00_);[Red]\(0.00\)</c:formatCode>
                <c:ptCount val="10"/>
                <c:pt idx="0">
                  <c:v>10.6228309828</c:v>
                </c:pt>
                <c:pt idx="1">
                  <c:v>8.8609507226000002</c:v>
                </c:pt>
                <c:pt idx="2">
                  <c:v>5.8879125122000007</c:v>
                </c:pt>
                <c:pt idx="3">
                  <c:v>6.4221945016999999</c:v>
                </c:pt>
                <c:pt idx="4">
                  <c:v>6.621394025599999</c:v>
                </c:pt>
                <c:pt idx="5">
                  <c:v>10.795217317200001</c:v>
                </c:pt>
                <c:pt idx="6">
                  <c:v>15.147992990999999</c:v>
                </c:pt>
                <c:pt idx="7">
                  <c:v>17.186285909400002</c:v>
                </c:pt>
                <c:pt idx="8">
                  <c:v>18.195815300499998</c:v>
                </c:pt>
                <c:pt idx="9">
                  <c:v>17.695313787100002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53B-495B-A017-29F4177FBDE5}"/>
            </c:ext>
          </c:extLst>
        </c:ser>
        <c:ser>
          <c:idx val="1"/>
          <c:order val="1"/>
          <c:tx>
            <c:v>环比变化（右）</c:v>
          </c:tx>
          <c:spPr>
            <a:ln w="254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个券分析!$K$25:$K$34</c:f>
              <c:numCache>
                <c:formatCode>m/d/yyyy</c:formatCode>
                <c:ptCount val="10"/>
                <c:pt idx="0">
                  <c:v>44104</c:v>
                </c:pt>
                <c:pt idx="1">
                  <c:v>44012</c:v>
                </c:pt>
                <c:pt idx="2">
                  <c:v>43921</c:v>
                </c:pt>
                <c:pt idx="3">
                  <c:v>43830</c:v>
                </c:pt>
                <c:pt idx="4">
                  <c:v>43738</c:v>
                </c:pt>
                <c:pt idx="5">
                  <c:v>43646</c:v>
                </c:pt>
                <c:pt idx="6">
                  <c:v>43555</c:v>
                </c:pt>
                <c:pt idx="7" formatCode="yyyy\-mm\-dd">
                  <c:v>43465</c:v>
                </c:pt>
                <c:pt idx="8" formatCode="yyyy\-mm\-dd">
                  <c:v>43373</c:v>
                </c:pt>
                <c:pt idx="9" formatCode="yyyy\-mm\-dd">
                  <c:v>43281</c:v>
                </c:pt>
              </c:numCache>
            </c:numRef>
          </c:cat>
          <c:val>
            <c:numRef>
              <c:f>个券分析!$M$25:$M$34</c:f>
              <c:numCache>
                <c:formatCode>0.00_);[Red]\(0.00\)</c:formatCode>
                <c:ptCount val="10"/>
                <c:pt idx="0">
                  <c:v>19.883648102300086</c:v>
                </c:pt>
                <c:pt idx="1">
                  <c:v>50.493926399886902</c:v>
                </c:pt>
                <c:pt idx="2">
                  <c:v>-8.3193056416863556</c:v>
                </c:pt>
                <c:pt idx="3">
                  <c:v>-3.0084227449664382</c:v>
                </c:pt>
                <c:pt idx="4">
                  <c:v>-38.663633801515566</c:v>
                </c:pt>
                <c:pt idx="5">
                  <c:v>-28.734999259546441</c:v>
                </c:pt>
                <c:pt idx="6">
                  <c:v>-11.859996564383721</c:v>
                </c:pt>
                <c:pt idx="7">
                  <c:v>-5.5481404621218218</c:v>
                </c:pt>
                <c:pt idx="8">
                  <c:v>2.8284410178974326</c:v>
                </c:pt>
                <c:pt idx="9">
                  <c:v>-5.782037178057891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BD-4403-8831-9BF534AB2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775616"/>
        <c:axId val="503775056"/>
      </c:lineChart>
      <c:dateAx>
        <c:axId val="503775616"/>
        <c:scaling>
          <c:orientation val="minMax"/>
        </c:scaling>
        <c:delete val="0"/>
        <c:axPos val="b"/>
        <c:numFmt formatCode="yy\-mm" sourceLinked="0"/>
        <c:majorTickMark val="out"/>
        <c:minorTickMark val="none"/>
        <c:tickLblPos val="low"/>
        <c:spPr>
          <a:ln>
            <a:solidFill>
              <a:srgbClr val="01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503775056"/>
        <c:crosses val="autoZero"/>
        <c:auto val="1"/>
        <c:lblOffset val="100"/>
        <c:baseTimeUnit val="months"/>
        <c:majorUnit val="6"/>
      </c:dateAx>
      <c:valAx>
        <c:axId val="503775056"/>
        <c:scaling>
          <c:orientation val="minMax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ln>
            <a:solidFill>
              <a:srgbClr val="010000"/>
            </a:solidFill>
            <a:prstDash val="solid"/>
          </a:ln>
        </c:spPr>
        <c:crossAx val="503775616"/>
        <c:crosses val="autoZero"/>
        <c:crossBetween val="midCat"/>
        <c:dispUnits>
          <c:custUnit val="1"/>
          <c:dispUnitsLbl>
            <c:layout>
              <c:manualLayout>
                <c:xMode val="edge"/>
                <c:yMode val="edge"/>
                <c:x val="4.2579085622517963E-2"/>
                <c:y val="0"/>
              </c:manualLayout>
            </c:layout>
            <c:tx>
              <c:rich>
                <a:bodyPr rot="0" vert="horz"/>
                <a:lstStyle/>
                <a:p>
                  <a:pPr>
                    <a:defRPr/>
                  </a:pPr>
                  <a:r>
                    <a:rPr lang="en-US"/>
                    <a:t>(</a:t>
                  </a:r>
                  <a:r>
                    <a:rPr lang="zh-CN"/>
                    <a:t>亿</a:t>
                  </a:r>
                  <a:r>
                    <a:rPr lang="en-US"/>
                    <a:t>)</a:t>
                  </a:r>
                </a:p>
              </c:rich>
            </c:tx>
          </c:dispUnitsLbl>
        </c:dispUnits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12674750208369234"/>
          <c:y val="2.0202020202020204E-2"/>
          <c:w val="0.64040877886536696"/>
          <c:h val="7.497773005647021E-2"/>
        </c:manualLayout>
      </c:layout>
      <c:overlay val="0"/>
    </c:legend>
    <c:plotVisOnly val="1"/>
    <c:dispBlanksAs val="span"/>
    <c:showDLblsOverMax val="0"/>
  </c:chart>
  <c:spPr>
    <a:ln w="6350">
      <a:solidFill>
        <a:srgbClr val="010000"/>
      </a:solidFill>
    </a:ln>
  </c:spPr>
  <c:txPr>
    <a:bodyPr/>
    <a:lstStyle/>
    <a:p>
      <a:pPr>
        <a:defRPr sz="800">
          <a:latin typeface="Arial" panose="020B0604020202020204" pitchFamily="34" charset="0"/>
          <a:ea typeface="楷体" panose="02010609060101010101" pitchFamily="49" charset="-122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7649769585253458E-2"/>
          <c:y val="0.1018519196728316"/>
          <c:w val="0.95391705069124422"/>
          <c:h val="0.8981480803271684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个券分析!$G$37:$G$47</c:f>
              <c:numCache>
                <c:formatCode>m/d/yyyy</c:formatCode>
                <c:ptCount val="11"/>
                <c:pt idx="0">
                  <c:v>44104</c:v>
                </c:pt>
                <c:pt idx="1">
                  <c:v>44012</c:v>
                </c:pt>
                <c:pt idx="2">
                  <c:v>43921</c:v>
                </c:pt>
                <c:pt idx="3">
                  <c:v>43830</c:v>
                </c:pt>
                <c:pt idx="4">
                  <c:v>43738</c:v>
                </c:pt>
                <c:pt idx="5">
                  <c:v>43646</c:v>
                </c:pt>
                <c:pt idx="6">
                  <c:v>43555</c:v>
                </c:pt>
                <c:pt idx="7">
                  <c:v>43465</c:v>
                </c:pt>
                <c:pt idx="8">
                  <c:v>43373</c:v>
                </c:pt>
                <c:pt idx="9">
                  <c:v>43281</c:v>
                </c:pt>
                <c:pt idx="10">
                  <c:v>43190</c:v>
                </c:pt>
              </c:numCache>
            </c:numRef>
          </c:cat>
          <c:val>
            <c:numRef>
              <c:f>个券分析!$H$37:$H$47</c:f>
              <c:numCache>
                <c:formatCode>###,###,##0.0000</c:formatCode>
                <c:ptCount val="11"/>
                <c:pt idx="0">
                  <c:v>3.782601294026132</c:v>
                </c:pt>
                <c:pt idx="1">
                  <c:v>3.7940726538624858</c:v>
                </c:pt>
                <c:pt idx="2">
                  <c:v>3.2915026893946582</c:v>
                </c:pt>
                <c:pt idx="3">
                  <c:v>4.4360010287829574</c:v>
                </c:pt>
                <c:pt idx="4">
                  <c:v>4.0933259371729767</c:v>
                </c:pt>
                <c:pt idx="5">
                  <c:v>3.9622606658980626</c:v>
                </c:pt>
                <c:pt idx="6">
                  <c:v>4.362562084754007</c:v>
                </c:pt>
                <c:pt idx="7">
                  <c:v>3.5748078907084686</c:v>
                </c:pt>
                <c:pt idx="8">
                  <c:v>4.7106165092825902</c:v>
                </c:pt>
                <c:pt idx="9">
                  <c:v>5.6505059702168099</c:v>
                </c:pt>
                <c:pt idx="10">
                  <c:v>6.2938548400958121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0-4852-BD69-758258F8545E}"/>
            </c:ext>
          </c:extLst>
        </c:ser>
        <c:ser>
          <c:idx val="1"/>
          <c:order val="1"/>
          <c:spPr>
            <a:ln w="12700">
              <a:solidFill>
                <a:schemeClr val="tx2">
                  <a:lumMod val="50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个券分析!$G$37:$G$47</c:f>
              <c:numCache>
                <c:formatCode>m/d/yyyy</c:formatCode>
                <c:ptCount val="11"/>
                <c:pt idx="0">
                  <c:v>44104</c:v>
                </c:pt>
                <c:pt idx="1">
                  <c:v>44012</c:v>
                </c:pt>
                <c:pt idx="2">
                  <c:v>43921</c:v>
                </c:pt>
                <c:pt idx="3">
                  <c:v>43830</c:v>
                </c:pt>
                <c:pt idx="4">
                  <c:v>43738</c:v>
                </c:pt>
                <c:pt idx="5">
                  <c:v>43646</c:v>
                </c:pt>
                <c:pt idx="6">
                  <c:v>43555</c:v>
                </c:pt>
                <c:pt idx="7">
                  <c:v>43465</c:v>
                </c:pt>
                <c:pt idx="8">
                  <c:v>43373</c:v>
                </c:pt>
                <c:pt idx="9">
                  <c:v>43281</c:v>
                </c:pt>
                <c:pt idx="10">
                  <c:v>43190</c:v>
                </c:pt>
              </c:numCache>
            </c:numRef>
          </c:cat>
          <c:val>
            <c:numRef>
              <c:f>个券分析!$I$37:$I$47</c:f>
              <c:numCache>
                <c:formatCode>###,###,##0.0000</c:formatCode>
                <c:ptCount val="11"/>
                <c:pt idx="0">
                  <c:v>1.81</c:v>
                </c:pt>
                <c:pt idx="1">
                  <c:v>1.81</c:v>
                </c:pt>
                <c:pt idx="2">
                  <c:v>1.81</c:v>
                </c:pt>
                <c:pt idx="3">
                  <c:v>1.81</c:v>
                </c:pt>
                <c:pt idx="4">
                  <c:v>1.81</c:v>
                </c:pt>
                <c:pt idx="5">
                  <c:v>1.81</c:v>
                </c:pt>
                <c:pt idx="6">
                  <c:v>1.81</c:v>
                </c:pt>
                <c:pt idx="7">
                  <c:v>1.81</c:v>
                </c:pt>
                <c:pt idx="8">
                  <c:v>1.81</c:v>
                </c:pt>
                <c:pt idx="9">
                  <c:v>1.81</c:v>
                </c:pt>
                <c:pt idx="10">
                  <c:v>1.81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9F-4EEB-8241-EB382383C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9450272"/>
        <c:axId val="809450832"/>
      </c:lineChart>
      <c:dateAx>
        <c:axId val="809450272"/>
        <c:scaling>
          <c:orientation val="minMax"/>
        </c:scaling>
        <c:delete val="0"/>
        <c:axPos val="b"/>
        <c:numFmt formatCode="yy\-mm" sourceLinked="0"/>
        <c:majorTickMark val="out"/>
        <c:minorTickMark val="none"/>
        <c:tickLblPos val="low"/>
        <c:spPr>
          <a:ln>
            <a:solidFill>
              <a:srgbClr val="01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809450832"/>
        <c:crosses val="autoZero"/>
        <c:auto val="1"/>
        <c:lblOffset val="100"/>
        <c:baseTimeUnit val="months"/>
        <c:majorUnit val="6"/>
      </c:dateAx>
      <c:valAx>
        <c:axId val="809450832"/>
        <c:scaling>
          <c:orientation val="minMax"/>
        </c:scaling>
        <c:delete val="0"/>
        <c:axPos val="l"/>
        <c:numFmt formatCode="#,##0.0_);[Red]\(#,##0.0\)" sourceLinked="0"/>
        <c:majorTickMark val="out"/>
        <c:minorTickMark val="none"/>
        <c:tickLblPos val="nextTo"/>
        <c:spPr>
          <a:ln>
            <a:solidFill>
              <a:srgbClr val="010000"/>
            </a:solidFill>
            <a:prstDash val="solid"/>
          </a:ln>
        </c:spPr>
        <c:crossAx val="809450272"/>
        <c:crosses val="autoZero"/>
        <c:crossBetween val="midCat"/>
        <c:dispUnits>
          <c:custUnit val="1"/>
          <c:dispUnitsLbl>
            <c:layout>
              <c:manualLayout>
                <c:xMode val="edge"/>
                <c:yMode val="edge"/>
                <c:x val="4.6082949308755762E-2"/>
                <c:y val="0"/>
              </c:manualLayout>
            </c:layout>
            <c:tx>
              <c:rich>
                <a:bodyPr rot="0" vert="horz"/>
                <a:lstStyle/>
                <a:p>
                  <a:pPr>
                    <a:defRPr/>
                  </a:pPr>
                  <a:r>
                    <a:rPr lang="en-US"/>
                    <a:t>(</a:t>
                  </a:r>
                  <a:r>
                    <a:rPr lang="zh-CN"/>
                    <a:t>亿</a:t>
                  </a:r>
                  <a:r>
                    <a:rPr lang="en-US"/>
                    <a:t>)</a:t>
                  </a:r>
                </a:p>
              </c:rich>
            </c:tx>
          </c:dispUnitsLbl>
        </c:dispUnits>
      </c:valAx>
      <c:spPr>
        <a:noFill/>
        <a:ln w="25400">
          <a:noFill/>
        </a:ln>
      </c:spPr>
    </c:plotArea>
    <c:plotVisOnly val="1"/>
    <c:dispBlanksAs val="span"/>
    <c:showDLblsOverMax val="0"/>
  </c:chart>
  <c:spPr>
    <a:ln w="0">
      <a:solidFill>
        <a:schemeClr val="accent1">
          <a:lumMod val="50000"/>
        </a:schemeClr>
      </a:solidFill>
    </a:ln>
  </c:spPr>
  <c:txPr>
    <a:bodyPr/>
    <a:lstStyle/>
    <a:p>
      <a:pPr>
        <a:defRPr sz="800">
          <a:latin typeface="Arial" panose="020B0604020202020204" pitchFamily="34" charset="0"/>
          <a:ea typeface="楷体" panose="02010609060101010101" pitchFamily="49" charset="-122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65797740694126"/>
          <c:y val="0.12441501630478008"/>
          <c:w val="0.80182258541462292"/>
          <c:h val="0.79850592539568921"/>
        </c:manualLayout>
      </c:layout>
      <c:lineChart>
        <c:grouping val="standard"/>
        <c:varyColors val="0"/>
        <c:ser>
          <c:idx val="0"/>
          <c:order val="0"/>
          <c:tx>
            <c:v>FCFE</c:v>
          </c:tx>
          <c:marker>
            <c:symbol val="none"/>
          </c:marker>
          <c:cat>
            <c:numRef>
              <c:f>个券分析!$K$37:$K$44</c:f>
              <c:numCache>
                <c:formatCode>m/d/yyyy</c:formatCode>
                <c:ptCount val="8"/>
                <c:pt idx="0">
                  <c:v>44104</c:v>
                </c:pt>
                <c:pt idx="1">
                  <c:v>44012</c:v>
                </c:pt>
                <c:pt idx="2">
                  <c:v>43921</c:v>
                </c:pt>
                <c:pt idx="3">
                  <c:v>43830</c:v>
                </c:pt>
                <c:pt idx="4">
                  <c:v>43738</c:v>
                </c:pt>
                <c:pt idx="5">
                  <c:v>43646</c:v>
                </c:pt>
                <c:pt idx="6">
                  <c:v>43555</c:v>
                </c:pt>
                <c:pt idx="7">
                  <c:v>43465</c:v>
                </c:pt>
              </c:numCache>
            </c:numRef>
          </c:cat>
          <c:val>
            <c:numRef>
              <c:f>个券分析!$L$37:$L$44</c:f>
              <c:numCache>
                <c:formatCode>0.00_);[Red]\(0.00\)</c:formatCode>
                <c:ptCount val="8"/>
                <c:pt idx="0">
                  <c:v>-7.8342509436829992</c:v>
                </c:pt>
                <c:pt idx="1">
                  <c:v>1.59089845988</c:v>
                </c:pt>
                <c:pt idx="2">
                  <c:v>3.0839451265509998</c:v>
                </c:pt>
                <c:pt idx="3">
                  <c:v>-12.590391354191</c:v>
                </c:pt>
                <c:pt idx="4">
                  <c:v>-18.452114504242999</c:v>
                </c:pt>
                <c:pt idx="5">
                  <c:v>-13.371873227958</c:v>
                </c:pt>
                <c:pt idx="6">
                  <c:v>-9.0448300461140008</c:v>
                </c:pt>
                <c:pt idx="7">
                  <c:v>31.492269302019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E4B-4BD8-A71A-9AE4CFA7F627}"/>
            </c:ext>
          </c:extLst>
        </c:ser>
        <c:ser>
          <c:idx val="1"/>
          <c:order val="1"/>
          <c:tx>
            <c:v>FCFE TTM</c:v>
          </c:tx>
          <c:spPr>
            <a:ln w="25400">
              <a:solidFill>
                <a:srgbClr val="041949"/>
              </a:solidFill>
              <a:prstDash val="solid"/>
            </a:ln>
          </c:spPr>
          <c:marker>
            <c:symbol val="none"/>
          </c:marker>
          <c:cat>
            <c:numRef>
              <c:f>个券分析!$K$37:$K$44</c:f>
              <c:numCache>
                <c:formatCode>m/d/yyyy</c:formatCode>
                <c:ptCount val="8"/>
                <c:pt idx="0">
                  <c:v>44104</c:v>
                </c:pt>
                <c:pt idx="1">
                  <c:v>44012</c:v>
                </c:pt>
                <c:pt idx="2">
                  <c:v>43921</c:v>
                </c:pt>
                <c:pt idx="3">
                  <c:v>43830</c:v>
                </c:pt>
                <c:pt idx="4">
                  <c:v>43738</c:v>
                </c:pt>
                <c:pt idx="5">
                  <c:v>43646</c:v>
                </c:pt>
                <c:pt idx="6">
                  <c:v>43555</c:v>
                </c:pt>
                <c:pt idx="7">
                  <c:v>43465</c:v>
                </c:pt>
              </c:numCache>
            </c:numRef>
          </c:cat>
          <c:val>
            <c:numRef>
              <c:f>个券分析!$M$37:$M$44</c:f>
              <c:numCache>
                <c:formatCode>0.00_);[Red]\(0.00\)</c:formatCode>
                <c:ptCount val="8"/>
                <c:pt idx="0">
                  <c:v>-15.749798711442999</c:v>
                </c:pt>
                <c:pt idx="1">
                  <c:v>-26.367662272002999</c:v>
                </c:pt>
                <c:pt idx="2">
                  <c:v>-41.330433959841002</c:v>
                </c:pt>
                <c:pt idx="3">
                  <c:v>-53.459209132505997</c:v>
                </c:pt>
                <c:pt idx="4">
                  <c:v>-9.3765484762959979</c:v>
                </c:pt>
                <c:pt idx="5">
                  <c:v>10.538351085054002</c:v>
                </c:pt>
                <c:pt idx="6">
                  <c:v>26.874670786486</c:v>
                </c:pt>
                <c:pt idx="7">
                  <c:v>36.032379944882003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83-42D4-9F79-27EFBCEC2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9453632"/>
        <c:axId val="809454192"/>
      </c:lineChart>
      <c:dateAx>
        <c:axId val="809453632"/>
        <c:scaling>
          <c:orientation val="minMax"/>
        </c:scaling>
        <c:delete val="0"/>
        <c:axPos val="b"/>
        <c:numFmt formatCode="yy\-mm" sourceLinked="0"/>
        <c:majorTickMark val="out"/>
        <c:minorTickMark val="none"/>
        <c:tickLblPos val="low"/>
        <c:spPr>
          <a:ln>
            <a:solidFill>
              <a:srgbClr val="01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809454192"/>
        <c:crosses val="autoZero"/>
        <c:auto val="1"/>
        <c:lblOffset val="100"/>
        <c:baseTimeUnit val="months"/>
        <c:majorUnit val="6"/>
      </c:dateAx>
      <c:valAx>
        <c:axId val="809454192"/>
        <c:scaling>
          <c:orientation val="minMax"/>
        </c:scaling>
        <c:delete val="0"/>
        <c:axPos val="l"/>
        <c:numFmt formatCode="#,##0_);\(#,##0\)" sourceLinked="0"/>
        <c:majorTickMark val="out"/>
        <c:minorTickMark val="none"/>
        <c:tickLblPos val="nextTo"/>
        <c:spPr>
          <a:ln>
            <a:solidFill>
              <a:srgbClr val="010000"/>
            </a:solidFill>
            <a:prstDash val="solid"/>
          </a:ln>
        </c:spPr>
        <c:crossAx val="809453632"/>
        <c:crosses val="autoZero"/>
        <c:crossBetween val="midCat"/>
        <c:dispUnits>
          <c:custUnit val="1"/>
          <c:dispUnitsLbl>
            <c:layout>
              <c:manualLayout>
                <c:xMode val="edge"/>
                <c:yMode val="edge"/>
                <c:x val="4.257907134710124E-2"/>
                <c:y val="0"/>
              </c:manualLayout>
            </c:layout>
            <c:tx>
              <c:rich>
                <a:bodyPr rot="0" vert="horz"/>
                <a:lstStyle/>
                <a:p>
                  <a:pPr>
                    <a:defRPr altLang="en-US" b="0">
                      <a:latin typeface="楷体"/>
                      <a:ea typeface="楷体"/>
                      <a:cs typeface="楷体"/>
                    </a:defRPr>
                  </a:pPr>
                  <a:r>
                    <a:rPr lang="en-US" altLang="zh-CN"/>
                    <a:t>(</a:t>
                  </a:r>
                  <a:r>
                    <a:rPr lang="zh-CN" altLang="en-US"/>
                    <a:t>亿</a:t>
                  </a:r>
                  <a:r>
                    <a:rPr lang="en-US" altLang="zh-CN"/>
                    <a:t>)</a:t>
                  </a:r>
                </a:p>
              </c:rich>
            </c:tx>
          </c:dispUnitsLbl>
        </c:dispUnits>
      </c:valAx>
      <c:spPr>
        <a:noFill/>
        <a:ln w="25400">
          <a:noFill/>
        </a:ln>
      </c:spPr>
    </c:plotArea>
    <c:legend>
      <c:legendPos val="t"/>
      <c:overlay val="0"/>
    </c:legend>
    <c:plotVisOnly val="1"/>
    <c:dispBlanksAs val="span"/>
    <c:showDLblsOverMax val="0"/>
  </c:chart>
  <c:spPr>
    <a:ln w="6350">
      <a:solidFill>
        <a:srgbClr val="010000"/>
      </a:solidFill>
    </a:ln>
  </c:spPr>
  <c:txPr>
    <a:bodyPr/>
    <a:lstStyle/>
    <a:p>
      <a:pPr>
        <a:defRPr sz="800">
          <a:latin typeface="Arial" panose="020B0604020202020204" pitchFamily="34" charset="0"/>
          <a:ea typeface="楷体" panose="02010609060101010101" pitchFamily="49" charset="-122"/>
          <a:cs typeface="Arial" panose="020B0604020202020204" pitchFamily="34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540765</xdr:colOff>
      <xdr:row>10</xdr:row>
      <xdr:rowOff>44066</xdr:rowOff>
    </xdr:from>
    <xdr:to>
      <xdr:col>17</xdr:col>
      <xdr:colOff>477307</xdr:colOff>
      <xdr:row>30</xdr:row>
      <xdr:rowOff>1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95864" y="1844396"/>
          <a:ext cx="4743004" cy="355659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594529</xdr:colOff>
      <xdr:row>10</xdr:row>
      <xdr:rowOff>41868</xdr:rowOff>
    </xdr:from>
    <xdr:to>
      <xdr:col>7</xdr:col>
      <xdr:colOff>113958</xdr:colOff>
      <xdr:row>29</xdr:row>
      <xdr:rowOff>168143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65093" b="41040"/>
        <a:stretch/>
      </xdr:blipFill>
      <xdr:spPr>
        <a:xfrm>
          <a:off x="757814" y="1842198"/>
          <a:ext cx="3551331" cy="354690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65943</xdr:colOff>
      <xdr:row>19</xdr:row>
      <xdr:rowOff>43962</xdr:rowOff>
    </xdr:from>
    <xdr:to>
      <xdr:col>4</xdr:col>
      <xdr:colOff>681403</xdr:colOff>
      <xdr:row>20</xdr:row>
      <xdr:rowOff>29307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329962" y="3245827"/>
          <a:ext cx="615460" cy="153865"/>
        </a:xfrm>
        <a:prstGeom prst="rect">
          <a:avLst/>
        </a:prstGeom>
        <a:noFill/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682828</xdr:colOff>
      <xdr:row>24</xdr:row>
      <xdr:rowOff>82039</xdr:rowOff>
    </xdr:from>
    <xdr:to>
      <xdr:col>5</xdr:col>
      <xdr:colOff>101203</xdr:colOff>
      <xdr:row>25</xdr:row>
      <xdr:rowOff>67384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54453" y="4225414"/>
          <a:ext cx="787594" cy="157986"/>
        </a:xfrm>
        <a:prstGeom prst="rect">
          <a:avLst/>
        </a:prstGeom>
        <a:noFill/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29764</xdr:colOff>
      <xdr:row>24</xdr:row>
      <xdr:rowOff>29764</xdr:rowOff>
    </xdr:from>
    <xdr:to>
      <xdr:col>5</xdr:col>
      <xdr:colOff>351233</xdr:colOff>
      <xdr:row>25</xdr:row>
      <xdr:rowOff>107154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970608" y="4173139"/>
          <a:ext cx="321469" cy="2500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rgbClr val="C00000"/>
              </a:solidFill>
            </a:rPr>
            <a:t>①</a:t>
          </a:r>
          <a:endParaRPr lang="zh-CN" altLang="en-US" sz="1100" b="1">
            <a:solidFill>
              <a:srgbClr val="C00000"/>
            </a:solidFill>
          </a:endParaRPr>
        </a:p>
      </xdr:txBody>
    </xdr:sp>
    <xdr:clientData/>
  </xdr:twoCellAnchor>
  <xdr:twoCellAnchor>
    <xdr:from>
      <xdr:col>4</xdr:col>
      <xdr:colOff>598883</xdr:colOff>
      <xdr:row>18</xdr:row>
      <xdr:rowOff>158352</xdr:rowOff>
    </xdr:from>
    <xdr:to>
      <xdr:col>5</xdr:col>
      <xdr:colOff>235742</xdr:colOff>
      <xdr:row>20</xdr:row>
      <xdr:rowOff>63101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5117" y="3265883"/>
          <a:ext cx="321469" cy="2500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solidFill>
                <a:srgbClr val="C00000"/>
              </a:solidFill>
            </a:rPr>
            <a:t>②</a:t>
          </a:r>
          <a:endParaRPr lang="zh-CN" altLang="en-US" sz="1100" b="1">
            <a:solidFill>
              <a:srgbClr val="C00000"/>
            </a:solidFill>
          </a:endParaRPr>
        </a:p>
      </xdr:txBody>
    </xdr:sp>
    <xdr:clientData/>
  </xdr:twoCellAnchor>
  <xdr:twoCellAnchor>
    <xdr:from>
      <xdr:col>8</xdr:col>
      <xdr:colOff>140804</xdr:colOff>
      <xdr:row>17</xdr:row>
      <xdr:rowOff>115957</xdr:rowOff>
    </xdr:from>
    <xdr:to>
      <xdr:col>9</xdr:col>
      <xdr:colOff>579782</xdr:colOff>
      <xdr:row>20</xdr:row>
      <xdr:rowOff>152106</xdr:rowOff>
    </xdr:to>
    <xdr:sp macro="" textlink="">
      <xdr:nvSpPr>
        <xdr:cNvPr id="8" name="右箭头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151782" y="3072848"/>
          <a:ext cx="1126435" cy="557954"/>
        </a:xfrm>
        <a:prstGeom prst="rightArrow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reflection blurRad="6350" stA="50000" endA="300" endPos="55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16</xdr:col>
      <xdr:colOff>634420</xdr:colOff>
      <xdr:row>18</xdr:row>
      <xdr:rowOff>167042</xdr:rowOff>
    </xdr:from>
    <xdr:to>
      <xdr:col>18</xdr:col>
      <xdr:colOff>460485</xdr:colOff>
      <xdr:row>27</xdr:row>
      <xdr:rowOff>150478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1110319" y="3394336"/>
          <a:ext cx="1196385" cy="1597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8000" b="1" i="0">
              <a:solidFill>
                <a:srgbClr val="FF0000"/>
              </a:solidFill>
              <a:effectLst/>
              <a:latin typeface="Verdana" panose="020B0604030504040204" pitchFamily="34" charset="0"/>
              <a:ea typeface="DotumChe" panose="020B0609000101010101" pitchFamily="49" charset="-127"/>
              <a:cs typeface="Verdana" panose="020B0604030504040204" pitchFamily="34" charset="0"/>
            </a:rPr>
            <a:t>√</a:t>
          </a:r>
          <a:endParaRPr lang="zh-CN" altLang="en-US" sz="8000" b="1">
            <a:solidFill>
              <a:srgbClr val="FF0000"/>
            </a:solidFill>
            <a:latin typeface="Verdana" panose="020B0604030504040204" pitchFamily="34" charset="0"/>
            <a:ea typeface="DotumChe" panose="020B0609000101010101" pitchFamily="49" charset="-127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544286</xdr:colOff>
          <xdr:row>32</xdr:row>
          <xdr:rowOff>27214</xdr:rowOff>
        </xdr:from>
        <xdr:to>
          <xdr:col>5</xdr:col>
          <xdr:colOff>571500</xdr:colOff>
          <xdr:row>33</xdr:row>
          <xdr:rowOff>163286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00"/>
                  </a:solidFill>
                  <a:latin typeface="KaiTi"/>
                  <a:ea typeface="KaiTi"/>
                </a:rPr>
                <a:t>初始化所有表格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000000"/>
                  </a:solidFill>
                  <a:latin typeface="KaiTi"/>
                  <a:ea typeface="KaiTi"/>
                </a:rPr>
                <a:t>刷新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000000"/>
                  </a:solidFill>
                  <a:latin typeface="KaiTi"/>
                  <a:ea typeface="KaiTi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000000"/>
                  </a:solidFill>
                  <a:latin typeface="KaiTi"/>
                  <a:ea typeface="KaiTi"/>
                </a:rPr>
                <a:t>刷新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000000"/>
                  </a:solidFill>
                  <a:latin typeface="KaiTi"/>
                  <a:ea typeface="KaiTi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1</xdr:col>
          <xdr:colOff>658586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KaiTi"/>
                  <a:ea typeface="KaiTi"/>
                </a:rPr>
                <a:t>个券分析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36</xdr:row>
      <xdr:rowOff>0</xdr:rowOff>
    </xdr:from>
    <xdr:to>
      <xdr:col>2</xdr:col>
      <xdr:colOff>1</xdr:colOff>
      <xdr:row>47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24</xdr:row>
      <xdr:rowOff>0</xdr:rowOff>
    </xdr:from>
    <xdr:to>
      <xdr:col>2</xdr:col>
      <xdr:colOff>0</xdr:colOff>
      <xdr:row>35</xdr:row>
      <xdr:rowOff>16570</xdr:rowOff>
    </xdr:to>
    <xdr:graphicFrame macro="">
      <xdr:nvGraphicFramePr>
        <xdr:cNvPr id="5" name="图表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0</xdr:colOff>
      <xdr:row>24</xdr:row>
      <xdr:rowOff>0</xdr:rowOff>
    </xdr:from>
    <xdr:to>
      <xdr:col>5</xdr:col>
      <xdr:colOff>2719</xdr:colOff>
      <xdr:row>35</xdr:row>
      <xdr:rowOff>1313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</xdr:colOff>
      <xdr:row>36</xdr:row>
      <xdr:rowOff>1</xdr:rowOff>
    </xdr:from>
    <xdr:to>
      <xdr:col>5</xdr:col>
      <xdr:colOff>0</xdr:colOff>
      <xdr:row>47</xdr:row>
      <xdr:rowOff>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1</xdr:col>
          <xdr:colOff>658586</xdr:colOff>
          <xdr:row>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KaiTi"/>
                  <a:ea typeface="KaiTi"/>
                </a:rPr>
                <a:t>刷新数据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23</xdr:row>
      <xdr:rowOff>227287</xdr:rowOff>
    </xdr:from>
    <xdr:to>
      <xdr:col>10</xdr:col>
      <xdr:colOff>0</xdr:colOff>
      <xdr:row>35</xdr:row>
      <xdr:rowOff>0</xdr:rowOff>
    </xdr:to>
    <xdr:graphicFrame macro="">
      <xdr:nvGraphicFramePr>
        <xdr:cNvPr id="8" name="图表 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664028</xdr:colOff>
      <xdr:row>24</xdr:row>
      <xdr:rowOff>0</xdr:rowOff>
    </xdr:from>
    <xdr:to>
      <xdr:col>13</xdr:col>
      <xdr:colOff>17232</xdr:colOff>
      <xdr:row>35</xdr:row>
      <xdr:rowOff>0</xdr:rowOff>
    </xdr:to>
    <xdr:graphicFrame macro="">
      <xdr:nvGraphicFramePr>
        <xdr:cNvPr id="10" name="图表 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0</xdr:colOff>
      <xdr:row>36</xdr:row>
      <xdr:rowOff>0</xdr:rowOff>
    </xdr:from>
    <xdr:to>
      <xdr:col>10</xdr:col>
      <xdr:colOff>0</xdr:colOff>
      <xdr:row>47</xdr:row>
      <xdr:rowOff>0</xdr:rowOff>
    </xdr:to>
    <xdr:graphicFrame macro="">
      <xdr:nvGraphicFramePr>
        <xdr:cNvPr id="11" name="图表 1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9</xdr:col>
      <xdr:colOff>664028</xdr:colOff>
      <xdr:row>36</xdr:row>
      <xdr:rowOff>0</xdr:rowOff>
    </xdr:from>
    <xdr:to>
      <xdr:col>13</xdr:col>
      <xdr:colOff>17232</xdr:colOff>
      <xdr:row>47</xdr:row>
      <xdr:rowOff>0</xdr:rowOff>
    </xdr:to>
    <xdr:graphicFrame macro="">
      <xdr:nvGraphicFramePr>
        <xdr:cNvPr id="13" name="图表 1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b_anal_ptmyear"/>
      <definedName name="b_rate_latestcredit"/>
      <definedName name="cb_anal_convprice"/>
      <definedName name="cb_anal_ldiluterate"/>
      <definedName name="cb_anal_straightbondvalue"/>
      <definedName name="cb_anal_ytm"/>
      <definedName name="cb_clause_conversion_2_relativeswapsharemonth"/>
      <definedName name="cb_clause_conversion_2_swapsharestartdate"/>
      <definedName name="cb_clause_interest"/>
      <definedName name="cb_clause_putoption_conditionalputbackstartenddate"/>
      <definedName name="cb_info_carrydate"/>
      <definedName name="cb_info_conditionalputprice"/>
      <definedName name="cb_info_interest"/>
      <definedName name="cb_info_issueamount"/>
      <definedName name="cb_info_listeddate"/>
      <definedName name="cb_info_maturitycallprice"/>
      <definedName name="cb_info_outstandingbalance"/>
      <definedName name="cb_info_underlyingcode"/>
      <definedName name="cb_info_underlyingname"/>
      <definedName name="fa_longcapitaltoinvestment"/>
      <definedName name="fa_longdebttolongcaptial"/>
      <definedName name="fa_rop"/>
      <definedName name="fa_score"/>
      <definedName name="i_val_pb_percentile"/>
      <definedName name="i_val_pe_percentile"/>
      <definedName name="pb_mrq"/>
      <definedName name="s_fa_assetstoequity"/>
      <definedName name="s_fa_cagr_netprofit"/>
      <definedName name="s_fa_cagr_tr"/>
      <definedName name="s_fa_debttoassets"/>
      <definedName name="s_fa_deducteddebttoassets"/>
      <definedName name="s_fa_dupont_assetstoequity"/>
      <definedName name="s_fa_dupont_faturnover"/>
      <definedName name="s_fa_dupont_nptosales"/>
      <definedName name="s_fa_dupont_roe"/>
      <definedName name="s_fa_fcfe"/>
      <definedName name="s_fa_gr_ttm2"/>
      <definedName name="s_fa_grossmargin_ttm2"/>
      <definedName name="s_fa_grossprofitmargin"/>
      <definedName name="s_fa_grossprofitmargin_ttm2"/>
      <definedName name="s_fa_interestdebttototalcapital"/>
      <definedName name="s_fa_netprofit_ttm2"/>
      <definedName name="s_fa_netprofitmargin"/>
      <definedName name="s_fa_netprofittoor_ttm"/>
      <definedName name="s_fa_operateincometoebt_ttm2"/>
      <definedName name="s_fa_roa2_ttm2"/>
      <definedName name="s_fa_roe"/>
      <definedName name="s_fa_roic"/>
      <definedName name="s_fa_roic_ttm"/>
      <definedName name="s_holder_pctbyinst"/>
      <definedName name="s_info_industry_sw"/>
      <definedName name="s_info_majorproducttype"/>
      <definedName name="s_margin_tradingbalance"/>
      <definedName name="s_risk_avgreturnr100"/>
      <definedName name="s_risk_betar100"/>
      <definedName name="s_risk_stdevr100"/>
      <definedName name="s_share_liqa"/>
      <definedName name="s_share_liqa_pct"/>
      <definedName name="s_share_total"/>
      <definedName name="s_techanal_rcnthigh"/>
      <definedName name="s_techanal_rcntlow"/>
      <definedName name="s_techanal_stagehigh"/>
      <definedName name="s_techanal_stagelow"/>
      <definedName name="s_techanal_svravgline"/>
      <definedName name="s_val_dividendyield2"/>
      <definedName name="s_val_estpe_fy1"/>
      <definedName name="s_val_estpe_fy2"/>
      <definedName name="s_val_estpeg_ftm"/>
      <definedName name="s_val_ev"/>
      <definedName name="s_val_pe_deducted_ttm"/>
      <definedName name="s_val_pe_ttm"/>
      <definedName name="s_val_targetnp"/>
      <definedName name="s_west_netprofit_yoy"/>
      <definedName name="s_west_nproc_4w"/>
      <definedName name="s_wrating_instnum"/>
      <definedName name="td"/>
      <definedName name="TDays"/>
      <definedName name="TDaysOffset"/>
      <definedName name="to_windcode_index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2:S47"/>
  <sheetViews>
    <sheetView showGridLines="0" zoomScaleNormal="100" workbookViewId="0">
      <selection activeCell="D38" sqref="D38"/>
    </sheetView>
  </sheetViews>
  <sheetFormatPr defaultColWidth="9" defaultRowHeight="14.15" x14ac:dyDescent="0.35"/>
  <cols>
    <col min="1" max="1" width="2.140625" style="209" customWidth="1"/>
    <col min="2" max="2" width="7.85546875" style="209" customWidth="1"/>
    <col min="3" max="17" width="9" style="209"/>
    <col min="18" max="18" width="25" style="209" customWidth="1"/>
    <col min="19" max="19" width="9" style="209"/>
    <col min="20" max="20" width="2.140625" style="209" customWidth="1"/>
    <col min="21" max="16384" width="9" style="209"/>
  </cols>
  <sheetData>
    <row r="2" spans="2:19" x14ac:dyDescent="0.35">
      <c r="B2"/>
      <c r="C2" s="413" t="s">
        <v>1671</v>
      </c>
      <c r="D2" s="414"/>
      <c r="E2" s="414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/>
    </row>
    <row r="3" spans="2:19" x14ac:dyDescent="0.35">
      <c r="B3"/>
      <c r="C3" s="414"/>
      <c r="D3" s="414"/>
      <c r="E3" s="414"/>
      <c r="F3" s="414"/>
      <c r="G3" s="414"/>
      <c r="H3" s="414"/>
      <c r="I3" s="414"/>
      <c r="J3" s="414"/>
      <c r="K3" s="414"/>
      <c r="L3" s="414"/>
      <c r="M3" s="414"/>
      <c r="N3" s="414"/>
      <c r="O3" s="414"/>
      <c r="P3" s="414"/>
      <c r="Q3" s="414"/>
      <c r="R3" s="414"/>
      <c r="S3"/>
    </row>
    <row r="4" spans="2:19" x14ac:dyDescent="0.35">
      <c r="B4"/>
      <c r="C4" s="415"/>
      <c r="D4" s="415"/>
      <c r="E4" s="415"/>
      <c r="F4" s="415"/>
      <c r="G4" s="415"/>
      <c r="H4" s="415"/>
      <c r="I4" s="415"/>
      <c r="J4" s="415"/>
      <c r="K4" s="415"/>
      <c r="L4" s="415"/>
      <c r="M4" s="415"/>
      <c r="N4" s="415"/>
      <c r="O4" s="415"/>
      <c r="P4" s="415"/>
      <c r="Q4" s="415"/>
      <c r="R4" s="415"/>
      <c r="S4"/>
    </row>
    <row r="5" spans="2:19" x14ac:dyDescent="0.35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</row>
    <row r="6" spans="2:19" x14ac:dyDescent="0.35">
      <c r="B6"/>
      <c r="C6" s="416" t="s">
        <v>1212</v>
      </c>
      <c r="D6" s="416"/>
      <c r="E6" s="416"/>
      <c r="F6" s="416"/>
      <c r="G6" s="416"/>
      <c r="H6" s="416"/>
      <c r="I6" s="416"/>
      <c r="J6" s="416"/>
      <c r="K6" s="416"/>
      <c r="L6" s="416"/>
      <c r="M6" s="416"/>
      <c r="N6" s="416"/>
      <c r="O6" s="416"/>
      <c r="P6" s="416"/>
      <c r="Q6" s="416"/>
      <c r="R6" s="416"/>
      <c r="S6"/>
    </row>
    <row r="7" spans="2:19" x14ac:dyDescent="0.35">
      <c r="B7"/>
      <c r="C7" s="416"/>
      <c r="D7" s="416"/>
      <c r="E7" s="416"/>
      <c r="F7" s="416"/>
      <c r="G7" s="416"/>
      <c r="H7" s="416"/>
      <c r="I7" s="416"/>
      <c r="J7" s="416"/>
      <c r="K7" s="416"/>
      <c r="L7" s="416"/>
      <c r="M7" s="416"/>
      <c r="N7" s="416"/>
      <c r="O7" s="416"/>
      <c r="P7" s="416"/>
      <c r="Q7" s="416"/>
      <c r="R7" s="416"/>
      <c r="S7"/>
    </row>
    <row r="8" spans="2:19" x14ac:dyDescent="0.3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spans="2:19" x14ac:dyDescent="0.35">
      <c r="B9"/>
      <c r="C9" s="212" t="s">
        <v>1220</v>
      </c>
      <c r="D9" s="212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/>
    </row>
    <row r="10" spans="2:19" x14ac:dyDescent="0.35">
      <c r="B10"/>
      <c r="C10" s="399" t="s">
        <v>1672</v>
      </c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/>
    </row>
    <row r="11" spans="2:19" x14ac:dyDescent="0.3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spans="2:19" x14ac:dyDescent="0.35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</row>
    <row r="13" spans="2:19" x14ac:dyDescent="0.35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spans="2:19" x14ac:dyDescent="0.3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</row>
    <row r="15" spans="2:19" x14ac:dyDescent="0.3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spans="2:19" x14ac:dyDescent="0.3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spans="2:19" x14ac:dyDescent="0.3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spans="2:19" x14ac:dyDescent="0.3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2:19" x14ac:dyDescent="0.3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2:19" x14ac:dyDescent="0.3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2:19" x14ac:dyDescent="0.3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2:19" x14ac:dyDescent="0.3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2:19" x14ac:dyDescent="0.3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2:19" x14ac:dyDescent="0.3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2:19" x14ac:dyDescent="0.3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2:19" x14ac:dyDescent="0.3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2:19" x14ac:dyDescent="0.3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2:19" x14ac:dyDescent="0.3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2:19" x14ac:dyDescent="0.3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2:19" x14ac:dyDescent="0.3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2:19" x14ac:dyDescent="0.35">
      <c r="B31"/>
      <c r="C31" s="210"/>
      <c r="D31" s="210"/>
      <c r="E31" s="210"/>
      <c r="F31" s="210"/>
      <c r="G31" s="210"/>
      <c r="H31" s="210"/>
      <c r="I31" s="210"/>
      <c r="J31" s="210"/>
      <c r="K31" s="210"/>
      <c r="L31" s="210"/>
      <c r="M31" s="210"/>
      <c r="N31" s="210"/>
      <c r="O31" s="210"/>
      <c r="P31" s="210"/>
      <c r="Q31" s="210"/>
      <c r="R31" s="210"/>
      <c r="S31"/>
    </row>
    <row r="32" spans="2:19" x14ac:dyDescent="0.3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2:19" x14ac:dyDescent="0.35">
      <c r="B33"/>
      <c r="C33" s="416" t="s">
        <v>1213</v>
      </c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  <c r="Q33" s="416"/>
      <c r="R33" s="416"/>
      <c r="S33"/>
    </row>
    <row r="34" spans="2:19" x14ac:dyDescent="0.35">
      <c r="B34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  <c r="Q34" s="416"/>
      <c r="R34" s="416"/>
      <c r="S34"/>
    </row>
    <row r="35" spans="2:19" x14ac:dyDescent="0.3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2:19" x14ac:dyDescent="0.35">
      <c r="B36"/>
      <c r="C36" s="214" t="s">
        <v>1221</v>
      </c>
      <c r="D36" s="215" t="s">
        <v>1222</v>
      </c>
      <c r="E36" s="216"/>
      <c r="F36" s="216"/>
      <c r="G36" s="216"/>
      <c r="H36" s="216"/>
      <c r="I36" s="216"/>
      <c r="J36" s="216"/>
      <c r="K36" s="234"/>
      <c r="L36" s="216"/>
      <c r="M36" s="216"/>
      <c r="N36" s="216"/>
      <c r="O36" s="216"/>
      <c r="P36" s="216"/>
      <c r="Q36" s="216"/>
      <c r="R36" s="216"/>
      <c r="S36" s="212"/>
    </row>
    <row r="37" spans="2:19" x14ac:dyDescent="0.35">
      <c r="B37"/>
      <c r="C37" s="217"/>
      <c r="D37" s="212"/>
      <c r="E37" s="212"/>
      <c r="F37" s="212"/>
      <c r="G37" s="212"/>
      <c r="H37" s="212"/>
      <c r="I37" s="212"/>
      <c r="J37" s="212"/>
      <c r="K37" s="212"/>
      <c r="L37" s="212"/>
      <c r="M37" s="212"/>
      <c r="N37" s="212"/>
      <c r="O37" s="212"/>
      <c r="P37" s="212"/>
      <c r="Q37" s="212"/>
      <c r="R37" s="212"/>
      <c r="S37" s="212"/>
    </row>
    <row r="38" spans="2:19" x14ac:dyDescent="0.35">
      <c r="B38"/>
      <c r="C38" s="214" t="s">
        <v>1223</v>
      </c>
      <c r="D38" s="215" t="s">
        <v>1224</v>
      </c>
      <c r="E38" s="216"/>
      <c r="F38" s="216"/>
      <c r="G38" s="216"/>
      <c r="H38" s="216"/>
      <c r="I38" s="216"/>
      <c r="J38" s="216"/>
      <c r="K38" s="216"/>
      <c r="L38" s="216"/>
      <c r="M38" s="216"/>
      <c r="N38" s="216"/>
      <c r="O38" s="216"/>
      <c r="P38" s="216"/>
      <c r="Q38" s="216"/>
      <c r="R38" s="216"/>
      <c r="S38" s="212"/>
    </row>
    <row r="39" spans="2:19" x14ac:dyDescent="0.35">
      <c r="B39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/>
    </row>
    <row r="40" spans="2:19" x14ac:dyDescent="0.3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2:19" x14ac:dyDescent="0.35">
      <c r="B41"/>
      <c r="C41" s="416" t="s">
        <v>1214</v>
      </c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  <c r="Q41" s="416"/>
      <c r="R41" s="416"/>
      <c r="S41"/>
    </row>
    <row r="42" spans="2:19" x14ac:dyDescent="0.35">
      <c r="B42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  <c r="Q42" s="416"/>
      <c r="R42" s="416"/>
      <c r="S42"/>
    </row>
    <row r="43" spans="2:19" x14ac:dyDescent="0.35">
      <c r="B43"/>
      <c r="S43"/>
    </row>
    <row r="44" spans="2:19" x14ac:dyDescent="0.35">
      <c r="B44"/>
      <c r="C44" s="212" t="s">
        <v>1218</v>
      </c>
      <c r="D44" s="212"/>
      <c r="E44" s="212"/>
      <c r="F44" s="212"/>
      <c r="G44" s="212"/>
      <c r="H44" s="212"/>
      <c r="I44" s="212"/>
      <c r="J44" s="212"/>
      <c r="K44" s="212"/>
      <c r="L44" s="212"/>
      <c r="M44" s="212"/>
      <c r="N44" s="213"/>
      <c r="O44" s="213"/>
      <c r="P44" s="213"/>
      <c r="Q44" s="213"/>
      <c r="R44" s="213"/>
      <c r="S44"/>
    </row>
    <row r="45" spans="2:19" x14ac:dyDescent="0.35">
      <c r="B45"/>
      <c r="C45" s="212" t="s">
        <v>1215</v>
      </c>
      <c r="D45" s="212"/>
      <c r="E45" s="212"/>
      <c r="F45" s="212"/>
      <c r="G45" s="212"/>
      <c r="H45" s="212"/>
      <c r="I45" s="212"/>
      <c r="J45" s="212"/>
      <c r="K45" s="212"/>
      <c r="L45" s="212"/>
      <c r="M45" s="212"/>
      <c r="N45" s="212"/>
      <c r="O45" s="212"/>
      <c r="P45" s="212"/>
      <c r="Q45" s="212"/>
      <c r="R45" s="212"/>
      <c r="S45"/>
    </row>
    <row r="46" spans="2:19" x14ac:dyDescent="0.35">
      <c r="B46"/>
      <c r="C46" s="213" t="s">
        <v>1219</v>
      </c>
      <c r="D46" s="213"/>
      <c r="E46" s="213"/>
      <c r="F46" s="213"/>
      <c r="G46" s="213"/>
      <c r="H46" s="213"/>
      <c r="I46" s="213"/>
      <c r="J46" s="213"/>
      <c r="K46" s="213"/>
      <c r="L46" s="213"/>
      <c r="M46" s="213"/>
      <c r="N46" s="212"/>
      <c r="O46" s="212"/>
      <c r="P46" s="212"/>
      <c r="Q46" s="212"/>
      <c r="R46" s="212"/>
      <c r="S46"/>
    </row>
    <row r="47" spans="2:19" x14ac:dyDescent="0.3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</sheetData>
  <mergeCells count="4">
    <mergeCell ref="C2:R4"/>
    <mergeCell ref="C6:R7"/>
    <mergeCell ref="C33:R34"/>
    <mergeCell ref="C41:R42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ialALL">
                <anchor moveWithCells="1" sizeWithCells="1">
                  <from>
                    <xdr:col>3</xdr:col>
                    <xdr:colOff>544286</xdr:colOff>
                    <xdr:row>32</xdr:row>
                    <xdr:rowOff>27214</xdr:rowOff>
                  </from>
                  <to>
                    <xdr:col>5</xdr:col>
                    <xdr:colOff>571500</xdr:colOff>
                    <xdr:row>33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J672"/>
  <sheetViews>
    <sheetView showGridLines="0" tabSelected="1" zoomScale="115" zoomScaleNormal="115" workbookViewId="0">
      <pane xSplit="7" ySplit="6" topLeftCell="K64" activePane="bottomRight" state="frozen"/>
      <selection pane="topRight" activeCell="H1" sqref="H1"/>
      <selection pane="bottomLeft" activeCell="A7" sqref="A7"/>
      <selection pane="bottomRight" activeCell="U64" sqref="T64:U85"/>
    </sheetView>
  </sheetViews>
  <sheetFormatPr defaultColWidth="9.140625" defaultRowHeight="10.3" x14ac:dyDescent="0.25"/>
  <cols>
    <col min="1" max="1" width="6.85546875" style="115" customWidth="1"/>
    <col min="2" max="2" width="9.35546875" style="115" customWidth="1"/>
    <col min="3" max="3" width="10" style="115" customWidth="1"/>
    <col min="4" max="4" width="9.7109375" style="115" bestFit="1" customWidth="1"/>
    <col min="5" max="5" width="7.92578125" style="115" bestFit="1" customWidth="1"/>
    <col min="6" max="6" width="7" style="115" bestFit="1" customWidth="1"/>
    <col min="7" max="7" width="5.640625" style="115" bestFit="1" customWidth="1"/>
    <col min="8" max="9" width="7" style="115" bestFit="1" customWidth="1"/>
    <col min="10" max="10" width="7.5703125" style="115" bestFit="1" customWidth="1"/>
    <col min="11" max="11" width="7" style="115" bestFit="1" customWidth="1"/>
    <col min="12" max="12" width="6.42578125" style="115" bestFit="1" customWidth="1"/>
    <col min="13" max="13" width="7.5703125" style="115" bestFit="1" customWidth="1"/>
    <col min="14" max="14" width="9.2109375" style="115" bestFit="1" customWidth="1"/>
    <col min="15" max="15" width="7" style="115" bestFit="1" customWidth="1"/>
    <col min="16" max="16" width="6.42578125" style="115" bestFit="1" customWidth="1"/>
    <col min="17" max="17" width="9.2109375" style="115" bestFit="1" customWidth="1"/>
    <col min="18" max="18" width="7.5703125" style="115" bestFit="1" customWidth="1"/>
    <col min="19" max="19" width="7.5703125" style="166" bestFit="1" customWidth="1"/>
    <col min="20" max="21" width="7.5703125" style="160" bestFit="1" customWidth="1"/>
    <col min="22" max="22" width="7.5703125" style="229" bestFit="1" customWidth="1"/>
    <col min="23" max="23" width="7.5703125" style="160" bestFit="1" customWidth="1"/>
    <col min="24" max="24" width="7.5703125" style="259" bestFit="1" customWidth="1"/>
    <col min="25" max="25" width="9.85546875" style="259" customWidth="1"/>
    <col min="26" max="26" width="8.140625" style="229" bestFit="1" customWidth="1"/>
    <col min="27" max="27" width="9.2109375" style="229" bestFit="1" customWidth="1"/>
    <col min="28" max="28" width="5.92578125" style="264" bestFit="1" customWidth="1"/>
    <col min="29" max="29" width="7.5703125" style="229" bestFit="1" customWidth="1"/>
    <col min="30" max="30" width="37.2109375" style="160" customWidth="1"/>
    <col min="31" max="36" width="9.140625" style="160"/>
    <col min="37" max="16384" width="9.140625" style="161"/>
  </cols>
  <sheetData>
    <row r="1" spans="1:166" s="4" customFormat="1" ht="14.15" x14ac:dyDescent="0.35">
      <c r="A1" s="205"/>
      <c r="B1" s="292" t="s">
        <v>661</v>
      </c>
      <c r="C1" s="293" t="s">
        <v>662</v>
      </c>
      <c r="D1" s="291"/>
      <c r="E1" s="417" t="s">
        <v>1673</v>
      </c>
      <c r="F1" s="417"/>
      <c r="G1" s="417"/>
      <c r="H1" s="417"/>
      <c r="I1" s="417"/>
      <c r="J1" s="418"/>
      <c r="K1" s="419" t="s">
        <v>1674</v>
      </c>
      <c r="L1" s="420"/>
      <c r="M1" s="420"/>
      <c r="N1" s="420"/>
      <c r="O1" s="420"/>
      <c r="P1" s="421"/>
      <c r="Q1" s="422" t="s">
        <v>1675</v>
      </c>
      <c r="R1" s="423"/>
      <c r="S1" s="423"/>
      <c r="T1" s="423"/>
      <c r="U1" s="424"/>
      <c r="V1" s="425" t="s">
        <v>1676</v>
      </c>
      <c r="W1" s="426"/>
      <c r="X1" s="426"/>
      <c r="Y1" s="426"/>
      <c r="Z1" s="427"/>
      <c r="AA1" s="239"/>
      <c r="AB1" s="261"/>
      <c r="AC1" s="239"/>
      <c r="AD1" s="3"/>
      <c r="AE1" s="3"/>
      <c r="AF1" s="3"/>
      <c r="AG1" s="3"/>
      <c r="AH1" s="3"/>
      <c r="AI1" s="3"/>
      <c r="AJ1" s="3"/>
      <c r="AK1" s="3"/>
      <c r="AL1" s="3"/>
    </row>
    <row r="2" spans="1:166" s="4" customFormat="1" ht="14.15" customHeight="1" x14ac:dyDescent="0.35">
      <c r="A2" s="207"/>
      <c r="B2" s="294" t="str">
        <f ca="1">[1]!td(TODAY())</f>
        <v>2021-09-08</v>
      </c>
      <c r="C2" s="401">
        <f ca="1">[1]!TDaysOffset($B$2,"Offset=-1")</f>
        <v>44446</v>
      </c>
      <c r="D2" s="288"/>
      <c r="E2" s="283" t="s">
        <v>895</v>
      </c>
      <c r="F2" s="282" t="s">
        <v>896</v>
      </c>
      <c r="G2" s="282" t="s">
        <v>897</v>
      </c>
      <c r="H2" s="400" t="s">
        <v>833</v>
      </c>
      <c r="I2" s="282" t="s">
        <v>898</v>
      </c>
      <c r="J2" s="282" t="s">
        <v>899</v>
      </c>
      <c r="K2" s="402" t="s">
        <v>828</v>
      </c>
      <c r="L2" s="402" t="s">
        <v>829</v>
      </c>
      <c r="M2" s="403" t="s">
        <v>1677</v>
      </c>
      <c r="N2" s="403" t="s">
        <v>670</v>
      </c>
      <c r="O2" s="428" t="s">
        <v>1678</v>
      </c>
      <c r="P2" s="429"/>
      <c r="Q2" s="404" t="str" cm="1">
        <f t="array" aca="1" ref="Q2" ca="1">INDIRECT("C"&amp;MATCH(Q3,$H$7:$H$1000,0)+6,TRUE)</f>
        <v>嘉美转债</v>
      </c>
      <c r="R2" s="404" t="str" cm="1">
        <f t="array" aca="1" ref="R2" ca="1">INDIRECT("C"&amp;MATCH(R3,$H$7:$H$1000,0)+6,TRUE)</f>
        <v>久吾转债</v>
      </c>
      <c r="S2" s="404" t="str" cm="1">
        <f t="array" aca="1" ref="S2" ca="1">INDIRECT("C"&amp;MATCH(S3,$H$7:$H$1000,0)+6,TRUE)</f>
        <v>宝通转债</v>
      </c>
      <c r="T2" s="404" t="str" cm="1">
        <f t="array" aca="1" ref="T2" ca="1">INDIRECT("C"&amp;MATCH(T3,$H$7:$H$1000,0)+6,TRUE)</f>
        <v>搜特转债</v>
      </c>
      <c r="U2" s="404" t="str" cm="1">
        <f t="array" aca="1" ref="U2" ca="1">INDIRECT("C"&amp;MATCH(U3,$H$7:$H$1000,0)+6,TRUE)</f>
        <v>金诺转债</v>
      </c>
      <c r="V2" s="405" t="str">
        <f t="array" aca="1" ref="V2" ca="1">INDIRECT("C"&amp;MATCH(V3,$K$7:$K$1000,0)+6,TRUE)</f>
        <v>金诺转债</v>
      </c>
      <c r="W2" s="405" t="str">
        <f t="array" aca="1" ref="W2" ca="1">INDIRECT("C"&amp;MATCH(W3,$K$7:$K$1000,0)+6,TRUE)</f>
        <v>久吾转债</v>
      </c>
      <c r="X2" s="405" t="str">
        <f t="array" aca="1" ref="X2" ca="1">INDIRECT("C"&amp;MATCH(X3,$K$7:$K$1000,0)+6,TRUE)</f>
        <v>宝通转债</v>
      </c>
      <c r="Y2" s="405" t="str">
        <f t="array" aca="1" ref="Y2" ca="1">INDIRECT("C"&amp;MATCH(Y3,$K$7:$K$1000,0)+6,TRUE)</f>
        <v>嘉泽转债</v>
      </c>
      <c r="Z2" s="405" t="str">
        <f t="array" aca="1" ref="Z2" ca="1">INDIRECT("C"&amp;MATCH(Z3,$K$7:$K$1000,0)+6,TRUE)</f>
        <v>蓝晓转债</v>
      </c>
      <c r="AA2" s="261"/>
      <c r="AB2" s="239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</row>
    <row r="3" spans="1:166" s="4" customFormat="1" ht="14.15" x14ac:dyDescent="0.35">
      <c r="A3" s="207"/>
      <c r="B3" s="289"/>
      <c r="C3" s="290"/>
      <c r="D3" s="290"/>
      <c r="E3" s="286">
        <f ca="1">RTD("wdf.rtq",,"000832.CSI","PctChg")</f>
        <v>0.48000000000000004</v>
      </c>
      <c r="F3" s="286">
        <f ca="1">RTD("wdf.rtq",,"000001.SH","PctChg")</f>
        <v>0.08</v>
      </c>
      <c r="G3" s="286">
        <f ca="1">RTD("wdf.rtq",,"399006.SZ","PctChg")</f>
        <v>-0.32</v>
      </c>
      <c r="H3" s="286">
        <f ca="1">RTD("wdf.rtq",,"000688.SH","PctChg")</f>
        <v>-1.48</v>
      </c>
      <c r="I3" s="286">
        <f ca="1">RTD("wdf.rtq",,"000300.SH","PctChg")</f>
        <v>-0.18000000000000002</v>
      </c>
      <c r="J3" s="286">
        <f ca="1">RTD("wdf.rtq",,"T.CFE","PctChg")</f>
        <v>-0.02</v>
      </c>
      <c r="K3" s="284">
        <f ca="1">MEDIAN(F7:F442)</f>
        <v>124.15</v>
      </c>
      <c r="L3" s="284">
        <f ca="1">AVERAGE(M7:M700)</f>
        <v>120.96699397594908</v>
      </c>
      <c r="M3" s="285">
        <f ca="1">SUM(K7:K700)</f>
        <v>442.81041061999991</v>
      </c>
      <c r="N3" s="284">
        <f ca="1">AVERAGEIF(O7:O700,"&lt;&gt;0")</f>
        <v>-4.6780062330623329</v>
      </c>
      <c r="O3" s="430">
        <f ca="1">AVERAGEIFS(N7:N700,H7:H700,"&gt;0")</f>
        <v>36.928287061210142</v>
      </c>
      <c r="P3" s="431"/>
      <c r="Q3" s="287">
        <f ca="1">LARGE($H$7:$H$1000,INT(1))</f>
        <v>0.3</v>
      </c>
      <c r="R3" s="287">
        <f ca="1">LARGE($H$7:$H$1000,INT(2))</f>
        <v>0.12840000000000001</v>
      </c>
      <c r="S3" s="287">
        <f ca="1">LARGE($H$7:$H$1000,INT(3))</f>
        <v>9.11E-2</v>
      </c>
      <c r="T3" s="287">
        <f ca="1">LARGE($H$7:$H$1000,INT(4))</f>
        <v>8.2799999999999999E-2</v>
      </c>
      <c r="U3" s="287">
        <f ca="1">LARGE($H$7:$H$1000,INT(5))</f>
        <v>7.7200000000000005E-2</v>
      </c>
      <c r="V3" s="406">
        <f ca="1">LARGE($K$7:$K$1000,INT(1))</f>
        <v>49.421296900000002</v>
      </c>
      <c r="W3" s="406">
        <f ca="1">LARGE($K$7:$K$1000,INT(2))</f>
        <v>29.936602350000001</v>
      </c>
      <c r="X3" s="406">
        <f ca="1">LARGE($K$7:$K$1000,INT(3))</f>
        <v>21.52297978</v>
      </c>
      <c r="Y3" s="406">
        <f ca="1">LARGE($K$7:$K$1000,INT(4))</f>
        <v>20.947354900000001</v>
      </c>
      <c r="Z3" s="406">
        <f ca="1">LARGE($K$7:$K$1000,INT(5))</f>
        <v>11.414207299999999</v>
      </c>
      <c r="AA3" s="261"/>
      <c r="AB3" s="239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</row>
    <row r="4" spans="1:166" s="4" customFormat="1" ht="5.25" customHeight="1" thickBot="1" x14ac:dyDescent="0.4">
      <c r="A4" s="1"/>
      <c r="B4" s="2"/>
      <c r="C4" s="1"/>
      <c r="D4" s="6"/>
      <c r="E4" s="7"/>
      <c r="F4" s="7"/>
      <c r="G4" s="8"/>
      <c r="H4" s="5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1"/>
      <c r="U4" s="9"/>
      <c r="V4" s="239"/>
      <c r="W4" s="3"/>
      <c r="X4" s="258"/>
      <c r="Y4" s="258"/>
      <c r="Z4" s="239"/>
      <c r="AA4" s="239"/>
      <c r="AB4" s="261"/>
      <c r="AC4" s="239"/>
      <c r="AD4" s="3"/>
      <c r="AE4" s="3"/>
      <c r="AF4" s="3"/>
      <c r="AG4" s="3"/>
      <c r="AH4" s="3"/>
      <c r="AI4" s="3"/>
      <c r="AJ4" s="3"/>
      <c r="AK4" s="3"/>
      <c r="AL4" s="3"/>
    </row>
    <row r="5" spans="1:166" s="273" customFormat="1" ht="26.6" customHeight="1" x14ac:dyDescent="0.3">
      <c r="A5" s="434" t="s">
        <v>1595</v>
      </c>
      <c r="B5" s="434" t="s">
        <v>1596</v>
      </c>
      <c r="C5" s="434" t="s">
        <v>1597</v>
      </c>
      <c r="D5" s="266" t="s">
        <v>1580</v>
      </c>
      <c r="E5" s="436" t="s">
        <v>1598</v>
      </c>
      <c r="F5" s="438" t="s">
        <v>1599</v>
      </c>
      <c r="G5" s="439"/>
      <c r="H5" s="439"/>
      <c r="I5" s="440"/>
      <c r="J5" s="267" t="s">
        <v>1600</v>
      </c>
      <c r="K5" s="267" t="s">
        <v>1601</v>
      </c>
      <c r="L5" s="267" t="s">
        <v>1602</v>
      </c>
      <c r="M5" s="267" t="s">
        <v>1603</v>
      </c>
      <c r="N5" s="267" t="s">
        <v>1604</v>
      </c>
      <c r="O5" s="267" t="s">
        <v>807</v>
      </c>
      <c r="P5" s="267" t="s">
        <v>1605</v>
      </c>
      <c r="Q5" s="268" t="s">
        <v>1581</v>
      </c>
      <c r="R5" s="267" t="s">
        <v>1606</v>
      </c>
      <c r="S5" s="267" t="s">
        <v>1607</v>
      </c>
      <c r="T5" s="267" t="s">
        <v>1608</v>
      </c>
      <c r="U5" s="268" t="s">
        <v>1582</v>
      </c>
      <c r="V5" s="267" t="s">
        <v>1609</v>
      </c>
      <c r="W5" s="267" t="s">
        <v>1610</v>
      </c>
      <c r="X5" s="269" t="s">
        <v>1593</v>
      </c>
      <c r="Y5" s="269" t="s">
        <v>1588</v>
      </c>
      <c r="Z5" s="269" t="s">
        <v>1591</v>
      </c>
      <c r="AA5" s="269" t="s">
        <v>1590</v>
      </c>
      <c r="AB5" s="270" t="s">
        <v>1592</v>
      </c>
      <c r="AC5" s="270" t="s">
        <v>1594</v>
      </c>
      <c r="AD5" s="432" t="s">
        <v>1589</v>
      </c>
      <c r="AE5" s="271"/>
      <c r="AF5" s="272"/>
      <c r="AG5" s="272"/>
      <c r="AH5" s="272"/>
      <c r="AI5" s="272"/>
      <c r="AJ5" s="272"/>
      <c r="AK5" s="272"/>
      <c r="AL5" s="272"/>
      <c r="AM5" s="272"/>
      <c r="AN5" s="272"/>
      <c r="AO5" s="272"/>
      <c r="AP5" s="272"/>
      <c r="AQ5" s="272"/>
    </row>
    <row r="6" spans="1:166" s="281" customFormat="1" ht="14.15" customHeight="1" x14ac:dyDescent="0.35">
      <c r="A6" s="435"/>
      <c r="B6" s="435"/>
      <c r="C6" s="435"/>
      <c r="D6" s="274" t="s">
        <v>1611</v>
      </c>
      <c r="E6" s="437"/>
      <c r="F6" s="275" t="s">
        <v>1612</v>
      </c>
      <c r="G6" s="275" t="s">
        <v>1613</v>
      </c>
      <c r="H6" s="276" t="s">
        <v>1586</v>
      </c>
      <c r="I6" s="276" t="s">
        <v>1587</v>
      </c>
      <c r="J6" s="277" t="s">
        <v>1614</v>
      </c>
      <c r="K6" s="277" t="s">
        <v>1614</v>
      </c>
      <c r="L6" s="277" t="s">
        <v>1614</v>
      </c>
      <c r="M6" s="277" t="s">
        <v>1615</v>
      </c>
      <c r="N6" s="277" t="s">
        <v>1615</v>
      </c>
      <c r="O6" s="277" t="s">
        <v>1615</v>
      </c>
      <c r="P6" s="277" t="s">
        <v>1615</v>
      </c>
      <c r="Q6" s="277" t="s">
        <v>1615</v>
      </c>
      <c r="R6" s="277" t="s">
        <v>1615</v>
      </c>
      <c r="S6" s="277" t="s">
        <v>1615</v>
      </c>
      <c r="T6" s="277" t="s">
        <v>1615</v>
      </c>
      <c r="U6" s="277" t="s">
        <v>1615</v>
      </c>
      <c r="V6" s="277" t="s">
        <v>1615</v>
      </c>
      <c r="W6" s="277" t="s">
        <v>1615</v>
      </c>
      <c r="X6" s="277" t="s">
        <v>1615</v>
      </c>
      <c r="Y6" s="277" t="s">
        <v>1615</v>
      </c>
      <c r="Z6" s="277" t="s">
        <v>1615</v>
      </c>
      <c r="AA6" s="277" t="s">
        <v>1615</v>
      </c>
      <c r="AB6" s="278" t="s">
        <v>1615</v>
      </c>
      <c r="AC6" s="278" t="s">
        <v>1615</v>
      </c>
      <c r="AD6" s="433"/>
      <c r="AE6" s="279"/>
      <c r="AF6" s="280"/>
      <c r="AG6" s="280"/>
      <c r="AH6" s="280"/>
      <c r="AI6" s="280"/>
      <c r="AJ6" s="280"/>
      <c r="AK6" s="280"/>
      <c r="AL6" s="280"/>
      <c r="AM6" s="280"/>
      <c r="AN6" s="280"/>
      <c r="AO6" s="280"/>
      <c r="AP6" s="280"/>
      <c r="AQ6" s="280"/>
    </row>
    <row r="7" spans="1:166" s="191" customFormat="1" x14ac:dyDescent="0.35">
      <c r="A7" s="182" t="s">
        <v>0</v>
      </c>
      <c r="B7" s="182" t="s">
        <v>192</v>
      </c>
      <c r="C7" s="182" t="s">
        <v>193</v>
      </c>
      <c r="D7" s="235" t="str">
        <f ca="1">IF([1]!s_info_industry_sw(B7,1)=0,"-",[1]!s_info_industry_sw(B7,1))</f>
        <v>有色金属</v>
      </c>
      <c r="E7" s="183" t="str">
        <f ca="1">[1]!cb_info_underlyingcode(B7)</f>
        <v>600711.SH</v>
      </c>
      <c r="F7" s="185">
        <f ca="1">RTD("wdf.rtq",,B7,"LastPrice","Dirty_Price")</f>
        <v>300.64</v>
      </c>
      <c r="G7" s="185">
        <f ca="1">RTD("wdf.rtq",,E7,"LastPrice")</f>
        <v>13.35</v>
      </c>
      <c r="H7" s="225">
        <f ca="1">RTD("wdf.rtq",,B7,"PctChg","RT_Price")/100</f>
        <v>1.1600000000000001E-2</v>
      </c>
      <c r="I7" s="225">
        <f ca="1">RTD("wdf.rtq",,E7,"PctChg")/100</f>
        <v>3.8900000000000004E-2</v>
      </c>
      <c r="J7" s="186">
        <f ca="1">_xlfn.IFNA([1]!b_anal_ptmyear(B7,$B$2),"未发行或发行失败")</f>
        <v>4.4794520547945202</v>
      </c>
      <c r="K7" s="186">
        <f ca="1">RTD("wdf.rtq",,B7,"Amount","Dirty_Price")/100000000</f>
        <v>5.3659469599999996</v>
      </c>
      <c r="L7" s="186">
        <f ca="1">[1]!cb_anal_convprice(B7,$B$2)</f>
        <v>4.87</v>
      </c>
      <c r="M7" s="186">
        <f t="shared" ref="M7:M70" ca="1" si="0">IFERROR(100*G7/L7,)</f>
        <v>274.12731006160163</v>
      </c>
      <c r="N7" s="187">
        <f t="shared" ref="N7:N70" ca="1" si="1">IF(F7=0,"-",100*F7/M7-100)</f>
        <v>9.6716704119850192</v>
      </c>
      <c r="O7" s="187">
        <f t="array" aca="1" ref="O7" ca="1">_xlfn.IFNA(RTD("wdf.rtq",,B7,"LastPrice","Yield_To_Maturity"),[1]!cb_anal_ytm(B7,$C$2))</f>
        <v>-19.593700000000002</v>
      </c>
      <c r="P7" s="187">
        <f ca="1">[1]!cb_anal_straightbondvalue(B7,$B$2)</f>
        <v>95.776300000000006</v>
      </c>
      <c r="Q7" s="187">
        <f t="shared" ref="Q7:Q70" ca="1" si="2">IF(F7=0,"-",100*F7/P7-100)</f>
        <v>213.89811466928666</v>
      </c>
      <c r="R7" s="187" t="str">
        <f ca="1">[1]!b_rate_latestcredit(B7)</f>
        <v>AA</v>
      </c>
      <c r="S7" s="187">
        <f ca="1">[1]!cb_info_outstandingbalance(B7,$B$2)</f>
        <v>3.836624</v>
      </c>
      <c r="T7" s="187">
        <f ca="1">[1]!cb_info_issueamount(B7,100000000)</f>
        <v>23.864560000000001</v>
      </c>
      <c r="U7" s="187">
        <f t="shared" ref="U7:U70" ca="1" si="3">100*S7/T7</f>
        <v>16.076659280539847</v>
      </c>
      <c r="V7" s="240">
        <f ca="1">IF([1]!cb_anal_ldiluterate(B7,$B$2)=100,"-",[1]!cb_anal_ldiluterate(B7,$B$2))</f>
        <v>4.1146116769215011</v>
      </c>
      <c r="W7" s="188" t="str">
        <f ca="1">[1]!cb_info_listeddate(B7)</f>
        <v>2020-03-31</v>
      </c>
      <c r="X7" s="188" t="str">
        <f ca="1">[1]!cb_info_carrydate(B7)</f>
        <v>2020-03-02</v>
      </c>
      <c r="Y7" s="186" t="str">
        <f ca="1">[1]!cb_clause_conversion_2_swapsharestartdate(B7)</f>
        <v>2020-09-07</v>
      </c>
      <c r="Z7" s="186" t="str">
        <f ca="1">[1]!cb_clause_putoption_conditionalputbackstartenddate(B7)</f>
        <v>2024-03-02</v>
      </c>
      <c r="AA7" s="240">
        <f ca="1">[1]!cb_info_maturitycallprice(B7)</f>
        <v>110</v>
      </c>
      <c r="AB7" s="240">
        <f ca="1">IF(ISNUMBER([1]!cb_info_conditionalputprice(B7)),[1]!cb_info_conditionalputprice(B7),"-")</f>
        <v>0</v>
      </c>
      <c r="AC7" s="240">
        <f ca="1">[1]!cb_info_interest(B7)</f>
        <v>0.4</v>
      </c>
      <c r="AD7" s="262" t="str">
        <f ca="1">IFERROR(couponlist([1]!cb_clause_interest(B7,"4")),"-")</f>
        <v>0.40%，0.60%，1.00%，1.50%，1.80%，2.00%</v>
      </c>
      <c r="AE7" s="189"/>
      <c r="AF7" s="189"/>
      <c r="AG7" s="189"/>
      <c r="AH7" s="189"/>
      <c r="AI7" s="189"/>
      <c r="AJ7" s="189"/>
      <c r="AK7" s="189"/>
      <c r="AL7" s="189"/>
      <c r="AM7" s="189"/>
      <c r="AN7" s="189"/>
      <c r="AO7" s="189"/>
      <c r="AP7" s="189"/>
      <c r="AQ7" s="189"/>
      <c r="BA7" s="190"/>
      <c r="BB7" s="190"/>
      <c r="BC7" s="190"/>
      <c r="BD7" s="190"/>
      <c r="BE7" s="190"/>
      <c r="BF7" s="190"/>
      <c r="BG7" s="190"/>
      <c r="BH7" s="190"/>
      <c r="BI7" s="190"/>
      <c r="BJ7" s="190"/>
      <c r="BK7" s="190"/>
      <c r="BL7" s="190"/>
      <c r="BM7" s="190"/>
      <c r="BN7" s="190"/>
      <c r="BO7" s="190"/>
      <c r="BP7" s="190"/>
      <c r="BQ7" s="190"/>
      <c r="BR7" s="190"/>
      <c r="BS7" s="190"/>
      <c r="BT7" s="190"/>
      <c r="BU7" s="190"/>
      <c r="BV7" s="190"/>
      <c r="BW7" s="190"/>
      <c r="BX7" s="190"/>
      <c r="BY7" s="190"/>
      <c r="BZ7" s="190"/>
      <c r="CA7" s="190"/>
      <c r="CB7" s="190"/>
      <c r="CC7" s="190"/>
      <c r="CD7" s="190"/>
      <c r="CE7" s="190"/>
      <c r="CF7" s="190"/>
      <c r="CG7" s="190"/>
      <c r="CH7" s="190"/>
      <c r="CI7" s="190"/>
      <c r="CJ7" s="190"/>
      <c r="CK7" s="190"/>
      <c r="CL7" s="190"/>
      <c r="CM7" s="190"/>
      <c r="CN7" s="190"/>
      <c r="CO7" s="190"/>
      <c r="CP7" s="190"/>
      <c r="CQ7" s="190"/>
      <c r="CR7" s="190"/>
      <c r="CS7" s="190"/>
      <c r="CT7" s="190"/>
      <c r="CU7" s="190"/>
      <c r="CV7" s="190"/>
      <c r="CW7" s="190"/>
      <c r="CX7" s="190"/>
      <c r="CY7" s="190"/>
      <c r="CZ7" s="190"/>
      <c r="DA7" s="190"/>
      <c r="DB7" s="190"/>
      <c r="DC7" s="190"/>
      <c r="DD7" s="190"/>
      <c r="DE7" s="190"/>
      <c r="DF7" s="190"/>
      <c r="DG7" s="190"/>
      <c r="DH7" s="190"/>
      <c r="DI7" s="190"/>
      <c r="DJ7" s="190"/>
      <c r="DK7" s="190"/>
      <c r="DL7" s="190"/>
      <c r="DM7" s="190"/>
      <c r="DN7" s="190"/>
      <c r="DO7" s="190"/>
      <c r="DP7" s="190"/>
      <c r="DQ7" s="190"/>
      <c r="DR7" s="190"/>
      <c r="DS7" s="190"/>
      <c r="DT7" s="190"/>
      <c r="DU7" s="190"/>
      <c r="DV7" s="190"/>
      <c r="DW7" s="190"/>
      <c r="DX7" s="190"/>
      <c r="DY7" s="190"/>
      <c r="DZ7" s="190"/>
      <c r="EA7" s="190"/>
      <c r="EB7" s="190"/>
      <c r="EC7" s="190"/>
      <c r="ED7" s="190"/>
      <c r="EE7" s="190"/>
      <c r="EF7" s="190"/>
      <c r="EG7" s="190"/>
      <c r="EH7" s="190"/>
      <c r="EI7" s="190"/>
      <c r="EJ7" s="190"/>
      <c r="EK7" s="190"/>
      <c r="EL7" s="190"/>
      <c r="EM7" s="190"/>
      <c r="EN7" s="190"/>
      <c r="EO7" s="190"/>
      <c r="EP7" s="190"/>
      <c r="EQ7" s="190"/>
      <c r="ER7" s="190"/>
      <c r="ES7" s="190"/>
      <c r="ET7" s="190"/>
      <c r="EU7" s="190"/>
      <c r="EV7" s="190"/>
      <c r="EW7" s="190"/>
      <c r="EX7" s="190"/>
      <c r="EY7" s="190"/>
      <c r="EZ7" s="190"/>
      <c r="FA7" s="190"/>
      <c r="FB7" s="190"/>
      <c r="FC7" s="190"/>
      <c r="FD7" s="190"/>
      <c r="FE7" s="190"/>
      <c r="FF7" s="190"/>
      <c r="FG7" s="190"/>
      <c r="FH7" s="190"/>
      <c r="FI7" s="190"/>
      <c r="FJ7" s="190"/>
    </row>
    <row r="8" spans="1:166" s="130" customFormat="1" x14ac:dyDescent="0.35">
      <c r="A8" s="121" t="s">
        <v>0</v>
      </c>
      <c r="B8" s="121" t="s">
        <v>880</v>
      </c>
      <c r="C8" s="121" t="s">
        <v>915</v>
      </c>
      <c r="D8" s="236" t="str">
        <f ca="1">IF([1]!s_info_industry_sw(B8,1)=0,"-",[1]!s_info_industry_sw(B8,1))</f>
        <v>有色金属</v>
      </c>
      <c r="E8" s="122" t="str">
        <f ca="1">[1]!cb_info_underlyingcode(B8)</f>
        <v>688388.SH</v>
      </c>
      <c r="F8" s="124">
        <f ca="1">RTD("wdf.rtq",,B8,"LastPrice","Dirty_Price")</f>
        <v>161.13</v>
      </c>
      <c r="G8" s="124">
        <f ca="1">RTD("wdf.rtq",,E8,"LastPrice")</f>
        <v>116</v>
      </c>
      <c r="H8" s="226">
        <f ca="1">RTD("wdf.rtq",,B8,"PctChg","RT_Price")/100</f>
        <v>-4.07E-2</v>
      </c>
      <c r="I8" s="226">
        <f ca="1">RTD("wdf.rtq",,E8,"PctChg")/100</f>
        <v>-6.4500000000000002E-2</v>
      </c>
      <c r="J8" s="125">
        <f ca="1">_xlfn.IFNA([1]!b_anal_ptmyear(B8,$B$2),"未发行或发行失败")</f>
        <v>5.4602739726027396</v>
      </c>
      <c r="K8" s="125">
        <f ca="1">RTD("wdf.rtq",,B8,"Amount","Dirty_Price")/100000000</f>
        <v>1.5204789599999999</v>
      </c>
      <c r="L8" s="125">
        <f ca="1">[1]!cb_anal_convprice(B8,$B$2)</f>
        <v>78.739999999999995</v>
      </c>
      <c r="M8" s="125">
        <f t="shared" ca="1" si="0"/>
        <v>147.32029464058928</v>
      </c>
      <c r="N8" s="126">
        <f t="shared" ca="1" si="1"/>
        <v>9.3739327586206826</v>
      </c>
      <c r="O8" s="126">
        <f t="array" aca="1" ref="O8" ca="1">_xlfn.IFNA(RTD("wdf.rtq",,B8,"LastPrice","Yield_To_Maturity"),[1]!cb_anal_ytm(B8,$C$2))</f>
        <v>-5.2023999999999999</v>
      </c>
      <c r="P8" s="126">
        <f ca="1">[1]!cb_anal_straightbondvalue(B8,$B$2)</f>
        <v>85.402500000000003</v>
      </c>
      <c r="Q8" s="126">
        <f t="shared" ca="1" si="2"/>
        <v>88.671291824009842</v>
      </c>
      <c r="R8" s="126" t="str">
        <f ca="1">[1]!b_rate_latestcredit(B8)</f>
        <v>AA-</v>
      </c>
      <c r="S8" s="126">
        <f ca="1">[1]!cb_info_outstandingbalance(B8,$B$2)</f>
        <v>12.399684000000001</v>
      </c>
      <c r="T8" s="126">
        <f ca="1">[1]!cb_info_issueamount(B8,100000000)</f>
        <v>12.4</v>
      </c>
      <c r="U8" s="126">
        <f t="shared" ca="1" si="3"/>
        <v>99.99745161290322</v>
      </c>
      <c r="V8" s="230">
        <f ca="1">IF([1]!cb_anal_ldiluterate(B8,$B$2)=100,"-",[1]!cb_anal_ldiluterate(B8,$B$2))</f>
        <v>8.5914147058180177</v>
      </c>
      <c r="W8" s="127" t="str">
        <f ca="1">[1]!cb_info_listeddate(B8)</f>
        <v>2021-03-15</v>
      </c>
      <c r="X8" s="127" t="str">
        <f ca="1">[1]!cb_info_carrydate(B8)</f>
        <v>2021-02-23</v>
      </c>
      <c r="Y8" s="125" t="str">
        <f ca="1">[1]!cb_clause_conversion_2_swapsharestartdate(B8)</f>
        <v>2021-09-01</v>
      </c>
      <c r="Z8" s="125" t="str">
        <f ca="1">[1]!cb_clause_putoption_conditionalputbackstartenddate(B8)</f>
        <v>2025-02-23</v>
      </c>
      <c r="AA8" s="230">
        <f ca="1">[1]!cb_info_maturitycallprice(B8)</f>
        <v>115</v>
      </c>
      <c r="AB8" s="230">
        <f ca="1">IF(ISNUMBER([1]!cb_info_conditionalputprice(B8)),[1]!cb_info_conditionalputprice(B8),"-")</f>
        <v>0</v>
      </c>
      <c r="AC8" s="230">
        <f ca="1">[1]!cb_info_interest(B8)</f>
        <v>0.4</v>
      </c>
      <c r="AD8" s="263" t="str">
        <f ca="1">IFERROR(couponlist([1]!cb_clause_interest(B8,"4")),"-")</f>
        <v>0.4%，0.6%，1.0%，1.5%，2.5%，3.0%</v>
      </c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</row>
    <row r="9" spans="1:166" s="191" customFormat="1" x14ac:dyDescent="0.35">
      <c r="A9" s="182" t="s">
        <v>0</v>
      </c>
      <c r="B9" s="182" t="s">
        <v>324</v>
      </c>
      <c r="C9" s="182" t="s">
        <v>325</v>
      </c>
      <c r="D9" s="235" t="str">
        <f ca="1">IF([1]!s_info_industry_sw(B9,1)=0,"-",[1]!s_info_industry_sw(B9,1))</f>
        <v>有色金属</v>
      </c>
      <c r="E9" s="183" t="str">
        <f ca="1">[1]!cb_info_underlyingcode(B9)</f>
        <v>601677.SH</v>
      </c>
      <c r="F9" s="185">
        <f ca="1">RTD("wdf.rtq",,B9,"LastPrice","Dirty_Price")</f>
        <v>385.39000000000004</v>
      </c>
      <c r="G9" s="185">
        <f ca="1">RTD("wdf.rtq",,E9,"LastPrice")</f>
        <v>39</v>
      </c>
      <c r="H9" s="225">
        <f ca="1">RTD("wdf.rtq",,B9,"PctChg","RT_Price")/100</f>
        <v>2.1600000000000001E-2</v>
      </c>
      <c r="I9" s="225">
        <f ca="1">RTD("wdf.rtq",,E9,"PctChg")/100</f>
        <v>9.1000000000000004E-3</v>
      </c>
      <c r="J9" s="186">
        <f ca="1">_xlfn.IFNA([1]!b_anal_ptmyear(B9,$B$2),"未发行或发行失败")</f>
        <v>3.5863013698630137</v>
      </c>
      <c r="K9" s="186">
        <f ca="1">RTD("wdf.rtq",,B9,"Amount","Dirty_Price")/100000000</f>
        <v>1.5480132799999999</v>
      </c>
      <c r="L9" s="186">
        <f ca="1">[1]!cb_anal_convprice(B9,$B$2)</f>
        <v>11</v>
      </c>
      <c r="M9" s="186">
        <f t="shared" ca="1" si="0"/>
        <v>354.54545454545456</v>
      </c>
      <c r="N9" s="187">
        <f t="shared" ca="1" si="1"/>
        <v>8.6997435897436048</v>
      </c>
      <c r="O9" s="187">
        <f t="array" aca="1" ref="O9" ca="1">_xlfn.IFNA(RTD("wdf.rtq",,B9,"LastPrice","Yield_To_Maturity"),[1]!cb_anal_ytm(B9,$C$2))</f>
        <v>-29.054500000000001</v>
      </c>
      <c r="P9" s="187">
        <f ca="1">[1]!cb_anal_straightbondvalue(B9,$B$2)</f>
        <v>99.769800000000004</v>
      </c>
      <c r="Q9" s="187">
        <f t="shared" ca="1" si="2"/>
        <v>286.27921475236002</v>
      </c>
      <c r="R9" s="187" t="str">
        <f ca="1">[1]!b_rate_latestcredit(B9)</f>
        <v>AA</v>
      </c>
      <c r="S9" s="187">
        <f ca="1">[1]!cb_info_outstandingbalance(B9,$B$2)</f>
        <v>10.96762</v>
      </c>
      <c r="T9" s="187">
        <f ca="1">[1]!cb_info_issueamount(B9,100000000)</f>
        <v>18.391100000000002</v>
      </c>
      <c r="U9" s="187">
        <f t="shared" ca="1" si="3"/>
        <v>59.635475855169069</v>
      </c>
      <c r="V9" s="240">
        <f ca="1">IF([1]!cb_anal_ldiluterate(B9,$B$2)=100,"-",[1]!cb_anal_ldiluterate(B9,$B$2))</f>
        <v>12.76236903719191</v>
      </c>
      <c r="W9" s="188" t="str">
        <f ca="1">[1]!cb_info_listeddate(B9)</f>
        <v>2019-05-07</v>
      </c>
      <c r="X9" s="188" t="str">
        <f ca="1">[1]!cb_info_carrydate(B9)</f>
        <v>2019-04-10</v>
      </c>
      <c r="Y9" s="186" t="str">
        <f ca="1">[1]!cb_clause_conversion_2_swapsharestartdate(B9)</f>
        <v>2019-10-16</v>
      </c>
      <c r="Z9" s="186" t="str">
        <f ca="1">[1]!cb_clause_putoption_conditionalputbackstartenddate(B9)</f>
        <v>2023-04-10</v>
      </c>
      <c r="AA9" s="240">
        <f ca="1">[1]!cb_info_maturitycallprice(B9)</f>
        <v>110</v>
      </c>
      <c r="AB9" s="240">
        <f ca="1">IF(ISNUMBER([1]!cb_info_conditionalputprice(B9)),[1]!cb_info_conditionalputprice(B9),"-")</f>
        <v>0</v>
      </c>
      <c r="AC9" s="240">
        <f ca="1">[1]!cb_info_interest(B9)</f>
        <v>0.4</v>
      </c>
      <c r="AD9" s="262" t="str">
        <f ca="1">IFERROR(couponlist([1]!cb_clause_interest(B9,"4")),"-")</f>
        <v>0.4%，0.6%，1.0%，1.5%，2.0%，2.5%</v>
      </c>
      <c r="AE9" s="189"/>
      <c r="AF9" s="189"/>
      <c r="AG9" s="189"/>
      <c r="AH9" s="189"/>
      <c r="AI9" s="189"/>
      <c r="AJ9" s="189"/>
      <c r="AK9" s="189"/>
      <c r="AL9" s="189"/>
      <c r="AM9" s="189"/>
      <c r="AN9" s="189"/>
      <c r="AO9" s="189"/>
      <c r="AP9" s="189"/>
      <c r="AQ9" s="189"/>
    </row>
    <row r="10" spans="1:166" s="130" customFormat="1" x14ac:dyDescent="0.35">
      <c r="A10" s="121" t="s">
        <v>0</v>
      </c>
      <c r="B10" s="121" t="s">
        <v>919</v>
      </c>
      <c r="C10" s="121" t="s">
        <v>920</v>
      </c>
      <c r="D10" s="236" t="str">
        <f ca="1">IF([1]!s_info_industry_sw(B10,1)=0,"-",[1]!s_info_industry_sw(B10,1))</f>
        <v>有色金属</v>
      </c>
      <c r="E10" s="122" t="str">
        <f ca="1">[1]!cb_info_underlyingcode(B10)</f>
        <v>601609.SH</v>
      </c>
      <c r="F10" s="124">
        <f ca="1">RTD("wdf.rtq",,B10,"LastPrice","Dirty_Price")</f>
        <v>119.71000000000001</v>
      </c>
      <c r="G10" s="124">
        <f ca="1">RTD("wdf.rtq",,E10,"LastPrice")</f>
        <v>9.76</v>
      </c>
      <c r="H10" s="226">
        <f ca="1">RTD("wdf.rtq",,B10,"PctChg","RT_Price")/100</f>
        <v>-2.1000000000000003E-3</v>
      </c>
      <c r="I10" s="226">
        <f ca="1">RTD("wdf.rtq",,E10,"PctChg")/100</f>
        <v>8.3000000000000001E-3</v>
      </c>
      <c r="J10" s="125">
        <f ca="1">_xlfn.IFNA([1]!b_anal_ptmyear(B10,$B$2),"未发行或发行失败")</f>
        <v>5.5342465753424657</v>
      </c>
      <c r="K10" s="125">
        <f ca="1">RTD("wdf.rtq",,B10,"Amount","Dirty_Price")/100000000</f>
        <v>0.10035593</v>
      </c>
      <c r="L10" s="125">
        <f ca="1">[1]!cb_anal_convprice(B10,$B$2)</f>
        <v>10.75</v>
      </c>
      <c r="M10" s="125">
        <f t="shared" ca="1" si="0"/>
        <v>90.79069767441861</v>
      </c>
      <c r="N10" s="126">
        <f t="shared" ca="1" si="1"/>
        <v>31.85271516393442</v>
      </c>
      <c r="O10" s="126">
        <f t="array" aca="1" ref="O10" ca="1">_xlfn.IFNA(RTD("wdf.rtq",,B10,"LastPrice","Yield_To_Maturity"),[1]!cb_anal_ytm(B10,$C$2))</f>
        <v>-0.75070000000000003</v>
      </c>
      <c r="P10" s="126">
        <f ca="1">[1]!cb_anal_straightbondvalue(B10,$B$2)</f>
        <v>94.161699999999996</v>
      </c>
      <c r="Q10" s="126">
        <f t="shared" ca="1" si="2"/>
        <v>27.132369105485566</v>
      </c>
      <c r="R10" s="126" t="str">
        <f ca="1">[1]!b_rate_latestcredit(B10)</f>
        <v>AA+</v>
      </c>
      <c r="S10" s="126">
        <f ca="1">[1]!cb_info_outstandingbalance(B10,$B$2)</f>
        <v>15</v>
      </c>
      <c r="T10" s="126">
        <f ca="1">[1]!cb_info_issueamount(B10,100000000)</f>
        <v>15</v>
      </c>
      <c r="U10" s="126">
        <f t="shared" ca="1" si="3"/>
        <v>100</v>
      </c>
      <c r="V10" s="230">
        <f ca="1">IF([1]!cb_anal_ldiluterate(B10,$B$2)=100,"-",[1]!cb_anal_ldiluterate(B10,$B$2))</f>
        <v>18.933221219212037</v>
      </c>
      <c r="W10" s="127" t="str">
        <f ca="1">[1]!cb_info_listeddate(B10)</f>
        <v>2021-04-12</v>
      </c>
      <c r="X10" s="127" t="str">
        <f ca="1">[1]!cb_info_carrydate(B10)</f>
        <v>2021-03-22</v>
      </c>
      <c r="Y10" s="125" t="str">
        <f ca="1">[1]!cb_clause_conversion_2_swapsharestartdate(B10)</f>
        <v>2021-09-27</v>
      </c>
      <c r="Z10" s="125" t="str">
        <f ca="1">[1]!cb_clause_putoption_conditionalputbackstartenddate(B10)</f>
        <v>2025-03-22</v>
      </c>
      <c r="AA10" s="230">
        <f ca="1">[1]!cb_info_maturitycallprice(B10)</f>
        <v>110</v>
      </c>
      <c r="AB10" s="230">
        <f ca="1">IF(ISNUMBER([1]!cb_info_conditionalputprice(B10)),[1]!cb_info_conditionalputprice(B10),"-")</f>
        <v>0</v>
      </c>
      <c r="AC10" s="230">
        <f ca="1">[1]!cb_info_interest(B10)</f>
        <v>0.3</v>
      </c>
      <c r="AD10" s="263" t="str">
        <f ca="1">IFERROR(couponlist([1]!cb_clause_interest(B10,"4")),"-")</f>
        <v>0.3%，0.5%，0.8%，1.5%，1.8%，2.0%</v>
      </c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</row>
    <row r="11" spans="1:166" s="191" customFormat="1" x14ac:dyDescent="0.35">
      <c r="A11" s="182" t="s">
        <v>0</v>
      </c>
      <c r="B11" s="182" t="s">
        <v>308</v>
      </c>
      <c r="C11" s="182" t="s">
        <v>309</v>
      </c>
      <c r="D11" s="235" t="str">
        <f ca="1">IF([1]!s_info_industry_sw(B11,1)=0,"-",[1]!s_info_industry_sw(B11,1))</f>
        <v>有色金属</v>
      </c>
      <c r="E11" s="183" t="str">
        <f ca="1">[1]!cb_info_underlyingcode(B11)</f>
        <v>601020.SH</v>
      </c>
      <c r="F11" s="185">
        <f ca="1">RTD("wdf.rtq",,B11,"LastPrice","Dirty_Price")</f>
        <v>161.66</v>
      </c>
      <c r="G11" s="185">
        <f ca="1">RTD("wdf.rtq",,E11,"LastPrice")</f>
        <v>14.8</v>
      </c>
      <c r="H11" s="225">
        <f ca="1">RTD("wdf.rtq",,B11,"PctChg","RT_Price")/100</f>
        <v>7.8000000000000005E-3</v>
      </c>
      <c r="I11" s="225">
        <f ca="1">RTD("wdf.rtq",,E11,"PctChg")/100</f>
        <v>1.3999999999999998E-3</v>
      </c>
      <c r="J11" s="186">
        <f ca="1">_xlfn.IFNA([1]!b_anal_ptmyear(B11,$B$2),"未发行或发行失败")</f>
        <v>3.7643835616438355</v>
      </c>
      <c r="K11" s="186">
        <f ca="1">RTD("wdf.rtq",,B11,"Amount","Dirty_Price")/100000000</f>
        <v>4.8122780599999997</v>
      </c>
      <c r="L11" s="186">
        <f ca="1">[1]!cb_anal_convprice(B11,$B$2)</f>
        <v>10.17</v>
      </c>
      <c r="M11" s="186">
        <f t="shared" ca="1" si="0"/>
        <v>145.52605703048181</v>
      </c>
      <c r="N11" s="187">
        <f t="shared" ca="1" si="1"/>
        <v>11.08663513513514</v>
      </c>
      <c r="O11" s="187">
        <f t="array" aca="1" ref="O11" ca="1">_xlfn.IFNA(RTD("wdf.rtq",,B11,"LastPrice","Yield_To_Maturity"),[1]!cb_anal_ytm(B11,$C$2))</f>
        <v>-8.9385000000000012</v>
      </c>
      <c r="P11" s="187">
        <f ca="1">[1]!cb_anal_straightbondvalue(B11,$B$2)</f>
        <v>78.438599999999994</v>
      </c>
      <c r="Q11" s="187">
        <f t="shared" ca="1" si="2"/>
        <v>106.09750811462726</v>
      </c>
      <c r="R11" s="187" t="str">
        <f ca="1">[1]!b_rate_latestcredit(B11)</f>
        <v>A</v>
      </c>
      <c r="S11" s="187">
        <f ca="1">[1]!cb_info_outstandingbalance(B11,$B$2)</f>
        <v>3.24464</v>
      </c>
      <c r="T11" s="187">
        <f ca="1">[1]!cb_info_issueamount(B11,100000000)</f>
        <v>6.4</v>
      </c>
      <c r="U11" s="187">
        <f t="shared" ca="1" si="3"/>
        <v>50.697499999999998</v>
      </c>
      <c r="V11" s="240">
        <f ca="1">IF([1]!cb_anal_ldiluterate(B11,$B$2)=100,"-",[1]!cb_anal_ldiluterate(B11,$B$2))</f>
        <v>5.4589325339187109</v>
      </c>
      <c r="W11" s="188" t="str">
        <f ca="1">[1]!cb_info_listeddate(B11)</f>
        <v>2019-07-10</v>
      </c>
      <c r="X11" s="188" t="str">
        <f ca="1">[1]!cb_info_carrydate(B11)</f>
        <v>2019-06-14</v>
      </c>
      <c r="Y11" s="186" t="str">
        <f ca="1">[1]!cb_clause_conversion_2_swapsharestartdate(B11)</f>
        <v>2019-12-20</v>
      </c>
      <c r="Z11" s="186" t="str">
        <f ca="1">[1]!cb_clause_putoption_conditionalputbackstartenddate(B11)</f>
        <v>2023-06-14</v>
      </c>
      <c r="AA11" s="240">
        <f ca="1">[1]!cb_info_maturitycallprice(B11)</f>
        <v>110</v>
      </c>
      <c r="AB11" s="240">
        <f ca="1">IF(ISNUMBER([1]!cb_info_conditionalputprice(B11)),[1]!cb_info_conditionalputprice(B11),"-")</f>
        <v>0</v>
      </c>
      <c r="AC11" s="240">
        <f ca="1">[1]!cb_info_interest(B11)</f>
        <v>0.3</v>
      </c>
      <c r="AD11" s="262" t="str">
        <f ca="1">IFERROR(couponlist([1]!cb_clause_interest(B11,"4")),"-")</f>
        <v>0.3%，0.6%，1.0%，1.5%，1.8%，2.0%</v>
      </c>
      <c r="AE11" s="189"/>
      <c r="AF11" s="189"/>
      <c r="AG11" s="189"/>
      <c r="AH11" s="189"/>
      <c r="AI11" s="189"/>
      <c r="AJ11" s="189"/>
      <c r="AK11" s="189"/>
      <c r="AL11" s="189"/>
      <c r="AM11" s="189"/>
      <c r="AN11" s="189"/>
      <c r="AO11" s="189"/>
      <c r="AP11" s="189"/>
      <c r="AQ11" s="189"/>
    </row>
    <row r="12" spans="1:166" s="130" customFormat="1" x14ac:dyDescent="0.35">
      <c r="A12" s="121" t="s">
        <v>5</v>
      </c>
      <c r="B12" s="121" t="s">
        <v>132</v>
      </c>
      <c r="C12" s="121" t="s">
        <v>133</v>
      </c>
      <c r="D12" s="236" t="str">
        <f ca="1">IF([1]!s_info_industry_sw(B12,1)=0,"-",[1]!s_info_industry_sw(B12,1))</f>
        <v>有色金属</v>
      </c>
      <c r="E12" s="122" t="str">
        <f ca="1">[1]!cb_info_underlyingcode(B12)</f>
        <v>002171.SZ</v>
      </c>
      <c r="F12" s="124">
        <f ca="1">RTD("wdf.rtq",,B12,"LastPrice","Dirty_Price")</f>
        <v>156.43</v>
      </c>
      <c r="G12" s="124">
        <f ca="1">RTD("wdf.rtq",,E12,"LastPrice")</f>
        <v>12.26</v>
      </c>
      <c r="H12" s="226">
        <f ca="1">RTD("wdf.rtq",,B12,"PctChg","RT_Price")/100</f>
        <v>-6.8000000000000005E-3</v>
      </c>
      <c r="I12" s="226">
        <f ca="1">RTD("wdf.rtq",,E12,"PctChg")/100</f>
        <v>-0.02</v>
      </c>
      <c r="J12" s="125">
        <f ca="1">_xlfn.IFNA([1]!b_anal_ptmyear(B12,$B$2),"未发行或发行失败")</f>
        <v>4.7369863013698632</v>
      </c>
      <c r="K12" s="125">
        <f ca="1">RTD("wdf.rtq",,B12,"Amount","Dirty_Price")/100000000</f>
        <v>0.48246468999999997</v>
      </c>
      <c r="L12" s="125">
        <f ca="1">[1]!cb_anal_convprice(B12,$B$2)</f>
        <v>8.6300000000000008</v>
      </c>
      <c r="M12" s="125">
        <f t="shared" ca="1" si="0"/>
        <v>142.06257242178447</v>
      </c>
      <c r="N12" s="126">
        <f t="shared" ca="1" si="1"/>
        <v>10.113450244698214</v>
      </c>
      <c r="O12" s="126">
        <f t="array" aca="1" ref="O12" ca="1">_xlfn.IFNA(RTD("wdf.rtq",,B12,"LastPrice","Yield_To_Maturity"),[1]!cb_anal_ytm(B12,$C$2))</f>
        <v>-6.4132000000000007</v>
      </c>
      <c r="P12" s="126">
        <f ca="1">[1]!cb_anal_straightbondvalue(B12,$B$2)</f>
        <v>94.568600000000004</v>
      </c>
      <c r="Q12" s="126">
        <f t="shared" ca="1" si="2"/>
        <v>65.414312996068446</v>
      </c>
      <c r="R12" s="126" t="str">
        <f ca="1">[1]!b_rate_latestcredit(B12)</f>
        <v>AA</v>
      </c>
      <c r="S12" s="126">
        <f ca="1">[1]!cb_info_outstandingbalance(B12,$B$2)</f>
        <v>18.298451</v>
      </c>
      <c r="T12" s="126">
        <f ca="1">[1]!cb_info_issueamount(B12,100000000)</f>
        <v>18.3</v>
      </c>
      <c r="U12" s="126">
        <f t="shared" ca="1" si="3"/>
        <v>99.991535519125677</v>
      </c>
      <c r="V12" s="230">
        <f ca="1">IF([1]!cb_anal_ldiluterate(B12,$B$2)=100,"-",[1]!cb_anal_ldiluterate(B12,$B$2))</f>
        <v>14.564294165915847</v>
      </c>
      <c r="W12" s="127" t="str">
        <f ca="1">[1]!cb_info_listeddate(B12)</f>
        <v>2020-06-23</v>
      </c>
      <c r="X12" s="127" t="str">
        <f ca="1">[1]!cb_info_carrydate(B12)</f>
        <v>2020-06-04</v>
      </c>
      <c r="Y12" s="125" t="str">
        <f ca="1">[1]!cb_clause_conversion_2_swapsharestartdate(B12)</f>
        <v>2020-12-10</v>
      </c>
      <c r="Z12" s="125" t="str">
        <f ca="1">[1]!cb_clause_putoption_conditionalputbackstartenddate(B12)</f>
        <v>2024-06-04</v>
      </c>
      <c r="AA12" s="230">
        <f ca="1">[1]!cb_info_maturitycallprice(B12)</f>
        <v>110</v>
      </c>
      <c r="AB12" s="230">
        <f ca="1">IF(ISNUMBER([1]!cb_info_conditionalputprice(B12)),[1]!cb_info_conditionalputprice(B12),"-")</f>
        <v>0</v>
      </c>
      <c r="AC12" s="230">
        <f ca="1">[1]!cb_info_interest(B12)</f>
        <v>0.4</v>
      </c>
      <c r="AD12" s="263" t="str">
        <f ca="1">IFERROR(couponlist([1]!cb_clause_interest(B12,"4")),"-")</f>
        <v>0.40%，0.60%，1.00%，1.50%，1.80%，2.00%</v>
      </c>
      <c r="AE12" s="129"/>
      <c r="AF12" s="12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</row>
    <row r="13" spans="1:166" s="191" customFormat="1" x14ac:dyDescent="0.35">
      <c r="A13" s="182" t="s">
        <v>5</v>
      </c>
      <c r="B13" s="182" t="s">
        <v>88</v>
      </c>
      <c r="C13" s="182" t="s">
        <v>89</v>
      </c>
      <c r="D13" s="235" t="str">
        <f ca="1">IF([1]!s_info_industry_sw(B13,1)=0,"-",[1]!s_info_industry_sw(B13,1))</f>
        <v>有色金属</v>
      </c>
      <c r="E13" s="183" t="str">
        <f ca="1">[1]!cb_info_underlyingcode(B13)</f>
        <v>000688.SZ</v>
      </c>
      <c r="F13" s="185">
        <f ca="1">RTD("wdf.rtq",,B13,"LastPrice","Dirty_Price")</f>
        <v>109.223</v>
      </c>
      <c r="G13" s="185">
        <f ca="1">RTD("wdf.rtq",,E13,"LastPrice")</f>
        <v>15.120000000000001</v>
      </c>
      <c r="H13" s="225">
        <f ca="1">RTD("wdf.rtq",,B13,"PctChg","RT_Price")/100</f>
        <v>8.8000000000000005E-3</v>
      </c>
      <c r="I13" s="225">
        <f ca="1">RTD("wdf.rtq",,E13,"PctChg")/100</f>
        <v>3.3E-3</v>
      </c>
      <c r="J13" s="186">
        <f ca="1">_xlfn.IFNA([1]!b_anal_ptmyear(B13,$B$2),"未发行或发行失败")</f>
        <v>4.8493150684931505</v>
      </c>
      <c r="K13" s="186">
        <f ca="1">RTD("wdf.rtq",,B13,"Amount","Dirty_Price")/100000000</f>
        <v>0.32995257</v>
      </c>
      <c r="L13" s="186">
        <f ca="1">[1]!cb_anal_convprice(B13,$B$2)</f>
        <v>21.06</v>
      </c>
      <c r="M13" s="186">
        <f t="shared" ca="1" si="0"/>
        <v>71.794871794871796</v>
      </c>
      <c r="N13" s="187">
        <f t="shared" ca="1" si="1"/>
        <v>52.132035714285706</v>
      </c>
      <c r="O13" s="187">
        <f t="array" aca="1" ref="O13" ca="1">_xlfn.IFNA(RTD("wdf.rtq",,B13,"LastPrice","Yield_To_Maturity"),[1]!cb_anal_ytm(B13,$C$2))</f>
        <v>1.0511000000000001</v>
      </c>
      <c r="P13" s="187">
        <f ca="1">[1]!cb_anal_straightbondvalue(B13,$B$2)</f>
        <v>93.857500000000002</v>
      </c>
      <c r="Q13" s="187">
        <f t="shared" ca="1" si="2"/>
        <v>16.3710944783315</v>
      </c>
      <c r="R13" s="187" t="str">
        <f ca="1">[1]!b_rate_latestcredit(B13)</f>
        <v>AA</v>
      </c>
      <c r="S13" s="187">
        <f ca="1">[1]!cb_info_outstandingbalance(B13,$B$2)</f>
        <v>8.4982600000000001</v>
      </c>
      <c r="T13" s="187">
        <f ca="1">[1]!cb_info_issueamount(B13,100000000)</f>
        <v>8.5</v>
      </c>
      <c r="U13" s="187">
        <f t="shared" ca="1" si="3"/>
        <v>99.979529411764702</v>
      </c>
      <c r="V13" s="240">
        <f ca="1">IF([1]!cb_anal_ldiluterate(B13,$B$2)=100,"-",[1]!cb_anal_ldiluterate(B13,$B$2))</f>
        <v>3.4266294767152825</v>
      </c>
      <c r="W13" s="188" t="str">
        <f ca="1">[1]!cb_info_listeddate(B13)</f>
        <v>2020-08-10</v>
      </c>
      <c r="X13" s="188" t="str">
        <f ca="1">[1]!cb_info_carrydate(B13)</f>
        <v>2020-07-15</v>
      </c>
      <c r="Y13" s="186" t="str">
        <f ca="1">[1]!cb_clause_conversion_2_swapsharestartdate(B13)</f>
        <v>2021-01-21</v>
      </c>
      <c r="Z13" s="186" t="str">
        <f ca="1">[1]!cb_clause_putoption_conditionalputbackstartenddate(B13)</f>
        <v>2024-07-15</v>
      </c>
      <c r="AA13" s="240">
        <f ca="1">[1]!cb_info_maturitycallprice(B13)</f>
        <v>110</v>
      </c>
      <c r="AB13" s="240">
        <f ca="1">IF(ISNUMBER([1]!cb_info_conditionalputprice(B13)),[1]!cb_info_conditionalputprice(B13),"-")</f>
        <v>0</v>
      </c>
      <c r="AC13" s="240">
        <f ca="1">[1]!cb_info_interest(B13)</f>
        <v>0.3</v>
      </c>
      <c r="AD13" s="262" t="str">
        <f ca="1">IFERROR(couponlist([1]!cb_clause_interest(B13,"4")),"-")</f>
        <v>0.30%，0.50%，1.00%，1.50%，1.80%，2.00%</v>
      </c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  <c r="AO13" s="189"/>
      <c r="AP13" s="189"/>
      <c r="AQ13" s="189"/>
    </row>
    <row r="14" spans="1:166" s="130" customFormat="1" x14ac:dyDescent="0.35">
      <c r="A14" s="121" t="s">
        <v>5</v>
      </c>
      <c r="B14" s="121" t="s">
        <v>80</v>
      </c>
      <c r="C14" s="121" t="s">
        <v>81</v>
      </c>
      <c r="D14" s="236" t="str">
        <f ca="1">IF([1]!s_info_industry_sw(B14,1)=0,"-",[1]!s_info_industry_sw(B14,1))</f>
        <v>有色金属</v>
      </c>
      <c r="E14" s="122" t="str">
        <f ca="1">[1]!cb_info_underlyingcode(B14)</f>
        <v>000060.SZ</v>
      </c>
      <c r="F14" s="124">
        <f ca="1">RTD("wdf.rtq",,B14,"LastPrice","Dirty_Price")</f>
        <v>136.84100000000001</v>
      </c>
      <c r="G14" s="124">
        <f ca="1">RTD("wdf.rtq",,E14,"LastPrice")</f>
        <v>6.29</v>
      </c>
      <c r="H14" s="226">
        <f ca="1">RTD("wdf.rtq",,B14,"PctChg","RT_Price")/100</f>
        <v>3.8E-3</v>
      </c>
      <c r="I14" s="226">
        <f ca="1">RTD("wdf.rtq",,E14,"PctChg")/100</f>
        <v>4.8000000000000004E-3</v>
      </c>
      <c r="J14" s="125">
        <f ca="1">_xlfn.IFNA([1]!b_anal_ptmyear(B14,$B$2),"未发行或发行失败")</f>
        <v>4.8630136986301373</v>
      </c>
      <c r="K14" s="125">
        <f ca="1">RTD("wdf.rtq",,B14,"Amount","Dirty_Price")/100000000</f>
        <v>2.01329797</v>
      </c>
      <c r="L14" s="125">
        <f ca="1">[1]!cb_anal_convprice(B14,$B$2)</f>
        <v>4.63</v>
      </c>
      <c r="M14" s="125">
        <f t="shared" ca="1" si="0"/>
        <v>135.85313174946003</v>
      </c>
      <c r="N14" s="126">
        <f t="shared" ca="1" si="1"/>
        <v>0.72715898251193778</v>
      </c>
      <c r="O14" s="126">
        <f t="array" aca="1" ref="O14" ca="1">_xlfn.IFNA(RTD("wdf.rtq",,B14,"LastPrice","Yield_To_Maturity"),[1]!cb_anal_ytm(B14,$C$2))</f>
        <v>-3.8174000000000001</v>
      </c>
      <c r="P14" s="126">
        <f ca="1">[1]!cb_anal_straightbondvalue(B14,$B$2)</f>
        <v>95.613</v>
      </c>
      <c r="Q14" s="126">
        <f t="shared" ca="1" si="2"/>
        <v>43.119659460533626</v>
      </c>
      <c r="R14" s="126" t="str">
        <f ca="1">[1]!b_rate_latestcredit(B14)</f>
        <v>AA+</v>
      </c>
      <c r="S14" s="126">
        <f ca="1">[1]!cb_info_outstandingbalance(B14,$B$2)</f>
        <v>37.900215000000003</v>
      </c>
      <c r="T14" s="126">
        <f ca="1">[1]!cb_info_issueamount(B14,100000000)</f>
        <v>38</v>
      </c>
      <c r="U14" s="126">
        <f t="shared" ca="1" si="3"/>
        <v>99.737407894736847</v>
      </c>
      <c r="V14" s="230">
        <f ca="1">IF([1]!cb_anal_ldiluterate(B14,$B$2)=100,"-",[1]!cb_anal_ldiluterate(B14,$B$2))</f>
        <v>18.692295562651953</v>
      </c>
      <c r="W14" s="127" t="str">
        <f ca="1">[1]!cb_info_listeddate(B14)</f>
        <v>2020-08-14</v>
      </c>
      <c r="X14" s="127" t="str">
        <f ca="1">[1]!cb_info_carrydate(B14)</f>
        <v>2020-07-20</v>
      </c>
      <c r="Y14" s="125" t="str">
        <f ca="1">[1]!cb_clause_conversion_2_swapsharestartdate(B14)</f>
        <v>2021-01-25</v>
      </c>
      <c r="Z14" s="125" t="str">
        <f ca="1">[1]!cb_clause_putoption_conditionalputbackstartenddate(B14)</f>
        <v>2024-07-20</v>
      </c>
      <c r="AA14" s="230">
        <f ca="1">[1]!cb_info_maturitycallprice(B14)</f>
        <v>110</v>
      </c>
      <c r="AB14" s="230">
        <f ca="1">IF(ISNUMBER([1]!cb_info_conditionalputprice(B14)),[1]!cb_info_conditionalputprice(B14),"-")</f>
        <v>0</v>
      </c>
      <c r="AC14" s="230">
        <f ca="1">[1]!cb_info_interest(B14)</f>
        <v>0.2</v>
      </c>
      <c r="AD14" s="263" t="str">
        <f ca="1">IFERROR(couponlist([1]!cb_clause_interest(B14,"4")),"-")</f>
        <v>0.20%，0.40%，0.60%，1.00%，1.50%，2.00%</v>
      </c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O14" s="129"/>
      <c r="AP14" s="129"/>
      <c r="AQ14" s="129"/>
    </row>
    <row r="15" spans="1:166" s="191" customFormat="1" x14ac:dyDescent="0.35">
      <c r="A15" s="182" t="s">
        <v>5</v>
      </c>
      <c r="B15" s="182" t="s">
        <v>118</v>
      </c>
      <c r="C15" s="182" t="s">
        <v>119</v>
      </c>
      <c r="D15" s="235" t="str">
        <f ca="1">IF([1]!s_info_industry_sw(B15,1)=0,"-",[1]!s_info_industry_sw(B15,1))</f>
        <v>有色金属</v>
      </c>
      <c r="E15" s="183" t="str">
        <f ca="1">[1]!cb_info_underlyingcode(B15)</f>
        <v>002738.SZ</v>
      </c>
      <c r="F15" s="185">
        <f ca="1">RTD("wdf.rtq",,B15,"LastPrice","Dirty_Price")</f>
        <v>421.60500000000002</v>
      </c>
      <c r="G15" s="185">
        <f ca="1">RTD("wdf.rtq",,E15,"LastPrice")</f>
        <v>61.4</v>
      </c>
      <c r="H15" s="225">
        <f ca="1">RTD("wdf.rtq",,B15,"PctChg","RT_Price")/100</f>
        <v>1.5900000000000001E-2</v>
      </c>
      <c r="I15" s="225">
        <f ca="1">RTD("wdf.rtq",,E15,"PctChg")/100</f>
        <v>3.2100000000000004E-2</v>
      </c>
      <c r="J15" s="186">
        <f ca="1">_xlfn.IFNA([1]!b_anal_ptmyear(B15,$B$2),"未发行或发行失败")</f>
        <v>4.7561643835616438</v>
      </c>
      <c r="K15" s="186">
        <f ca="1">RTD("wdf.rtq",,B15,"Amount","Dirty_Price")/100000000</f>
        <v>3.2194255599999999</v>
      </c>
      <c r="L15" s="186">
        <f ca="1">[1]!cb_anal_convprice(B15,$B$2)</f>
        <v>15.42</v>
      </c>
      <c r="M15" s="186">
        <f t="shared" ca="1" si="0"/>
        <v>398.1841763942931</v>
      </c>
      <c r="N15" s="187">
        <f t="shared" ca="1" si="1"/>
        <v>5.8819071661237814</v>
      </c>
      <c r="O15" s="187">
        <f t="array" aca="1" ref="O15" ca="1">_xlfn.IFNA(RTD("wdf.rtq",,B15,"LastPrice","Yield_To_Maturity"),[1]!cb_anal_ytm(B15,$C$2))</f>
        <v>-22.9788</v>
      </c>
      <c r="P15" s="187">
        <f ca="1">[1]!cb_anal_straightbondvalue(B15,$B$2)</f>
        <v>92.175399999999996</v>
      </c>
      <c r="Q15" s="187">
        <f t="shared" ca="1" si="2"/>
        <v>357.39427222447642</v>
      </c>
      <c r="R15" s="187" t="str">
        <f ca="1">[1]!b_rate_latestcredit(B15)</f>
        <v>AA-</v>
      </c>
      <c r="S15" s="187">
        <f ca="1">[1]!cb_info_outstandingbalance(B15,$B$2)</f>
        <v>1.5219130000000001</v>
      </c>
      <c r="T15" s="187">
        <f ca="1">[1]!cb_info_issueamount(B15,100000000)</f>
        <v>8</v>
      </c>
      <c r="U15" s="187">
        <f t="shared" ca="1" si="3"/>
        <v>19.023912500000002</v>
      </c>
      <c r="V15" s="240">
        <f ca="1">IF([1]!cb_anal_ldiluterate(B15,$B$2)=100,"-",[1]!cb_anal_ldiluterate(B15,$B$2))</f>
        <v>3.6664982239674577</v>
      </c>
      <c r="W15" s="188" t="str">
        <f ca="1">[1]!cb_info_listeddate(B15)</f>
        <v>2020-07-07</v>
      </c>
      <c r="X15" s="188" t="str">
        <f ca="1">[1]!cb_info_carrydate(B15)</f>
        <v>2020-06-11</v>
      </c>
      <c r="Y15" s="186" t="str">
        <f ca="1">[1]!cb_clause_conversion_2_swapsharestartdate(B15)</f>
        <v>2020-12-17</v>
      </c>
      <c r="Z15" s="186" t="str">
        <f ca="1">[1]!cb_clause_putoption_conditionalputbackstartenddate(B15)</f>
        <v>2024-06-11</v>
      </c>
      <c r="AA15" s="240">
        <f ca="1">[1]!cb_info_maturitycallprice(B15)</f>
        <v>118</v>
      </c>
      <c r="AB15" s="240">
        <f ca="1">IF(ISNUMBER([1]!cb_info_conditionalputprice(B15)),[1]!cb_info_conditionalputprice(B15),"-")</f>
        <v>0</v>
      </c>
      <c r="AC15" s="240">
        <f ca="1">[1]!cb_info_interest(B15)</f>
        <v>0.5</v>
      </c>
      <c r="AD15" s="262" t="str">
        <f ca="1">IFERROR(couponlist([1]!cb_clause_interest(B15,"4")),"-")</f>
        <v>0.50%，0.70%，1.20%，1.80%，2.50%，3.00%</v>
      </c>
      <c r="AE15" s="189"/>
      <c r="AF15" s="189"/>
      <c r="AG15" s="189"/>
      <c r="AH15" s="189"/>
      <c r="AI15" s="189"/>
      <c r="AJ15" s="189"/>
      <c r="AK15" s="189"/>
      <c r="AL15" s="189"/>
      <c r="AM15" s="189"/>
      <c r="AN15" s="189"/>
      <c r="AO15" s="189"/>
      <c r="AP15" s="189"/>
      <c r="AQ15" s="189"/>
    </row>
    <row r="16" spans="1:166" s="130" customFormat="1" x14ac:dyDescent="0.35">
      <c r="A16" s="121" t="s">
        <v>5</v>
      </c>
      <c r="B16" s="121" t="s">
        <v>248</v>
      </c>
      <c r="C16" s="121" t="s">
        <v>249</v>
      </c>
      <c r="D16" s="236" t="str">
        <f ca="1">IF([1]!s_info_industry_sw(B16,1)=0,"-",[1]!s_info_industry_sw(B16,1))</f>
        <v>有色金属</v>
      </c>
      <c r="E16" s="122" t="str">
        <f ca="1">[1]!cb_info_underlyingcode(B16)</f>
        <v>002203.SZ</v>
      </c>
      <c r="F16" s="124">
        <f ca="1">RTD("wdf.rtq",,B16,"LastPrice","Dirty_Price")</f>
        <v>131.01500000000001</v>
      </c>
      <c r="G16" s="124">
        <f ca="1">RTD("wdf.rtq",,E16,"LastPrice")</f>
        <v>11.9</v>
      </c>
      <c r="H16" s="226">
        <f ca="1">RTD("wdf.rtq",,B16,"PctChg","RT_Price")/100</f>
        <v>1.6000000000000001E-3</v>
      </c>
      <c r="I16" s="226">
        <f ca="1">RTD("wdf.rtq",,E16,"PctChg")/100</f>
        <v>0</v>
      </c>
      <c r="J16" s="125">
        <f ca="1">_xlfn.IFNA([1]!b_anal_ptmyear(B16,$B$2),"未发行或发行失败")</f>
        <v>4.2027397260273975</v>
      </c>
      <c r="K16" s="125">
        <f ca="1">RTD("wdf.rtq",,B16,"Amount","Dirty_Price")/100000000</f>
        <v>0.29714850999999998</v>
      </c>
      <c r="L16" s="125">
        <f ca="1">[1]!cb_anal_convprice(B16,$B$2)</f>
        <v>9.69</v>
      </c>
      <c r="M16" s="125">
        <f t="shared" ca="1" si="0"/>
        <v>122.80701754385966</v>
      </c>
      <c r="N16" s="126">
        <f t="shared" ca="1" si="1"/>
        <v>6.6836428571428712</v>
      </c>
      <c r="O16" s="126">
        <f t="array" aca="1" ref="O16" ca="1">_xlfn.IFNA(RTD("wdf.rtq",,B16,"LastPrice","Yield_To_Maturity"),[1]!cb_anal_ytm(B16,$C$2))</f>
        <v>-3.1374</v>
      </c>
      <c r="P16" s="126">
        <f ca="1">[1]!cb_anal_straightbondvalue(B16,$B$2)</f>
        <v>97.200199999999995</v>
      </c>
      <c r="Q16" s="126">
        <f t="shared" ca="1" si="2"/>
        <v>34.788817306960311</v>
      </c>
      <c r="R16" s="126" t="str">
        <f ca="1">[1]!b_rate_latestcredit(B16)</f>
        <v>AA</v>
      </c>
      <c r="S16" s="126">
        <f ca="1">[1]!cb_info_outstandingbalance(B16,$B$2)</f>
        <v>30.061191000000001</v>
      </c>
      <c r="T16" s="126">
        <f ca="1">[1]!cb_info_issueamount(B16,100000000)</f>
        <v>31.5</v>
      </c>
      <c r="U16" s="126">
        <f t="shared" ca="1" si="3"/>
        <v>95.432352380952381</v>
      </c>
      <c r="V16" s="230">
        <f ca="1">IF([1]!cb_anal_ldiluterate(B16,$B$2)=100,"-",[1]!cb_anal_ldiluterate(B16,$B$2))</f>
        <v>14.281512950080907</v>
      </c>
      <c r="W16" s="127" t="str">
        <f ca="1">[1]!cb_info_listeddate(B16)</f>
        <v>2019-12-16</v>
      </c>
      <c r="X16" s="127" t="str">
        <f ca="1">[1]!cb_info_carrydate(B16)</f>
        <v>2019-11-21</v>
      </c>
      <c r="Y16" s="125" t="str">
        <f ca="1">[1]!cb_clause_conversion_2_swapsharestartdate(B16)</f>
        <v>2020-05-27</v>
      </c>
      <c r="Z16" s="125" t="str">
        <f ca="1">[1]!cb_clause_putoption_conditionalputbackstartenddate(B16)</f>
        <v>2023-11-21</v>
      </c>
      <c r="AA16" s="230">
        <f ca="1">[1]!cb_info_maturitycallprice(B16)</f>
        <v>110</v>
      </c>
      <c r="AB16" s="230">
        <f ca="1">IF(ISNUMBER([1]!cb_info_conditionalputprice(B16)),[1]!cb_info_conditionalputprice(B16),"-")</f>
        <v>0</v>
      </c>
      <c r="AC16" s="230">
        <f ca="1">[1]!cb_info_interest(B16)</f>
        <v>0.3</v>
      </c>
      <c r="AD16" s="263" t="str">
        <f ca="1">IFERROR(couponlist([1]!cb_clause_interest(B16,"4")),"-")</f>
        <v>0.3%，0.6%，1.0%，1.5%，1.8%，2.0%</v>
      </c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</row>
    <row r="17" spans="1:43" s="191" customFormat="1" x14ac:dyDescent="0.35">
      <c r="A17" s="182" t="s">
        <v>0</v>
      </c>
      <c r="B17" s="182" t="s">
        <v>326</v>
      </c>
      <c r="C17" s="182" t="s">
        <v>327</v>
      </c>
      <c r="D17" s="235" t="str">
        <f ca="1">IF([1]!s_info_industry_sw(B17,1)=0,"-",[1]!s_info_industry_sw(B17,1))</f>
        <v>有色金属</v>
      </c>
      <c r="E17" s="183" t="str">
        <f ca="1">[1]!cb_info_underlyingcode(B17)</f>
        <v>603876.SH</v>
      </c>
      <c r="F17" s="185">
        <f ca="1">RTD("wdf.rtq",,B17,"LastPrice","Dirty_Price")</f>
        <v>340</v>
      </c>
      <c r="G17" s="185">
        <f ca="1">RTD("wdf.rtq",,E17,"LastPrice")</f>
        <v>44.980000000000004</v>
      </c>
      <c r="H17" s="225">
        <f ca="1">RTD("wdf.rtq",,B17,"PctChg","RT_Price")/100</f>
        <v>-2.6800000000000001E-2</v>
      </c>
      <c r="I17" s="225">
        <f ca="1">RTD("wdf.rtq",,E17,"PctChg")/100</f>
        <v>-2.1500000000000005E-2</v>
      </c>
      <c r="J17" s="186">
        <f ca="1">_xlfn.IFNA([1]!b_anal_ptmyear(B17,$B$2),"未发行或发行失败")</f>
        <v>3.5835616438356164</v>
      </c>
      <c r="K17" s="186">
        <f ca="1">RTD("wdf.rtq",,B17,"Amount","Dirty_Price")/100000000</f>
        <v>1.6641515600000001</v>
      </c>
      <c r="L17" s="186">
        <f ca="1">[1]!cb_anal_convprice(B17,$B$2)</f>
        <v>15.18</v>
      </c>
      <c r="M17" s="186">
        <f t="shared" ca="1" si="0"/>
        <v>296.31093544137025</v>
      </c>
      <c r="N17" s="187">
        <f t="shared" ca="1" si="1"/>
        <v>14.744330813694972</v>
      </c>
      <c r="O17" s="187">
        <f t="array" aca="1" ref="O17" ca="1">_xlfn.IFNA(RTD("wdf.rtq",,B17,"LastPrice","Yield_To_Maturity"),[1]!cb_anal_ytm(B17,$C$2))</f>
        <v>-26.549700000000001</v>
      </c>
      <c r="P17" s="187">
        <f ca="1">[1]!cb_anal_straightbondvalue(B17,$B$2)</f>
        <v>92.084199999999996</v>
      </c>
      <c r="Q17" s="187">
        <f t="shared" ca="1" si="2"/>
        <v>269.22729415035371</v>
      </c>
      <c r="R17" s="187" t="str">
        <f ca="1">[1]!b_rate_latestcredit(B17)</f>
        <v>AA-</v>
      </c>
      <c r="S17" s="187">
        <f ca="1">[1]!cb_info_outstandingbalance(B17,$B$2)</f>
        <v>4.3902970000000003</v>
      </c>
      <c r="T17" s="187">
        <f ca="1">[1]!cb_info_issueamount(B17,100000000)</f>
        <v>12.54</v>
      </c>
      <c r="U17" s="187">
        <f t="shared" ca="1" si="3"/>
        <v>35.010342902711329</v>
      </c>
      <c r="V17" s="240">
        <f ca="1">IF([1]!cb_anal_ldiluterate(B17,$B$2)=100,"-",[1]!cb_anal_ldiluterate(B17,$B$2))</f>
        <v>7.3373938932577554</v>
      </c>
      <c r="W17" s="188" t="str">
        <f ca="1">[1]!cb_info_listeddate(B17)</f>
        <v>2019-04-30</v>
      </c>
      <c r="X17" s="188" t="str">
        <f ca="1">[1]!cb_info_carrydate(B17)</f>
        <v>2019-04-09</v>
      </c>
      <c r="Y17" s="186" t="str">
        <f ca="1">[1]!cb_clause_conversion_2_swapsharestartdate(B17)</f>
        <v>2019-10-16</v>
      </c>
      <c r="Z17" s="186" t="str">
        <f ca="1">[1]!cb_clause_putoption_conditionalputbackstartenddate(B17)</f>
        <v>2023-04-09</v>
      </c>
      <c r="AA17" s="240">
        <f ca="1">[1]!cb_info_maturitycallprice(B17)</f>
        <v>110</v>
      </c>
      <c r="AB17" s="240">
        <f ca="1">IF(ISNUMBER([1]!cb_info_conditionalputprice(B17)),[1]!cb_info_conditionalputprice(B17),"-")</f>
        <v>0</v>
      </c>
      <c r="AC17" s="240">
        <f ca="1">[1]!cb_info_interest(B17)</f>
        <v>0.4</v>
      </c>
      <c r="AD17" s="262" t="str">
        <f ca="1">IFERROR(couponlist([1]!cb_clause_interest(B17,"4")),"-")</f>
        <v>0.4%，0.6%，1.0%，1.5%，1.8%，2.0%</v>
      </c>
      <c r="AE17" s="189"/>
      <c r="AF17" s="189"/>
      <c r="AG17" s="189"/>
      <c r="AH17" s="189"/>
      <c r="AI17" s="189"/>
      <c r="AJ17" s="189"/>
      <c r="AK17" s="189"/>
      <c r="AL17" s="189"/>
      <c r="AM17" s="189"/>
      <c r="AN17" s="189"/>
      <c r="AO17" s="189"/>
      <c r="AP17" s="189"/>
      <c r="AQ17" s="189"/>
    </row>
    <row r="18" spans="1:43" s="130" customFormat="1" x14ac:dyDescent="0.35">
      <c r="A18" s="121" t="s">
        <v>0</v>
      </c>
      <c r="B18" s="121" t="s">
        <v>174</v>
      </c>
      <c r="C18" s="121" t="s">
        <v>175</v>
      </c>
      <c r="D18" s="236" t="str">
        <f ca="1">IF([1]!s_info_industry_sw(B18,1)=0,"-",[1]!s_info_industry_sw(B18,1))</f>
        <v>有色金属</v>
      </c>
      <c r="E18" s="122" t="str">
        <f ca="1">[1]!cb_info_underlyingcode(B18)</f>
        <v>603663.SH</v>
      </c>
      <c r="F18" s="124">
        <f ca="1">RTD("wdf.rtq",,B18,"LastPrice","Dirty_Price")</f>
        <v>167.31</v>
      </c>
      <c r="G18" s="124">
        <f ca="1">RTD("wdf.rtq",,E18,"LastPrice")</f>
        <v>23.76</v>
      </c>
      <c r="H18" s="226">
        <f ca="1">RTD("wdf.rtq",,B18,"PctChg","RT_Price")/100</f>
        <v>-6.8000000000000005E-3</v>
      </c>
      <c r="I18" s="226">
        <f ca="1">RTD("wdf.rtq",,E18,"PctChg")/100</f>
        <v>-1.1199999999999998E-2</v>
      </c>
      <c r="J18" s="125">
        <f ca="1">_xlfn.IFNA([1]!b_anal_ptmyear(B18,$B$2),"未发行或发行失败")</f>
        <v>4.506849315068493</v>
      </c>
      <c r="K18" s="125">
        <f ca="1">RTD("wdf.rtq",,B18,"Amount","Dirty_Price")/100000000</f>
        <v>0.92156256000000003</v>
      </c>
      <c r="L18" s="125">
        <f ca="1">[1]!cb_anal_convprice(B18,$B$2)</f>
        <v>14.09</v>
      </c>
      <c r="M18" s="125">
        <f t="shared" ca="1" si="0"/>
        <v>168.63023420865863</v>
      </c>
      <c r="N18" s="126">
        <f t="shared" ca="1" si="1"/>
        <v>-0.78291666666667936</v>
      </c>
      <c r="O18" s="126">
        <f t="array" aca="1" ref="O18" ca="1">_xlfn.IFNA(RTD("wdf.rtq",,B18,"LastPrice","Yield_To_Maturity"),[1]!cb_anal_ytm(B18,$C$2))</f>
        <v>-8.517100000000001</v>
      </c>
      <c r="P18" s="126">
        <f ca="1">[1]!cb_anal_straightbondvalue(B18,$B$2)</f>
        <v>77.889799999999994</v>
      </c>
      <c r="Q18" s="126">
        <f t="shared" ca="1" si="2"/>
        <v>114.80347876101879</v>
      </c>
      <c r="R18" s="126" t="str">
        <f ca="1">[1]!b_rate_latestcredit(B18)</f>
        <v>A+</v>
      </c>
      <c r="S18" s="126">
        <f ca="1">[1]!cb_info_outstandingbalance(B18,$B$2)</f>
        <v>1.6094219999999999</v>
      </c>
      <c r="T18" s="126">
        <f ca="1">[1]!cb_info_issueamount(B18,100000000)</f>
        <v>2.0499999999999998</v>
      </c>
      <c r="U18" s="126">
        <f t="shared" ca="1" si="3"/>
        <v>78.50839024390244</v>
      </c>
      <c r="V18" s="230">
        <f ca="1">IF([1]!cb_anal_ldiluterate(B18,$B$2)=100,"-",[1]!cb_anal_ldiluterate(B18,$B$2))</f>
        <v>5.8668297646188607</v>
      </c>
      <c r="W18" s="127" t="str">
        <f ca="1">[1]!cb_info_listeddate(B18)</f>
        <v>2020-04-09</v>
      </c>
      <c r="X18" s="127" t="str">
        <f ca="1">[1]!cb_info_carrydate(B18)</f>
        <v>2020-03-12</v>
      </c>
      <c r="Y18" s="125" t="str">
        <f ca="1">[1]!cb_clause_conversion_2_swapsharestartdate(B18)</f>
        <v>2020-09-18</v>
      </c>
      <c r="Z18" s="125" t="str">
        <f ca="1">[1]!cb_clause_putoption_conditionalputbackstartenddate(B18)</f>
        <v>2024-03-12</v>
      </c>
      <c r="AA18" s="230">
        <f ca="1">[1]!cb_info_maturitycallprice(B18)</f>
        <v>108</v>
      </c>
      <c r="AB18" s="230">
        <f ca="1">IF(ISNUMBER([1]!cb_info_conditionalputprice(B18)),[1]!cb_info_conditionalputprice(B18),"-")</f>
        <v>0</v>
      </c>
      <c r="AC18" s="230">
        <f ca="1">[1]!cb_info_interest(B18)</f>
        <v>0.4</v>
      </c>
      <c r="AD18" s="263" t="str">
        <f ca="1">IFERROR(couponlist([1]!cb_clause_interest(B18,"4")),"-")</f>
        <v>0.40%，0.50%，1.00%，1.50%，1.80%，2.00%</v>
      </c>
      <c r="AE18" s="129"/>
      <c r="AF18" s="129"/>
      <c r="AG18" s="129"/>
      <c r="AH18" s="129"/>
      <c r="AI18" s="129"/>
      <c r="AJ18" s="129"/>
      <c r="AK18" s="129"/>
      <c r="AL18" s="129"/>
      <c r="AM18" s="129"/>
      <c r="AN18" s="129"/>
      <c r="AO18" s="129"/>
      <c r="AP18" s="129"/>
      <c r="AQ18" s="129"/>
    </row>
    <row r="19" spans="1:43" s="191" customFormat="1" x14ac:dyDescent="0.35">
      <c r="A19" s="182" t="s">
        <v>5</v>
      </c>
      <c r="B19" s="182" t="s">
        <v>286</v>
      </c>
      <c r="C19" s="182" t="s">
        <v>287</v>
      </c>
      <c r="D19" s="235" t="str">
        <f ca="1">IF([1]!s_info_industry_sw(B19,1)=0,"-",[1]!s_info_industry_sw(B19,1))</f>
        <v>有色金属</v>
      </c>
      <c r="E19" s="183" t="str">
        <f ca="1">[1]!cb_info_underlyingcode(B19)</f>
        <v>002842.SZ</v>
      </c>
      <c r="F19" s="185">
        <f ca="1">RTD("wdf.rtq",,B19,"LastPrice","Dirty_Price")</f>
        <v>116.92</v>
      </c>
      <c r="G19" s="185">
        <f ca="1">RTD("wdf.rtq",,E19,"LastPrice")</f>
        <v>11.94</v>
      </c>
      <c r="H19" s="225">
        <f ca="1">RTD("wdf.rtq",,B19,"PctChg","RT_Price")/100</f>
        <v>-8.0000000000000004E-4</v>
      </c>
      <c r="I19" s="225">
        <f ca="1">RTD("wdf.rtq",,E19,"PctChg")/100</f>
        <v>1.1900000000000001E-2</v>
      </c>
      <c r="J19" s="186">
        <f ca="1">_xlfn.IFNA([1]!b_anal_ptmyear(B19,$B$2),"未发行或发行失败")</f>
        <v>3.9479452054794519</v>
      </c>
      <c r="K19" s="186">
        <f ca="1">RTD("wdf.rtq",,B19,"Amount","Dirty_Price")/100000000</f>
        <v>2.0144260000000001E-2</v>
      </c>
      <c r="L19" s="186">
        <f ca="1">[1]!cb_anal_convprice(B19,$B$2)</f>
        <v>15.36</v>
      </c>
      <c r="M19" s="186">
        <f t="shared" ca="1" si="0"/>
        <v>77.734375</v>
      </c>
      <c r="N19" s="187">
        <f t="shared" ca="1" si="1"/>
        <v>50.409648241206042</v>
      </c>
      <c r="O19" s="187">
        <f t="array" aca="1" ref="O19" ca="1">_xlfn.IFNA(RTD("wdf.rtq",,B19,"LastPrice","Yield_To_Maturity"),[1]!cb_anal_ytm(B19,$C$2))</f>
        <v>-0.53780000000000006</v>
      </c>
      <c r="P19" s="187">
        <f ca="1">[1]!cb_anal_straightbondvalue(B19,$B$2)</f>
        <v>89.9465</v>
      </c>
      <c r="Q19" s="187">
        <f t="shared" ca="1" si="2"/>
        <v>29.988381982622997</v>
      </c>
      <c r="R19" s="187" t="str">
        <f ca="1">[1]!b_rate_latestcredit(B19)</f>
        <v>AA-</v>
      </c>
      <c r="S19" s="187">
        <f ca="1">[1]!cb_info_outstandingbalance(B19,$B$2)</f>
        <v>3.017995</v>
      </c>
      <c r="T19" s="187">
        <f ca="1">[1]!cb_info_issueamount(B19,100000000)</f>
        <v>3.0192230000000002</v>
      </c>
      <c r="U19" s="187">
        <f t="shared" ca="1" si="3"/>
        <v>99.959327283874032</v>
      </c>
      <c r="V19" s="240">
        <f ca="1">IF([1]!cb_anal_ldiluterate(B19,$B$2)=100,"-",[1]!cb_anal_ldiluterate(B19,$B$2))</f>
        <v>8.4751375893492735</v>
      </c>
      <c r="W19" s="188" t="str">
        <f ca="1">[1]!cb_info_listeddate(B19)</f>
        <v>2019-09-16</v>
      </c>
      <c r="X19" s="188" t="str">
        <f ca="1">[1]!cb_info_carrydate(B19)</f>
        <v>2019-08-20</v>
      </c>
      <c r="Y19" s="186" t="str">
        <f ca="1">[1]!cb_clause_conversion_2_swapsharestartdate(B19)</f>
        <v>2020-02-26</v>
      </c>
      <c r="Z19" s="186" t="str">
        <f ca="1">[1]!cb_clause_putoption_conditionalputbackstartenddate(B19)</f>
        <v>2023-08-20</v>
      </c>
      <c r="AA19" s="240">
        <f ca="1">[1]!cb_info_maturitycallprice(B19)</f>
        <v>110</v>
      </c>
      <c r="AB19" s="240">
        <f ca="1">IF(ISNUMBER([1]!cb_info_conditionalputprice(B19)),[1]!cb_info_conditionalputprice(B19),"-")</f>
        <v>0</v>
      </c>
      <c r="AC19" s="240">
        <f ca="1">[1]!cb_info_interest(B19)</f>
        <v>0.4</v>
      </c>
      <c r="AD19" s="262" t="str">
        <f ca="1">IFERROR(couponlist([1]!cb_clause_interest(B19,"4")),"-")</f>
        <v>0.4%，0.6%，1.0%，1.5%，2.0%，2.5%</v>
      </c>
      <c r="AE19" s="189"/>
      <c r="AF19" s="189"/>
      <c r="AG19" s="189"/>
      <c r="AH19" s="189"/>
      <c r="AI19" s="189"/>
      <c r="AJ19" s="189"/>
      <c r="AK19" s="189"/>
      <c r="AL19" s="189"/>
      <c r="AM19" s="189"/>
      <c r="AN19" s="189"/>
      <c r="AO19" s="189"/>
      <c r="AP19" s="189"/>
      <c r="AQ19" s="189"/>
    </row>
    <row r="20" spans="1:43" s="130" customFormat="1" x14ac:dyDescent="0.35">
      <c r="A20" s="121" t="s">
        <v>0</v>
      </c>
      <c r="B20" s="121" t="s">
        <v>44</v>
      </c>
      <c r="C20" s="121" t="s">
        <v>45</v>
      </c>
      <c r="D20" s="236" t="str">
        <f ca="1">IF([1]!s_info_industry_sw(B20,1)=0,"-",[1]!s_info_industry_sw(B20,1))</f>
        <v>有色金属</v>
      </c>
      <c r="E20" s="122" t="str">
        <f ca="1">[1]!cb_info_underlyingcode(B20)</f>
        <v>603978.SH</v>
      </c>
      <c r="F20" s="124">
        <f ca="1">RTD("wdf.rtq",,B20,"LastPrice","Dirty_Price")</f>
        <v>112.61</v>
      </c>
      <c r="G20" s="124">
        <f ca="1">RTD("wdf.rtq",,E20,"LastPrice")</f>
        <v>21.16</v>
      </c>
      <c r="H20" s="226">
        <f ca="1">RTD("wdf.rtq",,B20,"PctChg","RT_Price")/100</f>
        <v>1.4500000000000002E-2</v>
      </c>
      <c r="I20" s="226">
        <f ca="1">RTD("wdf.rtq",,E20,"PctChg")/100</f>
        <v>3.5200000000000002E-2</v>
      </c>
      <c r="J20" s="125">
        <f ca="1">_xlfn.IFNA([1]!b_anal_ptmyear(B20,$B$2),"未发行或发行失败")</f>
        <v>4.9287671232876713</v>
      </c>
      <c r="K20" s="125">
        <f ca="1">RTD("wdf.rtq",,B20,"Amount","Dirty_Price")/100000000</f>
        <v>0.11845339000000001</v>
      </c>
      <c r="L20" s="125">
        <f ca="1">[1]!cb_anal_convprice(B20,$B$2)</f>
        <v>23.85</v>
      </c>
      <c r="M20" s="125">
        <f t="shared" ca="1" si="0"/>
        <v>88.721174004192861</v>
      </c>
      <c r="N20" s="126">
        <f t="shared" ca="1" si="1"/>
        <v>26.92573251417771</v>
      </c>
      <c r="O20" s="126">
        <f t="array" aca="1" ref="O20" ca="1">_xlfn.IFNA(RTD("wdf.rtq",,B20,"LastPrice","Yield_To_Maturity"),[1]!cb_anal_ytm(B20,$C$2))</f>
        <v>2.2814000000000001</v>
      </c>
      <c r="P20" s="126">
        <f ca="1">[1]!cb_anal_straightbondvalue(B20,$B$2)</f>
        <v>92.010400000000004</v>
      </c>
      <c r="Q20" s="126">
        <f t="shared" ca="1" si="2"/>
        <v>22.38833870953718</v>
      </c>
      <c r="R20" s="126" t="str">
        <f ca="1">[1]!b_rate_latestcredit(B20)</f>
        <v>AA-</v>
      </c>
      <c r="S20" s="126">
        <f ca="1">[1]!cb_info_outstandingbalance(B20,$B$2)</f>
        <v>5.9490299999999996</v>
      </c>
      <c r="T20" s="126">
        <f ca="1">[1]!cb_info_issueamount(B20,100000000)</f>
        <v>5.95</v>
      </c>
      <c r="U20" s="126">
        <f t="shared" ca="1" si="3"/>
        <v>99.983697478991573</v>
      </c>
      <c r="V20" s="230">
        <f ca="1">IF([1]!cb_anal_ldiluterate(B20,$B$2)=100,"-",[1]!cb_anal_ldiluterate(B20,$B$2))</f>
        <v>13.487011259873952</v>
      </c>
      <c r="W20" s="127" t="str">
        <f ca="1">[1]!cb_info_listeddate(B20)</f>
        <v>2020-09-11</v>
      </c>
      <c r="X20" s="127" t="str">
        <f ca="1">[1]!cb_info_carrydate(B20)</f>
        <v>2020-08-13</v>
      </c>
      <c r="Y20" s="125" t="str">
        <f ca="1">[1]!cb_clause_conversion_2_swapsharestartdate(B20)</f>
        <v>2021-02-19</v>
      </c>
      <c r="Z20" s="125" t="str">
        <f ca="1">[1]!cb_clause_putoption_conditionalputbackstartenddate(B20)</f>
        <v>2024-08-13</v>
      </c>
      <c r="AA20" s="230">
        <f ca="1">[1]!cb_info_maturitycallprice(B20)</f>
        <v>120</v>
      </c>
      <c r="AB20" s="230">
        <f ca="1">IF(ISNUMBER([1]!cb_info_conditionalputprice(B20)),[1]!cb_info_conditionalputprice(B20),"-")</f>
        <v>0</v>
      </c>
      <c r="AC20" s="230">
        <f ca="1">[1]!cb_info_interest(B20)</f>
        <v>0.4</v>
      </c>
      <c r="AD20" s="263" t="str">
        <f ca="1">IFERROR(couponlist([1]!cb_clause_interest(B20,"4")),"-")</f>
        <v>0.4%，0.6%，1.5%，2.5%</v>
      </c>
      <c r="AE20" s="129"/>
      <c r="AF20" s="129"/>
      <c r="AG20" s="129"/>
      <c r="AH20" s="129"/>
      <c r="AI20" s="129"/>
      <c r="AJ20" s="129"/>
      <c r="AK20" s="129"/>
      <c r="AL20" s="129"/>
      <c r="AM20" s="129"/>
      <c r="AN20" s="129"/>
      <c r="AO20" s="129"/>
      <c r="AP20" s="129"/>
      <c r="AQ20" s="129"/>
    </row>
    <row r="21" spans="1:43" s="191" customFormat="1" x14ac:dyDescent="0.35">
      <c r="A21" s="182" t="s">
        <v>5</v>
      </c>
      <c r="B21" s="182" t="s">
        <v>244</v>
      </c>
      <c r="C21" s="182" t="s">
        <v>245</v>
      </c>
      <c r="D21" s="235" t="str">
        <f ca="1">IF([1]!s_info_industry_sw(B21,1)=0,"-",[1]!s_info_industry_sw(B21,1))</f>
        <v>有色金属</v>
      </c>
      <c r="E21" s="183" t="str">
        <f ca="1">[1]!cb_info_underlyingcode(B21)</f>
        <v>002806.SZ</v>
      </c>
      <c r="F21" s="185">
        <f ca="1">RTD("wdf.rtq",,B21,"LastPrice","Dirty_Price")</f>
        <v>181.38800000000001</v>
      </c>
      <c r="G21" s="185">
        <f ca="1">RTD("wdf.rtq",,E21,"LastPrice")</f>
        <v>15.59</v>
      </c>
      <c r="H21" s="225">
        <f ca="1">RTD("wdf.rtq",,B21,"PctChg","RT_Price")/100</f>
        <v>-6.0999999999999995E-3</v>
      </c>
      <c r="I21" s="225">
        <f ca="1">RTD("wdf.rtq",,E21,"PctChg")/100</f>
        <v>-1.5800000000000002E-2</v>
      </c>
      <c r="J21" s="186">
        <f ca="1">_xlfn.IFNA([1]!b_anal_ptmyear(B21,$B$2),"未发行或发行失败")</f>
        <v>4.2383561643835614</v>
      </c>
      <c r="K21" s="186">
        <f ca="1">RTD("wdf.rtq",,B21,"Amount","Dirty_Price")/100000000</f>
        <v>0.34774867999999998</v>
      </c>
      <c r="L21" s="186">
        <f ca="1">[1]!cb_anal_convprice(B21,$B$2)</f>
        <v>9.1300000000000008</v>
      </c>
      <c r="M21" s="186">
        <f t="shared" ca="1" si="0"/>
        <v>170.75575027382254</v>
      </c>
      <c r="N21" s="187">
        <f t="shared" ca="1" si="1"/>
        <v>6.2265837075048154</v>
      </c>
      <c r="O21" s="187">
        <f t="array" aca="1" ref="O21" ca="1">_xlfn.IFNA(RTD("wdf.rtq",,B21,"LastPrice","Yield_To_Maturity"),[1]!cb_anal_ytm(B21,$C$2))</f>
        <v>-9.2446999999999999</v>
      </c>
      <c r="P21" s="187">
        <f ca="1">[1]!cb_anal_straightbondvalue(B21,$B$2)</f>
        <v>79.433599999999998</v>
      </c>
      <c r="Q21" s="187">
        <f t="shared" ca="1" si="2"/>
        <v>128.35173025017122</v>
      </c>
      <c r="R21" s="187" t="str">
        <f ca="1">[1]!b_rate_latestcredit(B21)</f>
        <v>A</v>
      </c>
      <c r="S21" s="187">
        <f ca="1">[1]!cb_info_outstandingbalance(B21,$B$2)</f>
        <v>2.1889970000000001</v>
      </c>
      <c r="T21" s="187">
        <f ca="1">[1]!cb_info_issueamount(B21,100000000)</f>
        <v>3.524</v>
      </c>
      <c r="U21" s="187">
        <f t="shared" ca="1" si="3"/>
        <v>62.116827468785466</v>
      </c>
      <c r="V21" s="240">
        <f ca="1">IF([1]!cb_anal_ldiluterate(B21,$B$2)=100,"-",[1]!cb_anal_ldiluterate(B21,$B$2))</f>
        <v>16.5042203231644</v>
      </c>
      <c r="W21" s="188" t="str">
        <f ca="1">[1]!cb_info_listeddate(B21)</f>
        <v>2020-01-06</v>
      </c>
      <c r="X21" s="188" t="str">
        <f ca="1">[1]!cb_info_carrydate(B21)</f>
        <v>2019-12-04</v>
      </c>
      <c r="Y21" s="186" t="str">
        <f ca="1">[1]!cb_clause_conversion_2_swapsharestartdate(B21)</f>
        <v>2020-06-10</v>
      </c>
      <c r="Z21" s="186" t="str">
        <f ca="1">[1]!cb_clause_putoption_conditionalputbackstartenddate(B21)</f>
        <v>2023-12-04</v>
      </c>
      <c r="AA21" s="240">
        <f ca="1">[1]!cb_info_maturitycallprice(B21)</f>
        <v>115</v>
      </c>
      <c r="AB21" s="240">
        <f ca="1">IF(ISNUMBER([1]!cb_info_conditionalputprice(B21)),[1]!cb_info_conditionalputprice(B21),"-")</f>
        <v>0</v>
      </c>
      <c r="AC21" s="240">
        <f ca="1">[1]!cb_info_interest(B21)</f>
        <v>0.6</v>
      </c>
      <c r="AD21" s="262" t="str">
        <f ca="1">IFERROR(couponlist([1]!cb_clause_interest(B21,"4")),"-")</f>
        <v>0.6%，0.8%，1.4%，1.9%，2.3%，2.8%</v>
      </c>
      <c r="AE21" s="189"/>
      <c r="AF21" s="189"/>
      <c r="AG21" s="189"/>
      <c r="AH21" s="189"/>
      <c r="AI21" s="189"/>
      <c r="AJ21" s="189"/>
      <c r="AK21" s="189"/>
      <c r="AL21" s="189"/>
      <c r="AM21" s="189"/>
      <c r="AN21" s="189"/>
      <c r="AO21" s="189"/>
      <c r="AP21" s="189"/>
      <c r="AQ21" s="189"/>
    </row>
    <row r="22" spans="1:43" s="130" customFormat="1" x14ac:dyDescent="0.35">
      <c r="A22" s="121" t="s">
        <v>0</v>
      </c>
      <c r="B22" s="121" t="s">
        <v>264</v>
      </c>
      <c r="C22" s="121" t="s">
        <v>265</v>
      </c>
      <c r="D22" s="236" t="str">
        <f ca="1">IF([1]!s_info_industry_sw(B22,1)=0,"-",[1]!s_info_industry_sw(B22,1))</f>
        <v>有色金属</v>
      </c>
      <c r="E22" s="122" t="str">
        <f ca="1">[1]!cb_info_underlyingcode(B22)</f>
        <v>603688.SH</v>
      </c>
      <c r="F22" s="124">
        <f ca="1">RTD("wdf.rtq",,B22,"LastPrice","Dirty_Price")</f>
        <v>314.42</v>
      </c>
      <c r="G22" s="124">
        <f ca="1">RTD("wdf.rtq",,E22,"LastPrice")</f>
        <v>41.18</v>
      </c>
      <c r="H22" s="226">
        <f ca="1">RTD("wdf.rtq",,B22,"PctChg","RT_Price")/100</f>
        <v>-2.0000000000000001E-4</v>
      </c>
      <c r="I22" s="226">
        <f ca="1">RTD("wdf.rtq",,E22,"PctChg")/100</f>
        <v>-2.2000000000000001E-3</v>
      </c>
      <c r="J22" s="125">
        <f ca="1">_xlfn.IFNA([1]!b_anal_ptmyear(B22,$B$2),"未发行或发行失败")</f>
        <v>4.1369863013698627</v>
      </c>
      <c r="K22" s="125">
        <f ca="1">RTD("wdf.rtq",,B22,"Amount","Dirty_Price")/100000000</f>
        <v>1.67441134</v>
      </c>
      <c r="L22" s="125">
        <f ca="1">[1]!cb_anal_convprice(B22,$B$2)</f>
        <v>14.93</v>
      </c>
      <c r="M22" s="125">
        <f t="shared" ca="1" si="0"/>
        <v>275.82049564634963</v>
      </c>
      <c r="N22" s="126">
        <f t="shared" ca="1" si="1"/>
        <v>13.994429334628464</v>
      </c>
      <c r="O22" s="126">
        <f t="array" aca="1" ref="O22" ca="1">_xlfn.IFNA(RTD("wdf.rtq",,B22,"LastPrice","Yield_To_Maturity"),[1]!cb_anal_ytm(B22,$C$2))</f>
        <v>-20.432300000000001</v>
      </c>
      <c r="P22" s="126">
        <f ca="1">[1]!cb_anal_straightbondvalue(B22,$B$2)</f>
        <v>96.718100000000007</v>
      </c>
      <c r="Q22" s="126">
        <f t="shared" ca="1" si="2"/>
        <v>225.08909914483428</v>
      </c>
      <c r="R22" s="126" t="str">
        <f ca="1">[1]!b_rate_latestcredit(B22)</f>
        <v>AA-</v>
      </c>
      <c r="S22" s="126">
        <f ca="1">[1]!cb_info_outstandingbalance(B22,$B$2)</f>
        <v>1.2271000000000001</v>
      </c>
      <c r="T22" s="126">
        <f ca="1">[1]!cb_info_issueamount(B22,100000000)</f>
        <v>3.6</v>
      </c>
      <c r="U22" s="126">
        <f t="shared" ca="1" si="3"/>
        <v>34.086111111111116</v>
      </c>
      <c r="V22" s="230">
        <f ca="1">IF([1]!cb_anal_ldiluterate(B22,$B$2)=100,"-",[1]!cb_anal_ldiluterate(B22,$B$2))</f>
        <v>2.2771103201237843</v>
      </c>
      <c r="W22" s="127" t="str">
        <f ca="1">[1]!cb_info_listeddate(B22)</f>
        <v>2019-11-22</v>
      </c>
      <c r="X22" s="127" t="str">
        <f ca="1">[1]!cb_info_carrydate(B22)</f>
        <v>2019-10-28</v>
      </c>
      <c r="Y22" s="125" t="str">
        <f ca="1">[1]!cb_clause_conversion_2_swapsharestartdate(B22)</f>
        <v>2020-05-06</v>
      </c>
      <c r="Z22" s="125" t="str">
        <f ca="1">[1]!cb_clause_putoption_conditionalputbackstartenddate(B22)</f>
        <v>2023-10-28</v>
      </c>
      <c r="AA22" s="230">
        <f ca="1">[1]!cb_info_maturitycallprice(B22)</f>
        <v>118</v>
      </c>
      <c r="AB22" s="230">
        <f ca="1">IF(ISNUMBER([1]!cb_info_conditionalputprice(B22)),[1]!cb_info_conditionalputprice(B22),"-")</f>
        <v>0</v>
      </c>
      <c r="AC22" s="230">
        <f ca="1">[1]!cb_info_interest(B22)</f>
        <v>0.4</v>
      </c>
      <c r="AD22" s="263" t="str">
        <f ca="1">IFERROR(couponlist([1]!cb_clause_interest(B22,"4")),"-")</f>
        <v>0.40%，0.70%，1.20%，2.00%，2.50%，3.50%</v>
      </c>
      <c r="AE22" s="129"/>
      <c r="AF22" s="129"/>
      <c r="AG22" s="129"/>
      <c r="AH22" s="129"/>
      <c r="AI22" s="129"/>
      <c r="AJ22" s="129"/>
      <c r="AK22" s="129"/>
      <c r="AL22" s="129"/>
      <c r="AM22" s="129"/>
      <c r="AN22" s="129"/>
      <c r="AO22" s="129"/>
      <c r="AP22" s="129"/>
      <c r="AQ22" s="129"/>
    </row>
    <row r="23" spans="1:43" s="191" customFormat="1" x14ac:dyDescent="0.35">
      <c r="A23" s="182" t="s">
        <v>0</v>
      </c>
      <c r="B23" s="182" t="s">
        <v>1713</v>
      </c>
      <c r="C23" s="182" t="s">
        <v>1714</v>
      </c>
      <c r="D23" s="235" t="str">
        <f ca="1">IF([1]!s_info_industry_sw(B23,1)=0,"-",[1]!s_info_industry_sw(B23,1))</f>
        <v>有色金属</v>
      </c>
      <c r="E23" s="183" t="str">
        <f ca="1">[1]!cb_info_underlyingcode(B23)</f>
        <v>688598.SH</v>
      </c>
      <c r="F23" s="185">
        <f ca="1">RTD("wdf.rtq",,B23,"LastPrice","Dirty_Price")</f>
        <v>173.59</v>
      </c>
      <c r="G23" s="185">
        <f ca="1">RTD("wdf.rtq",,E23,"LastPrice")</f>
        <v>376.26</v>
      </c>
      <c r="H23" s="225">
        <f ca="1">RTD("wdf.rtq",,B23,"PctChg","RT_Price")/100</f>
        <v>1.3900000000000001E-2</v>
      </c>
      <c r="I23" s="225">
        <f ca="1">RTD("wdf.rtq",,E23,"PctChg")/100</f>
        <v>-3.49E-2</v>
      </c>
      <c r="J23" s="186">
        <f ca="1">_xlfn.IFNA([1]!b_anal_ptmyear(B23,$B$2),"未发行或发行失败")</f>
        <v>5.8712328767123285</v>
      </c>
      <c r="K23" s="186">
        <f ca="1">RTD("wdf.rtq",,B23,"Amount","Dirty_Price")/100000000</f>
        <v>0.67220610000000003</v>
      </c>
      <c r="L23" s="186">
        <f ca="1">[1]!cb_anal_convprice(B23,$B$2)</f>
        <v>271.62</v>
      </c>
      <c r="M23" s="186">
        <f t="shared" ca="1" si="0"/>
        <v>138.52440910094987</v>
      </c>
      <c r="N23" s="187">
        <f t="shared" ca="1" si="1"/>
        <v>25.313654919470565</v>
      </c>
      <c r="O23" s="187">
        <f t="array" aca="1" ref="O23" ca="1">_xlfn.IFNA(RTD("wdf.rtq",,B23,"LastPrice","Yield_To_Maturity"),[1]!cb_anal_ytm(B23,$C$2))</f>
        <v>-5.9940000000000007</v>
      </c>
      <c r="P23" s="187">
        <f ca="1">[1]!cb_anal_straightbondvalue(B23,$B$2)</f>
        <v>74.227900000000005</v>
      </c>
      <c r="Q23" s="187">
        <f t="shared" ca="1" si="2"/>
        <v>133.86085285990845</v>
      </c>
      <c r="R23" s="187" t="str">
        <f ca="1">[1]!b_rate_latestcredit(B23)</f>
        <v>A+</v>
      </c>
      <c r="S23" s="187">
        <f ca="1">[1]!cb_info_outstandingbalance(B23,$B$2)</f>
        <v>5.9990100000000002</v>
      </c>
      <c r="T23" s="187">
        <f ca="1">[1]!cb_info_issueamount(B23,100000000)</f>
        <v>5.9990100000000002</v>
      </c>
      <c r="U23" s="187">
        <f t="shared" ca="1" si="3"/>
        <v>100.00000000000001</v>
      </c>
      <c r="V23" s="240">
        <f ca="1">IF([1]!cb_anal_ldiluterate(B23,$B$2)=100,"-",[1]!cb_anal_ldiluterate(B23,$B$2))</f>
        <v>3.3229479997247</v>
      </c>
      <c r="W23" s="188" t="str">
        <f ca="1">[1]!cb_info_listeddate(B23)</f>
        <v>2021-08-18</v>
      </c>
      <c r="X23" s="188" t="str">
        <f ca="1">[1]!cb_info_carrydate(B23)</f>
        <v>2021-07-23</v>
      </c>
      <c r="Y23" s="186" t="str">
        <f ca="1">[1]!cb_clause_conversion_2_swapsharestartdate(B23)</f>
        <v>2022-01-29</v>
      </c>
      <c r="Z23" s="186" t="str">
        <f ca="1">[1]!cb_clause_putoption_conditionalputbackstartenddate(B23)</f>
        <v>2025-07-23</v>
      </c>
      <c r="AA23" s="240">
        <f ca="1">[1]!cb_info_maturitycallprice(B23)</f>
        <v>115</v>
      </c>
      <c r="AB23" s="240">
        <f ca="1">IF(ISNUMBER([1]!cb_info_conditionalputprice(B23)),[1]!cb_info_conditionalputprice(B23),"-")</f>
        <v>0</v>
      </c>
      <c r="AC23" s="240">
        <f ca="1">[1]!cb_info_interest(B23)</f>
        <v>0.5</v>
      </c>
      <c r="AD23" s="262" t="str">
        <f ca="1">IFERROR(couponlist([1]!cb_clause_interest(B23,"4")),"-")</f>
        <v>0.50%，0.70%，1.20%，1.80%，2.40%，2.80%</v>
      </c>
      <c r="AE23" s="189"/>
      <c r="AF23" s="189"/>
      <c r="AG23" s="189"/>
      <c r="AH23" s="189"/>
      <c r="AI23" s="189"/>
      <c r="AJ23" s="189"/>
      <c r="AK23" s="189"/>
      <c r="AL23" s="189"/>
      <c r="AM23" s="189"/>
      <c r="AN23" s="189"/>
      <c r="AO23" s="189"/>
      <c r="AP23" s="189"/>
      <c r="AQ23" s="189"/>
    </row>
    <row r="24" spans="1:43" s="130" customFormat="1" x14ac:dyDescent="0.35">
      <c r="A24" s="121" t="s">
        <v>5</v>
      </c>
      <c r="B24" s="121" t="s">
        <v>260</v>
      </c>
      <c r="C24" s="121" t="s">
        <v>261</v>
      </c>
      <c r="D24" s="236" t="str">
        <f ca="1">IF([1]!s_info_industry_sw(B24,1)=0,"-",[1]!s_info_industry_sw(B24,1))</f>
        <v>有色金属</v>
      </c>
      <c r="E24" s="122" t="str">
        <f ca="1">[1]!cb_info_underlyingcode(B24)</f>
        <v>300748.SZ</v>
      </c>
      <c r="F24" s="124">
        <f ca="1">RTD("wdf.rtq",,B24,"LastPrice","Dirty_Price")</f>
        <v>150.70000000000002</v>
      </c>
      <c r="G24" s="124">
        <f ca="1">RTD("wdf.rtq",,E24,"LastPrice")</f>
        <v>37.17</v>
      </c>
      <c r="H24" s="226">
        <f ca="1">RTD("wdf.rtq",,B24,"PctChg","RT_Price")/100</f>
        <v>0</v>
      </c>
      <c r="I24" s="226">
        <f ca="1">RTD("wdf.rtq",,E24,"PctChg")/100</f>
        <v>-3.2000000000000002E-3</v>
      </c>
      <c r="J24" s="125">
        <f ca="1">_xlfn.IFNA([1]!b_anal_ptmyear(B24,$B$2),"未发行或发行失败")</f>
        <v>4.1479452054794521</v>
      </c>
      <c r="K24" s="125">
        <f ca="1">RTD("wdf.rtq",,B24,"Amount","Dirty_Price")/100000000</f>
        <v>0</v>
      </c>
      <c r="L24" s="125">
        <f ca="1">[1]!cb_anal_convprice(B24,$B$2)</f>
        <v>25.3</v>
      </c>
      <c r="M24" s="125">
        <f t="shared" ca="1" si="0"/>
        <v>146.91699604743081</v>
      </c>
      <c r="N24" s="126">
        <f t="shared" ca="1" si="1"/>
        <v>2.5749260156040066</v>
      </c>
      <c r="O24" s="126">
        <f t="array" aca="1" ref="O24" ca="1">_xlfn.IFNA(RTD("wdf.rtq",,B24,"LastPrice","Yield_To_Maturity"),[1]!cb_anal_ytm(B24,$C$2))</f>
        <v>-5.1752000000000002</v>
      </c>
      <c r="P24" s="126">
        <f ca="1">[1]!cb_anal_straightbondvalue(B24,$B$2)</f>
        <v>0</v>
      </c>
      <c r="Q24" s="126" t="e">
        <f t="shared" ca="1" si="2"/>
        <v>#DIV/0!</v>
      </c>
      <c r="R24" s="126" t="str">
        <f ca="1">[1]!b_rate_latestcredit(B24)</f>
        <v>AA-</v>
      </c>
      <c r="S24" s="126">
        <f ca="1">[1]!cb_info_outstandingbalance(B24,$B$2)</f>
        <v>0</v>
      </c>
      <c r="T24" s="126">
        <f ca="1">[1]!cb_info_issueamount(B24,100000000)</f>
        <v>4.3499999999999996</v>
      </c>
      <c r="U24" s="126">
        <f t="shared" ca="1" si="3"/>
        <v>0</v>
      </c>
      <c r="V24" s="230">
        <f ca="1">IF([1]!cb_anal_ldiluterate(B24,$B$2)=100,"-",[1]!cb_anal_ldiluterate(B24,$B$2))</f>
        <v>0</v>
      </c>
      <c r="W24" s="127" t="str">
        <f ca="1">[1]!cb_info_listeddate(B24)</f>
        <v>2019-11-25</v>
      </c>
      <c r="X24" s="127" t="str">
        <f ca="1">[1]!cb_info_carrydate(B24)</f>
        <v>2019-11-01</v>
      </c>
      <c r="Y24" s="125" t="str">
        <f ca="1">[1]!cb_clause_conversion_2_swapsharestartdate(B24)</f>
        <v>2020-05-07</v>
      </c>
      <c r="Z24" s="125" t="str">
        <f ca="1">[1]!cb_clause_putoption_conditionalputbackstartenddate(B24)</f>
        <v>2023-11-01</v>
      </c>
      <c r="AA24" s="230">
        <f ca="1">[1]!cb_info_maturitycallprice(B24)</f>
        <v>114</v>
      </c>
      <c r="AB24" s="230">
        <f ca="1">IF(ISNUMBER([1]!cb_info_conditionalputprice(B24)),[1]!cb_info_conditionalputprice(B24),"-")</f>
        <v>0</v>
      </c>
      <c r="AC24" s="230">
        <f ca="1">[1]!cb_info_interest(B24)</f>
        <v>0.4</v>
      </c>
      <c r="AD24" s="263" t="str">
        <f ca="1">IFERROR(couponlist([1]!cb_clause_interest(B24,"4")),"-")</f>
        <v>0.4%，1.0%，1.5%，2.0%，3.0%，4.0%</v>
      </c>
      <c r="AE24" s="129"/>
      <c r="AF24" s="129"/>
      <c r="AG24" s="129"/>
      <c r="AH24" s="129"/>
      <c r="AI24" s="129"/>
      <c r="AJ24" s="129"/>
      <c r="AK24" s="129"/>
      <c r="AL24" s="129"/>
      <c r="AM24" s="129"/>
      <c r="AN24" s="129"/>
      <c r="AO24" s="129"/>
      <c r="AP24" s="129"/>
      <c r="AQ24" s="129"/>
    </row>
    <row r="25" spans="1:43" s="191" customFormat="1" x14ac:dyDescent="0.35">
      <c r="A25" s="182" t="s">
        <v>0</v>
      </c>
      <c r="B25" s="182" t="s">
        <v>1283</v>
      </c>
      <c r="C25" s="182" t="s">
        <v>1284</v>
      </c>
      <c r="D25" s="235" t="str">
        <f ca="1">IF([1]!s_info_industry_sw(B25,1)=0,"-",[1]!s_info_industry_sw(B25,1))</f>
        <v>银行</v>
      </c>
      <c r="E25" s="183" t="str">
        <f ca="1">[1]!cb_info_underlyingcode(B25)</f>
        <v>600926.SH</v>
      </c>
      <c r="F25" s="185">
        <f ca="1">RTD("wdf.rtq",,B25,"LastPrice","Dirty_Price")</f>
        <v>127.19000000000001</v>
      </c>
      <c r="G25" s="185">
        <f ca="1">RTD("wdf.rtq",,E25,"LastPrice")</f>
        <v>14.99</v>
      </c>
      <c r="H25" s="225">
        <f ca="1">RTD("wdf.rtq",,B25,"PctChg","RT_Price")/100</f>
        <v>5.1000000000000004E-3</v>
      </c>
      <c r="I25" s="225">
        <f ca="1">RTD("wdf.rtq",,E25,"PctChg")/100</f>
        <v>8.7000000000000011E-3</v>
      </c>
      <c r="J25" s="186">
        <f ca="1">_xlfn.IFNA([1]!b_anal_ptmyear(B25,$B$2),"未发行或发行失败")</f>
        <v>5.5534246575342463</v>
      </c>
      <c r="K25" s="186">
        <f ca="1">RTD("wdf.rtq",,B25,"Amount","Dirty_Price")/100000000</f>
        <v>1.6747807299999999</v>
      </c>
      <c r="L25" s="186">
        <f ca="1">[1]!cb_anal_convprice(B25,$B$2)</f>
        <v>12.99</v>
      </c>
      <c r="M25" s="186">
        <f t="shared" ca="1" si="0"/>
        <v>115.39645881447267</v>
      </c>
      <c r="N25" s="187">
        <f t="shared" ca="1" si="1"/>
        <v>10.22002001334225</v>
      </c>
      <c r="O25" s="187">
        <f t="array" aca="1" ref="O25" ca="1">_xlfn.IFNA(RTD("wdf.rtq",,B25,"LastPrice","Yield_To_Maturity"),[1]!cb_anal_ytm(B25,$C$2))</f>
        <v>-2.2330000000000001</v>
      </c>
      <c r="P25" s="187">
        <f ca="1">[1]!cb_anal_straightbondvalue(B25,$B$2)</f>
        <v>93.032700000000006</v>
      </c>
      <c r="Q25" s="187">
        <f t="shared" ca="1" si="2"/>
        <v>36.715369972063598</v>
      </c>
      <c r="R25" s="187" t="str">
        <f ca="1">[1]!b_rate_latestcredit(B25)</f>
        <v>AAA</v>
      </c>
      <c r="S25" s="187">
        <f ca="1">[1]!cb_info_outstandingbalance(B25,$B$2)</f>
        <v>150</v>
      </c>
      <c r="T25" s="187">
        <f ca="1">[1]!cb_info_issueamount(B25,100000000)</f>
        <v>150</v>
      </c>
      <c r="U25" s="187">
        <f t="shared" ca="1" si="3"/>
        <v>100</v>
      </c>
      <c r="V25" s="240">
        <f ca="1">IF([1]!cb_anal_ldiluterate(B25,$B$2)=100,"-",[1]!cb_anal_ldiluterate(B25,$B$2))</f>
        <v>18.636487514781731</v>
      </c>
      <c r="W25" s="188" t="str">
        <f ca="1">[1]!cb_info_listeddate(B25)</f>
        <v>2021-04-23</v>
      </c>
      <c r="X25" s="188" t="str">
        <f ca="1">[1]!cb_info_carrydate(B25)</f>
        <v>2021-03-29</v>
      </c>
      <c r="Y25" s="186" t="str">
        <f ca="1">[1]!cb_clause_conversion_2_swapsharestartdate(B25)</f>
        <v>2021-10-08</v>
      </c>
      <c r="Z25" s="186">
        <f ca="1">[1]!cb_clause_putoption_conditionalputbackstartenddate(B25)</f>
        <v>0</v>
      </c>
      <c r="AA25" s="240">
        <f ca="1">[1]!cb_info_maturitycallprice(B25)</f>
        <v>108</v>
      </c>
      <c r="AB25" s="240">
        <f ca="1">IF(ISNUMBER([1]!cb_info_conditionalputprice(B25)),[1]!cb_info_conditionalputprice(B25),"-")</f>
        <v>0</v>
      </c>
      <c r="AC25" s="240">
        <f ca="1">[1]!cb_info_interest(B25)</f>
        <v>0.2</v>
      </c>
      <c r="AD25" s="262" t="str">
        <f ca="1">IFERROR(couponlist([1]!cb_clause_interest(B25,"4")),"-")</f>
        <v>0.20%，0.40%，0.80%，1.20%，1.80%，2.00%</v>
      </c>
      <c r="AE25" s="189"/>
      <c r="AF25" s="189"/>
      <c r="AG25" s="189"/>
      <c r="AH25" s="189"/>
      <c r="AI25" s="189"/>
      <c r="AJ25" s="189"/>
      <c r="AK25" s="189"/>
      <c r="AL25" s="189"/>
      <c r="AM25" s="189"/>
      <c r="AN25" s="189"/>
      <c r="AO25" s="189"/>
      <c r="AP25" s="189"/>
      <c r="AQ25" s="189"/>
    </row>
    <row r="26" spans="1:43" s="130" customFormat="1" x14ac:dyDescent="0.35">
      <c r="A26" s="121" t="s">
        <v>0</v>
      </c>
      <c r="B26" s="121" t="s">
        <v>864</v>
      </c>
      <c r="C26" s="121" t="s">
        <v>865</v>
      </c>
      <c r="D26" s="236" t="str">
        <f ca="1">IF([1]!s_info_industry_sw(B26,1)=0,"-",[1]!s_info_industry_sw(B26,1))</f>
        <v>银行</v>
      </c>
      <c r="E26" s="122" t="str">
        <f ca="1">[1]!cb_info_underlyingcode(B26)</f>
        <v>601818.SH</v>
      </c>
      <c r="F26" s="124">
        <f ca="1">RTD("wdf.rtq",,B26,"LastPrice","Dirty_Price")</f>
        <v>116.88000000000001</v>
      </c>
      <c r="G26" s="124">
        <f ca="1">RTD("wdf.rtq",,E26,"LastPrice")</f>
        <v>3.54</v>
      </c>
      <c r="H26" s="226">
        <f ca="1">RTD("wdf.rtq",,B26,"PctChg","RT_Price")/100</f>
        <v>2.4000000000000002E-3</v>
      </c>
      <c r="I26" s="226">
        <f ca="1">RTD("wdf.rtq",,E26,"PctChg")/100</f>
        <v>5.7000000000000002E-3</v>
      </c>
      <c r="J26" s="125">
        <f ca="1">_xlfn.IFNA([1]!b_anal_ptmyear(B26,$B$2),"未发行或发行失败")</f>
        <v>1.5205479452054793</v>
      </c>
      <c r="K26" s="125">
        <f ca="1">RTD("wdf.rtq",,B26,"Amount","Dirty_Price")/100000000</f>
        <v>1.12478543</v>
      </c>
      <c r="L26" s="125">
        <f ca="1">[1]!cb_anal_convprice(B26,$B$2)</f>
        <v>3.55</v>
      </c>
      <c r="M26" s="125">
        <f t="shared" ca="1" si="0"/>
        <v>99.718309859154928</v>
      </c>
      <c r="N26" s="126">
        <f t="shared" ca="1" si="1"/>
        <v>17.210169491525448</v>
      </c>
      <c r="O26" s="126">
        <f t="array" aca="1" ref="O26" ca="1">_xlfn.IFNA(RTD("wdf.rtq",,B26,"LastPrice","Yield_To_Maturity"),[1]!cb_anal_ytm(B26,$C$2))</f>
        <v>-5.8197000000000001</v>
      </c>
      <c r="P26" s="126">
        <f ca="1">[1]!cb_anal_straightbondvalue(B26,$B$2)</f>
        <v>102.48220000000001</v>
      </c>
      <c r="Q26" s="126">
        <f t="shared" ca="1" si="2"/>
        <v>14.049073887953242</v>
      </c>
      <c r="R26" s="126" t="str">
        <f ca="1">[1]!b_rate_latestcredit(B26)</f>
        <v>AAA</v>
      </c>
      <c r="S26" s="126">
        <f ca="1">[1]!cb_info_outstandingbalance(B26,$B$2)</f>
        <v>241.9888</v>
      </c>
      <c r="T26" s="126">
        <f ca="1">[1]!cb_info_issueamount(B26,100000000)</f>
        <v>300</v>
      </c>
      <c r="U26" s="126">
        <f t="shared" ca="1" si="3"/>
        <v>80.662933333333342</v>
      </c>
      <c r="V26" s="230">
        <f ca="1">IF([1]!cb_anal_ldiluterate(B26,$B$2)=100,"-",[1]!cb_anal_ldiluterate(B26,$B$2))</f>
        <v>14.151174493474114</v>
      </c>
      <c r="W26" s="127" t="str">
        <f ca="1">[1]!cb_info_listeddate(B26)</f>
        <v>2017-04-05</v>
      </c>
      <c r="X26" s="127" t="str">
        <f ca="1">[1]!cb_info_carrydate(B26)</f>
        <v>2017-03-17</v>
      </c>
      <c r="Y26" s="125" t="str">
        <f ca="1">[1]!cb_clause_conversion_2_swapsharestartdate(B26)</f>
        <v>2017-09-18</v>
      </c>
      <c r="Z26" s="125">
        <f ca="1">[1]!cb_clause_putoption_conditionalputbackstartenddate(B26)</f>
        <v>0</v>
      </c>
      <c r="AA26" s="230">
        <f ca="1">[1]!cb_info_maturitycallprice(B26)</f>
        <v>105</v>
      </c>
      <c r="AB26" s="230">
        <f ca="1">IF(ISNUMBER([1]!cb_info_conditionalputprice(B26)),[1]!cb_info_conditionalputprice(B26),"-")</f>
        <v>0</v>
      </c>
      <c r="AC26" s="230">
        <f ca="1">[1]!cb_info_interest(B26)</f>
        <v>0.2</v>
      </c>
      <c r="AD26" s="263" t="str">
        <f ca="1">IFERROR(couponlist([1]!cb_clause_interest(B26,"4")),"-")</f>
        <v>0.2%，0.5%，1.0%，1.5%，1.8%，2.0%</v>
      </c>
      <c r="AE26" s="129"/>
      <c r="AF26" s="129"/>
      <c r="AG26" s="129"/>
      <c r="AH26" s="129"/>
      <c r="AI26" s="129"/>
      <c r="AJ26" s="129"/>
      <c r="AK26" s="129"/>
      <c r="AL26" s="129"/>
      <c r="AM26" s="129"/>
      <c r="AN26" s="129"/>
      <c r="AO26" s="129"/>
      <c r="AP26" s="129"/>
      <c r="AQ26" s="129"/>
    </row>
    <row r="27" spans="1:43" s="191" customFormat="1" x14ac:dyDescent="0.35">
      <c r="A27" s="182" t="s">
        <v>0</v>
      </c>
      <c r="B27" s="182" t="s">
        <v>878</v>
      </c>
      <c r="C27" s="182" t="s">
        <v>879</v>
      </c>
      <c r="D27" s="235" t="str">
        <f ca="1">IF([1]!s_info_industry_sw(B27,1)=0,"-",[1]!s_info_industry_sw(B27,1))</f>
        <v>银行</v>
      </c>
      <c r="E27" s="183" t="str">
        <f ca="1">[1]!cb_info_underlyingcode(B27)</f>
        <v>603323.SH</v>
      </c>
      <c r="F27" s="185">
        <f ca="1">RTD("wdf.rtq",,B27,"LastPrice","Dirty_Price")</f>
        <v>118.13000000000001</v>
      </c>
      <c r="G27" s="185">
        <f ca="1">RTD("wdf.rtq",,E27,"LastPrice")</f>
        <v>5.16</v>
      </c>
      <c r="H27" s="225">
        <f ca="1">RTD("wdf.rtq",,B27,"PctChg","RT_Price")/100</f>
        <v>-1.9E-3</v>
      </c>
      <c r="I27" s="225">
        <f ca="1">RTD("wdf.rtq",,E27,"PctChg")/100</f>
        <v>-5.8000000000000005E-3</v>
      </c>
      <c r="J27" s="186">
        <f ca="1">_xlfn.IFNA([1]!b_anal_ptmyear(B27,$B$2),"未发行或发行失败")</f>
        <v>2.8986301369863012</v>
      </c>
      <c r="K27" s="186">
        <f ca="1">RTD("wdf.rtq",,B27,"Amount","Dirty_Price")/100000000</f>
        <v>4.8123520000000003E-2</v>
      </c>
      <c r="L27" s="186">
        <f ca="1">[1]!cb_anal_convprice(B27,$B$2)</f>
        <v>5.37</v>
      </c>
      <c r="M27" s="186">
        <f t="shared" ca="1" si="0"/>
        <v>96.089385474860336</v>
      </c>
      <c r="N27" s="187">
        <f t="shared" ca="1" si="1"/>
        <v>22.937616279069786</v>
      </c>
      <c r="O27" s="187">
        <f t="array" aca="1" ref="O27" ca="1">_xlfn.IFNA(RTD("wdf.rtq",,B27,"LastPrice","Yield_To_Maturity"),[1]!cb_anal_ytm(B27,$C$2))</f>
        <v>-1.4507000000000001</v>
      </c>
      <c r="P27" s="187">
        <f ca="1">[1]!cb_anal_straightbondvalue(B27,$B$2)</f>
        <v>103.50960000000001</v>
      </c>
      <c r="Q27" s="187">
        <f t="shared" ca="1" si="2"/>
        <v>14.124680222897211</v>
      </c>
      <c r="R27" s="187" t="str">
        <f ca="1">[1]!b_rate_latestcredit(B27)</f>
        <v>AA+</v>
      </c>
      <c r="S27" s="187">
        <f ca="1">[1]!cb_info_outstandingbalance(B27,$B$2)</f>
        <v>12.88608</v>
      </c>
      <c r="T27" s="187">
        <f ca="1">[1]!cb_info_issueamount(B27,100000000)</f>
        <v>25</v>
      </c>
      <c r="U27" s="187">
        <f t="shared" ca="1" si="3"/>
        <v>51.544319999999999</v>
      </c>
      <c r="V27" s="240">
        <f ca="1">IF([1]!cb_anal_ldiluterate(B27,$B$2)=100,"-",[1]!cb_anal_ldiluterate(B27,$B$2))</f>
        <v>14.283957912272641</v>
      </c>
      <c r="W27" s="188" t="str">
        <f ca="1">[1]!cb_info_listeddate(B27)</f>
        <v>2018-08-20</v>
      </c>
      <c r="X27" s="188" t="str">
        <f ca="1">[1]!cb_info_carrydate(B27)</f>
        <v>2018-08-02</v>
      </c>
      <c r="Y27" s="186" t="str">
        <f ca="1">[1]!cb_clause_conversion_2_swapsharestartdate(B27)</f>
        <v>2019-02-11</v>
      </c>
      <c r="Z27" s="186">
        <f ca="1">[1]!cb_clause_putoption_conditionalputbackstartenddate(B27)</f>
        <v>0</v>
      </c>
      <c r="AA27" s="240">
        <f ca="1">[1]!cb_info_maturitycallprice(B27)</f>
        <v>110</v>
      </c>
      <c r="AB27" s="240">
        <f ca="1">IF(ISNUMBER([1]!cb_info_conditionalputprice(B27)),[1]!cb_info_conditionalputprice(B27),"-")</f>
        <v>0</v>
      </c>
      <c r="AC27" s="240">
        <f ca="1">[1]!cb_info_interest(B27)</f>
        <v>0.5</v>
      </c>
      <c r="AD27" s="262" t="str">
        <f ca="1">IFERROR(couponlist([1]!cb_clause_interest(B27,"4")),"-")</f>
        <v>0.5%，0.8%，1.0%，1.5%，1.8%</v>
      </c>
      <c r="AE27" s="189"/>
      <c r="AF27" s="189"/>
      <c r="AG27" s="189"/>
      <c r="AH27" s="189"/>
      <c r="AI27" s="189"/>
      <c r="AJ27" s="189"/>
      <c r="AK27" s="189"/>
      <c r="AL27" s="189"/>
      <c r="AM27" s="189"/>
      <c r="AN27" s="189"/>
      <c r="AO27" s="189"/>
      <c r="AP27" s="189"/>
      <c r="AQ27" s="189"/>
    </row>
    <row r="28" spans="1:43" s="130" customFormat="1" x14ac:dyDescent="0.35">
      <c r="A28" s="121" t="s">
        <v>5</v>
      </c>
      <c r="B28" s="121" t="s">
        <v>883</v>
      </c>
      <c r="C28" s="121" t="s">
        <v>884</v>
      </c>
      <c r="D28" s="236" t="str">
        <f ca="1">IF([1]!s_info_industry_sw(B28,1)=0,"-",[1]!s_info_industry_sw(B28,1))</f>
        <v>银行</v>
      </c>
      <c r="E28" s="122" t="str">
        <f ca="1">[1]!cb_info_underlyingcode(B28)</f>
        <v>002807.SZ</v>
      </c>
      <c r="F28" s="124">
        <f ca="1">RTD("wdf.rtq",,B28,"LastPrice","Dirty_Price")</f>
        <v>110.798</v>
      </c>
      <c r="G28" s="124">
        <f ca="1">RTD("wdf.rtq",,E28,"LastPrice")</f>
        <v>3.93</v>
      </c>
      <c r="H28" s="226">
        <f ca="1">RTD("wdf.rtq",,B28,"PctChg","RT_Price")/100</f>
        <v>9.0000000000000008E-4</v>
      </c>
      <c r="I28" s="226">
        <f ca="1">RTD("wdf.rtq",,E28,"PctChg")/100</f>
        <v>5.1000000000000004E-3</v>
      </c>
      <c r="J28" s="125">
        <f ca="1">_xlfn.IFNA([1]!b_anal_ptmyear(B28,$B$2),"未发行或发行失败")</f>
        <v>2.3835616438356162</v>
      </c>
      <c r="K28" s="125">
        <f ca="1">RTD("wdf.rtq",,B28,"Amount","Dirty_Price")/100000000</f>
        <v>0.14707782</v>
      </c>
      <c r="L28" s="125">
        <f ca="1">[1]!cb_anal_convprice(B28,$B$2)</f>
        <v>4.32</v>
      </c>
      <c r="M28" s="125">
        <f t="shared" ca="1" si="0"/>
        <v>90.972222222222214</v>
      </c>
      <c r="N28" s="126">
        <f t="shared" ca="1" si="1"/>
        <v>21.7932213740458</v>
      </c>
      <c r="O28" s="126">
        <f t="array" aca="1" ref="O28" ca="1">_xlfn.IFNA(RTD("wdf.rtq",,B28,"LastPrice","Yield_To_Maturity"),[1]!cb_anal_ytm(B28,$C$2))</f>
        <v>-0.96430000000000005</v>
      </c>
      <c r="P28" s="126">
        <f ca="1">[1]!cb_anal_straightbondvalue(B28,$B$2)</f>
        <v>100.7449</v>
      </c>
      <c r="Q28" s="126">
        <f t="shared" ca="1" si="2"/>
        <v>9.9787681560058985</v>
      </c>
      <c r="R28" s="126" t="str">
        <f ca="1">[1]!b_rate_latestcredit(B28)</f>
        <v>AA+</v>
      </c>
      <c r="S28" s="126">
        <f ca="1">[1]!cb_info_outstandingbalance(B28,$B$2)</f>
        <v>17.581268999999999</v>
      </c>
      <c r="T28" s="126">
        <f ca="1">[1]!cb_info_issueamount(B28,100000000)</f>
        <v>20</v>
      </c>
      <c r="U28" s="126">
        <f t="shared" ca="1" si="3"/>
        <v>87.906345000000002</v>
      </c>
      <c r="V28" s="230">
        <f ca="1">IF([1]!cb_anal_ldiluterate(B28,$B$2)=100,"-",[1]!cb_anal_ldiluterate(B28,$B$2))</f>
        <v>15.796279263165609</v>
      </c>
      <c r="W28" s="127" t="str">
        <f ca="1">[1]!cb_info_listeddate(B28)</f>
        <v>2018-02-14</v>
      </c>
      <c r="X28" s="127" t="str">
        <f ca="1">[1]!cb_info_carrydate(B28)</f>
        <v>2018-01-26</v>
      </c>
      <c r="Y28" s="125" t="str">
        <f ca="1">[1]!cb_clause_conversion_2_swapsharestartdate(B28)</f>
        <v>2018-08-01</v>
      </c>
      <c r="Z28" s="125">
        <f ca="1">[1]!cb_clause_putoption_conditionalputbackstartenddate(B28)</f>
        <v>0</v>
      </c>
      <c r="AA28" s="230">
        <f ca="1">[1]!cb_info_maturitycallprice(B28)</f>
        <v>106</v>
      </c>
      <c r="AB28" s="230">
        <f ca="1">IF(ISNUMBER([1]!cb_info_conditionalputprice(B28)),[1]!cb_info_conditionalputprice(B28),"-")</f>
        <v>0</v>
      </c>
      <c r="AC28" s="230">
        <f ca="1">[1]!cb_info_interest(B28)</f>
        <v>0.3</v>
      </c>
      <c r="AD28" s="263" t="str">
        <f ca="1">IFERROR(couponlist([1]!cb_clause_interest(B28,"4")),"-")</f>
        <v>0.30%，0.50%，0.80%，1.00%，1.30%，1.80%</v>
      </c>
      <c r="AE28" s="129"/>
      <c r="AF28" s="129"/>
      <c r="AG28" s="129"/>
      <c r="AH28" s="129"/>
      <c r="AI28" s="129"/>
      <c r="AJ28" s="129"/>
      <c r="AK28" s="129"/>
      <c r="AL28" s="129"/>
      <c r="AM28" s="129"/>
      <c r="AN28" s="129"/>
      <c r="AO28" s="129"/>
      <c r="AP28" s="129"/>
      <c r="AQ28" s="129"/>
    </row>
    <row r="29" spans="1:43" s="191" customFormat="1" x14ac:dyDescent="0.35">
      <c r="A29" s="182" t="s">
        <v>5</v>
      </c>
      <c r="B29" s="182" t="s">
        <v>885</v>
      </c>
      <c r="C29" s="182" t="s">
        <v>886</v>
      </c>
      <c r="D29" s="235" t="str">
        <f ca="1">IF([1]!s_info_industry_sw(B29,1)=0,"-",[1]!s_info_industry_sw(B29,1))</f>
        <v>银行</v>
      </c>
      <c r="E29" s="183" t="str">
        <f ca="1">[1]!cb_info_underlyingcode(B29)</f>
        <v>002839.SZ</v>
      </c>
      <c r="F29" s="185">
        <f ca="1">RTD("wdf.rtq",,B29,"LastPrice","Dirty_Price")</f>
        <v>123.471</v>
      </c>
      <c r="G29" s="185">
        <f ca="1">RTD("wdf.rtq",,E29,"LastPrice")</f>
        <v>6.0600000000000005</v>
      </c>
      <c r="H29" s="225">
        <f ca="1">RTD("wdf.rtq",,B29,"PctChg","RT_Price")/100</f>
        <v>1.37E-2</v>
      </c>
      <c r="I29" s="225">
        <f ca="1">RTD("wdf.rtq",,E29,"PctChg")/100</f>
        <v>1.34E-2</v>
      </c>
      <c r="J29" s="186">
        <f ca="1">_xlfn.IFNA([1]!b_anal_ptmyear(B29,$B$2),"未发行或发行失败")</f>
        <v>3.1780821917808217</v>
      </c>
      <c r="K29" s="186">
        <f ca="1">RTD("wdf.rtq",,B29,"Amount","Dirty_Price")/100000000</f>
        <v>0.37932649000000002</v>
      </c>
      <c r="L29" s="186">
        <f ca="1">[1]!cb_anal_convprice(B29,$B$2)</f>
        <v>5.6</v>
      </c>
      <c r="M29" s="186">
        <f t="shared" ca="1" si="0"/>
        <v>108.21428571428572</v>
      </c>
      <c r="N29" s="187">
        <f t="shared" ca="1" si="1"/>
        <v>14.098613861386127</v>
      </c>
      <c r="O29" s="187">
        <f t="array" aca="1" ref="O29" ca="1">_xlfn.IFNA(RTD("wdf.rtq",,B29,"LastPrice","Yield_To_Maturity"),[1]!cb_anal_ytm(B29,$C$2))</f>
        <v>-2.7253000000000003</v>
      </c>
      <c r="P29" s="187">
        <f ca="1">[1]!cb_anal_straightbondvalue(B29,$B$2)</f>
        <v>102.48990000000001</v>
      </c>
      <c r="Q29" s="187">
        <f t="shared" ca="1" si="2"/>
        <v>20.471383033840411</v>
      </c>
      <c r="R29" s="187" t="str">
        <f ca="1">[1]!b_rate_latestcredit(B29)</f>
        <v>AA+</v>
      </c>
      <c r="S29" s="187">
        <f ca="1">[1]!cb_info_outstandingbalance(B29,$B$2)</f>
        <v>24.974995</v>
      </c>
      <c r="T29" s="187">
        <f ca="1">[1]!cb_info_issueamount(B29,100000000)</f>
        <v>25</v>
      </c>
      <c r="U29" s="187">
        <f t="shared" ca="1" si="3"/>
        <v>99.899979999999999</v>
      </c>
      <c r="V29" s="240">
        <f ca="1">IF([1]!cb_anal_ldiluterate(B29,$B$2)=100,"-",[1]!cb_anal_ldiluterate(B29,$B$2))</f>
        <v>23.647736808234676</v>
      </c>
      <c r="W29" s="188" t="str">
        <f ca="1">[1]!cb_info_listeddate(B29)</f>
        <v>2018-11-29</v>
      </c>
      <c r="X29" s="188" t="str">
        <f ca="1">[1]!cb_info_carrydate(B29)</f>
        <v>2018-11-12</v>
      </c>
      <c r="Y29" s="186" t="str">
        <f ca="1">[1]!cb_clause_conversion_2_swapsharestartdate(B29)</f>
        <v>2019-05-16</v>
      </c>
      <c r="Z29" s="186">
        <f ca="1">[1]!cb_clause_putoption_conditionalputbackstartenddate(B29)</f>
        <v>0</v>
      </c>
      <c r="AA29" s="240">
        <f ca="1">[1]!cb_info_maturitycallprice(B29)</f>
        <v>109</v>
      </c>
      <c r="AB29" s="240">
        <f ca="1">IF(ISNUMBER([1]!cb_info_conditionalputprice(B29)),[1]!cb_info_conditionalputprice(B29),"-")</f>
        <v>0</v>
      </c>
      <c r="AC29" s="240">
        <f ca="1">[1]!cb_info_interest(B29)</f>
        <v>0.4</v>
      </c>
      <c r="AD29" s="262" t="str">
        <f ca="1">IFERROR(couponlist([1]!cb_clause_interest(B29,"4")),"-")</f>
        <v>0.40%，0.60%，1.00%，1.50%，1.80%，2.00%</v>
      </c>
      <c r="AE29" s="189"/>
      <c r="AF29" s="189"/>
      <c r="AG29" s="189"/>
      <c r="AH29" s="189"/>
      <c r="AI29" s="189"/>
      <c r="AJ29" s="189"/>
      <c r="AK29" s="189"/>
      <c r="AL29" s="189"/>
      <c r="AM29" s="189"/>
      <c r="AN29" s="189"/>
      <c r="AO29" s="189"/>
      <c r="AP29" s="189"/>
      <c r="AQ29" s="189"/>
    </row>
    <row r="30" spans="1:43" s="130" customFormat="1" x14ac:dyDescent="0.35">
      <c r="A30" s="121" t="s">
        <v>0</v>
      </c>
      <c r="B30" s="121" t="s">
        <v>856</v>
      </c>
      <c r="C30" s="121" t="s">
        <v>857</v>
      </c>
      <c r="D30" s="236" t="str">
        <f ca="1">IF([1]!s_info_industry_sw(B30,1)=0,"-",[1]!s_info_industry_sw(B30,1))</f>
        <v>银行</v>
      </c>
      <c r="E30" s="122" t="str">
        <f ca="1">[1]!cb_info_underlyingcode(B30)</f>
        <v>600908.SH</v>
      </c>
      <c r="F30" s="124">
        <f ca="1">RTD("wdf.rtq",,B30,"LastPrice","Dirty_Price")</f>
        <v>122</v>
      </c>
      <c r="G30" s="124">
        <f ca="1">RTD("wdf.rtq",,E30,"LastPrice")</f>
        <v>6.18</v>
      </c>
      <c r="H30" s="226">
        <f ca="1">RTD("wdf.rtq",,B30,"PctChg","RT_Price")/100</f>
        <v>1.4100000000000001E-2</v>
      </c>
      <c r="I30" s="226">
        <f ca="1">RTD("wdf.rtq",,E30,"PctChg")/100</f>
        <v>4.5700000000000005E-2</v>
      </c>
      <c r="J30" s="125">
        <f ca="1">_xlfn.IFNA([1]!b_anal_ptmyear(B30,$B$2),"未发行或发行失败")</f>
        <v>2.3945205479452056</v>
      </c>
      <c r="K30" s="125">
        <f ca="1">RTD("wdf.rtq",,B30,"Amount","Dirty_Price")/100000000</f>
        <v>0.57684774000000005</v>
      </c>
      <c r="L30" s="125">
        <f ca="1">[1]!cb_anal_convprice(B30,$B$2)</f>
        <v>5.61</v>
      </c>
      <c r="M30" s="125">
        <f t="shared" ca="1" si="0"/>
        <v>110.16042780748663</v>
      </c>
      <c r="N30" s="126">
        <f t="shared" ca="1" si="1"/>
        <v>10.747572815533985</v>
      </c>
      <c r="O30" s="126">
        <f t="array" aca="1" ref="O30" ca="1">_xlfn.IFNA(RTD("wdf.rtq",,B30,"LastPrice","Yield_To_Maturity"),[1]!cb_anal_ytm(B30,$C$2))</f>
        <v>-4.9114000000000004</v>
      </c>
      <c r="P30" s="126">
        <f ca="1">[1]!cb_anal_straightbondvalue(B30,$B$2)</f>
        <v>100.711</v>
      </c>
      <c r="Q30" s="126">
        <f t="shared" ca="1" si="2"/>
        <v>21.138703815869178</v>
      </c>
      <c r="R30" s="126" t="str">
        <f ca="1">[1]!b_rate_latestcredit(B30)</f>
        <v>AA+</v>
      </c>
      <c r="S30" s="126">
        <f ca="1">[1]!cb_info_outstandingbalance(B30,$B$2)</f>
        <v>29.213629999999998</v>
      </c>
      <c r="T30" s="126">
        <f ca="1">[1]!cb_info_issueamount(B30,100000000)</f>
        <v>30</v>
      </c>
      <c r="U30" s="126">
        <f t="shared" ca="1" si="3"/>
        <v>97.378766666666664</v>
      </c>
      <c r="V30" s="230">
        <f ca="1">IF([1]!cb_anal_ldiluterate(B30,$B$2)=100,"-",[1]!cb_anal_ldiluterate(B30,$B$2))</f>
        <v>23.065070611752748</v>
      </c>
      <c r="W30" s="127" t="str">
        <f ca="1">[1]!cb_info_listeddate(B30)</f>
        <v>2018-03-14</v>
      </c>
      <c r="X30" s="127" t="str">
        <f ca="1">[1]!cb_info_carrydate(B30)</f>
        <v>2018-01-30</v>
      </c>
      <c r="Y30" s="125" t="str">
        <f ca="1">[1]!cb_clause_conversion_2_swapsharestartdate(B30)</f>
        <v>2018-08-06</v>
      </c>
      <c r="Z30" s="125">
        <f ca="1">[1]!cb_clause_putoption_conditionalputbackstartenddate(B30)</f>
        <v>0</v>
      </c>
      <c r="AA30" s="230">
        <f ca="1">[1]!cb_info_maturitycallprice(B30)</f>
        <v>106</v>
      </c>
      <c r="AB30" s="230">
        <f ca="1">IF(ISNUMBER([1]!cb_info_conditionalputprice(B30)),[1]!cb_info_conditionalputprice(B30),"-")</f>
        <v>0</v>
      </c>
      <c r="AC30" s="230">
        <f ca="1">[1]!cb_info_interest(B30)</f>
        <v>0.3</v>
      </c>
      <c r="AD30" s="263" t="str">
        <f ca="1">IFERROR(couponlist([1]!cb_clause_interest(B30,"4")),"-")</f>
        <v>0.30%，0.50%，0.80%，1.00%，1.30%，1.80%</v>
      </c>
      <c r="AE30" s="129"/>
      <c r="AF30" s="129"/>
      <c r="AG30" s="129"/>
      <c r="AH30" s="129"/>
      <c r="AI30" s="129"/>
      <c r="AJ30" s="129"/>
      <c r="AK30" s="129"/>
      <c r="AL30" s="129"/>
      <c r="AM30" s="129"/>
      <c r="AN30" s="129"/>
      <c r="AO30" s="129"/>
      <c r="AP30" s="129"/>
      <c r="AQ30" s="129"/>
    </row>
    <row r="31" spans="1:43" s="191" customFormat="1" x14ac:dyDescent="0.35">
      <c r="A31" s="182" t="s">
        <v>0</v>
      </c>
      <c r="B31" s="182" t="s">
        <v>870</v>
      </c>
      <c r="C31" s="182" t="s">
        <v>871</v>
      </c>
      <c r="D31" s="235" t="str">
        <f ca="1">IF([1]!s_info_industry_sw(B31,1)=0,"-",[1]!s_info_industry_sw(B31,1))</f>
        <v>银行</v>
      </c>
      <c r="E31" s="183" t="str">
        <f ca="1">[1]!cb_info_underlyingcode(B31)</f>
        <v>601860.SH</v>
      </c>
      <c r="F31" s="185">
        <f ca="1">RTD("wdf.rtq",,B31,"LastPrice","Dirty_Price")</f>
        <v>106.97</v>
      </c>
      <c r="G31" s="185">
        <f ca="1">RTD("wdf.rtq",,E31,"LastPrice")</f>
        <v>3.48</v>
      </c>
      <c r="H31" s="225">
        <f ca="1">RTD("wdf.rtq",,B31,"PctChg","RT_Price")/100</f>
        <v>3.2000000000000002E-3</v>
      </c>
      <c r="I31" s="225">
        <f ca="1">RTD("wdf.rtq",,E31,"PctChg")/100</f>
        <v>1.1600000000000001E-2</v>
      </c>
      <c r="J31" s="186">
        <f ca="1">_xlfn.IFNA([1]!b_anal_ptmyear(B31,$B$2),"未发行或发行失败")</f>
        <v>4.8712328767123285</v>
      </c>
      <c r="K31" s="186">
        <f ca="1">RTD("wdf.rtq",,B31,"Amount","Dirty_Price")/100000000</f>
        <v>0.35116301</v>
      </c>
      <c r="L31" s="186">
        <f ca="1">[1]!cb_anal_convprice(B31,$B$2)</f>
        <v>4.05</v>
      </c>
      <c r="M31" s="186">
        <f t="shared" ca="1" si="0"/>
        <v>85.925925925925924</v>
      </c>
      <c r="N31" s="187">
        <f t="shared" ca="1" si="1"/>
        <v>24.490948275862067</v>
      </c>
      <c r="O31" s="187">
        <f t="array" aca="1" ref="O31" ca="1">_xlfn.IFNA(RTD("wdf.rtq",,B31,"LastPrice","Yield_To_Maturity"),[1]!cb_anal_ytm(B31,$C$2))</f>
        <v>1.6403000000000001</v>
      </c>
      <c r="P31" s="187">
        <f ca="1">[1]!cb_anal_straightbondvalue(B31,$B$2)</f>
        <v>97.517200000000003</v>
      </c>
      <c r="Q31" s="187">
        <f t="shared" ca="1" si="2"/>
        <v>9.6934694597465807</v>
      </c>
      <c r="R31" s="187" t="str">
        <f ca="1">[1]!b_rate_latestcredit(B31)</f>
        <v>AA+</v>
      </c>
      <c r="S31" s="187">
        <f ca="1">[1]!cb_info_outstandingbalance(B31,$B$2)</f>
        <v>44.997250000000001</v>
      </c>
      <c r="T31" s="187">
        <f ca="1">[1]!cb_info_issueamount(B31,100000000)</f>
        <v>45</v>
      </c>
      <c r="U31" s="187">
        <f t="shared" ca="1" si="3"/>
        <v>99.993888888888904</v>
      </c>
      <c r="V31" s="240">
        <f ca="1">IF([1]!cb_anal_ldiluterate(B31,$B$2)=100,"-",[1]!cb_anal_ldiluterate(B31,$B$2))</f>
        <v>38.767599312056788</v>
      </c>
      <c r="W31" s="188" t="str">
        <f ca="1">[1]!cb_info_listeddate(B31)</f>
        <v>2020-08-17</v>
      </c>
      <c r="X31" s="188" t="str">
        <f ca="1">[1]!cb_info_carrydate(B31)</f>
        <v>2020-07-23</v>
      </c>
      <c r="Y31" s="186" t="str">
        <f ca="1">[1]!cb_clause_conversion_2_swapsharestartdate(B31)</f>
        <v>2021-01-29</v>
      </c>
      <c r="Z31" s="186">
        <f ca="1">[1]!cb_clause_putoption_conditionalputbackstartenddate(B31)</f>
        <v>0</v>
      </c>
      <c r="AA31" s="240">
        <f ca="1">[1]!cb_info_maturitycallprice(B31)</f>
        <v>110</v>
      </c>
      <c r="AB31" s="240">
        <f ca="1">IF(ISNUMBER([1]!cb_info_conditionalputprice(B31)),[1]!cb_info_conditionalputprice(B31),"-")</f>
        <v>0</v>
      </c>
      <c r="AC31" s="240">
        <f ca="1">[1]!cb_info_interest(B31)</f>
        <v>0.2</v>
      </c>
      <c r="AD31" s="262" t="str">
        <f ca="1">IFERROR(couponlist([1]!cb_clause_interest(B31,"4")),"-")</f>
        <v>0.2%，0.6%，1.2%，1.8%，2.0%，2.5%</v>
      </c>
      <c r="AE31" s="189"/>
      <c r="AF31" s="189"/>
      <c r="AG31" s="189"/>
      <c r="AH31" s="189"/>
      <c r="AI31" s="189"/>
      <c r="AJ31" s="189"/>
      <c r="AK31" s="189"/>
      <c r="AL31" s="189"/>
      <c r="AM31" s="189"/>
      <c r="AN31" s="189"/>
      <c r="AO31" s="189"/>
      <c r="AP31" s="189"/>
      <c r="AQ31" s="189"/>
    </row>
    <row r="32" spans="1:43" s="130" customFormat="1" x14ac:dyDescent="0.35">
      <c r="A32" s="121" t="s">
        <v>0</v>
      </c>
      <c r="B32" s="121" t="s">
        <v>872</v>
      </c>
      <c r="C32" s="121" t="s">
        <v>873</v>
      </c>
      <c r="D32" s="236" t="str">
        <f ca="1">IF([1]!s_info_industry_sw(B32,1)=0,"-",[1]!s_info_industry_sw(B32,1))</f>
        <v>银行</v>
      </c>
      <c r="E32" s="122" t="str">
        <f ca="1">[1]!cb_info_underlyingcode(B32)</f>
        <v>601229.SH</v>
      </c>
      <c r="F32" s="124">
        <f ca="1">RTD("wdf.rtq",,B32,"LastPrice","Dirty_Price")</f>
        <v>103.73</v>
      </c>
      <c r="G32" s="124">
        <f ca="1">RTD("wdf.rtq",,E32,"LastPrice")</f>
        <v>7.5200000000000005</v>
      </c>
      <c r="H32" s="226">
        <f ca="1">RTD("wdf.rtq",,B32,"PctChg","RT_Price")/100</f>
        <v>1.1000000000000001E-3</v>
      </c>
      <c r="I32" s="226">
        <f ca="1">RTD("wdf.rtq",,E32,"PctChg")/100</f>
        <v>2.7000000000000001E-3</v>
      </c>
      <c r="J32" s="125">
        <f ca="1">_xlfn.IFNA([1]!b_anal_ptmyear(B32,$B$2),"未发行或发行失败")</f>
        <v>5.3808219178082188</v>
      </c>
      <c r="K32" s="125">
        <f ca="1">RTD("wdf.rtq",,B32,"Amount","Dirty_Price")/100000000</f>
        <v>0.50575071000000005</v>
      </c>
      <c r="L32" s="125">
        <f ca="1">[1]!cb_anal_convprice(B32,$B$2)</f>
        <v>10.63</v>
      </c>
      <c r="M32" s="125">
        <f t="shared" ca="1" si="0"/>
        <v>70.743179680150519</v>
      </c>
      <c r="N32" s="126">
        <f t="shared" ca="1" si="1"/>
        <v>46.628976063829782</v>
      </c>
      <c r="O32" s="126">
        <f t="array" aca="1" ref="O32" ca="1">_xlfn.IFNA(RTD("wdf.rtq",,B32,"LastPrice","Yield_To_Maturity"),[1]!cb_anal_ytm(B32,$C$2))</f>
        <v>2.9756</v>
      </c>
      <c r="P32" s="126">
        <f ca="1">[1]!cb_anal_straightbondvalue(B32,$B$2)</f>
        <v>101.10760000000001</v>
      </c>
      <c r="Q32" s="126">
        <f t="shared" ca="1" si="2"/>
        <v>2.5936724835719502</v>
      </c>
      <c r="R32" s="126" t="str">
        <f ca="1">[1]!b_rate_latestcredit(B32)</f>
        <v>AAA</v>
      </c>
      <c r="S32" s="126">
        <f ca="1">[1]!cb_info_outstandingbalance(B32,$B$2)</f>
        <v>199.991781</v>
      </c>
      <c r="T32" s="126">
        <f ca="1">[1]!cb_info_issueamount(B32,100000000)</f>
        <v>200</v>
      </c>
      <c r="U32" s="126">
        <f t="shared" ca="1" si="3"/>
        <v>99.995890500000002</v>
      </c>
      <c r="V32" s="230">
        <f ca="1">IF([1]!cb_anal_ldiluterate(B32,$B$2)=100,"-",[1]!cb_anal_ldiluterate(B32,$B$2))</f>
        <v>12.072047501278346</v>
      </c>
      <c r="W32" s="127" t="str">
        <f ca="1">[1]!cb_info_listeddate(B32)</f>
        <v>2021-02-10</v>
      </c>
      <c r="X32" s="127" t="str">
        <f ca="1">[1]!cb_info_carrydate(B32)</f>
        <v>2021-01-25</v>
      </c>
      <c r="Y32" s="125" t="str">
        <f ca="1">[1]!cb_clause_conversion_2_swapsharestartdate(B32)</f>
        <v>2021-07-29</v>
      </c>
      <c r="Z32" s="125">
        <f ca="1">[1]!cb_clause_putoption_conditionalputbackstartenddate(B32)</f>
        <v>0</v>
      </c>
      <c r="AA32" s="230">
        <f ca="1">[1]!cb_info_maturitycallprice(B32)</f>
        <v>112</v>
      </c>
      <c r="AB32" s="230">
        <f ca="1">IF(ISNUMBER([1]!cb_info_conditionalputprice(B32)),[1]!cb_info_conditionalputprice(B32),"-")</f>
        <v>0</v>
      </c>
      <c r="AC32" s="230">
        <f ca="1">[1]!cb_info_interest(B32)</f>
        <v>0.3</v>
      </c>
      <c r="AD32" s="263" t="str">
        <f ca="1">IFERROR(couponlist([1]!cb_clause_interest(B32,"4")),"-")</f>
        <v>0.30%，0.80%，1.50%，2.80%，3.50%，4.00%</v>
      </c>
      <c r="AE32" s="129"/>
      <c r="AF32" s="129"/>
      <c r="AG32" s="129"/>
      <c r="AH32" s="129"/>
      <c r="AI32" s="129"/>
      <c r="AJ32" s="129"/>
      <c r="AK32" s="129"/>
      <c r="AL32" s="129"/>
      <c r="AM32" s="129"/>
      <c r="AN32" s="129"/>
      <c r="AO32" s="129"/>
      <c r="AP32" s="129"/>
      <c r="AQ32" s="129"/>
    </row>
    <row r="33" spans="1:43" s="191" customFormat="1" x14ac:dyDescent="0.35">
      <c r="A33" s="182" t="s">
        <v>0</v>
      </c>
      <c r="B33" s="182" t="s">
        <v>858</v>
      </c>
      <c r="C33" s="182" t="s">
        <v>859</v>
      </c>
      <c r="D33" s="235" t="str">
        <f ca="1">IF([1]!s_info_industry_sw(B33,1)=0,"-",[1]!s_info_industry_sw(B33,1))</f>
        <v>银行</v>
      </c>
      <c r="E33" s="183" t="str">
        <f ca="1">[1]!cb_info_underlyingcode(B33)</f>
        <v>600919.SH</v>
      </c>
      <c r="F33" s="185">
        <f ca="1">RTD("wdf.rtq",,B33,"LastPrice","Dirty_Price")</f>
        <v>122.24000000000001</v>
      </c>
      <c r="G33" s="185">
        <f ca="1">RTD("wdf.rtq",,E33,"LastPrice")</f>
        <v>6.55</v>
      </c>
      <c r="H33" s="225">
        <f ca="1">RTD("wdf.rtq",,B33,"PctChg","RT_Price")/100</f>
        <v>1.3900000000000001E-2</v>
      </c>
      <c r="I33" s="225">
        <f ca="1">RTD("wdf.rtq",,E33,"PctChg")/100</f>
        <v>1.7100000000000001E-2</v>
      </c>
      <c r="J33" s="186">
        <f ca="1">_xlfn.IFNA([1]!b_anal_ptmyear(B33,$B$2),"未发行或发行失败")</f>
        <v>3.5123287671232877</v>
      </c>
      <c r="K33" s="186">
        <f ca="1">RTD("wdf.rtq",,B33,"Amount","Dirty_Price")/100000000</f>
        <v>1.8883460599999999</v>
      </c>
      <c r="L33" s="186">
        <f ca="1">[1]!cb_anal_convprice(B33,$B$2)</f>
        <v>6.37</v>
      </c>
      <c r="M33" s="186">
        <f t="shared" ca="1" si="0"/>
        <v>102.82574568288854</v>
      </c>
      <c r="N33" s="187">
        <f t="shared" ca="1" si="1"/>
        <v>18.880732824427483</v>
      </c>
      <c r="O33" s="187">
        <f t="array" aca="1" ref="O33" ca="1">_xlfn.IFNA(RTD("wdf.rtq",,B33,"LastPrice","Yield_To_Maturity"),[1]!cb_anal_ytm(B33,$C$2))</f>
        <v>-0.95710000000000006</v>
      </c>
      <c r="P33" s="187">
        <f ca="1">[1]!cb_anal_straightbondvalue(B33,$B$2)</f>
        <v>106.3168</v>
      </c>
      <c r="Q33" s="187">
        <f t="shared" ca="1" si="2"/>
        <v>14.977124969901269</v>
      </c>
      <c r="R33" s="187" t="str">
        <f ca="1">[1]!b_rate_latestcredit(B33)</f>
        <v>AAA</v>
      </c>
      <c r="S33" s="187">
        <f ca="1">[1]!cb_info_outstandingbalance(B33,$B$2)</f>
        <v>199.99323999999999</v>
      </c>
      <c r="T33" s="187">
        <f ca="1">[1]!cb_info_issueamount(B33,100000000)</f>
        <v>200</v>
      </c>
      <c r="U33" s="187">
        <f t="shared" ca="1" si="3"/>
        <v>99.996619999999979</v>
      </c>
      <c r="V33" s="240">
        <f ca="1">IF([1]!cb_anal_ldiluterate(B33,$B$2)=100,"-",[1]!cb_anal_ldiluterate(B33,$B$2))</f>
        <v>17.618998523193202</v>
      </c>
      <c r="W33" s="188" t="str">
        <f ca="1">[1]!cb_info_listeddate(B33)</f>
        <v>2019-04-03</v>
      </c>
      <c r="X33" s="188" t="str">
        <f ca="1">[1]!cb_info_carrydate(B33)</f>
        <v>2019-03-14</v>
      </c>
      <c r="Y33" s="186" t="str">
        <f ca="1">[1]!cb_clause_conversion_2_swapsharestartdate(B33)</f>
        <v>2019-09-20</v>
      </c>
      <c r="Z33" s="186">
        <f ca="1">[1]!cb_clause_putoption_conditionalputbackstartenddate(B33)</f>
        <v>0</v>
      </c>
      <c r="AA33" s="240">
        <f ca="1">[1]!cb_info_maturitycallprice(B33)</f>
        <v>111</v>
      </c>
      <c r="AB33" s="240">
        <f ca="1">IF(ISNUMBER([1]!cb_info_conditionalputprice(B33)),[1]!cb_info_conditionalputprice(B33),"-")</f>
        <v>0</v>
      </c>
      <c r="AC33" s="240">
        <f ca="1">[1]!cb_info_interest(B33)</f>
        <v>0.2</v>
      </c>
      <c r="AD33" s="262" t="str">
        <f ca="1">IFERROR(couponlist([1]!cb_clause_interest(B33,"4")),"-")</f>
        <v>0.2%，0.8%，1.5%，2.3%，3.5%，4.0%</v>
      </c>
      <c r="AE33" s="189"/>
      <c r="AF33" s="189"/>
      <c r="AG33" s="189"/>
      <c r="AH33" s="189"/>
      <c r="AI33" s="189"/>
      <c r="AJ33" s="189"/>
      <c r="AK33" s="189"/>
      <c r="AL33" s="189"/>
      <c r="AM33" s="189"/>
      <c r="AN33" s="189"/>
      <c r="AO33" s="189"/>
      <c r="AP33" s="189"/>
      <c r="AQ33" s="189"/>
    </row>
    <row r="34" spans="1:43" s="130" customFormat="1" x14ac:dyDescent="0.35">
      <c r="A34" s="121" t="s">
        <v>0</v>
      </c>
      <c r="B34" s="121" t="s">
        <v>868</v>
      </c>
      <c r="C34" s="121" t="s">
        <v>869</v>
      </c>
      <c r="D34" s="236" t="str">
        <f ca="1">IF([1]!s_info_industry_sw(B34,1)=0,"-",[1]!s_info_industry_sw(B34,1))</f>
        <v>银行</v>
      </c>
      <c r="E34" s="122" t="str">
        <f ca="1">[1]!cb_info_underlyingcode(B34)</f>
        <v>601998.SH</v>
      </c>
      <c r="F34" s="124">
        <f ca="1">RTD("wdf.rtq",,B34,"LastPrice","Dirty_Price")</f>
        <v>107.23</v>
      </c>
      <c r="G34" s="124">
        <f ca="1">RTD("wdf.rtq",,E34,"LastPrice")</f>
        <v>4.76</v>
      </c>
      <c r="H34" s="226">
        <f ca="1">RTD("wdf.rtq",,B34,"PctChg","RT_Price")/100</f>
        <v>1.2000000000000001E-3</v>
      </c>
      <c r="I34" s="226">
        <f ca="1">RTD("wdf.rtq",,E34,"PctChg")/100</f>
        <v>4.2000000000000006E-3</v>
      </c>
      <c r="J34" s="125">
        <f ca="1">_xlfn.IFNA([1]!b_anal_ptmyear(B34,$B$2),"未发行或发行失败")</f>
        <v>3.484931506849315</v>
      </c>
      <c r="K34" s="125">
        <f ca="1">RTD("wdf.rtq",,B34,"Amount","Dirty_Price")/100000000</f>
        <v>0.18834949000000001</v>
      </c>
      <c r="L34" s="125">
        <f ca="1">[1]!cb_anal_convprice(B34,$B$2)</f>
        <v>6.73</v>
      </c>
      <c r="M34" s="125">
        <f t="shared" ca="1" si="0"/>
        <v>70.728083209509649</v>
      </c>
      <c r="N34" s="126">
        <f t="shared" ca="1" si="1"/>
        <v>51.608802521008414</v>
      </c>
      <c r="O34" s="126">
        <f t="array" aca="1" ref="O34" ca="1">_xlfn.IFNA(RTD("wdf.rtq",,B34,"LastPrice","Yield_To_Maturity"),[1]!cb_anal_ytm(B34,$C$2))</f>
        <v>2.8741000000000003</v>
      </c>
      <c r="P34" s="126">
        <f ca="1">[1]!cb_anal_straightbondvalue(B34,$B$2)</f>
        <v>106.129</v>
      </c>
      <c r="Q34" s="126">
        <f t="shared" ca="1" si="2"/>
        <v>1.0374167286980907</v>
      </c>
      <c r="R34" s="126" t="str">
        <f ca="1">[1]!b_rate_latestcredit(B34)</f>
        <v>AAA</v>
      </c>
      <c r="S34" s="126">
        <f ca="1">[1]!cb_info_outstandingbalance(B34,$B$2)</f>
        <v>399.99678</v>
      </c>
      <c r="T34" s="126">
        <f ca="1">[1]!cb_info_issueamount(B34,100000000)</f>
        <v>400</v>
      </c>
      <c r="U34" s="126">
        <f t="shared" ca="1" si="3"/>
        <v>99.999195</v>
      </c>
      <c r="V34" s="230">
        <f ca="1">IF([1]!cb_anal_ldiluterate(B34,$B$2)=100,"-",[1]!cb_anal_ldiluterate(B34,$B$2))</f>
        <v>14.860148418471667</v>
      </c>
      <c r="W34" s="127" t="str">
        <f ca="1">[1]!cb_info_listeddate(B34)</f>
        <v>2019-03-19</v>
      </c>
      <c r="X34" s="127" t="str">
        <f ca="1">[1]!cb_info_carrydate(B34)</f>
        <v>2019-03-04</v>
      </c>
      <c r="Y34" s="125" t="str">
        <f ca="1">[1]!cb_clause_conversion_2_swapsharestartdate(B34)</f>
        <v>2019-09-11</v>
      </c>
      <c r="Z34" s="125">
        <f ca="1">[1]!cb_clause_putoption_conditionalputbackstartenddate(B34)</f>
        <v>0</v>
      </c>
      <c r="AA34" s="230">
        <f ca="1">[1]!cb_info_maturitycallprice(B34)</f>
        <v>111</v>
      </c>
      <c r="AB34" s="230">
        <f ca="1">IF(ISNUMBER([1]!cb_info_conditionalputprice(B34)),[1]!cb_info_conditionalputprice(B34),"-")</f>
        <v>0</v>
      </c>
      <c r="AC34" s="230">
        <f ca="1">[1]!cb_info_interest(B34)</f>
        <v>0.3</v>
      </c>
      <c r="AD34" s="263" t="str">
        <f ca="1">IFERROR(couponlist([1]!cb_clause_interest(B34,"4")),"-")</f>
        <v>0.3%，0.8%，1.5%，2.3%，3.2%，4.0%</v>
      </c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29"/>
    </row>
    <row r="35" spans="1:43" s="191" customFormat="1" x14ac:dyDescent="0.35">
      <c r="A35" s="182" t="s">
        <v>0</v>
      </c>
      <c r="B35" s="182" t="s">
        <v>1697</v>
      </c>
      <c r="C35" s="182" t="s">
        <v>1698</v>
      </c>
      <c r="D35" s="235" t="str">
        <f ca="1">IF([1]!s_info_industry_sw(B35,1)=0,"-",[1]!s_info_industry_sw(B35,1))</f>
        <v>银行</v>
      </c>
      <c r="E35" s="183" t="str">
        <f ca="1">[1]!cb_info_underlyingcode(B35)</f>
        <v>601009.SH</v>
      </c>
      <c r="F35" s="185">
        <f ca="1">RTD("wdf.rtq",,B35,"LastPrice","Dirty_Price")</f>
        <v>118.06</v>
      </c>
      <c r="G35" s="185">
        <f ca="1">RTD("wdf.rtq",,E35,"LastPrice")</f>
        <v>9.73</v>
      </c>
      <c r="H35" s="225">
        <f ca="1">RTD("wdf.rtq",,B35,"PctChg","RT_Price")/100</f>
        <v>5.1999999999999998E-3</v>
      </c>
      <c r="I35" s="225">
        <f ca="1">RTD("wdf.rtq",,E35,"PctChg")/100</f>
        <v>3.1000000000000003E-3</v>
      </c>
      <c r="J35" s="186">
        <f ca="1">_xlfn.IFNA([1]!b_anal_ptmyear(B35,$B$2),"未发行或发行失败")</f>
        <v>5.7671232876712324</v>
      </c>
      <c r="K35" s="186">
        <f ca="1">RTD("wdf.rtq",,B35,"Amount","Dirty_Price")/100000000</f>
        <v>0.44610871000000002</v>
      </c>
      <c r="L35" s="186">
        <f ca="1">[1]!cb_anal_convprice(B35,$B$2)</f>
        <v>10.1</v>
      </c>
      <c r="M35" s="186">
        <f t="shared" ca="1" si="0"/>
        <v>96.336633663366342</v>
      </c>
      <c r="N35" s="187">
        <f t="shared" ca="1" si="1"/>
        <v>22.549434737923946</v>
      </c>
      <c r="O35" s="187">
        <f t="array" aca="1" ref="O35" ca="1">_xlfn.IFNA(RTD("wdf.rtq",,B35,"LastPrice","Yield_To_Maturity"),[1]!cb_anal_ytm(B35,$C$2))</f>
        <v>-1.0467</v>
      </c>
      <c r="P35" s="187">
        <f ca="1">[1]!cb_anal_straightbondvalue(B35,$B$2)</f>
        <v>91.202399999999997</v>
      </c>
      <c r="Q35" s="187">
        <f t="shared" ca="1" si="2"/>
        <v>29.448347850495168</v>
      </c>
      <c r="R35" s="187" t="str">
        <f ca="1">[1]!b_rate_latestcredit(B35)</f>
        <v>AAA</v>
      </c>
      <c r="S35" s="187">
        <f ca="1">[1]!cb_info_outstandingbalance(B35,$B$2)</f>
        <v>200</v>
      </c>
      <c r="T35" s="187">
        <f ca="1">[1]!cb_info_issueamount(B35,100000000)</f>
        <v>200</v>
      </c>
      <c r="U35" s="187">
        <f t="shared" ca="1" si="3"/>
        <v>100</v>
      </c>
      <c r="V35" s="240">
        <f ca="1">IF([1]!cb_anal_ldiluterate(B35,$B$2)=100,"-",[1]!cb_anal_ldiluterate(B35,$B$2))</f>
        <v>18.926793994024546</v>
      </c>
      <c r="W35" s="188" t="str">
        <f ca="1">[1]!cb_info_listeddate(B35)</f>
        <v>2021-07-01</v>
      </c>
      <c r="X35" s="188" t="str">
        <f ca="1">[1]!cb_info_carrydate(B35)</f>
        <v>2021-06-15</v>
      </c>
      <c r="Y35" s="186" t="str">
        <f ca="1">[1]!cb_clause_conversion_2_swapsharestartdate(B35)</f>
        <v>2021-12-21</v>
      </c>
      <c r="Z35" s="186">
        <f ca="1">[1]!cb_clause_putoption_conditionalputbackstartenddate(B35)</f>
        <v>0</v>
      </c>
      <c r="AA35" s="240">
        <f ca="1">[1]!cb_info_maturitycallprice(B35)</f>
        <v>107</v>
      </c>
      <c r="AB35" s="240">
        <f ca="1">IF(ISNUMBER([1]!cb_info_conditionalputprice(B35)),[1]!cb_info_conditionalputprice(B35),"-")</f>
        <v>0</v>
      </c>
      <c r="AC35" s="240">
        <f ca="1">[1]!cb_info_interest(B35)</f>
        <v>0.2</v>
      </c>
      <c r="AD35" s="262" t="str">
        <f ca="1">IFERROR(couponlist([1]!cb_clause_interest(B35,"4")),"-")</f>
        <v>0.20%，0.40%，0.70%，1.20%，1.70%，2.00%</v>
      </c>
      <c r="AE35" s="189"/>
      <c r="AF35" s="189"/>
      <c r="AG35" s="189"/>
      <c r="AH35" s="189"/>
      <c r="AI35" s="189"/>
      <c r="AJ35" s="189"/>
      <c r="AK35" s="189"/>
      <c r="AL35" s="189"/>
      <c r="AM35" s="189"/>
      <c r="AN35" s="189"/>
      <c r="AO35" s="189"/>
      <c r="AP35" s="189"/>
      <c r="AQ35" s="189"/>
    </row>
    <row r="36" spans="1:43" s="130" customFormat="1" x14ac:dyDescent="0.35">
      <c r="A36" s="121" t="s">
        <v>5</v>
      </c>
      <c r="B36" s="121" t="s">
        <v>1747</v>
      </c>
      <c r="C36" s="121" t="s">
        <v>1748</v>
      </c>
      <c r="D36" s="236" t="str">
        <f ca="1">IF([1]!s_info_industry_sw(B36,1)=0,"-",[1]!s_info_industry_sw(B36,1))</f>
        <v>银行</v>
      </c>
      <c r="E36" s="122" t="str">
        <f ca="1">[1]!cb_info_underlyingcode(B36)</f>
        <v>002966.SZ</v>
      </c>
      <c r="F36" s="124">
        <f ca="1">RTD("wdf.rtq",,B36,"LastPrice","Dirty_Price")</f>
        <v>112.7</v>
      </c>
      <c r="G36" s="124">
        <f ca="1">RTD("wdf.rtq",,E36,"LastPrice")</f>
        <v>7.08</v>
      </c>
      <c r="H36" s="226">
        <f ca="1">RTD("wdf.rtq",,B36,"PctChg","RT_Price")/100</f>
        <v>8.8999999999999999E-3</v>
      </c>
      <c r="I36" s="226">
        <f ca="1">RTD("wdf.rtq",,E36,"PctChg")/100</f>
        <v>1.43E-2</v>
      </c>
      <c r="J36" s="125">
        <f ca="1">_xlfn.IFNA([1]!b_anal_ptmyear(B36,$B$2),"未发行或发行失败")</f>
        <v>5.5917808219178085</v>
      </c>
      <c r="K36" s="125">
        <f ca="1">RTD("wdf.rtq",,B36,"Amount","Dirty_Price")/100000000</f>
        <v>0.20271101</v>
      </c>
      <c r="L36" s="125">
        <f ca="1">[1]!cb_anal_convprice(B36,$B$2)</f>
        <v>8.1</v>
      </c>
      <c r="M36" s="125">
        <f t="shared" ca="1" si="0"/>
        <v>87.407407407407405</v>
      </c>
      <c r="N36" s="126">
        <f t="shared" ca="1" si="1"/>
        <v>28.936440677966118</v>
      </c>
      <c r="O36" s="126">
        <f t="array" aca="1" ref="O36" ca="1">_xlfn.IFNA(RTD("wdf.rtq",,B36,"LastPrice","Yield_To_Maturity"),[1]!cb_anal_ytm(B36,$C$2))</f>
        <v>0.38390000000000002</v>
      </c>
      <c r="P36" s="126">
        <f ca="1">[1]!cb_anal_straightbondvalue(B36,$B$2)</f>
        <v>95.182100000000005</v>
      </c>
      <c r="Q36" s="126">
        <f t="shared" ca="1" si="2"/>
        <v>18.40461599397365</v>
      </c>
      <c r="R36" s="126" t="str">
        <f ca="1">[1]!b_rate_latestcredit(B36)</f>
        <v>AAA</v>
      </c>
      <c r="S36" s="126">
        <f ca="1">[1]!cb_info_outstandingbalance(B36,$B$2)</f>
        <v>50</v>
      </c>
      <c r="T36" s="126">
        <f ca="1">[1]!cb_info_issueamount(B36,100000000)</f>
        <v>50</v>
      </c>
      <c r="U36" s="126">
        <f t="shared" ca="1" si="3"/>
        <v>100</v>
      </c>
      <c r="V36" s="230">
        <f ca="1">IF([1]!cb_anal_ldiluterate(B36,$B$2)=100,"-",[1]!cb_anal_ldiluterate(B36,$B$2))</f>
        <v>27.531257071451559</v>
      </c>
      <c r="W36" s="127" t="str">
        <f ca="1">[1]!cb_info_listeddate(B36)</f>
        <v>2021-05-12</v>
      </c>
      <c r="X36" s="127" t="str">
        <f ca="1">[1]!cb_info_carrydate(B36)</f>
        <v>2021-04-12</v>
      </c>
      <c r="Y36" s="125" t="str">
        <f ca="1">[1]!cb_clause_conversion_2_swapsharestartdate(B36)</f>
        <v>2021-10-18</v>
      </c>
      <c r="Z36" s="125">
        <f ca="1">[1]!cb_clause_putoption_conditionalputbackstartenddate(B36)</f>
        <v>0</v>
      </c>
      <c r="AA36" s="230">
        <f ca="1">[1]!cb_info_maturitycallprice(B36)</f>
        <v>110</v>
      </c>
      <c r="AB36" s="230">
        <f ca="1">IF(ISNUMBER([1]!cb_info_conditionalputprice(B36)),[1]!cb_info_conditionalputprice(B36),"-")</f>
        <v>0</v>
      </c>
      <c r="AC36" s="230">
        <f ca="1">[1]!cb_info_interest(B36)</f>
        <v>0.2</v>
      </c>
      <c r="AD36" s="263" t="str">
        <f ca="1">IFERROR(couponlist([1]!cb_clause_interest(B36,"4")),"-")</f>
        <v>0.2%，0.4%，1.0%，1.5%，2.0%，2.5%</v>
      </c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</row>
    <row r="37" spans="1:43" s="191" customFormat="1" x14ac:dyDescent="0.35">
      <c r="A37" s="182" t="s">
        <v>0</v>
      </c>
      <c r="B37" s="182" t="s">
        <v>860</v>
      </c>
      <c r="C37" s="182" t="s">
        <v>861</v>
      </c>
      <c r="D37" s="235" t="str">
        <f ca="1">IF([1]!s_info_industry_sw(B37,1)=0,"-",[1]!s_info_industry_sw(B37,1))</f>
        <v>银行</v>
      </c>
      <c r="E37" s="183" t="str">
        <f ca="1">[1]!cb_info_underlyingcode(B37)</f>
        <v>600000.SH</v>
      </c>
      <c r="F37" s="185">
        <f ca="1">RTD("wdf.rtq",,B37,"LastPrice","Dirty_Price")</f>
        <v>104.25</v>
      </c>
      <c r="G37" s="185">
        <f ca="1">RTD("wdf.rtq",,E37,"LastPrice")</f>
        <v>9.33</v>
      </c>
      <c r="H37" s="225">
        <f ca="1">RTD("wdf.rtq",,B37,"PctChg","RT_Price")/100</f>
        <v>4.0000000000000002E-4</v>
      </c>
      <c r="I37" s="225">
        <f ca="1">RTD("wdf.rtq",,E37,"PctChg")/100</f>
        <v>-1.1000000000000001E-3</v>
      </c>
      <c r="J37" s="186">
        <f ca="1">_xlfn.IFNA([1]!b_anal_ptmyear(B37,$B$2),"未发行或发行失败")</f>
        <v>4.1369863013698627</v>
      </c>
      <c r="K37" s="186">
        <f ca="1">RTD("wdf.rtq",,B37,"Amount","Dirty_Price")/100000000</f>
        <v>1.7286137500000001</v>
      </c>
      <c r="L37" s="186">
        <f ca="1">[1]!cb_anal_convprice(B37,$B$2)</f>
        <v>13.97</v>
      </c>
      <c r="M37" s="186">
        <f t="shared" ca="1" si="0"/>
        <v>66.785969935576233</v>
      </c>
      <c r="N37" s="187">
        <f t="shared" ca="1" si="1"/>
        <v>56.095659163987136</v>
      </c>
      <c r="O37" s="187">
        <f t="array" aca="1" ref="O37" ca="1">_xlfn.IFNA(RTD("wdf.rtq",,B37,"LastPrice","Yield_To_Maturity"),[1]!cb_anal_ytm(B37,$C$2))</f>
        <v>3.0553000000000003</v>
      </c>
      <c r="P37" s="187">
        <f ca="1">[1]!cb_anal_straightbondvalue(B37,$B$2)</f>
        <v>103.38290000000001</v>
      </c>
      <c r="Q37" s="187">
        <f t="shared" ca="1" si="2"/>
        <v>0.83872671399234378</v>
      </c>
      <c r="R37" s="187" t="str">
        <f ca="1">[1]!b_rate_latestcredit(B37)</f>
        <v>AAA</v>
      </c>
      <c r="S37" s="187">
        <f ca="1">[1]!cb_info_outstandingbalance(B37,$B$2)</f>
        <v>499.98779000000002</v>
      </c>
      <c r="T37" s="187">
        <f ca="1">[1]!cb_info_issueamount(B37,100000000)</f>
        <v>500</v>
      </c>
      <c r="U37" s="187">
        <f t="shared" ca="1" si="3"/>
        <v>99.997557999999998</v>
      </c>
      <c r="V37" s="240">
        <f ca="1">IF([1]!cb_anal_ldiluterate(B37,$B$2)=100,"-",[1]!cb_anal_ldiluterate(B37,$B$2))</f>
        <v>10.868173971103838</v>
      </c>
      <c r="W37" s="188" t="str">
        <f ca="1">[1]!cb_info_listeddate(B37)</f>
        <v>2019-11-15</v>
      </c>
      <c r="X37" s="188" t="str">
        <f ca="1">[1]!cb_info_carrydate(B37)</f>
        <v>2019-10-28</v>
      </c>
      <c r="Y37" s="186" t="str">
        <f ca="1">[1]!cb_clause_conversion_2_swapsharestartdate(B37)</f>
        <v>2020-05-06</v>
      </c>
      <c r="Z37" s="186">
        <f ca="1">[1]!cb_clause_putoption_conditionalputbackstartenddate(B37)</f>
        <v>0</v>
      </c>
      <c r="AA37" s="240">
        <f ca="1">[1]!cb_info_maturitycallprice(B37)</f>
        <v>110</v>
      </c>
      <c r="AB37" s="240">
        <f ca="1">IF(ISNUMBER([1]!cb_info_conditionalputprice(B37)),[1]!cb_info_conditionalputprice(B37),"-")</f>
        <v>0</v>
      </c>
      <c r="AC37" s="240">
        <f ca="1">[1]!cb_info_interest(B37)</f>
        <v>0.2</v>
      </c>
      <c r="AD37" s="262" t="str">
        <f ca="1">IFERROR(couponlist([1]!cb_clause_interest(B37,"4")),"-")</f>
        <v>0.20%，0.80%，1.50%，2.10%，3.20%，4.00%</v>
      </c>
      <c r="AE37" s="189"/>
      <c r="AF37" s="189"/>
      <c r="AG37" s="189"/>
      <c r="AH37" s="189"/>
      <c r="AI37" s="189"/>
      <c r="AJ37" s="189"/>
      <c r="AK37" s="189"/>
      <c r="AL37" s="189"/>
      <c r="AM37" s="189"/>
      <c r="AN37" s="189"/>
      <c r="AO37" s="189"/>
      <c r="AP37" s="189"/>
      <c r="AQ37" s="189"/>
    </row>
    <row r="38" spans="1:43" s="130" customFormat="1" x14ac:dyDescent="0.35">
      <c r="A38" s="121" t="s">
        <v>5</v>
      </c>
      <c r="B38" s="121" t="s">
        <v>889</v>
      </c>
      <c r="C38" s="121" t="s">
        <v>890</v>
      </c>
      <c r="D38" s="236" t="str">
        <f ca="1">IF([1]!s_info_industry_sw(B38,1)=0,"-",[1]!s_info_industry_sw(B38,1))</f>
        <v>银行</v>
      </c>
      <c r="E38" s="122" t="str">
        <f ca="1">[1]!cb_info_underlyingcode(B38)</f>
        <v>002958.SZ</v>
      </c>
      <c r="F38" s="124">
        <f ca="1">RTD("wdf.rtq",,B38,"LastPrice","Dirty_Price")</f>
        <v>111.36</v>
      </c>
      <c r="G38" s="124">
        <f ca="1">RTD("wdf.rtq",,E38,"LastPrice")</f>
        <v>4.05</v>
      </c>
      <c r="H38" s="226">
        <f ca="1">RTD("wdf.rtq",,B38,"PctChg","RT_Price")/100</f>
        <v>6.8000000000000005E-3</v>
      </c>
      <c r="I38" s="226">
        <f ca="1">RTD("wdf.rtq",,E38,"PctChg")/100</f>
        <v>-2.5000000000000001E-3</v>
      </c>
      <c r="J38" s="125">
        <f ca="1">_xlfn.IFNA([1]!b_anal_ptmyear(B38,$B$2),"未发行或发行失败")</f>
        <v>4.9616438356164387</v>
      </c>
      <c r="K38" s="125">
        <f ca="1">RTD("wdf.rtq",,B38,"Amount","Dirty_Price")/100000000</f>
        <v>0.23278370000000001</v>
      </c>
      <c r="L38" s="125">
        <f ca="1">[1]!cb_anal_convprice(B38,$B$2)</f>
        <v>4.32</v>
      </c>
      <c r="M38" s="125">
        <f t="shared" ca="1" si="0"/>
        <v>93.75</v>
      </c>
      <c r="N38" s="126">
        <f t="shared" ca="1" si="1"/>
        <v>18.784000000000006</v>
      </c>
      <c r="O38" s="126">
        <f t="array" aca="1" ref="O38" ca="1">_xlfn.IFNA(RTD("wdf.rtq",,B38,"LastPrice","Yield_To_Maturity"),[1]!cb_anal_ytm(B38,$C$2))</f>
        <v>0.1173</v>
      </c>
      <c r="P38" s="126">
        <f ca="1">[1]!cb_anal_straightbondvalue(B38,$B$2)</f>
        <v>94.990099999999998</v>
      </c>
      <c r="Q38" s="126">
        <f t="shared" ca="1" si="2"/>
        <v>17.233269572302802</v>
      </c>
      <c r="R38" s="126" t="str">
        <f ca="1">[1]!b_rate_latestcredit(B38)</f>
        <v>AAA</v>
      </c>
      <c r="S38" s="126">
        <f ca="1">[1]!cb_info_outstandingbalance(B38,$B$2)</f>
        <v>49.997821000000002</v>
      </c>
      <c r="T38" s="126">
        <f ca="1">[1]!cb_info_issueamount(B38,100000000)</f>
        <v>50</v>
      </c>
      <c r="U38" s="126">
        <f t="shared" ca="1" si="3"/>
        <v>99.995642000000004</v>
      </c>
      <c r="V38" s="230">
        <f ca="1">IF([1]!cb_anal_ldiluterate(B38,$B$2)=100,"-",[1]!cb_anal_ldiluterate(B38,$B$2))</f>
        <v>30.038897105995172</v>
      </c>
      <c r="W38" s="127" t="str">
        <f ca="1">[1]!cb_info_listeddate(B38)</f>
        <v>2020-09-18</v>
      </c>
      <c r="X38" s="127" t="str">
        <f ca="1">[1]!cb_info_carrydate(B38)</f>
        <v>2020-08-25</v>
      </c>
      <c r="Y38" s="125" t="str">
        <f ca="1">[1]!cb_clause_conversion_2_swapsharestartdate(B38)</f>
        <v>2021-03-01</v>
      </c>
      <c r="Z38" s="125">
        <f ca="1">[1]!cb_clause_putoption_conditionalputbackstartenddate(B38)</f>
        <v>0</v>
      </c>
      <c r="AA38" s="230">
        <f ca="1">[1]!cb_info_maturitycallprice(B38)</f>
        <v>108</v>
      </c>
      <c r="AB38" s="230">
        <f ca="1">IF(ISNUMBER([1]!cb_info_conditionalputprice(B38)),[1]!cb_info_conditionalputprice(B38),"-")</f>
        <v>0</v>
      </c>
      <c r="AC38" s="230">
        <f ca="1">[1]!cb_info_interest(B38)</f>
        <v>0.2</v>
      </c>
      <c r="AD38" s="263" t="str">
        <f ca="1">IFERROR(couponlist([1]!cb_clause_interest(B38,"4")),"-")</f>
        <v>0.20%，0.40%，0.80%，1.20%，1.60%，2.00%</v>
      </c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</row>
    <row r="39" spans="1:43" s="191" customFormat="1" x14ac:dyDescent="0.35">
      <c r="A39" s="182" t="s">
        <v>5</v>
      </c>
      <c r="B39" s="182" t="s">
        <v>587</v>
      </c>
      <c r="C39" s="182" t="s">
        <v>588</v>
      </c>
      <c r="D39" s="235" t="str">
        <f ca="1">IF([1]!s_info_industry_sw(B39,1)=0,"-",[1]!s_info_industry_sw(B39,1))</f>
        <v>医药生物</v>
      </c>
      <c r="E39" s="183" t="str">
        <f ca="1">[1]!cb_info_underlyingcode(B39)</f>
        <v>300636.SZ</v>
      </c>
      <c r="F39" s="185">
        <f ca="1">RTD("wdf.rtq",,B39,"LastPrice","Dirty_Price")</f>
        <v>128</v>
      </c>
      <c r="G39" s="185">
        <f ca="1">RTD("wdf.rtq",,E39,"LastPrice")</f>
        <v>17.11</v>
      </c>
      <c r="H39" s="225">
        <f ca="1">RTD("wdf.rtq",,B39,"PctChg","RT_Price")/100</f>
        <v>3.2300000000000002E-2</v>
      </c>
      <c r="I39" s="225">
        <f ca="1">RTD("wdf.rtq",,E39,"PctChg")/100</f>
        <v>5.16E-2</v>
      </c>
      <c r="J39" s="186">
        <f ca="1">_xlfn.IFNA([1]!b_anal_ptmyear(B39,$B$2),"未发行或发行失败")</f>
        <v>5.1315068493150688</v>
      </c>
      <c r="K39" s="186">
        <f ca="1">RTD("wdf.rtq",,B39,"Amount","Dirty_Price")/100000000</f>
        <v>0.93380892000000004</v>
      </c>
      <c r="L39" s="186">
        <f ca="1">[1]!cb_anal_convprice(B39,$B$2)</f>
        <v>14.82</v>
      </c>
      <c r="M39" s="186">
        <f t="shared" ca="1" si="0"/>
        <v>115.45209176788124</v>
      </c>
      <c r="N39" s="187">
        <f t="shared" ca="1" si="1"/>
        <v>10.868497954412618</v>
      </c>
      <c r="O39" s="187">
        <f t="array" aca="1" ref="O39" ca="1">_xlfn.IFNA(RTD("wdf.rtq",,B39,"LastPrice","Yield_To_Maturity"),[1]!cb_anal_ytm(B39,$C$2))</f>
        <v>-0.88840000000000008</v>
      </c>
      <c r="P39" s="187">
        <f ca="1">[1]!cb_anal_straightbondvalue(B39,$B$2)</f>
        <v>80.038499999999999</v>
      </c>
      <c r="Q39" s="187">
        <f t="shared" ca="1" si="2"/>
        <v>59.923037038425264</v>
      </c>
      <c r="R39" s="187" t="str">
        <f ca="1">[1]!b_rate_latestcredit(B39)</f>
        <v>A+</v>
      </c>
      <c r="S39" s="187">
        <f ca="1">[1]!cb_info_outstandingbalance(B39,$B$2)</f>
        <v>3.5893440000000001</v>
      </c>
      <c r="T39" s="187">
        <f ca="1">[1]!cb_info_issueamount(B39,100000000)</f>
        <v>3.6</v>
      </c>
      <c r="U39" s="187">
        <f t="shared" ca="1" si="3"/>
        <v>99.703999999999994</v>
      </c>
      <c r="V39" s="240">
        <f ca="1">IF([1]!cb_anal_ldiluterate(B39,$B$2)=100,"-",[1]!cb_anal_ldiluterate(B39,$B$2))</f>
        <v>12.126959327026071</v>
      </c>
      <c r="W39" s="188" t="str">
        <f ca="1">[1]!cb_info_listeddate(B39)</f>
        <v>2020-11-16</v>
      </c>
      <c r="X39" s="188" t="str">
        <f ca="1">[1]!cb_info_carrydate(B39)</f>
        <v>2020-10-26</v>
      </c>
      <c r="Y39" s="186" t="str">
        <f ca="1">[1]!cb_clause_conversion_2_swapsharestartdate(B39)</f>
        <v>2021-05-06</v>
      </c>
      <c r="Z39" s="186" t="str">
        <f ca="1">[1]!cb_clause_putoption_conditionalputbackstartenddate(B39)</f>
        <v>2024-10-26</v>
      </c>
      <c r="AA39" s="240">
        <f ca="1">[1]!cb_info_maturitycallprice(B39)</f>
        <v>116</v>
      </c>
      <c r="AB39" s="240">
        <f ca="1">IF(ISNUMBER([1]!cb_info_conditionalputprice(B39)),[1]!cb_info_conditionalputprice(B39),"-")</f>
        <v>0</v>
      </c>
      <c r="AC39" s="240">
        <f ca="1">[1]!cb_info_interest(B39)</f>
        <v>0.5</v>
      </c>
      <c r="AD39" s="262" t="str">
        <f ca="1">IFERROR(couponlist([1]!cb_clause_interest(B39,"4")),"-")</f>
        <v>0.5%，0.7%，1.2%，1.8%，2.2%，2.8%</v>
      </c>
      <c r="AE39" s="189"/>
      <c r="AF39" s="189"/>
      <c r="AG39" s="189"/>
      <c r="AH39" s="189"/>
      <c r="AI39" s="189"/>
      <c r="AJ39" s="189"/>
      <c r="AK39" s="189"/>
      <c r="AL39" s="189"/>
      <c r="AM39" s="189"/>
      <c r="AN39" s="189"/>
      <c r="AO39" s="189"/>
      <c r="AP39" s="189"/>
      <c r="AQ39" s="189"/>
    </row>
    <row r="40" spans="1:43" s="130" customFormat="1" x14ac:dyDescent="0.35">
      <c r="A40" s="121" t="s">
        <v>0</v>
      </c>
      <c r="B40" s="121" t="s">
        <v>555</v>
      </c>
      <c r="C40" s="121" t="s">
        <v>556</v>
      </c>
      <c r="D40" s="236" t="str">
        <f ca="1">IF([1]!s_info_industry_sw(B40,1)=0,"-",[1]!s_info_industry_sw(B40,1))</f>
        <v>医药生物</v>
      </c>
      <c r="E40" s="122" t="str">
        <f ca="1">[1]!cb_info_underlyingcode(B40)</f>
        <v>603233.SH</v>
      </c>
      <c r="F40" s="124">
        <f ca="1">RTD("wdf.rtq",,B40,"LastPrice","Dirty_Price")</f>
        <v>113.85000000000001</v>
      </c>
      <c r="G40" s="124">
        <f ca="1">RTD("wdf.rtq",,E40,"LastPrice")</f>
        <v>46.49</v>
      </c>
      <c r="H40" s="226">
        <f ca="1">RTD("wdf.rtq",,B40,"PctChg","RT_Price")/100</f>
        <v>2.2000000000000001E-3</v>
      </c>
      <c r="I40" s="226">
        <f ca="1">RTD("wdf.rtq",,E40,"PctChg")/100</f>
        <v>-6.8000000000000005E-3</v>
      </c>
      <c r="J40" s="125">
        <f ca="1">_xlfn.IFNA([1]!b_anal_ptmyear(B40,$B$2),"未发行或发行失败")</f>
        <v>5.1205479452054794</v>
      </c>
      <c r="K40" s="125">
        <f ca="1">RTD("wdf.rtq",,B40,"Amount","Dirty_Price")/100000000</f>
        <v>0.21530658999999999</v>
      </c>
      <c r="L40" s="125">
        <f ca="1">[1]!cb_anal_convprice(B40,$B$2)</f>
        <v>69.09</v>
      </c>
      <c r="M40" s="125">
        <f t="shared" ca="1" si="0"/>
        <v>67.289043276885224</v>
      </c>
      <c r="N40" s="126">
        <f t="shared" ca="1" si="1"/>
        <v>69.195450634545068</v>
      </c>
      <c r="O40" s="126">
        <f t="array" aca="1" ref="O40" ca="1">_xlfn.IFNA(RTD("wdf.rtq",,B40,"LastPrice","Yield_To_Maturity"),[1]!cb_anal_ytm(B40,$C$2))</f>
        <v>0.23520000000000002</v>
      </c>
      <c r="P40" s="126">
        <f ca="1">[1]!cb_anal_straightbondvalue(B40,$B$2)</f>
        <v>93.045400000000001</v>
      </c>
      <c r="Q40" s="126">
        <f t="shared" ca="1" si="2"/>
        <v>22.359622291913411</v>
      </c>
      <c r="R40" s="126" t="str">
        <f ca="1">[1]!b_rate_latestcredit(B40)</f>
        <v>AA</v>
      </c>
      <c r="S40" s="126">
        <f ca="1">[1]!cb_info_outstandingbalance(B40,$B$2)</f>
        <v>14.049149999999999</v>
      </c>
      <c r="T40" s="126">
        <f ca="1">[1]!cb_info_issueamount(B40,100000000)</f>
        <v>14.05</v>
      </c>
      <c r="U40" s="126">
        <f t="shared" ca="1" si="3"/>
        <v>99.993950177935929</v>
      </c>
      <c r="V40" s="230">
        <f ca="1">IF([1]!cb_anal_ldiluterate(B40,$B$2)=100,"-",[1]!cb_anal_ldiluterate(B40,$B$2))</f>
        <v>2.5168678437673733</v>
      </c>
      <c r="W40" s="127" t="str">
        <f ca="1">[1]!cb_info_listeddate(B40)</f>
        <v>2020-11-13</v>
      </c>
      <c r="X40" s="127" t="str">
        <f ca="1">[1]!cb_info_carrydate(B40)</f>
        <v>2020-10-22</v>
      </c>
      <c r="Y40" s="125" t="str">
        <f ca="1">[1]!cb_clause_conversion_2_swapsharestartdate(B40)</f>
        <v>2021-04-28</v>
      </c>
      <c r="Z40" s="125" t="str">
        <f ca="1">[1]!cb_clause_putoption_conditionalputbackstartenddate(B40)</f>
        <v>2024-10-22</v>
      </c>
      <c r="AA40" s="230">
        <f ca="1">[1]!cb_info_maturitycallprice(B40)</f>
        <v>110</v>
      </c>
      <c r="AB40" s="230">
        <f ca="1">IF(ISNUMBER([1]!cb_info_conditionalputprice(B40)),[1]!cb_info_conditionalputprice(B40),"-")</f>
        <v>0</v>
      </c>
      <c r="AC40" s="230">
        <f ca="1">[1]!cb_info_interest(B40)</f>
        <v>0.3</v>
      </c>
      <c r="AD40" s="263" t="str">
        <f ca="1">IFERROR(couponlist([1]!cb_clause_interest(B40,"4")),"-")</f>
        <v>0.3%，0.6%，1.0%，1.5%，1.8%，2.0%</v>
      </c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</row>
    <row r="41" spans="1:43" s="191" customFormat="1" x14ac:dyDescent="0.35">
      <c r="A41" s="182" t="s">
        <v>5</v>
      </c>
      <c r="B41" s="182" t="s">
        <v>441</v>
      </c>
      <c r="C41" s="182" t="s">
        <v>442</v>
      </c>
      <c r="D41" s="235" t="str">
        <f ca="1">IF([1]!s_info_industry_sw(B41,1)=0,"-",[1]!s_info_industry_sw(B41,1))</f>
        <v>医药生物</v>
      </c>
      <c r="E41" s="183" t="str">
        <f ca="1">[1]!cb_info_underlyingcode(B41)</f>
        <v>000623.SZ</v>
      </c>
      <c r="F41" s="185">
        <f ca="1">RTD("wdf.rtq",,B41,"LastPrice","Dirty_Price")</f>
        <v>117.71100000000001</v>
      </c>
      <c r="G41" s="185">
        <f ca="1">RTD("wdf.rtq",,E41,"LastPrice")</f>
        <v>18.420000000000002</v>
      </c>
      <c r="H41" s="225">
        <f ca="1">RTD("wdf.rtq",,B41,"PctChg","RT_Price")/100</f>
        <v>1.77E-2</v>
      </c>
      <c r="I41" s="225">
        <f ca="1">RTD("wdf.rtq",,E41,"PctChg")/100</f>
        <v>5.3200000000000004E-2</v>
      </c>
      <c r="J41" s="186">
        <f ca="1">_xlfn.IFNA([1]!b_anal_ptmyear(B41,$B$2),"未发行或发行失败")</f>
        <v>2.5095890410958903</v>
      </c>
      <c r="K41" s="186">
        <f ca="1">RTD("wdf.rtq",,B41,"Amount","Dirty_Price")/100000000</f>
        <v>0.36953944999999999</v>
      </c>
      <c r="L41" s="186">
        <f ca="1">[1]!cb_anal_convprice(B41,$B$2)</f>
        <v>20.22</v>
      </c>
      <c r="M41" s="186">
        <f t="shared" ca="1" si="0"/>
        <v>91.097922848664709</v>
      </c>
      <c r="N41" s="187">
        <f t="shared" ca="1" si="1"/>
        <v>29.213703583061886</v>
      </c>
      <c r="O41" s="187">
        <f t="array" aca="1" ref="O41" ca="1">_xlfn.IFNA(RTD("wdf.rtq",,B41,"LastPrice","Yield_To_Maturity"),[1]!cb_anal_ytm(B41,$C$2))</f>
        <v>-3.6281000000000003</v>
      </c>
      <c r="P41" s="187">
        <f ca="1">[1]!cb_anal_straightbondvalue(B41,$B$2)</f>
        <v>99.4482</v>
      </c>
      <c r="Q41" s="187">
        <f t="shared" ca="1" si="2"/>
        <v>18.364133287480342</v>
      </c>
      <c r="R41" s="187" t="str">
        <f ca="1">[1]!b_rate_latestcredit(B41)</f>
        <v>AA+</v>
      </c>
      <c r="S41" s="187">
        <f ca="1">[1]!cb_info_outstandingbalance(B41,$B$2)</f>
        <v>24.072535999999999</v>
      </c>
      <c r="T41" s="187">
        <f ca="1">[1]!cb_info_issueamount(B41,100000000)</f>
        <v>24.13</v>
      </c>
      <c r="U41" s="187">
        <f t="shared" ca="1" si="3"/>
        <v>99.761856610029014</v>
      </c>
      <c r="V41" s="240">
        <f ca="1">IF([1]!cb_anal_ldiluterate(B41,$B$2)=100,"-",[1]!cb_anal_ldiluterate(B41,$B$2))</f>
        <v>9.3071274294548392</v>
      </c>
      <c r="W41" s="188" t="str">
        <f ca="1">[1]!cb_info_listeddate(B41)</f>
        <v>2018-05-11</v>
      </c>
      <c r="X41" s="188" t="str">
        <f ca="1">[1]!cb_info_carrydate(B41)</f>
        <v>2018-03-13</v>
      </c>
      <c r="Y41" s="186" t="str">
        <f ca="1">[1]!cb_clause_conversion_2_swapsharestartdate(B41)</f>
        <v>2018-09-19</v>
      </c>
      <c r="Z41" s="186" t="str">
        <f ca="1">[1]!cb_clause_putoption_conditionalputbackstartenddate(B41)</f>
        <v>2022-03-13</v>
      </c>
      <c r="AA41" s="240">
        <f ca="1">[1]!cb_info_maturitycallprice(B41)</f>
        <v>105</v>
      </c>
      <c r="AB41" s="240">
        <f ca="1">IF(ISNUMBER([1]!cb_info_conditionalputprice(B41)),[1]!cb_info_conditionalputprice(B41),"-")</f>
        <v>100.11799999999999</v>
      </c>
      <c r="AC41" s="240">
        <f ca="1">[1]!cb_info_interest(B41)</f>
        <v>0.2</v>
      </c>
      <c r="AD41" s="262" t="str">
        <f ca="1">IFERROR(couponlist([1]!cb_clause_interest(B41,"4")),"-")</f>
        <v>0.2%，0.4%，0.6%，0.8%，1.6%，2.0%</v>
      </c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</row>
    <row r="42" spans="1:43" s="130" customFormat="1" x14ac:dyDescent="0.35">
      <c r="A42" s="121" t="s">
        <v>0</v>
      </c>
      <c r="B42" s="121" t="s">
        <v>338</v>
      </c>
      <c r="C42" s="121" t="s">
        <v>339</v>
      </c>
      <c r="D42" s="236" t="str">
        <f ca="1">IF([1]!s_info_industry_sw(B42,1)=0,"-",[1]!s_info_industry_sw(B42,1))</f>
        <v>医药生物</v>
      </c>
      <c r="E42" s="122" t="str">
        <f ca="1">[1]!cb_info_underlyingcode(B42)</f>
        <v>600420.SH</v>
      </c>
      <c r="F42" s="124">
        <f ca="1">RTD("wdf.rtq",,B42,"LastPrice","Dirty_Price")</f>
        <v>119.7</v>
      </c>
      <c r="G42" s="124">
        <f ca="1">RTD("wdf.rtq",,E42,"LastPrice")</f>
        <v>10.09</v>
      </c>
      <c r="H42" s="226">
        <f ca="1">RTD("wdf.rtq",,B42,"PctChg","RT_Price")/100</f>
        <v>-3.0000000000000003E-4</v>
      </c>
      <c r="I42" s="226">
        <f ca="1">RTD("wdf.rtq",,E42,"PctChg")/100</f>
        <v>0</v>
      </c>
      <c r="J42" s="125">
        <f ca="1">_xlfn.IFNA([1]!b_anal_ptmyear(B42,$B$2),"未发行或发行失败")</f>
        <v>3.5616438356164384</v>
      </c>
      <c r="K42" s="125">
        <f ca="1">RTD("wdf.rtq",,B42,"Amount","Dirty_Price")/100000000</f>
        <v>0.33336434999999998</v>
      </c>
      <c r="L42" s="125">
        <f ca="1">[1]!cb_anal_convprice(B42,$B$2)</f>
        <v>9.7899999999999991</v>
      </c>
      <c r="M42" s="125">
        <f t="shared" ca="1" si="0"/>
        <v>103.06435137895814</v>
      </c>
      <c r="N42" s="126">
        <f t="shared" ca="1" si="1"/>
        <v>16.141030723488583</v>
      </c>
      <c r="O42" s="126">
        <f t="array" aca="1" ref="O42" ca="1">_xlfn.IFNA(RTD("wdf.rtq",,B42,"LastPrice","Yield_To_Maturity"),[1]!cb_anal_ytm(B42,$C$2))</f>
        <v>-2.3144</v>
      </c>
      <c r="P42" s="126">
        <f ca="1">[1]!cb_anal_straightbondvalue(B42,$B$2)</f>
        <v>98.796300000000002</v>
      </c>
      <c r="Q42" s="126">
        <f t="shared" ca="1" si="2"/>
        <v>21.158383461728832</v>
      </c>
      <c r="R42" s="126" t="str">
        <f ca="1">[1]!b_rate_latestcredit(B42)</f>
        <v>AAA</v>
      </c>
      <c r="S42" s="126">
        <f ca="1">[1]!cb_info_outstandingbalance(B42,$B$2)</f>
        <v>16.156870000000001</v>
      </c>
      <c r="T42" s="126">
        <f ca="1">[1]!cb_info_issueamount(B42,100000000)</f>
        <v>16.159400000000002</v>
      </c>
      <c r="U42" s="126">
        <f t="shared" ca="1" si="3"/>
        <v>99.984343478099433</v>
      </c>
      <c r="V42" s="230">
        <f ca="1">IF([1]!cb_anal_ldiluterate(B42,$B$2)=100,"-",[1]!cb_anal_ldiluterate(B42,$B$2))</f>
        <v>13.845249317319633</v>
      </c>
      <c r="W42" s="127" t="str">
        <f ca="1">[1]!cb_info_listeddate(B42)</f>
        <v>2019-04-30</v>
      </c>
      <c r="X42" s="127" t="str">
        <f ca="1">[1]!cb_info_carrydate(B42)</f>
        <v>2019-04-01</v>
      </c>
      <c r="Y42" s="125" t="str">
        <f ca="1">[1]!cb_clause_conversion_2_swapsharestartdate(B42)</f>
        <v>2019-10-08</v>
      </c>
      <c r="Z42" s="125" t="str">
        <f ca="1">[1]!cb_clause_putoption_conditionalputbackstartenddate(B42)</f>
        <v>2023-04-01</v>
      </c>
      <c r="AA42" s="230">
        <f ca="1">[1]!cb_info_maturitycallprice(B42)</f>
        <v>106</v>
      </c>
      <c r="AB42" s="230">
        <f ca="1">IF(ISNUMBER([1]!cb_info_conditionalputprice(B42)),[1]!cb_info_conditionalputprice(B42),"-")</f>
        <v>0</v>
      </c>
      <c r="AC42" s="230">
        <f ca="1">[1]!cb_info_interest(B42)</f>
        <v>0.2</v>
      </c>
      <c r="AD42" s="263" t="str">
        <f ca="1">IFERROR(couponlist([1]!cb_clause_interest(B42,"4")),"-")</f>
        <v>0.2%，0.5%，1.0%，1.5%，1.8%，2.0%</v>
      </c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</row>
    <row r="43" spans="1:43" s="191" customFormat="1" x14ac:dyDescent="0.35">
      <c r="A43" s="182" t="s">
        <v>5</v>
      </c>
      <c r="B43" s="182" t="s">
        <v>640</v>
      </c>
      <c r="C43" s="182" t="s">
        <v>641</v>
      </c>
      <c r="D43" s="235" t="str">
        <f ca="1">IF([1]!s_info_industry_sw(B43,1)=0,"-",[1]!s_info_industry_sw(B43,1))</f>
        <v>医药生物</v>
      </c>
      <c r="E43" s="183" t="str">
        <f ca="1">[1]!cb_info_underlyingcode(B43)</f>
        <v>002287.SZ</v>
      </c>
      <c r="F43" s="185">
        <f ca="1">RTD("wdf.rtq",,B43,"LastPrice","Dirty_Price")</f>
        <v>124.72000000000001</v>
      </c>
      <c r="G43" s="185">
        <f ca="1">RTD("wdf.rtq",,E43,"LastPrice")</f>
        <v>31.79</v>
      </c>
      <c r="H43" s="225">
        <f ca="1">RTD("wdf.rtq",,B43,"PctChg","RT_Price")/100</f>
        <v>-4.5999999999999999E-3</v>
      </c>
      <c r="I43" s="225">
        <f ca="1">RTD("wdf.rtq",,E43,"PctChg")/100</f>
        <v>-3.61E-2</v>
      </c>
      <c r="J43" s="186">
        <f ca="1">_xlfn.IFNA([1]!b_anal_ptmyear(B43,$B$2),"未发行或发行失败")</f>
        <v>5.0383561643835613</v>
      </c>
      <c r="K43" s="186">
        <f ca="1">RTD("wdf.rtq",,B43,"Amount","Dirty_Price")/100000000</f>
        <v>0.26644125000000002</v>
      </c>
      <c r="L43" s="186">
        <f ca="1">[1]!cb_anal_convprice(B43,$B$2)</f>
        <v>29.78</v>
      </c>
      <c r="M43" s="186">
        <f t="shared" ca="1" si="0"/>
        <v>106.7494963062458</v>
      </c>
      <c r="N43" s="187">
        <f t="shared" ca="1" si="1"/>
        <v>16.834274929223042</v>
      </c>
      <c r="O43" s="187">
        <f t="array" aca="1" ref="O43" ca="1">_xlfn.IFNA(RTD("wdf.rtq",,B43,"LastPrice","Yield_To_Maturity"),[1]!cb_anal_ytm(B43,$C$2))</f>
        <v>-1.2349000000000001</v>
      </c>
      <c r="P43" s="187">
        <f ca="1">[1]!cb_anal_straightbondvalue(B43,$B$2)</f>
        <v>95.151200000000003</v>
      </c>
      <c r="Q43" s="187">
        <f t="shared" ca="1" si="2"/>
        <v>31.075593371392074</v>
      </c>
      <c r="R43" s="187" t="str">
        <f ca="1">[1]!b_rate_latestcredit(B43)</f>
        <v>AA</v>
      </c>
      <c r="S43" s="187">
        <f ca="1">[1]!cb_info_outstandingbalance(B43,$B$2)</f>
        <v>7.9965039999999998</v>
      </c>
      <c r="T43" s="187">
        <f ca="1">[1]!cb_info_issueamount(B43,100000000)</f>
        <v>8</v>
      </c>
      <c r="U43" s="187">
        <f t="shared" ca="1" si="3"/>
        <v>99.956299999999999</v>
      </c>
      <c r="V43" s="240">
        <f ca="1">IF([1]!cb_anal_ldiluterate(B43,$B$2)=100,"-",[1]!cb_anal_ldiluterate(B43,$B$2))</f>
        <v>4.8401725457500868</v>
      </c>
      <c r="W43" s="188" t="str">
        <f ca="1">[1]!cb_info_listeddate(B43)</f>
        <v>2020-10-27</v>
      </c>
      <c r="X43" s="188" t="str">
        <f ca="1">[1]!cb_info_carrydate(B43)</f>
        <v>2020-09-22</v>
      </c>
      <c r="Y43" s="186" t="str">
        <f ca="1">[1]!cb_clause_conversion_2_swapsharestartdate(B43)</f>
        <v>2021-03-29</v>
      </c>
      <c r="Z43" s="186" t="str">
        <f ca="1">[1]!cb_clause_putoption_conditionalputbackstartenddate(B43)</f>
        <v>2024-09-22</v>
      </c>
      <c r="AA43" s="240">
        <f ca="1">[1]!cb_info_maturitycallprice(B43)</f>
        <v>112</v>
      </c>
      <c r="AB43" s="240">
        <f ca="1">IF(ISNUMBER([1]!cb_info_conditionalputprice(B43)),[1]!cb_info_conditionalputprice(B43),"-")</f>
        <v>0</v>
      </c>
      <c r="AC43" s="240">
        <f ca="1">[1]!cb_info_interest(B43)</f>
        <v>0.4</v>
      </c>
      <c r="AD43" s="262" t="str">
        <f ca="1">IFERROR(couponlist([1]!cb_clause_interest(B43,"4")),"-")</f>
        <v>0.40%，0.60%，1.00%，1.50%，1.80%，2.50%</v>
      </c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  <c r="AO43" s="189"/>
      <c r="AP43" s="189"/>
      <c r="AQ43" s="189"/>
    </row>
    <row r="44" spans="1:43" s="130" customFormat="1" x14ac:dyDescent="0.35">
      <c r="A44" s="121" t="s">
        <v>5</v>
      </c>
      <c r="B44" s="121" t="s">
        <v>1683</v>
      </c>
      <c r="C44" s="121" t="s">
        <v>1684</v>
      </c>
      <c r="D44" s="236" t="str">
        <f ca="1">IF([1]!s_info_industry_sw(B44,1)=0,"-",[1]!s_info_industry_sw(B44,1))</f>
        <v>医药生物</v>
      </c>
      <c r="E44" s="122" t="str">
        <f ca="1">[1]!cb_info_underlyingcode(B44)</f>
        <v>300705.SZ</v>
      </c>
      <c r="F44" s="124">
        <f ca="1">RTD("wdf.rtq",,B44,"LastPrice","Dirty_Price")</f>
        <v>126.01400000000001</v>
      </c>
      <c r="G44" s="124">
        <f ca="1">RTD("wdf.rtq",,E44,"LastPrice")</f>
        <v>27.25</v>
      </c>
      <c r="H44" s="226">
        <f ca="1">RTD("wdf.rtq",,B44,"PctChg","RT_Price")/100</f>
        <v>0</v>
      </c>
      <c r="I44" s="226">
        <f ca="1">RTD("wdf.rtq",,E44,"PctChg")/100</f>
        <v>-2.0500000000000004E-2</v>
      </c>
      <c r="J44" s="125">
        <f ca="1">_xlfn.IFNA([1]!b_anal_ptmyear(B44,$B$2),"未发行或发行失败")</f>
        <v>5.5616438356164384</v>
      </c>
      <c r="K44" s="125">
        <f ca="1">RTD("wdf.rtq",,B44,"Amount","Dirty_Price")/100000000</f>
        <v>0.13348441999999999</v>
      </c>
      <c r="L44" s="125">
        <f ca="1">[1]!cb_anal_convprice(B44,$B$2)</f>
        <v>26.44</v>
      </c>
      <c r="M44" s="125">
        <f t="shared" ca="1" si="0"/>
        <v>103.06354009077155</v>
      </c>
      <c r="N44" s="126">
        <f t="shared" ca="1" si="1"/>
        <v>22.268262752293595</v>
      </c>
      <c r="O44" s="126">
        <f t="array" aca="1" ref="O44" ca="1">_xlfn.IFNA(RTD("wdf.rtq",,B44,"LastPrice","Yield_To_Maturity"),[1]!cb_anal_ytm(B44,$C$2))</f>
        <v>-0.68240000000000001</v>
      </c>
      <c r="P44" s="126">
        <f ca="1">[1]!cb_anal_straightbondvalue(B44,$B$2)</f>
        <v>76.194500000000005</v>
      </c>
      <c r="Q44" s="126">
        <f t="shared" ca="1" si="2"/>
        <v>65.384640623667082</v>
      </c>
      <c r="R44" s="126" t="str">
        <f ca="1">[1]!b_rate_latestcredit(B44)</f>
        <v>A+</v>
      </c>
      <c r="S44" s="126">
        <f ca="1">[1]!cb_info_outstandingbalance(B44,$B$2)</f>
        <v>2.7</v>
      </c>
      <c r="T44" s="126">
        <f ca="1">[1]!cb_info_issueamount(B44,100000000)</f>
        <v>2.7</v>
      </c>
      <c r="U44" s="126">
        <f t="shared" ca="1" si="3"/>
        <v>100</v>
      </c>
      <c r="V44" s="230">
        <f ca="1">IF([1]!cb_anal_ldiluterate(B44,$B$2)=100,"-",[1]!cb_anal_ldiluterate(B44,$B$2))</f>
        <v>6.7260530290631335</v>
      </c>
      <c r="W44" s="127" t="str">
        <f ca="1">[1]!cb_info_listeddate(B44)</f>
        <v>2021-04-23</v>
      </c>
      <c r="X44" s="127" t="str">
        <f ca="1">[1]!cb_info_carrydate(B44)</f>
        <v>2021-04-01</v>
      </c>
      <c r="Y44" s="125" t="str">
        <f ca="1">[1]!cb_clause_conversion_2_swapsharestartdate(B44)</f>
        <v>2021-10-08</v>
      </c>
      <c r="Z44" s="125" t="str">
        <f ca="1">[1]!cb_clause_putoption_conditionalputbackstartenddate(B44)</f>
        <v>2025-04-01</v>
      </c>
      <c r="AA44" s="230">
        <f ca="1">[1]!cb_info_maturitycallprice(B44)</f>
        <v>115</v>
      </c>
      <c r="AB44" s="230">
        <f ca="1">IF(ISNUMBER([1]!cb_info_conditionalputprice(B44)),[1]!cb_info_conditionalputprice(B44),"-")</f>
        <v>0</v>
      </c>
      <c r="AC44" s="230">
        <f ca="1">[1]!cb_info_interest(B44)</f>
        <v>0.4</v>
      </c>
      <c r="AD44" s="263" t="str">
        <f ca="1">IFERROR(couponlist([1]!cb_clause_interest(B44,"4")),"-")</f>
        <v>0.40%，0.60%，1.20%，1.80%，2.40%，3.00%</v>
      </c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</row>
    <row r="45" spans="1:43" s="191" customFormat="1" x14ac:dyDescent="0.35">
      <c r="A45" s="182" t="s">
        <v>5</v>
      </c>
      <c r="B45" s="182" t="s">
        <v>62</v>
      </c>
      <c r="C45" s="182" t="s">
        <v>63</v>
      </c>
      <c r="D45" s="235" t="str">
        <f ca="1">IF([1]!s_info_industry_sw(B45,1)=0,"-",[1]!s_info_industry_sw(B45,1))</f>
        <v>医药生物</v>
      </c>
      <c r="E45" s="183" t="str">
        <f ca="1">[1]!cb_info_underlyingcode(B45)</f>
        <v>002022.SZ</v>
      </c>
      <c r="F45" s="185">
        <f ca="1">RTD("wdf.rtq",,B45,"LastPrice","Dirty_Price")</f>
        <v>105.569</v>
      </c>
      <c r="G45" s="185">
        <f ca="1">RTD("wdf.rtq",,E45,"LastPrice")</f>
        <v>13.58</v>
      </c>
      <c r="H45" s="225">
        <f ca="1">RTD("wdf.rtq",,B45,"PctChg","RT_Price")/100</f>
        <v>1.2999999999999999E-3</v>
      </c>
      <c r="I45" s="225">
        <f ca="1">RTD("wdf.rtq",,E45,"PctChg")/100</f>
        <v>0</v>
      </c>
      <c r="J45" s="186">
        <f ca="1">_xlfn.IFNA([1]!b_anal_ptmyear(B45,$B$2),"未发行或发行失败")</f>
        <v>4.8849315068493153</v>
      </c>
      <c r="K45" s="186">
        <f ca="1">RTD("wdf.rtq",,B45,"Amount","Dirty_Price")/100000000</f>
        <v>3.8858589999999998E-2</v>
      </c>
      <c r="L45" s="186">
        <f ca="1">[1]!cb_anal_convprice(B45,$B$2)</f>
        <v>21.3</v>
      </c>
      <c r="M45" s="186">
        <f t="shared" ca="1" si="0"/>
        <v>63.755868544600936</v>
      </c>
      <c r="N45" s="187">
        <f t="shared" ca="1" si="1"/>
        <v>65.583188512518404</v>
      </c>
      <c r="O45" s="187">
        <f t="array" aca="1" ref="O45" ca="1">_xlfn.IFNA(RTD("wdf.rtq",,B45,"LastPrice","Yield_To_Maturity"),[1]!cb_anal_ytm(B45,$C$2))</f>
        <v>0.85870000000000002</v>
      </c>
      <c r="P45" s="187">
        <f ca="1">[1]!cb_anal_straightbondvalue(B45,$B$2)</f>
        <v>89.750100000000003</v>
      </c>
      <c r="Q45" s="187">
        <f t="shared" ca="1" si="2"/>
        <v>17.625495681898954</v>
      </c>
      <c r="R45" s="187" t="str">
        <f ca="1">[1]!b_rate_latestcredit(B45)</f>
        <v>AA</v>
      </c>
      <c r="S45" s="187">
        <f ca="1">[1]!cb_info_outstandingbalance(B45,$B$2)</f>
        <v>7.3768529999999997</v>
      </c>
      <c r="T45" s="187">
        <f ca="1">[1]!cb_info_issueamount(B45,100000000)</f>
        <v>7.38</v>
      </c>
      <c r="U45" s="187">
        <f t="shared" ca="1" si="3"/>
        <v>99.957357723577232</v>
      </c>
      <c r="V45" s="240">
        <f ca="1">IF([1]!cb_anal_ldiluterate(B45,$B$2)=100,"-",[1]!cb_anal_ldiluterate(B45,$B$2))</f>
        <v>6.3120353213225648</v>
      </c>
      <c r="W45" s="188" t="str">
        <f ca="1">[1]!cb_info_listeddate(B45)</f>
        <v>2020-08-20</v>
      </c>
      <c r="X45" s="188" t="str">
        <f ca="1">[1]!cb_info_carrydate(B45)</f>
        <v>2020-07-28</v>
      </c>
      <c r="Y45" s="186" t="str">
        <f ca="1">[1]!cb_clause_conversion_2_swapsharestartdate(B45)</f>
        <v>2021-02-03</v>
      </c>
      <c r="Z45" s="186" t="str">
        <f ca="1">[1]!cb_clause_putoption_conditionalputbackstartenddate(B45)</f>
        <v>2024-07-28</v>
      </c>
      <c r="AA45" s="240">
        <f ca="1">[1]!cb_info_maturitycallprice(B45)</f>
        <v>106</v>
      </c>
      <c r="AB45" s="240">
        <f ca="1">IF(ISNUMBER([1]!cb_info_conditionalputprice(B45)),[1]!cb_info_conditionalputprice(B45),"-")</f>
        <v>0</v>
      </c>
      <c r="AC45" s="240">
        <f ca="1">[1]!cb_info_interest(B45)</f>
        <v>0.3</v>
      </c>
      <c r="AD45" s="262" t="str">
        <f ca="1">IFERROR(couponlist([1]!cb_clause_interest(B45,"4")),"-")</f>
        <v>0.30%，0.50%，0.80%，1.20%，1.50%，2.00%</v>
      </c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  <c r="AO45" s="189"/>
      <c r="AP45" s="189"/>
      <c r="AQ45" s="189"/>
    </row>
    <row r="46" spans="1:43" s="130" customFormat="1" x14ac:dyDescent="0.35">
      <c r="A46" s="121" t="s">
        <v>0</v>
      </c>
      <c r="B46" s="121" t="s">
        <v>571</v>
      </c>
      <c r="C46" s="121" t="s">
        <v>572</v>
      </c>
      <c r="D46" s="236" t="str">
        <f ca="1">IF([1]!s_info_industry_sw(B46,1)=0,"-",[1]!s_info_industry_sw(B46,1))</f>
        <v>医药生物</v>
      </c>
      <c r="E46" s="122" t="str">
        <f ca="1">[1]!cb_info_underlyingcode(B46)</f>
        <v>603707.SH</v>
      </c>
      <c r="F46" s="124">
        <f ca="1">RTD("wdf.rtq",,B46,"LastPrice","Dirty_Price")</f>
        <v>125.5</v>
      </c>
      <c r="G46" s="124">
        <f ca="1">RTD("wdf.rtq",,E46,"LastPrice")</f>
        <v>28.17</v>
      </c>
      <c r="H46" s="226">
        <f ca="1">RTD("wdf.rtq",,B46,"PctChg","RT_Price")/100</f>
        <v>-8.0000000000000004E-4</v>
      </c>
      <c r="I46" s="226">
        <f ca="1">RTD("wdf.rtq",,E46,"PctChg")/100</f>
        <v>-2.5000000000000001E-3</v>
      </c>
      <c r="J46" s="125">
        <f ca="1">_xlfn.IFNA([1]!b_anal_ptmyear(B46,$B$2),"未发行或发行失败")</f>
        <v>5.2739726027397262</v>
      </c>
      <c r="K46" s="125">
        <f ca="1">RTD("wdf.rtq",,B46,"Amount","Dirty_Price")/100000000</f>
        <v>1.248136E-2</v>
      </c>
      <c r="L46" s="125">
        <f ca="1">[1]!cb_anal_convprice(B46,$B$2)</f>
        <v>29.12</v>
      </c>
      <c r="M46" s="125">
        <f t="shared" ca="1" si="0"/>
        <v>96.737637362637358</v>
      </c>
      <c r="N46" s="126">
        <f t="shared" ca="1" si="1"/>
        <v>29.732339368122126</v>
      </c>
      <c r="O46" s="126">
        <f t="array" aca="1" ref="O46" ca="1">_xlfn.IFNA(RTD("wdf.rtq",,B46,"LastPrice","Yield_To_Maturity"),[1]!cb_anal_ytm(B46,$C$2))</f>
        <v>-1.8071000000000002</v>
      </c>
      <c r="P46" s="126">
        <f ca="1">[1]!cb_anal_straightbondvalue(B46,$B$2)</f>
        <v>91.528400000000005</v>
      </c>
      <c r="Q46" s="126">
        <f t="shared" ca="1" si="2"/>
        <v>37.11591156406098</v>
      </c>
      <c r="R46" s="126" t="str">
        <f ca="1">[1]!b_rate_latestcredit(B46)</f>
        <v>AA</v>
      </c>
      <c r="S46" s="126">
        <f ca="1">[1]!cb_info_outstandingbalance(B46,$B$2)</f>
        <v>7.7988200000000001</v>
      </c>
      <c r="T46" s="126">
        <f ca="1">[1]!cb_info_issueamount(B46,100000000)</f>
        <v>7.8</v>
      </c>
      <c r="U46" s="126">
        <f t="shared" ca="1" si="3"/>
        <v>99.984871794871808</v>
      </c>
      <c r="V46" s="230">
        <f ca="1">IF([1]!cb_anal_ldiluterate(B46,$B$2)=100,"-",[1]!cb_anal_ldiluterate(B46,$B$2))</f>
        <v>2.1582887695521555</v>
      </c>
      <c r="W46" s="127" t="str">
        <f ca="1">[1]!cb_info_listeddate(B46)</f>
        <v>2021-01-18</v>
      </c>
      <c r="X46" s="127" t="str">
        <f ca="1">[1]!cb_info_carrydate(B46)</f>
        <v>2020-12-17</v>
      </c>
      <c r="Y46" s="125" t="str">
        <f ca="1">[1]!cb_clause_conversion_2_swapsharestartdate(B46)</f>
        <v>2021-06-23</v>
      </c>
      <c r="Z46" s="125" t="str">
        <f ca="1">[1]!cb_clause_putoption_conditionalputbackstartenddate(B46)</f>
        <v>2024-12-17</v>
      </c>
      <c r="AA46" s="230">
        <f ca="1">[1]!cb_info_maturitycallprice(B46)</f>
        <v>109</v>
      </c>
      <c r="AB46" s="230">
        <f ca="1">IF(ISNUMBER([1]!cb_info_conditionalputprice(B46)),[1]!cb_info_conditionalputprice(B46),"-")</f>
        <v>0</v>
      </c>
      <c r="AC46" s="230">
        <f ca="1">[1]!cb_info_interest(B46)</f>
        <v>0.3</v>
      </c>
      <c r="AD46" s="263" t="str">
        <f ca="1">IFERROR(couponlist([1]!cb_clause_interest(B46,"4")),"-")</f>
        <v>0.3%，0.6%，1.0%，1.5%，1.8%，2.0%</v>
      </c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</row>
    <row r="47" spans="1:43" s="191" customFormat="1" x14ac:dyDescent="0.35">
      <c r="A47" s="182" t="s">
        <v>5</v>
      </c>
      <c r="B47" s="182" t="s">
        <v>336</v>
      </c>
      <c r="C47" s="182" t="s">
        <v>337</v>
      </c>
      <c r="D47" s="235" t="str">
        <f ca="1">IF([1]!s_info_industry_sw(B47,1)=0,"-",[1]!s_info_industry_sw(B47,1))</f>
        <v>医药生物</v>
      </c>
      <c r="E47" s="183" t="str">
        <f ca="1">[1]!cb_info_underlyingcode(B47)</f>
        <v>002370.SZ</v>
      </c>
      <c r="F47" s="185">
        <f ca="1">RTD("wdf.rtq",,B47,"LastPrice","Dirty_Price")</f>
        <v>94.635000000000005</v>
      </c>
      <c r="G47" s="185">
        <f ca="1">RTD("wdf.rtq",,E47,"LastPrice")</f>
        <v>4.43</v>
      </c>
      <c r="H47" s="225">
        <f ca="1">RTD("wdf.rtq",,B47,"PctChg","RT_Price")/100</f>
        <v>5.1999999999999998E-3</v>
      </c>
      <c r="I47" s="225">
        <f ca="1">RTD("wdf.rtq",,E47,"PctChg")/100</f>
        <v>4.5000000000000005E-3</v>
      </c>
      <c r="J47" s="186">
        <f ca="1">_xlfn.IFNA([1]!b_anal_ptmyear(B47,$B$2),"未发行或发行失败")</f>
        <v>3.5643835616438357</v>
      </c>
      <c r="K47" s="186">
        <f ca="1">RTD("wdf.rtq",,B47,"Amount","Dirty_Price")/100000000</f>
        <v>0.20633077</v>
      </c>
      <c r="L47" s="186">
        <f ca="1">[1]!cb_anal_convprice(B47,$B$2)</f>
        <v>16.25</v>
      </c>
      <c r="M47" s="186">
        <f t="shared" ca="1" si="0"/>
        <v>27.261538461538461</v>
      </c>
      <c r="N47" s="187">
        <f t="shared" ca="1" si="1"/>
        <v>247.13741534988714</v>
      </c>
      <c r="O47" s="187">
        <f t="array" aca="1" ref="O47" ca="1">_xlfn.IFNA(RTD("wdf.rtq",,B47,"LastPrice","Yield_To_Maturity"),[1]!cb_anal_ytm(B47,$C$2))</f>
        <v>6.8531000000000004</v>
      </c>
      <c r="P47" s="187">
        <f ca="1">[1]!cb_anal_straightbondvalue(B47,$B$2)</f>
        <v>56.482999999999997</v>
      </c>
      <c r="Q47" s="187">
        <f t="shared" ca="1" si="2"/>
        <v>67.545987288210625</v>
      </c>
      <c r="R47" s="187" t="str">
        <f ca="1">[1]!b_rate_latestcredit(B47)</f>
        <v>BB</v>
      </c>
      <c r="S47" s="187">
        <f ca="1">[1]!cb_info_outstandingbalance(B47,$B$2)</f>
        <v>9.6307019999999994</v>
      </c>
      <c r="T47" s="187">
        <f ca="1">[1]!cb_info_issueamount(B47,100000000)</f>
        <v>9.65</v>
      </c>
      <c r="U47" s="187">
        <f t="shared" ca="1" si="3"/>
        <v>99.800020725388592</v>
      </c>
      <c r="V47" s="240">
        <f ca="1">IF([1]!cb_anal_ldiluterate(B47,$B$2)=100,"-",[1]!cb_anal_ldiluterate(B47,$B$2))</f>
        <v>11.341313853473194</v>
      </c>
      <c r="W47" s="188" t="str">
        <f ca="1">[1]!cb_info_listeddate(B47)</f>
        <v>2019-04-24</v>
      </c>
      <c r="X47" s="188" t="str">
        <f ca="1">[1]!cb_info_carrydate(B47)</f>
        <v>2019-04-02</v>
      </c>
      <c r="Y47" s="186" t="str">
        <f ca="1">[1]!cb_clause_conversion_2_swapsharestartdate(B47)</f>
        <v>2019-10-09</v>
      </c>
      <c r="Z47" s="186" t="str">
        <f ca="1">[1]!cb_clause_putoption_conditionalputbackstartenddate(B47)</f>
        <v>2023-04-02</v>
      </c>
      <c r="AA47" s="240">
        <f ca="1">[1]!cb_info_maturitycallprice(B47)</f>
        <v>115</v>
      </c>
      <c r="AB47" s="240">
        <f ca="1">IF(ISNUMBER([1]!cb_info_conditionalputprice(B47)),[1]!cb_info_conditionalputprice(B47),"-")</f>
        <v>0</v>
      </c>
      <c r="AC47" s="240">
        <f ca="1">[1]!cb_info_interest(B47)</f>
        <v>0.3</v>
      </c>
      <c r="AD47" s="262" t="str">
        <f ca="1">IFERROR(couponlist([1]!cb_clause_interest(B47,"4")),"-")</f>
        <v>0.3%，0.5%，1.0%，1.5%，1.8%，2.0%</v>
      </c>
      <c r="AE47" s="189"/>
      <c r="AF47" s="189"/>
      <c r="AG47" s="189"/>
      <c r="AH47" s="189"/>
      <c r="AI47" s="189"/>
      <c r="AJ47" s="189"/>
      <c r="AK47" s="189"/>
      <c r="AL47" s="189"/>
      <c r="AM47" s="189"/>
      <c r="AN47" s="189"/>
      <c r="AO47" s="189"/>
      <c r="AP47" s="189"/>
      <c r="AQ47" s="189"/>
    </row>
    <row r="48" spans="1:43" s="130" customFormat="1" x14ac:dyDescent="0.35">
      <c r="A48" s="121" t="s">
        <v>0</v>
      </c>
      <c r="B48" s="121" t="s">
        <v>112</v>
      </c>
      <c r="C48" s="121" t="s">
        <v>113</v>
      </c>
      <c r="D48" s="236" t="str">
        <f ca="1">IF([1]!s_info_industry_sw(B48,1)=0,"-",[1]!s_info_industry_sw(B48,1))</f>
        <v>医药生物</v>
      </c>
      <c r="E48" s="122" t="str">
        <f ca="1">[1]!cb_info_underlyingcode(B48)</f>
        <v>603108.SH</v>
      </c>
      <c r="F48" s="124">
        <f ca="1">RTD("wdf.rtq",,B48,"LastPrice","Dirty_Price")</f>
        <v>111.88000000000001</v>
      </c>
      <c r="G48" s="124">
        <f ca="1">RTD("wdf.rtq",,E48,"LastPrice")</f>
        <v>10.75</v>
      </c>
      <c r="H48" s="226">
        <f ca="1">RTD("wdf.rtq",,B48,"PctChg","RT_Price")/100</f>
        <v>6.7000000000000002E-3</v>
      </c>
      <c r="I48" s="226">
        <f ca="1">RTD("wdf.rtq",,E48,"PctChg")/100</f>
        <v>2.58E-2</v>
      </c>
      <c r="J48" s="125">
        <f ca="1">_xlfn.IFNA([1]!b_anal_ptmyear(B48,$B$2),"未发行或发行失败")</f>
        <v>4.7726027397260271</v>
      </c>
      <c r="K48" s="125">
        <f ca="1">RTD("wdf.rtq",,B48,"Amount","Dirty_Price")/100000000</f>
        <v>1.111822E-2</v>
      </c>
      <c r="L48" s="125">
        <f ca="1">[1]!cb_anal_convprice(B48,$B$2)</f>
        <v>13.25</v>
      </c>
      <c r="M48" s="125">
        <f t="shared" ca="1" si="0"/>
        <v>81.132075471698116</v>
      </c>
      <c r="N48" s="126">
        <f t="shared" ca="1" si="1"/>
        <v>37.898604651162799</v>
      </c>
      <c r="O48" s="126">
        <f t="array" aca="1" ref="O48" ca="1">_xlfn.IFNA(RTD("wdf.rtq",,B48,"LastPrice","Yield_To_Maturity"),[1]!cb_anal_ytm(B48,$C$2))</f>
        <v>0.38290000000000002</v>
      </c>
      <c r="P48" s="126">
        <f ca="1">[1]!cb_anal_straightbondvalue(B48,$B$2)</f>
        <v>93.521900000000002</v>
      </c>
      <c r="Q48" s="126">
        <f t="shared" ca="1" si="2"/>
        <v>19.629733784279424</v>
      </c>
      <c r="R48" s="126" t="str">
        <f ca="1">[1]!b_rate_latestcredit(B48)</f>
        <v>AA</v>
      </c>
      <c r="S48" s="126">
        <f ca="1">[1]!cb_info_outstandingbalance(B48,$B$2)</f>
        <v>5.4994699999999996</v>
      </c>
      <c r="T48" s="126">
        <f ca="1">[1]!cb_info_issueamount(B48,100000000)</f>
        <v>5.5</v>
      </c>
      <c r="U48" s="126">
        <f t="shared" ca="1" si="3"/>
        <v>99.990363636363639</v>
      </c>
      <c r="V48" s="230">
        <f ca="1">IF([1]!cb_anal_ldiluterate(B48,$B$2)=100,"-",[1]!cb_anal_ldiluterate(B48,$B$2))</f>
        <v>6.6832370401613455</v>
      </c>
      <c r="W48" s="127" t="str">
        <f ca="1">[1]!cb_info_listeddate(B48)</f>
        <v>2020-07-13</v>
      </c>
      <c r="X48" s="127" t="str">
        <f ca="1">[1]!cb_info_carrydate(B48)</f>
        <v>2020-06-17</v>
      </c>
      <c r="Y48" s="125" t="str">
        <f ca="1">[1]!cb_clause_conversion_2_swapsharestartdate(B48)</f>
        <v>2020-12-23</v>
      </c>
      <c r="Z48" s="125" t="str">
        <f ca="1">[1]!cb_clause_putoption_conditionalputbackstartenddate(B48)</f>
        <v>2024-06-17</v>
      </c>
      <c r="AA48" s="230">
        <f ca="1">[1]!cb_info_maturitycallprice(B48)</f>
        <v>109</v>
      </c>
      <c r="AB48" s="230">
        <f ca="1">IF(ISNUMBER([1]!cb_info_conditionalputprice(B48)),[1]!cb_info_conditionalputprice(B48),"-")</f>
        <v>0</v>
      </c>
      <c r="AC48" s="230">
        <f ca="1">[1]!cb_info_interest(B48)</f>
        <v>0.3</v>
      </c>
      <c r="AD48" s="263" t="str">
        <f ca="1">IFERROR(couponlist([1]!cb_clause_interest(B48,"4")),"-")</f>
        <v>0.3%，0.6%，1.0%，1.5%，1.8%，2.0%</v>
      </c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</row>
    <row r="49" spans="1:43" s="191" customFormat="1" x14ac:dyDescent="0.35">
      <c r="A49" s="182" t="s">
        <v>0</v>
      </c>
      <c r="B49" s="182" t="s">
        <v>541</v>
      </c>
      <c r="C49" s="182" t="s">
        <v>542</v>
      </c>
      <c r="D49" s="235" t="str">
        <f ca="1">IF([1]!s_info_industry_sw(B49,1)=0,"-",[1]!s_info_industry_sw(B49,1))</f>
        <v>医药生物</v>
      </c>
      <c r="E49" s="183" t="str">
        <f ca="1">[1]!cb_info_underlyingcode(B49)</f>
        <v>600521.SH</v>
      </c>
      <c r="F49" s="185">
        <f ca="1">RTD("wdf.rtq",,B49,"LastPrice","Dirty_Price")</f>
        <v>109</v>
      </c>
      <c r="G49" s="185">
        <f ca="1">RTD("wdf.rtq",,E49,"LastPrice")</f>
        <v>17.57</v>
      </c>
      <c r="H49" s="225">
        <f ca="1">RTD("wdf.rtq",,B49,"PctChg","RT_Price")/100</f>
        <v>4.5000000000000005E-3</v>
      </c>
      <c r="I49" s="225">
        <f ca="1">RTD("wdf.rtq",,E49,"PctChg")/100</f>
        <v>-5.1000000000000004E-3</v>
      </c>
      <c r="J49" s="186">
        <f ca="1">_xlfn.IFNA([1]!b_anal_ptmyear(B49,$B$2),"未发行或发行失败")</f>
        <v>5.1506849315068495</v>
      </c>
      <c r="K49" s="186">
        <f ca="1">RTD("wdf.rtq",,B49,"Amount","Dirty_Price")/100000000</f>
        <v>3.7147949999999999E-2</v>
      </c>
      <c r="L49" s="186">
        <f ca="1">[1]!cb_anal_convprice(B49,$B$2)</f>
        <v>33.85</v>
      </c>
      <c r="M49" s="186">
        <f t="shared" ca="1" si="0"/>
        <v>51.905465288035451</v>
      </c>
      <c r="N49" s="187">
        <f t="shared" ca="1" si="1"/>
        <v>109.99715424018211</v>
      </c>
      <c r="O49" s="187">
        <f t="array" aca="1" ref="O49" ca="1">_xlfn.IFNA(RTD("wdf.rtq",,B49,"LastPrice","Yield_To_Maturity"),[1]!cb_anal_ytm(B49,$C$2))</f>
        <v>1.0839000000000001</v>
      </c>
      <c r="P49" s="187">
        <f ca="1">[1]!cb_anal_straightbondvalue(B49,$B$2)</f>
        <v>92.7697</v>
      </c>
      <c r="Q49" s="187">
        <f t="shared" ca="1" si="2"/>
        <v>17.495259766928214</v>
      </c>
      <c r="R49" s="187" t="str">
        <f ca="1">[1]!b_rate_latestcredit(B49)</f>
        <v>AA</v>
      </c>
      <c r="S49" s="187">
        <f ca="1">[1]!cb_info_outstandingbalance(B49,$B$2)</f>
        <v>18.425049999999999</v>
      </c>
      <c r="T49" s="187">
        <f ca="1">[1]!cb_info_issueamount(B49,100000000)</f>
        <v>18.425999999999998</v>
      </c>
      <c r="U49" s="187">
        <f t="shared" ca="1" si="3"/>
        <v>99.994844241832197</v>
      </c>
      <c r="V49" s="240">
        <f ca="1">IF([1]!cb_anal_ldiluterate(B49,$B$2)=100,"-",[1]!cb_anal_ldiluterate(B49,$B$2))</f>
        <v>3.6070866261450036</v>
      </c>
      <c r="W49" s="188" t="str">
        <f ca="1">[1]!cb_info_listeddate(B49)</f>
        <v>2020-11-25</v>
      </c>
      <c r="X49" s="188" t="str">
        <f ca="1">[1]!cb_info_carrydate(B49)</f>
        <v>2020-11-02</v>
      </c>
      <c r="Y49" s="186" t="str">
        <f ca="1">[1]!cb_clause_conversion_2_swapsharestartdate(B49)</f>
        <v>2021-05-06</v>
      </c>
      <c r="Z49" s="186" t="str">
        <f ca="1">[1]!cb_clause_putoption_conditionalputbackstartenddate(B49)</f>
        <v>2024-11-02</v>
      </c>
      <c r="AA49" s="240">
        <f ca="1">[1]!cb_info_maturitycallprice(B49)</f>
        <v>110</v>
      </c>
      <c r="AB49" s="240">
        <f ca="1">IF(ISNUMBER([1]!cb_info_conditionalputprice(B49)),[1]!cb_info_conditionalputprice(B49),"-")</f>
        <v>0</v>
      </c>
      <c r="AC49" s="240">
        <f ca="1">[1]!cb_info_interest(B49)</f>
        <v>0.3</v>
      </c>
      <c r="AD49" s="262" t="str">
        <f ca="1">IFERROR(couponlist([1]!cb_clause_interest(B49,"4")),"-")</f>
        <v>0.3%，0.5%，1.0%，1.5%，1.8%，2.0%</v>
      </c>
      <c r="AE49" s="189"/>
      <c r="AF49" s="189"/>
      <c r="AG49" s="189"/>
      <c r="AH49" s="189"/>
      <c r="AI49" s="189"/>
      <c r="AJ49" s="189"/>
      <c r="AK49" s="189"/>
      <c r="AL49" s="189"/>
      <c r="AM49" s="189"/>
      <c r="AN49" s="189"/>
      <c r="AO49" s="189"/>
      <c r="AP49" s="189"/>
      <c r="AQ49" s="189"/>
    </row>
    <row r="50" spans="1:43" s="130" customFormat="1" x14ac:dyDescent="0.35">
      <c r="A50" s="121" t="s">
        <v>5</v>
      </c>
      <c r="B50" s="121" t="s">
        <v>469</v>
      </c>
      <c r="C50" s="121" t="s">
        <v>470</v>
      </c>
      <c r="D50" s="236" t="str">
        <f ca="1">IF([1]!s_info_industry_sw(B50,1)=0,"-",[1]!s_info_industry_sw(B50,1))</f>
        <v>医药生物</v>
      </c>
      <c r="E50" s="122" t="str">
        <f ca="1">[1]!cb_info_underlyingcode(B50)</f>
        <v>002728.SZ</v>
      </c>
      <c r="F50" s="124">
        <f ca="1">RTD("wdf.rtq",,B50,"LastPrice","Dirty_Price")</f>
        <v>114.25200000000001</v>
      </c>
      <c r="G50" s="124">
        <f ca="1">RTD("wdf.rtq",,E50,"LastPrice")</f>
        <v>12.09</v>
      </c>
      <c r="H50" s="226">
        <f ca="1">RTD("wdf.rtq",,B50,"PctChg","RT_Price")/100</f>
        <v>-3.0000000000000003E-4</v>
      </c>
      <c r="I50" s="226">
        <f ca="1">RTD("wdf.rtq",,E50,"PctChg")/100</f>
        <v>5.8000000000000005E-3</v>
      </c>
      <c r="J50" s="125">
        <f ca="1">_xlfn.IFNA([1]!b_anal_ptmyear(B50,$B$2),"未发行或发行失败")</f>
        <v>2.2438356164383562</v>
      </c>
      <c r="K50" s="125">
        <f ca="1">RTD("wdf.rtq",,B50,"Amount","Dirty_Price")/100000000</f>
        <v>3.9207440000000003E-2</v>
      </c>
      <c r="L50" s="125">
        <f ca="1">[1]!cb_anal_convprice(B50,$B$2)</f>
        <v>14.05</v>
      </c>
      <c r="M50" s="125">
        <f t="shared" ca="1" si="0"/>
        <v>86.04982206405694</v>
      </c>
      <c r="N50" s="126">
        <f t="shared" ca="1" si="1"/>
        <v>32.774243176178658</v>
      </c>
      <c r="O50" s="126">
        <f t="array" aca="1" ref="O50" ca="1">_xlfn.IFNA(RTD("wdf.rtq",,B50,"LastPrice","Yield_To_Maturity"),[1]!cb_anal_ytm(B50,$C$2))</f>
        <v>-2.1913</v>
      </c>
      <c r="P50" s="126">
        <f ca="1">[1]!cb_anal_straightbondvalue(B50,$B$2)</f>
        <v>96.309799999999996</v>
      </c>
      <c r="Q50" s="126">
        <f t="shared" ca="1" si="2"/>
        <v>18.629672162126823</v>
      </c>
      <c r="R50" s="126" t="str">
        <f ca="1">[1]!b_rate_latestcredit(B50)</f>
        <v>AA-</v>
      </c>
      <c r="S50" s="126">
        <f ca="1">[1]!cb_info_outstandingbalance(B50,$B$2)</f>
        <v>2.9800430000000002</v>
      </c>
      <c r="T50" s="126">
        <f ca="1">[1]!cb_info_issueamount(B50,100000000)</f>
        <v>3.54</v>
      </c>
      <c r="U50" s="126">
        <f t="shared" ca="1" si="3"/>
        <v>84.18200564971751</v>
      </c>
      <c r="V50" s="230">
        <f ca="1">IF([1]!cb_anal_ldiluterate(B50,$B$2)=100,"-",[1]!cb_anal_ldiluterate(B50,$B$2))</f>
        <v>14.294829169132594</v>
      </c>
      <c r="W50" s="127" t="str">
        <f ca="1">[1]!cb_info_listeddate(B50)</f>
        <v>2017-12-28</v>
      </c>
      <c r="X50" s="127" t="str">
        <f ca="1">[1]!cb_info_carrydate(B50)</f>
        <v>2017-12-06</v>
      </c>
      <c r="Y50" s="125" t="str">
        <f ca="1">[1]!cb_clause_conversion_2_swapsharestartdate(B50)</f>
        <v>2018-06-12</v>
      </c>
      <c r="Z50" s="125" t="str">
        <f ca="1">[1]!cb_clause_putoption_conditionalputbackstartenddate(B50)</f>
        <v>2021-12-06</v>
      </c>
      <c r="AA50" s="230">
        <f ca="1">[1]!cb_info_maturitycallprice(B50)</f>
        <v>106</v>
      </c>
      <c r="AB50" s="230">
        <f ca="1">IF(ISNUMBER([1]!cb_info_conditionalputprice(B50)),[1]!cb_info_conditionalputprice(B50),"-")</f>
        <v>0</v>
      </c>
      <c r="AC50" s="230">
        <f ca="1">[1]!cb_info_interest(B50)</f>
        <v>0.3</v>
      </c>
      <c r="AD50" s="263" t="str">
        <f ca="1">IFERROR(couponlist([1]!cb_clause_interest(B50,"4")),"-")</f>
        <v>0.3%，0.5%，1.3%，1.5%，1.8%</v>
      </c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</row>
    <row r="51" spans="1:43" s="191" customFormat="1" x14ac:dyDescent="0.35">
      <c r="A51" s="182" t="s">
        <v>5</v>
      </c>
      <c r="B51" s="182" t="s">
        <v>304</v>
      </c>
      <c r="C51" s="182" t="s">
        <v>305</v>
      </c>
      <c r="D51" s="235" t="str">
        <f ca="1">IF([1]!s_info_industry_sw(B51,1)=0,"-",[1]!s_info_industry_sw(B51,1))</f>
        <v>医药生物</v>
      </c>
      <c r="E51" s="183" t="str">
        <f ca="1">[1]!cb_info_underlyingcode(B51)</f>
        <v>002907.SZ</v>
      </c>
      <c r="F51" s="185">
        <f ca="1">RTD("wdf.rtq",,B51,"LastPrice","Dirty_Price")</f>
        <v>109.84</v>
      </c>
      <c r="G51" s="185">
        <f ca="1">RTD("wdf.rtq",,E51,"LastPrice")</f>
        <v>12.370000000000001</v>
      </c>
      <c r="H51" s="225">
        <f ca="1">RTD("wdf.rtq",,B51,"PctChg","RT_Price")/100</f>
        <v>-2.0000000000000001E-4</v>
      </c>
      <c r="I51" s="225">
        <f ca="1">RTD("wdf.rtq",,E51,"PctChg")/100</f>
        <v>8.0000000000000004E-4</v>
      </c>
      <c r="J51" s="186">
        <f ca="1">_xlfn.IFNA([1]!b_anal_ptmyear(B51,$B$2),"未发行或发行失败")</f>
        <v>3.7917808219178082</v>
      </c>
      <c r="K51" s="186">
        <f ca="1">RTD("wdf.rtq",,B51,"Amount","Dirty_Price")/100000000</f>
        <v>2.1596279999999999E-2</v>
      </c>
      <c r="L51" s="186">
        <f ca="1">[1]!cb_anal_convprice(B51,$B$2)</f>
        <v>18.010000000000002</v>
      </c>
      <c r="M51" s="186">
        <f t="shared" ca="1" si="0"/>
        <v>68.684064408661854</v>
      </c>
      <c r="N51" s="187">
        <f t="shared" ca="1" si="1"/>
        <v>59.920646725949894</v>
      </c>
      <c r="O51" s="187">
        <f t="array" aca="1" ref="O51" ca="1">_xlfn.IFNA(RTD("wdf.rtq",,B51,"LastPrice","Yield_To_Maturity"),[1]!cb_anal_ytm(B51,$C$2))</f>
        <v>2.2427999999999999</v>
      </c>
      <c r="P51" s="187">
        <f ca="1">[1]!cb_anal_straightbondvalue(B51,$B$2)</f>
        <v>94.734800000000007</v>
      </c>
      <c r="Q51" s="187">
        <f t="shared" ca="1" si="2"/>
        <v>15.944721475107343</v>
      </c>
      <c r="R51" s="187" t="str">
        <f ca="1">[1]!b_rate_latestcredit(B51)</f>
        <v>AA-</v>
      </c>
      <c r="S51" s="187">
        <f ca="1">[1]!cb_info_outstandingbalance(B51,$B$2)</f>
        <v>2.997716</v>
      </c>
      <c r="T51" s="187">
        <f ca="1">[1]!cb_info_issueamount(B51,100000000)</f>
        <v>3</v>
      </c>
      <c r="U51" s="187">
        <f t="shared" ca="1" si="3"/>
        <v>99.923866666666655</v>
      </c>
      <c r="V51" s="240">
        <f ca="1">IF([1]!cb_anal_ldiluterate(B51,$B$2)=100,"-",[1]!cb_anal_ldiluterate(B51,$B$2))</f>
        <v>5.531031030176444</v>
      </c>
      <c r="W51" s="188" t="str">
        <f ca="1">[1]!cb_info_listeddate(B51)</f>
        <v>2019-07-11</v>
      </c>
      <c r="X51" s="188" t="str">
        <f ca="1">[1]!cb_info_carrydate(B51)</f>
        <v>2019-06-24</v>
      </c>
      <c r="Y51" s="186" t="str">
        <f ca="1">[1]!cb_clause_conversion_2_swapsharestartdate(B51)</f>
        <v>2019-12-30</v>
      </c>
      <c r="Z51" s="186" t="str">
        <f ca="1">[1]!cb_clause_putoption_conditionalputbackstartenddate(B51)</f>
        <v>2023-06-24</v>
      </c>
      <c r="AA51" s="240">
        <f ca="1">[1]!cb_info_maturitycallprice(B51)</f>
        <v>115</v>
      </c>
      <c r="AB51" s="240">
        <f ca="1">IF(ISNUMBER([1]!cb_info_conditionalputprice(B51)),[1]!cb_info_conditionalputprice(B51),"-")</f>
        <v>0</v>
      </c>
      <c r="AC51" s="240">
        <f ca="1">[1]!cb_info_interest(B51)</f>
        <v>0.5</v>
      </c>
      <c r="AD51" s="262" t="str">
        <f ca="1">IFERROR(couponlist([1]!cb_clause_interest(B51,"4")),"-")</f>
        <v>0.5%，0.7%，1.0%，1.5%，1.8%，3.0%</v>
      </c>
      <c r="AE51" s="189"/>
      <c r="AF51" s="189"/>
      <c r="AG51" s="189"/>
      <c r="AH51" s="189"/>
      <c r="AI51" s="189"/>
      <c r="AJ51" s="189"/>
      <c r="AK51" s="189"/>
      <c r="AL51" s="189"/>
      <c r="AM51" s="189"/>
      <c r="AN51" s="189"/>
      <c r="AO51" s="189"/>
      <c r="AP51" s="189"/>
      <c r="AQ51" s="189"/>
    </row>
    <row r="52" spans="1:43" s="130" customFormat="1" x14ac:dyDescent="0.35">
      <c r="A52" s="121" t="s">
        <v>0</v>
      </c>
      <c r="B52" s="121" t="s">
        <v>1</v>
      </c>
      <c r="C52" s="121" t="s">
        <v>2</v>
      </c>
      <c r="D52" s="236" t="str">
        <f ca="1">IF([1]!s_info_industry_sw(B52,1)=0,"-",[1]!s_info_industry_sw(B52,1))</f>
        <v>医药生物</v>
      </c>
      <c r="E52" s="122" t="str">
        <f ca="1">[1]!cb_info_underlyingcode(B52)</f>
        <v>603707.SH</v>
      </c>
      <c r="F52" s="124">
        <f ca="1">RTD("wdf.rtq",,B52,"LastPrice","Dirty_Price")</f>
        <v>121.30000000000001</v>
      </c>
      <c r="G52" s="124">
        <f ca="1">RTD("wdf.rtq",,E52,"LastPrice")</f>
        <v>28.17</v>
      </c>
      <c r="H52" s="226">
        <f ca="1">RTD("wdf.rtq",,B52,"PctChg","RT_Price")/100</f>
        <v>-4.1000000000000003E-3</v>
      </c>
      <c r="I52" s="226">
        <f ca="1">RTD("wdf.rtq",,E52,"PctChg")/100</f>
        <v>-2.5000000000000001E-3</v>
      </c>
      <c r="J52" s="125">
        <f ca="1">_xlfn.IFNA([1]!b_anal_ptmyear(B52,$B$2),"未发行或发行失败")</f>
        <v>4.6219178082191785</v>
      </c>
      <c r="K52" s="125">
        <f ca="1">RTD("wdf.rtq",,B52,"Amount","Dirty_Price")/100000000</f>
        <v>0.15325369</v>
      </c>
      <c r="L52" s="125">
        <f ca="1">[1]!cb_anal_convprice(B52,$B$2)</f>
        <v>32.200000000000003</v>
      </c>
      <c r="M52" s="125">
        <f t="shared" ca="1" si="0"/>
        <v>87.48447204968943</v>
      </c>
      <c r="N52" s="126">
        <f t="shared" ca="1" si="1"/>
        <v>38.653177138800174</v>
      </c>
      <c r="O52" s="126">
        <f t="array" aca="1" ref="O52" ca="1">_xlfn.IFNA(RTD("wdf.rtq",,B52,"LastPrice","Yield_To_Maturity"),[1]!cb_anal_ytm(B52,$C$2))</f>
        <v>-1.3787</v>
      </c>
      <c r="P52" s="126">
        <f ca="1">[1]!cb_anal_straightbondvalue(B52,$B$2)</f>
        <v>94.292599999999993</v>
      </c>
      <c r="Q52" s="126">
        <f t="shared" ca="1" si="2"/>
        <v>28.642120378481479</v>
      </c>
      <c r="R52" s="126" t="str">
        <f ca="1">[1]!b_rate_latestcredit(B52)</f>
        <v>AA</v>
      </c>
      <c r="S52" s="126">
        <f ca="1">[1]!cb_info_outstandingbalance(B52,$B$2)</f>
        <v>5.0221</v>
      </c>
      <c r="T52" s="126">
        <f ca="1">[1]!cb_info_issueamount(B52,100000000)</f>
        <v>5.0319000000000003</v>
      </c>
      <c r="U52" s="126">
        <f t="shared" ca="1" si="3"/>
        <v>99.80524255251494</v>
      </c>
      <c r="V52" s="230">
        <f ca="1">IF([1]!cb_anal_ldiluterate(B52,$B$2)=100,"-",[1]!cb_anal_ldiluterate(B52,$B$2))</f>
        <v>1.2692189337864499</v>
      </c>
      <c r="W52" s="127" t="str">
        <f ca="1">[1]!cb_info_listeddate(B52)</f>
        <v>2020-05-22</v>
      </c>
      <c r="X52" s="127" t="str">
        <f ca="1">[1]!cb_info_carrydate(B52)</f>
        <v>2020-04-23</v>
      </c>
      <c r="Y52" s="125" t="str">
        <f ca="1">[1]!cb_clause_conversion_2_swapsharestartdate(B52)</f>
        <v>2020-10-29</v>
      </c>
      <c r="Z52" s="125" t="str">
        <f ca="1">[1]!cb_clause_putoption_conditionalputbackstartenddate(B52)</f>
        <v>2024-04-23</v>
      </c>
      <c r="AA52" s="230">
        <f ca="1">[1]!cb_info_maturitycallprice(B52)</f>
        <v>109</v>
      </c>
      <c r="AB52" s="230">
        <f ca="1">IF(ISNUMBER([1]!cb_info_conditionalputprice(B52)),[1]!cb_info_conditionalputprice(B52),"-")</f>
        <v>0</v>
      </c>
      <c r="AC52" s="230">
        <f ca="1">[1]!cb_info_interest(B52)</f>
        <v>0.3</v>
      </c>
      <c r="AD52" s="263" t="str">
        <f ca="1">IFERROR(couponlist([1]!cb_clause_interest(B52,"4")),"-")</f>
        <v>0.3%，0.6%，1.0%，1.5%，1.8%，2.0%</v>
      </c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</row>
    <row r="53" spans="1:43" s="191" customFormat="1" x14ac:dyDescent="0.35">
      <c r="A53" s="182" t="s">
        <v>5</v>
      </c>
      <c r="B53" s="182" t="s">
        <v>425</v>
      </c>
      <c r="C53" s="182" t="s">
        <v>426</v>
      </c>
      <c r="D53" s="235" t="str">
        <f ca="1">IF([1]!s_info_industry_sw(B53,1)=0,"-",[1]!s_info_industry_sw(B53,1))</f>
        <v>医药生物</v>
      </c>
      <c r="E53" s="183" t="str">
        <f ca="1">[1]!cb_info_underlyingcode(B53)</f>
        <v>002758.SZ</v>
      </c>
      <c r="F53" s="185">
        <f ca="1">RTD("wdf.rtq",,B53,"LastPrice","Dirty_Price")</f>
        <v>116.369</v>
      </c>
      <c r="G53" s="185">
        <f ca="1">RTD("wdf.rtq",,E53,"LastPrice")</f>
        <v>9.5500000000000007</v>
      </c>
      <c r="H53" s="225">
        <f ca="1">RTD("wdf.rtq",,B53,"PctChg","RT_Price")/100</f>
        <v>1.9E-3</v>
      </c>
      <c r="I53" s="225">
        <f ca="1">RTD("wdf.rtq",,E53,"PctChg")/100</f>
        <v>1.06E-2</v>
      </c>
      <c r="J53" s="186">
        <f ca="1">_xlfn.IFNA([1]!b_anal_ptmyear(B53,$B$2),"未发行或发行失败")</f>
        <v>2.7643835616438355</v>
      </c>
      <c r="K53" s="186">
        <f ca="1">RTD("wdf.rtq",,B53,"Amount","Dirty_Price")/100000000</f>
        <v>2.5287960000000002E-2</v>
      </c>
      <c r="L53" s="186">
        <f ca="1">[1]!cb_anal_convprice(B53,$B$2)</f>
        <v>10.15</v>
      </c>
      <c r="M53" s="186">
        <f t="shared" ca="1" si="0"/>
        <v>94.088669950738918</v>
      </c>
      <c r="N53" s="187">
        <f t="shared" ca="1" si="1"/>
        <v>23.680141361256531</v>
      </c>
      <c r="O53" s="187">
        <f t="array" aca="1" ref="O53" ca="1">_xlfn.IFNA(RTD("wdf.rtq",,B53,"LastPrice","Yield_To_Maturity"),[1]!cb_anal_ytm(B53,$C$2))</f>
        <v>-1.623</v>
      </c>
      <c r="P53" s="187">
        <f ca="1">[1]!cb_anal_straightbondvalue(B53,$B$2)</f>
        <v>100.9689</v>
      </c>
      <c r="Q53" s="187">
        <f t="shared" ca="1" si="2"/>
        <v>15.252320268914474</v>
      </c>
      <c r="R53" s="187" t="str">
        <f ca="1">[1]!b_rate_latestcredit(B53)</f>
        <v>AA</v>
      </c>
      <c r="S53" s="187">
        <f ca="1">[1]!cb_info_outstandingbalance(B53,$B$2)</f>
        <v>2.2221039999999999</v>
      </c>
      <c r="T53" s="187">
        <f ca="1">[1]!cb_info_issueamount(B53,100000000)</f>
        <v>2.2400000000000002</v>
      </c>
      <c r="U53" s="187">
        <f t="shared" ca="1" si="3"/>
        <v>99.20107142857141</v>
      </c>
      <c r="V53" s="240">
        <f ca="1">IF([1]!cb_anal_ldiluterate(B53,$B$2)=100,"-",[1]!cb_anal_ldiluterate(B53,$B$2))</f>
        <v>10.093773428766642</v>
      </c>
      <c r="W53" s="188" t="str">
        <f ca="1">[1]!cb_info_listeddate(B53)</f>
        <v>2018-07-13</v>
      </c>
      <c r="X53" s="188" t="str">
        <f ca="1">[1]!cb_info_carrydate(B53)</f>
        <v>2018-06-14</v>
      </c>
      <c r="Y53" s="186" t="str">
        <f ca="1">[1]!cb_clause_conversion_2_swapsharestartdate(B53)</f>
        <v>2018-12-21</v>
      </c>
      <c r="Z53" s="186" t="str">
        <f ca="1">[1]!cb_clause_putoption_conditionalputbackstartenddate(B53)</f>
        <v>2022-06-14</v>
      </c>
      <c r="AA53" s="240">
        <f ca="1">[1]!cb_info_maturitycallprice(B53)</f>
        <v>108</v>
      </c>
      <c r="AB53" s="240">
        <f ca="1">IF(ISNUMBER([1]!cb_info_conditionalputprice(B53)),[1]!cb_info_conditionalputprice(B53),"-")</f>
        <v>0</v>
      </c>
      <c r="AC53" s="240">
        <f ca="1">[1]!cb_info_interest(B53)</f>
        <v>0.4</v>
      </c>
      <c r="AD53" s="262" t="str">
        <f ca="1">IFERROR(couponlist([1]!cb_clause_interest(B53,"4")),"-")</f>
        <v>0.40%，0.60%，1.00%，1.50%，1.80%，2.00%</v>
      </c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</row>
    <row r="54" spans="1:43" s="130" customFormat="1" x14ac:dyDescent="0.35">
      <c r="A54" s="121" t="s">
        <v>5</v>
      </c>
      <c r="B54" s="121" t="s">
        <v>638</v>
      </c>
      <c r="C54" s="121" t="s">
        <v>639</v>
      </c>
      <c r="D54" s="236" t="str">
        <f ca="1">IF([1]!s_info_industry_sw(B54,1)=0,"-",[1]!s_info_industry_sw(B54,1))</f>
        <v>医药生物</v>
      </c>
      <c r="E54" s="122" t="str">
        <f ca="1">[1]!cb_info_underlyingcode(B54)</f>
        <v>000411.SZ</v>
      </c>
      <c r="F54" s="124">
        <f ca="1">RTD("wdf.rtq",,B54,"LastPrice","Dirty_Price")</f>
        <v>112.53</v>
      </c>
      <c r="G54" s="124">
        <f ca="1">RTD("wdf.rtq",,E54,"LastPrice")</f>
        <v>12.4</v>
      </c>
      <c r="H54" s="226">
        <f ca="1">RTD("wdf.rtq",,B54,"PctChg","RT_Price")/100</f>
        <v>7.5000000000000015E-3</v>
      </c>
      <c r="I54" s="226">
        <f ca="1">RTD("wdf.rtq",,E54,"PctChg")/100</f>
        <v>1.14E-2</v>
      </c>
      <c r="J54" s="125">
        <f ca="1">_xlfn.IFNA([1]!b_anal_ptmyear(B54,$B$2),"未发行或发行失败")</f>
        <v>5.3260273972602743</v>
      </c>
      <c r="K54" s="125">
        <f ca="1">RTD("wdf.rtq",,B54,"Amount","Dirty_Price")/100000000</f>
        <v>6.5215190000000006E-2</v>
      </c>
      <c r="L54" s="125">
        <f ca="1">[1]!cb_anal_convprice(B54,$B$2)</f>
        <v>13.4</v>
      </c>
      <c r="M54" s="125">
        <f t="shared" ca="1" si="0"/>
        <v>92.537313432835816</v>
      </c>
      <c r="N54" s="126">
        <f t="shared" ca="1" si="1"/>
        <v>21.605000000000004</v>
      </c>
      <c r="O54" s="126">
        <f t="array" aca="1" ref="O54" ca="1">_xlfn.IFNA(RTD("wdf.rtq",,B54,"LastPrice","Yield_To_Maturity"),[1]!cb_anal_ytm(B54,$C$2))</f>
        <v>9.6700000000000008E-2</v>
      </c>
      <c r="P54" s="126">
        <f ca="1">[1]!cb_anal_straightbondvalue(B54,$B$2)</f>
        <v>93.566999999999993</v>
      </c>
      <c r="Q54" s="126">
        <f t="shared" ca="1" si="2"/>
        <v>20.266760716919435</v>
      </c>
      <c r="R54" s="126" t="str">
        <f ca="1">[1]!b_rate_latestcredit(B54)</f>
        <v>AA+</v>
      </c>
      <c r="S54" s="126">
        <f ca="1">[1]!cb_info_outstandingbalance(B54,$B$2)</f>
        <v>5.9992989999999997</v>
      </c>
      <c r="T54" s="126">
        <f ca="1">[1]!cb_info_issueamount(B54,100000000)</f>
        <v>6</v>
      </c>
      <c r="U54" s="126">
        <f t="shared" ca="1" si="3"/>
        <v>99.988316666666663</v>
      </c>
      <c r="V54" s="230">
        <f ca="1">IF([1]!cb_anal_ldiluterate(B54,$B$2)=100,"-",[1]!cb_anal_ldiluterate(B54,$B$2))</f>
        <v>17.761090107962925</v>
      </c>
      <c r="W54" s="127" t="str">
        <f ca="1">[1]!cb_info_listeddate(B54)</f>
        <v>2021-03-10</v>
      </c>
      <c r="X54" s="127" t="str">
        <f ca="1">[1]!cb_info_carrydate(B54)</f>
        <v>2021-01-05</v>
      </c>
      <c r="Y54" s="125" t="str">
        <f ca="1">[1]!cb_clause_conversion_2_swapsharestartdate(B54)</f>
        <v>2021-07-12</v>
      </c>
      <c r="Z54" s="125" t="str">
        <f ca="1">[1]!cb_clause_putoption_conditionalputbackstartenddate(B54)</f>
        <v>2025-01-05</v>
      </c>
      <c r="AA54" s="230">
        <f ca="1">[1]!cb_info_maturitycallprice(B54)</f>
        <v>108</v>
      </c>
      <c r="AB54" s="230">
        <f ca="1">IF(ISNUMBER([1]!cb_info_conditionalputprice(B54)),[1]!cb_info_conditionalputprice(B54),"-")</f>
        <v>0</v>
      </c>
      <c r="AC54" s="230">
        <f ca="1">[1]!cb_info_interest(B54)</f>
        <v>0.3</v>
      </c>
      <c r="AD54" s="263" t="str">
        <f ca="1">IFERROR(couponlist([1]!cb_clause_interest(B54,"4")),"-")</f>
        <v>0.30%，0.50%，1.00%，1.50%，1.80%，2.00%</v>
      </c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</row>
    <row r="55" spans="1:43" s="191" customFormat="1" x14ac:dyDescent="0.35">
      <c r="A55" s="182" t="s">
        <v>0</v>
      </c>
      <c r="B55" s="182" t="s">
        <v>836</v>
      </c>
      <c r="C55" s="182" t="s">
        <v>837</v>
      </c>
      <c r="D55" s="235" t="str">
        <f ca="1">IF([1]!s_info_industry_sw(B55,1)=0,"-",[1]!s_info_industry_sw(B55,1))</f>
        <v>医药生物</v>
      </c>
      <c r="E55" s="183" t="str">
        <f ca="1">[1]!cb_info_underlyingcode(B55)</f>
        <v>603538.SH</v>
      </c>
      <c r="F55" s="185">
        <f ca="1">RTD("wdf.rtq",,B55,"LastPrice","Dirty_Price")</f>
        <v>119.81</v>
      </c>
      <c r="G55" s="185">
        <f ca="1">RTD("wdf.rtq",,E55,"LastPrice")</f>
        <v>32.090000000000003</v>
      </c>
      <c r="H55" s="225">
        <f ca="1">RTD("wdf.rtq",,B55,"PctChg","RT_Price")/100</f>
        <v>-3.5000000000000005E-3</v>
      </c>
      <c r="I55" s="225">
        <f ca="1">RTD("wdf.rtq",,E55,"PctChg")/100</f>
        <v>-1.6000000000000001E-3</v>
      </c>
      <c r="J55" s="186">
        <f ca="1">_xlfn.IFNA([1]!b_anal_ptmyear(B55,$B$2),"未发行或发行失败")</f>
        <v>5.3506849315068497</v>
      </c>
      <c r="K55" s="186">
        <f ca="1">RTD("wdf.rtq",,B55,"Amount","Dirty_Price")/100000000</f>
        <v>3.140399E-2</v>
      </c>
      <c r="L55" s="186">
        <f ca="1">[1]!cb_anal_convprice(B55,$B$2)</f>
        <v>37.47</v>
      </c>
      <c r="M55" s="186">
        <f t="shared" ca="1" si="0"/>
        <v>85.641846810781971</v>
      </c>
      <c r="N55" s="187">
        <f t="shared" ca="1" si="1"/>
        <v>39.89656279214708</v>
      </c>
      <c r="O55" s="187">
        <f t="array" aca="1" ref="O55" ca="1">_xlfn.IFNA(RTD("wdf.rtq",,B55,"LastPrice","Yield_To_Maturity"),[1]!cb_anal_ytm(B55,$C$2))</f>
        <v>-0.72870000000000001</v>
      </c>
      <c r="P55" s="187">
        <f ca="1">[1]!cb_anal_straightbondvalue(B55,$B$2)</f>
        <v>82.010499999999993</v>
      </c>
      <c r="Q55" s="187">
        <f t="shared" ca="1" si="2"/>
        <v>46.091049316855788</v>
      </c>
      <c r="R55" s="187" t="str">
        <f ca="1">[1]!b_rate_latestcredit(B55)</f>
        <v>AA-</v>
      </c>
      <c r="S55" s="187">
        <f ca="1">[1]!cb_info_outstandingbalance(B55,$B$2)</f>
        <v>5.1989340000000004</v>
      </c>
      <c r="T55" s="187">
        <f ca="1">[1]!cb_info_issueamount(B55,100000000)</f>
        <v>5.2</v>
      </c>
      <c r="U55" s="187">
        <f t="shared" ca="1" si="3"/>
        <v>99.979500000000002</v>
      </c>
      <c r="V55" s="240">
        <f ca="1">IF([1]!cb_anal_ldiluterate(B55,$B$2)=100,"-",[1]!cb_anal_ldiluterate(B55,$B$2))</f>
        <v>8.5673435636624298</v>
      </c>
      <c r="W55" s="188" t="str">
        <f ca="1">[1]!cb_info_listeddate(B55)</f>
        <v>2021-02-04</v>
      </c>
      <c r="X55" s="188" t="str">
        <f ca="1">[1]!cb_info_carrydate(B55)</f>
        <v>2021-01-14</v>
      </c>
      <c r="Y55" s="186" t="str">
        <f ca="1">[1]!cb_clause_conversion_2_swapsharestartdate(B55)</f>
        <v>2021-07-20</v>
      </c>
      <c r="Z55" s="186" t="str">
        <f ca="1">[1]!cb_clause_putoption_conditionalputbackstartenddate(B55)</f>
        <v>2025-01-14</v>
      </c>
      <c r="AA55" s="240">
        <f ca="1">[1]!cb_info_maturitycallprice(B55)</f>
        <v>110</v>
      </c>
      <c r="AB55" s="240">
        <f ca="1">IF(ISNUMBER([1]!cb_info_conditionalputprice(B55)),[1]!cb_info_conditionalputprice(B55),"-")</f>
        <v>0</v>
      </c>
      <c r="AC55" s="240">
        <f ca="1">[1]!cb_info_interest(B55)</f>
        <v>0.4</v>
      </c>
      <c r="AD55" s="262" t="str">
        <f ca="1">IFERROR(couponlist([1]!cb_clause_interest(B55,"4")),"-")</f>
        <v>0.4%，0.6%，1.0%，1.5%，1.8%，2.0%</v>
      </c>
      <c r="AE55" s="189"/>
      <c r="AF55" s="189"/>
      <c r="AG55" s="189"/>
      <c r="AH55" s="189"/>
      <c r="AI55" s="189"/>
      <c r="AJ55" s="189"/>
      <c r="AK55" s="189"/>
      <c r="AL55" s="189"/>
      <c r="AM55" s="189"/>
      <c r="AN55" s="189"/>
      <c r="AO55" s="189"/>
      <c r="AP55" s="189"/>
      <c r="AQ55" s="189"/>
    </row>
    <row r="56" spans="1:43" s="130" customFormat="1" x14ac:dyDescent="0.35">
      <c r="A56" s="121" t="s">
        <v>0</v>
      </c>
      <c r="B56" s="121" t="s">
        <v>1703</v>
      </c>
      <c r="C56" s="121" t="s">
        <v>1704</v>
      </c>
      <c r="D56" s="236" t="str">
        <f ca="1">IF([1]!s_info_industry_sw(B56,1)=0,"-",[1]!s_info_industry_sw(B56,1))</f>
        <v>医药生物</v>
      </c>
      <c r="E56" s="122" t="str">
        <f ca="1">[1]!cb_info_underlyingcode(B56)</f>
        <v>603976.SH</v>
      </c>
      <c r="F56" s="124">
        <f ca="1">RTD("wdf.rtq",,B56,"LastPrice","Dirty_Price")</f>
        <v>107</v>
      </c>
      <c r="G56" s="124">
        <f ca="1">RTD("wdf.rtq",,E56,"LastPrice")</f>
        <v>32.93</v>
      </c>
      <c r="H56" s="226">
        <f ca="1">RTD("wdf.rtq",,B56,"PctChg","RT_Price")/100</f>
        <v>-4.0000000000000002E-4</v>
      </c>
      <c r="I56" s="226">
        <f ca="1">RTD("wdf.rtq",,E56,"PctChg")/100</f>
        <v>-1.11E-2</v>
      </c>
      <c r="J56" s="125">
        <f ca="1">_xlfn.IFNA([1]!b_anal_ptmyear(B56,$B$2),"未发行或发行失败")</f>
        <v>5.6356164383561644</v>
      </c>
      <c r="K56" s="125">
        <f ca="1">RTD("wdf.rtq",,B56,"Amount","Dirty_Price")/100000000</f>
        <v>4.7863469999999998E-2</v>
      </c>
      <c r="L56" s="125">
        <f ca="1">[1]!cb_anal_convprice(B56,$B$2)</f>
        <v>46.69</v>
      </c>
      <c r="M56" s="125">
        <f t="shared" ca="1" si="0"/>
        <v>70.529021203683882</v>
      </c>
      <c r="N56" s="126">
        <f t="shared" ca="1" si="1"/>
        <v>51.710598238688107</v>
      </c>
      <c r="O56" s="126">
        <f t="array" aca="1" ref="O56" ca="1">_xlfn.IFNA(RTD("wdf.rtq",,B56,"LastPrice","Yield_To_Maturity"),[1]!cb_anal_ytm(B56,$C$2))</f>
        <v>2.3490000000000002</v>
      </c>
      <c r="P56" s="126">
        <f ca="1">[1]!cb_anal_straightbondvalue(B56,$B$2)</f>
        <v>75.898099999999999</v>
      </c>
      <c r="Q56" s="126">
        <f t="shared" ca="1" si="2"/>
        <v>40.978496167888267</v>
      </c>
      <c r="R56" s="126" t="str">
        <f ca="1">[1]!b_rate_latestcredit(B56)</f>
        <v>A+</v>
      </c>
      <c r="S56" s="126">
        <f ca="1">[1]!cb_info_outstandingbalance(B56,$B$2)</f>
        <v>4.05</v>
      </c>
      <c r="T56" s="126">
        <f ca="1">[1]!cb_info_issueamount(B56,100000000)</f>
        <v>4.05</v>
      </c>
      <c r="U56" s="126">
        <f t="shared" ca="1" si="3"/>
        <v>100</v>
      </c>
      <c r="V56" s="230">
        <f ca="1">IF([1]!cb_anal_ldiluterate(B56,$B$2)=100,"-",[1]!cb_anal_ldiluterate(B56,$B$2))</f>
        <v>5.4256612072457893</v>
      </c>
      <c r="W56" s="127" t="str">
        <f ca="1">[1]!cb_info_listeddate(B56)</f>
        <v>2021-06-01</v>
      </c>
      <c r="X56" s="127" t="str">
        <f ca="1">[1]!cb_info_carrydate(B56)</f>
        <v>2021-04-28</v>
      </c>
      <c r="Y56" s="125" t="str">
        <f ca="1">[1]!cb_clause_conversion_2_swapsharestartdate(B56)</f>
        <v>2021-11-08</v>
      </c>
      <c r="Z56" s="125" t="str">
        <f ca="1">[1]!cb_clause_putoption_conditionalputbackstartenddate(B56)</f>
        <v>2025-04-28</v>
      </c>
      <c r="AA56" s="230">
        <f ca="1">[1]!cb_info_maturitycallprice(B56)</f>
        <v>115</v>
      </c>
      <c r="AB56" s="230">
        <f ca="1">IF(ISNUMBER([1]!cb_info_conditionalputprice(B56)),[1]!cb_info_conditionalputprice(B56),"-")</f>
        <v>0</v>
      </c>
      <c r="AC56" s="230">
        <f ca="1">[1]!cb_info_interest(B56)</f>
        <v>0.5</v>
      </c>
      <c r="AD56" s="263" t="str">
        <f ca="1">IFERROR(couponlist([1]!cb_clause_interest(B56,"4")),"-")</f>
        <v>0.50%，0.70%，1.20%，1.80%，2.40%，3.00%</v>
      </c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</row>
    <row r="57" spans="1:43" s="191" customFormat="1" x14ac:dyDescent="0.35">
      <c r="A57" s="182" t="s">
        <v>5</v>
      </c>
      <c r="B57" s="182" t="s">
        <v>290</v>
      </c>
      <c r="C57" s="182" t="s">
        <v>291</v>
      </c>
      <c r="D57" s="235" t="str">
        <f ca="1">IF([1]!s_info_industry_sw(B57,1)=0,"-",[1]!s_info_industry_sw(B57,1))</f>
        <v>医药生物</v>
      </c>
      <c r="E57" s="183" t="str">
        <f ca="1">[1]!cb_info_underlyingcode(B57)</f>
        <v>300677.SZ</v>
      </c>
      <c r="F57" s="185">
        <f ca="1">RTD("wdf.rtq",,B57,"LastPrice","Dirty_Price")</f>
        <v>1380</v>
      </c>
      <c r="G57" s="185">
        <f ca="1">RTD("wdf.rtq",,E57,"LastPrice")</f>
        <v>99.88</v>
      </c>
      <c r="H57" s="225">
        <f ca="1">RTD("wdf.rtq",,B57,"PctChg","RT_Price")/100</f>
        <v>0</v>
      </c>
      <c r="I57" s="225">
        <f ca="1">RTD("wdf.rtq",,E57,"PctChg")/100</f>
        <v>-5.1000000000000004E-3</v>
      </c>
      <c r="J57" s="186">
        <f ca="1">_xlfn.IFNA([1]!b_anal_ptmyear(B57,$B$2),"未发行或发行失败")</f>
        <v>3.9369863013698629</v>
      </c>
      <c r="K57" s="186">
        <f ca="1">RTD("wdf.rtq",,B57,"Amount","Dirty_Price")/100000000</f>
        <v>0</v>
      </c>
      <c r="L57" s="186">
        <f ca="1">[1]!cb_anal_convprice(B57,$B$2)</f>
        <v>8.32</v>
      </c>
      <c r="M57" s="186">
        <f t="shared" ca="1" si="0"/>
        <v>1200.4807692307693</v>
      </c>
      <c r="N57" s="187">
        <f t="shared" ca="1" si="1"/>
        <v>14.953944733680416</v>
      </c>
      <c r="O57" s="187">
        <f t="array" aca="1" ref="O57" ca="1">_xlfn.IFNA(RTD("wdf.rtq",,B57,"LastPrice","Yield_To_Maturity"),[1]!cb_anal_ytm(B57,$C$2))</f>
        <v>-42.472200000000001</v>
      </c>
      <c r="P57" s="187">
        <f ca="1">[1]!cb_anal_straightbondvalue(B57,$B$2)</f>
        <v>118.1131</v>
      </c>
      <c r="Q57" s="187">
        <f t="shared" ca="1" si="2"/>
        <v>1068.3716708815534</v>
      </c>
      <c r="R57" s="187" t="str">
        <f ca="1">[1]!b_rate_latestcredit(B57)</f>
        <v>AA</v>
      </c>
      <c r="S57" s="187">
        <f ca="1">[1]!cb_info_outstandingbalance(B57,$B$2)</f>
        <v>5.1781000000000001E-2</v>
      </c>
      <c r="T57" s="187">
        <f ca="1">[1]!cb_info_issueamount(B57,100000000)</f>
        <v>4.7</v>
      </c>
      <c r="U57" s="187">
        <f t="shared" ca="1" si="3"/>
        <v>1.101723404255319</v>
      </c>
      <c r="V57" s="240">
        <f ca="1">IF([1]!cb_anal_ldiluterate(B57,$B$2)=100,"-",[1]!cb_anal_ldiluterate(B57,$B$2))</f>
        <v>0.29501464020859691</v>
      </c>
      <c r="W57" s="188" t="str">
        <f ca="1">[1]!cb_info_listeddate(B57)</f>
        <v>2019-09-10</v>
      </c>
      <c r="X57" s="188" t="str">
        <f ca="1">[1]!cb_info_carrydate(B57)</f>
        <v>2019-08-16</v>
      </c>
      <c r="Y57" s="186" t="str">
        <f ca="1">[1]!cb_clause_conversion_2_swapsharestartdate(B57)</f>
        <v>2020-02-24</v>
      </c>
      <c r="Z57" s="186" t="str">
        <f ca="1">[1]!cb_clause_putoption_conditionalputbackstartenddate(B57)</f>
        <v>2023-08-16</v>
      </c>
      <c r="AA57" s="240">
        <f ca="1">[1]!cb_info_maturitycallprice(B57)</f>
        <v>128</v>
      </c>
      <c r="AB57" s="240">
        <f ca="1">IF(ISNUMBER([1]!cb_info_conditionalputprice(B57)),[1]!cb_info_conditionalputprice(B57),"-")</f>
        <v>0</v>
      </c>
      <c r="AC57" s="240">
        <f ca="1">[1]!cb_info_interest(B57)</f>
        <v>0.5</v>
      </c>
      <c r="AD57" s="262" t="str">
        <f ca="1">IFERROR(couponlist([1]!cb_clause_interest(B57,"4")),"-")</f>
        <v>0.5%，0.8%，2.6%，3.3%，3.5%，4.0%</v>
      </c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</row>
    <row r="58" spans="1:43" s="130" customFormat="1" x14ac:dyDescent="0.35">
      <c r="A58" s="121" t="s">
        <v>5</v>
      </c>
      <c r="B58" s="121" t="s">
        <v>1729</v>
      </c>
      <c r="C58" s="121" t="s">
        <v>1730</v>
      </c>
      <c r="D58" s="236" t="str">
        <f ca="1">IF([1]!s_info_industry_sw(B58,1)=0,"-",[1]!s_info_industry_sw(B58,1))</f>
        <v>医药生物</v>
      </c>
      <c r="E58" s="122" t="str">
        <f ca="1">[1]!cb_info_underlyingcode(B58)</f>
        <v>300529.SZ</v>
      </c>
      <c r="F58" s="124">
        <f ca="1">RTD("wdf.rtq",,B58,"LastPrice","Dirty_Price")</f>
        <v>116.82000000000001</v>
      </c>
      <c r="G58" s="124">
        <f ca="1">RTD("wdf.rtq",,E58,"LastPrice")</f>
        <v>50.21</v>
      </c>
      <c r="H58" s="226">
        <f ca="1">RTD("wdf.rtq",,B58,"PctChg","RT_Price")/100</f>
        <v>1E-3</v>
      </c>
      <c r="I58" s="226">
        <f ca="1">RTD("wdf.rtq",,E58,"PctChg")/100</f>
        <v>-9.7000000000000003E-3</v>
      </c>
      <c r="J58" s="125">
        <f ca="1">_xlfn.IFNA([1]!b_anal_ptmyear(B58,$B$2),"未发行或发行失败")</f>
        <v>5.7890410958904113</v>
      </c>
      <c r="K58" s="125">
        <f ca="1">RTD("wdf.rtq",,B58,"Amount","Dirty_Price")/100000000</f>
        <v>4.8534439999999998E-2</v>
      </c>
      <c r="L58" s="125">
        <f ca="1">[1]!cb_anal_convprice(B58,$B$2)</f>
        <v>90.57</v>
      </c>
      <c r="M58" s="125">
        <f t="shared" ca="1" si="0"/>
        <v>55.437782930330137</v>
      </c>
      <c r="N58" s="126">
        <f t="shared" ca="1" si="1"/>
        <v>110.72271260705037</v>
      </c>
      <c r="O58" s="126">
        <f t="array" aca="1" ref="O58" ca="1">_xlfn.IFNA(RTD("wdf.rtq",,B58,"LastPrice","Yield_To_Maturity"),[1]!cb_anal_ytm(B58,$C$2))</f>
        <v>-0.26030000000000003</v>
      </c>
      <c r="P58" s="126">
        <f ca="1">[1]!cb_anal_straightbondvalue(B58,$B$2)</f>
        <v>89.968199999999996</v>
      </c>
      <c r="Q58" s="126">
        <f t="shared" ca="1" si="2"/>
        <v>29.84587887720329</v>
      </c>
      <c r="R58" s="126" t="str">
        <f ca="1">[1]!b_rate_latestcredit(B58)</f>
        <v>AA</v>
      </c>
      <c r="S58" s="126">
        <f ca="1">[1]!cb_info_outstandingbalance(B58,$B$2)</f>
        <v>10</v>
      </c>
      <c r="T58" s="126">
        <f ca="1">[1]!cb_info_issueamount(B58,100000000)</f>
        <v>10</v>
      </c>
      <c r="U58" s="126">
        <f t="shared" ca="1" si="3"/>
        <v>100</v>
      </c>
      <c r="V58" s="230">
        <f ca="1">IF([1]!cb_anal_ldiluterate(B58,$B$2)=100,"-",[1]!cb_anal_ldiluterate(B58,$B$2))</f>
        <v>2.1019153031957711</v>
      </c>
      <c r="W58" s="127" t="str">
        <f ca="1">[1]!cb_info_listeddate(B58)</f>
        <v>2021-07-12</v>
      </c>
      <c r="X58" s="127" t="str">
        <f ca="1">[1]!cb_info_carrydate(B58)</f>
        <v>2021-06-23</v>
      </c>
      <c r="Y58" s="125" t="str">
        <f ca="1">[1]!cb_clause_conversion_2_swapsharestartdate(B58)</f>
        <v>2021-12-29</v>
      </c>
      <c r="Z58" s="125" t="str">
        <f ca="1">[1]!cb_clause_putoption_conditionalputbackstartenddate(B58)</f>
        <v>2025-06-23</v>
      </c>
      <c r="AA58" s="230">
        <f ca="1">[1]!cb_info_maturitycallprice(B58)</f>
        <v>110</v>
      </c>
      <c r="AB58" s="230">
        <f ca="1">IF(ISNUMBER([1]!cb_info_conditionalputprice(B58)),[1]!cb_info_conditionalputprice(B58),"-")</f>
        <v>0</v>
      </c>
      <c r="AC58" s="230">
        <f ca="1">[1]!cb_info_interest(B58)</f>
        <v>0.3</v>
      </c>
      <c r="AD58" s="263" t="str">
        <f ca="1">IFERROR(couponlist([1]!cb_clause_interest(B58,"4")),"-")</f>
        <v>0.30%，0.50%，1.00%，1.50%，1.80%，2.00%</v>
      </c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</row>
    <row r="59" spans="1:43" s="191" customFormat="1" x14ac:dyDescent="0.35">
      <c r="A59" s="182" t="s">
        <v>5</v>
      </c>
      <c r="B59" s="182" t="s">
        <v>1733</v>
      </c>
      <c r="C59" s="182" t="s">
        <v>1734</v>
      </c>
      <c r="D59" s="235" t="str">
        <f ca="1">IF([1]!s_info_industry_sw(B59,1)=0,"-",[1]!s_info_industry_sw(B59,1))</f>
        <v>医药生物</v>
      </c>
      <c r="E59" s="183" t="str">
        <f ca="1">[1]!cb_info_underlyingcode(B59)</f>
        <v>300601.SZ</v>
      </c>
      <c r="F59" s="185">
        <f ca="1">RTD("wdf.rtq",,B59,"LastPrice","Dirty_Price")</f>
        <v>127.73</v>
      </c>
      <c r="G59" s="185">
        <f ca="1">RTD("wdf.rtq",,E59,"LastPrice")</f>
        <v>116.75</v>
      </c>
      <c r="H59" s="225">
        <f ca="1">RTD("wdf.rtq",,B59,"PctChg","RT_Price")/100</f>
        <v>-5.4000000000000003E-3</v>
      </c>
      <c r="I59" s="225">
        <f ca="1">RTD("wdf.rtq",,E59,"PctChg")/100</f>
        <v>-9.7000000000000003E-3</v>
      </c>
      <c r="J59" s="186">
        <f ca="1">_xlfn.IFNA([1]!b_anal_ptmyear(B59,$B$2),"未发行或发行失败")</f>
        <v>5.8493150684931505</v>
      </c>
      <c r="K59" s="186">
        <f ca="1">RTD("wdf.rtq",,B59,"Amount","Dirty_Price")/100000000</f>
        <v>0.12288394</v>
      </c>
      <c r="L59" s="186">
        <f ca="1">[1]!cb_anal_convprice(B59,$B$2)</f>
        <v>145.63</v>
      </c>
      <c r="M59" s="186">
        <f t="shared" ca="1" si="0"/>
        <v>80.168921238755757</v>
      </c>
      <c r="N59" s="187">
        <f t="shared" ca="1" si="1"/>
        <v>59.326080513918612</v>
      </c>
      <c r="O59" s="187">
        <f t="array" aca="1" ref="O59" ca="1">_xlfn.IFNA(RTD("wdf.rtq",,B59,"LastPrice","Yield_To_Maturity"),[1]!cb_anal_ytm(B59,$C$2))</f>
        <v>-1.4985000000000002</v>
      </c>
      <c r="P59" s="187">
        <f ca="1">[1]!cb_anal_straightbondvalue(B59,$B$2)</f>
        <v>91.231300000000005</v>
      </c>
      <c r="Q59" s="187">
        <f t="shared" ca="1" si="2"/>
        <v>40.006773990943884</v>
      </c>
      <c r="R59" s="187" t="str">
        <f ca="1">[1]!b_rate_latestcredit(B59)</f>
        <v>AA</v>
      </c>
      <c r="S59" s="187">
        <f ca="1">[1]!cb_info_outstandingbalance(B59,$B$2)</f>
        <v>20</v>
      </c>
      <c r="T59" s="187">
        <f ca="1">[1]!cb_info_issueamount(B59,100000000)</f>
        <v>20</v>
      </c>
      <c r="U59" s="187">
        <f t="shared" ca="1" si="3"/>
        <v>100</v>
      </c>
      <c r="V59" s="240">
        <f ca="1">IF([1]!cb_anal_ldiluterate(B59,$B$2)=100,"-",[1]!cb_anal_ldiluterate(B59,$B$2))</f>
        <v>2.5057207683527252</v>
      </c>
      <c r="W59" s="188" t="str">
        <f ca="1">[1]!cb_info_listeddate(B59)</f>
        <v>2021-08-05</v>
      </c>
      <c r="X59" s="188" t="str">
        <f ca="1">[1]!cb_info_carrydate(B59)</f>
        <v>2021-07-15</v>
      </c>
      <c r="Y59" s="186" t="str">
        <f ca="1">[1]!cb_clause_conversion_2_swapsharestartdate(B59)</f>
        <v>2022-01-21</v>
      </c>
      <c r="Z59" s="186" t="str">
        <f ca="1">[1]!cb_clause_putoption_conditionalputbackstartenddate(B59)</f>
        <v>2025-07-15</v>
      </c>
      <c r="AA59" s="240">
        <f ca="1">[1]!cb_info_maturitycallprice(B59)</f>
        <v>112</v>
      </c>
      <c r="AB59" s="240">
        <f ca="1">IF(ISNUMBER([1]!cb_info_conditionalputprice(B59)),[1]!cb_info_conditionalputprice(B59),"-")</f>
        <v>0</v>
      </c>
      <c r="AC59" s="240">
        <f ca="1">[1]!cb_info_interest(B59)</f>
        <v>0.3</v>
      </c>
      <c r="AD59" s="262" t="str">
        <f ca="1">IFERROR(couponlist([1]!cb_clause_interest(B59,"4")),"-")</f>
        <v>0.30%，0.50%，1.00%，1.50%，1.80%，2.00%</v>
      </c>
      <c r="AE59" s="189"/>
      <c r="AF59" s="189"/>
      <c r="AG59" s="189"/>
      <c r="AH59" s="189"/>
      <c r="AI59" s="189"/>
      <c r="AJ59" s="189"/>
      <c r="AK59" s="189"/>
      <c r="AL59" s="189"/>
      <c r="AM59" s="189"/>
      <c r="AN59" s="189"/>
      <c r="AO59" s="189"/>
      <c r="AP59" s="189"/>
      <c r="AQ59" s="189"/>
    </row>
    <row r="60" spans="1:43" s="130" customFormat="1" x14ac:dyDescent="0.35">
      <c r="A60" s="121" t="s">
        <v>5</v>
      </c>
      <c r="B60" s="121" t="s">
        <v>136</v>
      </c>
      <c r="C60" s="121" t="s">
        <v>137</v>
      </c>
      <c r="D60" s="236" t="str">
        <f ca="1">IF([1]!s_info_industry_sw(B60,1)=0,"-",[1]!s_info_industry_sw(B60,1))</f>
        <v>医药生物</v>
      </c>
      <c r="E60" s="122" t="str">
        <f ca="1">[1]!cb_info_underlyingcode(B60)</f>
        <v>002382.SZ</v>
      </c>
      <c r="F60" s="124">
        <f ca="1">RTD("wdf.rtq",,B60,"LastPrice","Dirty_Price")</f>
        <v>121.04</v>
      </c>
      <c r="G60" s="124">
        <f ca="1">RTD("wdf.rtq",,E60,"LastPrice")</f>
        <v>19.490000000000002</v>
      </c>
      <c r="H60" s="226">
        <f ca="1">RTD("wdf.rtq",,B60,"PctChg","RT_Price")/100</f>
        <v>2E-3</v>
      </c>
      <c r="I60" s="226">
        <f ca="1">RTD("wdf.rtq",,E60,"PctChg")/100</f>
        <v>-5.0000000000000001E-4</v>
      </c>
      <c r="J60" s="125">
        <f ca="1">_xlfn.IFNA([1]!b_anal_ptmyear(B60,$B$2),"未发行或发行失败")</f>
        <v>4.7178082191780826</v>
      </c>
      <c r="K60" s="125">
        <f ca="1">RTD("wdf.rtq",,B60,"Amount","Dirty_Price")/100000000</f>
        <v>0.17434743</v>
      </c>
      <c r="L60" s="125">
        <f ca="1">[1]!cb_anal_convprice(B60,$B$2)</f>
        <v>18.239999999999998</v>
      </c>
      <c r="M60" s="125">
        <f t="shared" ca="1" si="0"/>
        <v>106.85307017543862</v>
      </c>
      <c r="N60" s="126">
        <f t="shared" ca="1" si="1"/>
        <v>13.277044638276024</v>
      </c>
      <c r="O60" s="126">
        <f t="array" aca="1" ref="O60" ca="1">_xlfn.IFNA(RTD("wdf.rtq",,B60,"LastPrice","Yield_To_Maturity"),[1]!cb_anal_ytm(B60,$C$2))</f>
        <v>-1.4927000000000001</v>
      </c>
      <c r="P60" s="126">
        <f ca="1">[1]!cb_anal_straightbondvalue(B60,$B$2)</f>
        <v>93.004400000000004</v>
      </c>
      <c r="Q60" s="126">
        <f t="shared" ca="1" si="2"/>
        <v>30.144380265879875</v>
      </c>
      <c r="R60" s="126" t="str">
        <f ca="1">[1]!b_rate_latestcredit(B60)</f>
        <v>AA</v>
      </c>
      <c r="S60" s="126">
        <f ca="1">[1]!cb_info_outstandingbalance(B60,$B$2)</f>
        <v>15.218624999999999</v>
      </c>
      <c r="T60" s="126">
        <f ca="1">[1]!cb_info_issueamount(B60,100000000)</f>
        <v>31.4404</v>
      </c>
      <c r="U60" s="126">
        <f t="shared" ca="1" si="3"/>
        <v>48.404679965903739</v>
      </c>
      <c r="V60" s="230">
        <f ca="1">IF([1]!cb_anal_ldiluterate(B60,$B$2)=100,"-",[1]!cb_anal_ldiluterate(B60,$B$2))</f>
        <v>7.7079361249830942</v>
      </c>
      <c r="W60" s="127" t="str">
        <f ca="1">[1]!cb_info_listeddate(B60)</f>
        <v>2020-06-19</v>
      </c>
      <c r="X60" s="127" t="str">
        <f ca="1">[1]!cb_info_carrydate(B60)</f>
        <v>2020-05-28</v>
      </c>
      <c r="Y60" s="125" t="str">
        <f ca="1">[1]!cb_clause_conversion_2_swapsharestartdate(B60)</f>
        <v>2020-12-03</v>
      </c>
      <c r="Z60" s="125" t="str">
        <f ca="1">[1]!cb_clause_putoption_conditionalputbackstartenddate(B60)</f>
        <v>2025-05-28</v>
      </c>
      <c r="AA60" s="230">
        <f ca="1">[1]!cb_info_maturitycallprice(B60)</f>
        <v>108</v>
      </c>
      <c r="AB60" s="230">
        <f ca="1">IF(ISNUMBER([1]!cb_info_conditionalputprice(B60)),[1]!cb_info_conditionalputprice(B60),"-")</f>
        <v>0</v>
      </c>
      <c r="AC60" s="230">
        <f ca="1">[1]!cb_info_interest(B60)</f>
        <v>0.4</v>
      </c>
      <c r="AD60" s="263" t="str">
        <f ca="1">IFERROR(couponlist([1]!cb_clause_interest(B60,"4")),"-")</f>
        <v>0.40%，0.60%，1.00%，1.50%，1.80%，2.00%</v>
      </c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</row>
    <row r="61" spans="1:43" s="191" customFormat="1" x14ac:dyDescent="0.35">
      <c r="A61" s="182" t="s">
        <v>5</v>
      </c>
      <c r="B61" s="182" t="s">
        <v>26</v>
      </c>
      <c r="C61" s="182" t="s">
        <v>27</v>
      </c>
      <c r="D61" s="235" t="str">
        <f ca="1">IF([1]!s_info_industry_sw(B61,1)=0,"-",[1]!s_info_industry_sw(B61,1))</f>
        <v>医药生物</v>
      </c>
      <c r="E61" s="183" t="str">
        <f ca="1">[1]!cb_info_underlyingcode(B61)</f>
        <v>300482.SZ</v>
      </c>
      <c r="F61" s="185">
        <f ca="1">RTD("wdf.rtq",,B61,"LastPrice","Dirty_Price")</f>
        <v>112.15400000000001</v>
      </c>
      <c r="G61" s="185">
        <f ca="1">RTD("wdf.rtq",,E61,"LastPrice")</f>
        <v>41.43</v>
      </c>
      <c r="H61" s="225">
        <f ca="1">RTD("wdf.rtq",,B61,"PctChg","RT_Price")/100</f>
        <v>5.8999999999999999E-3</v>
      </c>
      <c r="I61" s="225">
        <f ca="1">RTD("wdf.rtq",,E61,"PctChg")/100</f>
        <v>-1.4500000000000002E-2</v>
      </c>
      <c r="J61" s="186">
        <f ca="1">_xlfn.IFNA([1]!b_anal_ptmyear(B61,$B$2),"未发行或发行失败")</f>
        <v>4.9808219178082194</v>
      </c>
      <c r="K61" s="186">
        <f ca="1">RTD("wdf.rtq",,B61,"Amount","Dirty_Price")/100000000</f>
        <v>0.13277046000000001</v>
      </c>
      <c r="L61" s="186">
        <f ca="1">[1]!cb_anal_convprice(B61,$B$2)</f>
        <v>71.650000000000006</v>
      </c>
      <c r="M61" s="186">
        <f t="shared" ca="1" si="0"/>
        <v>57.822749476622462</v>
      </c>
      <c r="N61" s="187">
        <f t="shared" ca="1" si="1"/>
        <v>93.961720975138832</v>
      </c>
      <c r="O61" s="187">
        <f t="array" aca="1" ref="O61" ca="1">_xlfn.IFNA(RTD("wdf.rtq",,B61,"LastPrice","Yield_To_Maturity"),[1]!cb_anal_ytm(B61,$C$2))</f>
        <v>0.47750000000000004</v>
      </c>
      <c r="P61" s="187">
        <f ca="1">[1]!cb_anal_straightbondvalue(B61,$B$2)</f>
        <v>93.268000000000001</v>
      </c>
      <c r="Q61" s="187">
        <f t="shared" ca="1" si="2"/>
        <v>20.249174422095479</v>
      </c>
      <c r="R61" s="187" t="str">
        <f ca="1">[1]!b_rate_latestcredit(B61)</f>
        <v>AA</v>
      </c>
      <c r="S61" s="187">
        <f ca="1">[1]!cb_info_outstandingbalance(B61,$B$2)</f>
        <v>5.9860759999999997</v>
      </c>
      <c r="T61" s="187">
        <f ca="1">[1]!cb_info_issueamount(B61,100000000)</f>
        <v>6</v>
      </c>
      <c r="U61" s="187">
        <f t="shared" ca="1" si="3"/>
        <v>99.767933333333318</v>
      </c>
      <c r="V61" s="240">
        <f ca="1">IF([1]!cb_anal_ldiluterate(B61,$B$2)=100,"-",[1]!cb_anal_ldiluterate(B61,$B$2))</f>
        <v>2.5412129291365178</v>
      </c>
      <c r="W61" s="188" t="str">
        <f ca="1">[1]!cb_info_listeddate(B61)</f>
        <v>2020-09-23</v>
      </c>
      <c r="X61" s="188" t="str">
        <f ca="1">[1]!cb_info_carrydate(B61)</f>
        <v>2020-09-01</v>
      </c>
      <c r="Y61" s="186" t="str">
        <f ca="1">[1]!cb_clause_conversion_2_swapsharestartdate(B61)</f>
        <v>2021-03-08</v>
      </c>
      <c r="Z61" s="186" t="str">
        <f ca="1">[1]!cb_clause_putoption_conditionalputbackstartenddate(B61)</f>
        <v>2024-09-01</v>
      </c>
      <c r="AA61" s="240">
        <f ca="1">[1]!cb_info_maturitycallprice(B61)</f>
        <v>110</v>
      </c>
      <c r="AB61" s="240">
        <f ca="1">IF(ISNUMBER([1]!cb_info_conditionalputprice(B61)),[1]!cb_info_conditionalputprice(B61),"-")</f>
        <v>0</v>
      </c>
      <c r="AC61" s="240">
        <f ca="1">[1]!cb_info_interest(B61)</f>
        <v>0.3</v>
      </c>
      <c r="AD61" s="262" t="str">
        <f ca="1">IFERROR(couponlist([1]!cb_clause_interest(B61,"4")),"-")</f>
        <v>0.3%，0.5%，1.0%，1.5%，1.8%，2.0%</v>
      </c>
      <c r="AE61" s="189"/>
      <c r="AF61" s="189"/>
      <c r="AG61" s="189"/>
      <c r="AH61" s="189"/>
      <c r="AI61" s="189"/>
      <c r="AJ61" s="189"/>
      <c r="AK61" s="189"/>
      <c r="AL61" s="189"/>
      <c r="AM61" s="189"/>
      <c r="AN61" s="189"/>
      <c r="AO61" s="189"/>
      <c r="AP61" s="189"/>
      <c r="AQ61" s="189"/>
    </row>
    <row r="62" spans="1:43" s="130" customFormat="1" x14ac:dyDescent="0.35">
      <c r="A62" s="121" t="s">
        <v>0</v>
      </c>
      <c r="B62" s="121" t="s">
        <v>507</v>
      </c>
      <c r="C62" s="121" t="s">
        <v>508</v>
      </c>
      <c r="D62" s="236" t="str">
        <f ca="1">IF([1]!s_info_industry_sw(B62,1)=0,"-",[1]!s_info_industry_sw(B62,1))</f>
        <v>医药生物</v>
      </c>
      <c r="E62" s="122" t="str">
        <f ca="1">[1]!cb_info_underlyingcode(B62)</f>
        <v>600566.SH</v>
      </c>
      <c r="F62" s="124">
        <f ca="1">RTD("wdf.rtq",,B62,"LastPrice","Dirty_Price")</f>
        <v>110.30000000000001</v>
      </c>
      <c r="G62" s="124">
        <f ca="1">RTD("wdf.rtq",,E62,"LastPrice")</f>
        <v>17.14</v>
      </c>
      <c r="H62" s="226">
        <f ca="1">RTD("wdf.rtq",,B62,"PctChg","RT_Price")/100</f>
        <v>-9.0000000000000008E-4</v>
      </c>
      <c r="I62" s="226">
        <f ca="1">RTD("wdf.rtq",,E62,"PctChg")/100</f>
        <v>-5.1999999999999998E-3</v>
      </c>
      <c r="J62" s="125">
        <f ca="1">_xlfn.IFNA([1]!b_anal_ptmyear(B62,$B$2),"未发行或发行失败")</f>
        <v>1.1808219178082191</v>
      </c>
      <c r="K62" s="125">
        <f ca="1">RTD("wdf.rtq",,B62,"Amount","Dirty_Price")/100000000</f>
        <v>1.6059090000000002E-2</v>
      </c>
      <c r="L62" s="125">
        <f ca="1">[1]!cb_anal_convprice(B62,$B$2)</f>
        <v>23.4</v>
      </c>
      <c r="M62" s="125">
        <f t="shared" ca="1" si="0"/>
        <v>73.247863247863251</v>
      </c>
      <c r="N62" s="126">
        <f t="shared" ca="1" si="1"/>
        <v>50.584597432905497</v>
      </c>
      <c r="O62" s="126">
        <f t="array" aca="1" ref="O62" ca="1">_xlfn.IFNA(RTD("wdf.rtq",,B62,"LastPrice","Yield_To_Maturity"),[1]!cb_anal_ytm(B62,$C$2))</f>
        <v>-2.1792000000000002</v>
      </c>
      <c r="P62" s="126">
        <f ca="1">[1]!cb_anal_straightbondvalue(B62,$B$2)</f>
        <v>103.8202</v>
      </c>
      <c r="Q62" s="126">
        <f t="shared" ca="1" si="2"/>
        <v>6.2413672869056427</v>
      </c>
      <c r="R62" s="126" t="str">
        <f ca="1">[1]!b_rate_latestcredit(B62)</f>
        <v>AA</v>
      </c>
      <c r="S62" s="126">
        <f ca="1">[1]!cb_info_outstandingbalance(B62,$B$2)</f>
        <v>6.30715</v>
      </c>
      <c r="T62" s="126">
        <f ca="1">[1]!cb_info_issueamount(B62,100000000)</f>
        <v>8.4315999999999995</v>
      </c>
      <c r="U62" s="126">
        <f t="shared" ca="1" si="3"/>
        <v>74.80371459746668</v>
      </c>
      <c r="V62" s="230">
        <f ca="1">IF([1]!cb_anal_ldiluterate(B62,$B$2)=100,"-",[1]!cb_anal_ldiluterate(B62,$B$2))</f>
        <v>2.9451752092947836</v>
      </c>
      <c r="W62" s="127" t="str">
        <f ca="1">[1]!cb_info_listeddate(B62)</f>
        <v>2017-11-29</v>
      </c>
      <c r="X62" s="127" t="str">
        <f ca="1">[1]!cb_info_carrydate(B62)</f>
        <v>2017-11-13</v>
      </c>
      <c r="Y62" s="125" t="str">
        <f ca="1">[1]!cb_clause_conversion_2_swapsharestartdate(B62)</f>
        <v>2018-05-17</v>
      </c>
      <c r="Z62" s="125" t="str">
        <f ca="1">[1]!cb_clause_putoption_conditionalputbackstartenddate(B62)</f>
        <v>2020-11-13</v>
      </c>
      <c r="AA62" s="230">
        <f ca="1">[1]!cb_info_maturitycallprice(B62)</f>
        <v>106</v>
      </c>
      <c r="AB62" s="230">
        <f ca="1">IF(ISNUMBER([1]!cb_info_conditionalputprice(B62)),[1]!cb_info_conditionalputprice(B62),"-")</f>
        <v>0</v>
      </c>
      <c r="AC62" s="230">
        <f ca="1">[1]!cb_info_interest(B62)</f>
        <v>0.2</v>
      </c>
      <c r="AD62" s="263" t="str">
        <f ca="1">IFERROR(couponlist([1]!cb_clause_interest(B62,"4")),"-")</f>
        <v>0.2%，0.5%，0.8%，1.5%</v>
      </c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</row>
    <row r="63" spans="1:43" s="191" customFormat="1" x14ac:dyDescent="0.35">
      <c r="A63" s="182" t="s">
        <v>0</v>
      </c>
      <c r="B63" s="182" t="s">
        <v>206</v>
      </c>
      <c r="C63" s="182" t="s">
        <v>207</v>
      </c>
      <c r="D63" s="235" t="str">
        <f ca="1">IF([1]!s_info_industry_sw(B63,1)=0,"-",[1]!s_info_industry_sw(B63,1))</f>
        <v>医药生物</v>
      </c>
      <c r="E63" s="183" t="str">
        <f ca="1">[1]!cb_info_underlyingcode(B63)</f>
        <v>603368.SH</v>
      </c>
      <c r="F63" s="185">
        <f ca="1">RTD("wdf.rtq",,B63,"LastPrice","Dirty_Price")</f>
        <v>107.27000000000001</v>
      </c>
      <c r="G63" s="185">
        <f ca="1">RTD("wdf.rtq",,E63,"LastPrice")</f>
        <v>16.8</v>
      </c>
      <c r="H63" s="225">
        <f ca="1">RTD("wdf.rtq",,B63,"PctChg","RT_Price")/100</f>
        <v>1.1000000000000001E-3</v>
      </c>
      <c r="I63" s="225">
        <f ca="1">RTD("wdf.rtq",,E63,"PctChg")/100</f>
        <v>-2.4000000000000002E-3</v>
      </c>
      <c r="J63" s="186">
        <f ca="1">_xlfn.IFNA([1]!b_anal_ptmyear(B63,$B$2),"未发行或发行失败")</f>
        <v>4.3561643835616435</v>
      </c>
      <c r="K63" s="186">
        <f ca="1">RTD("wdf.rtq",,B63,"Amount","Dirty_Price")/100000000</f>
        <v>4.4809399999999999E-2</v>
      </c>
      <c r="L63" s="186">
        <f ca="1">[1]!cb_anal_convprice(B63,$B$2)</f>
        <v>23.87</v>
      </c>
      <c r="M63" s="186">
        <f t="shared" ca="1" si="0"/>
        <v>70.381231671554247</v>
      </c>
      <c r="N63" s="187">
        <f t="shared" ca="1" si="1"/>
        <v>52.412791666666692</v>
      </c>
      <c r="O63" s="187">
        <f t="array" aca="1" ref="O63" ca="1">_xlfn.IFNA(RTD("wdf.rtq",,B63,"LastPrice","Yield_To_Maturity"),[1]!cb_anal_ytm(B63,$C$2))</f>
        <v>1.2068000000000001</v>
      </c>
      <c r="P63" s="187">
        <f ca="1">[1]!cb_anal_straightbondvalue(B63,$B$2)</f>
        <v>94.696299999999994</v>
      </c>
      <c r="Q63" s="187">
        <f t="shared" ca="1" si="2"/>
        <v>13.277921101458062</v>
      </c>
      <c r="R63" s="187" t="str">
        <f ca="1">[1]!b_rate_latestcredit(B63)</f>
        <v>AA</v>
      </c>
      <c r="S63" s="187">
        <f ca="1">[1]!cb_info_outstandingbalance(B63,$B$2)</f>
        <v>8.0198699999999992</v>
      </c>
      <c r="T63" s="187">
        <f ca="1">[1]!cb_info_issueamount(B63,100000000)</f>
        <v>8.0220000000000002</v>
      </c>
      <c r="U63" s="187">
        <f t="shared" ca="1" si="3"/>
        <v>99.973448017950631</v>
      </c>
      <c r="V63" s="240">
        <f ca="1">IF([1]!cb_anal_ldiluterate(B63,$B$2)=100,"-",[1]!cb_anal_ldiluterate(B63,$B$2))</f>
        <v>8.5045197308507561</v>
      </c>
      <c r="W63" s="188" t="str">
        <f ca="1">[1]!cb_info_listeddate(B63)</f>
        <v>2020-02-24</v>
      </c>
      <c r="X63" s="188" t="str">
        <f ca="1">[1]!cb_info_carrydate(B63)</f>
        <v>2020-01-16</v>
      </c>
      <c r="Y63" s="186" t="str">
        <f ca="1">[1]!cb_clause_conversion_2_swapsharestartdate(B63)</f>
        <v>2020-07-22</v>
      </c>
      <c r="Z63" s="186" t="str">
        <f ca="1">[1]!cb_clause_putoption_conditionalputbackstartenddate(B63)</f>
        <v>2024-01-16</v>
      </c>
      <c r="AA63" s="240">
        <f ca="1">[1]!cb_info_maturitycallprice(B63)</f>
        <v>108</v>
      </c>
      <c r="AB63" s="240">
        <f ca="1">IF(ISNUMBER([1]!cb_info_conditionalputprice(B63)),[1]!cb_info_conditionalputprice(B63),"-")</f>
        <v>0</v>
      </c>
      <c r="AC63" s="240">
        <f ca="1">[1]!cb_info_interest(B63)</f>
        <v>0.3</v>
      </c>
      <c r="AD63" s="262" t="str">
        <f ca="1">IFERROR(couponlist([1]!cb_clause_interest(B63,"4")),"-")</f>
        <v>0.30%，0.60%，1.00%，1.50%，1.80%，2.00%</v>
      </c>
      <c r="AE63" s="189"/>
      <c r="AF63" s="189"/>
      <c r="AG63" s="189"/>
      <c r="AH63" s="189"/>
      <c r="AI63" s="189"/>
      <c r="AJ63" s="189"/>
      <c r="AK63" s="189"/>
      <c r="AL63" s="189"/>
      <c r="AM63" s="189"/>
      <c r="AN63" s="189"/>
      <c r="AO63" s="189"/>
      <c r="AP63" s="189"/>
      <c r="AQ63" s="189"/>
    </row>
    <row r="64" spans="1:43" s="130" customFormat="1" x14ac:dyDescent="0.35">
      <c r="A64" s="121" t="s">
        <v>5</v>
      </c>
      <c r="B64" s="121" t="s">
        <v>605</v>
      </c>
      <c r="C64" s="121" t="s">
        <v>606</v>
      </c>
      <c r="D64" s="236" t="str">
        <f ca="1">IF([1]!s_info_industry_sw(B64,1)=0,"-",[1]!s_info_industry_sw(B64,1))</f>
        <v>医药生物</v>
      </c>
      <c r="E64" s="122" t="str">
        <f ca="1">[1]!cb_info_underlyingcode(B64)</f>
        <v>300016.SZ</v>
      </c>
      <c r="F64" s="124">
        <f ca="1">RTD("wdf.rtq",,B64,"LastPrice","Dirty_Price")</f>
        <v>120.90300000000001</v>
      </c>
      <c r="G64" s="124">
        <f ca="1">RTD("wdf.rtq",,E64,"LastPrice")</f>
        <v>9.35</v>
      </c>
      <c r="H64" s="226">
        <f ca="1">RTD("wdf.rtq",,B64,"PctChg","RT_Price")/100</f>
        <v>-1.6000000000000001E-3</v>
      </c>
      <c r="I64" s="226">
        <f ca="1">RTD("wdf.rtq",,E64,"PctChg")/100</f>
        <v>-4.3E-3</v>
      </c>
      <c r="J64" s="125">
        <f ca="1">_xlfn.IFNA([1]!b_anal_ptmyear(B64,$B$2),"未发行或发行失败")</f>
        <v>5.2465753424657535</v>
      </c>
      <c r="K64" s="125">
        <f ca="1">RTD("wdf.rtq",,B64,"Amount","Dirty_Price")/100000000</f>
        <v>6.5785090000000004E-2</v>
      </c>
      <c r="L64" s="125">
        <f ca="1">[1]!cb_anal_convprice(B64,$B$2)</f>
        <v>8.81</v>
      </c>
      <c r="M64" s="125">
        <f t="shared" ca="1" si="0"/>
        <v>106.1293984108967</v>
      </c>
      <c r="N64" s="126">
        <f t="shared" ca="1" si="1"/>
        <v>13.920366844919812</v>
      </c>
      <c r="O64" s="126">
        <f t="array" aca="1" ref="O64" ca="1">_xlfn.IFNA(RTD("wdf.rtq",,B64,"LastPrice","Yield_To_Maturity"),[1]!cb_anal_ytm(B64,$C$2))</f>
        <v>0.1283</v>
      </c>
      <c r="P64" s="126">
        <f ca="1">[1]!cb_anal_straightbondvalue(B64,$B$2)</f>
        <v>78.767200000000003</v>
      </c>
      <c r="Q64" s="126">
        <f t="shared" ca="1" si="2"/>
        <v>53.494093988360646</v>
      </c>
      <c r="R64" s="126" t="str">
        <f ca="1">[1]!b_rate_latestcredit(B64)</f>
        <v>A+</v>
      </c>
      <c r="S64" s="126">
        <f ca="1">[1]!cb_info_outstandingbalance(B64,$B$2)</f>
        <v>4.9979469999999999</v>
      </c>
      <c r="T64" s="126">
        <f ca="1">[1]!cb_info_issueamount(B64,100000000)</f>
        <v>5</v>
      </c>
      <c r="U64" s="126">
        <f t="shared" ca="1" si="3"/>
        <v>99.958939999999998</v>
      </c>
      <c r="V64" s="230">
        <f ca="1">IF([1]!cb_anal_ldiluterate(B64,$B$2)=100,"-",[1]!cb_anal_ldiluterate(B64,$B$2))</f>
        <v>12.240892120156509</v>
      </c>
      <c r="W64" s="127" t="str">
        <f ca="1">[1]!cb_info_listeddate(B64)</f>
        <v>2020-12-28</v>
      </c>
      <c r="X64" s="127" t="str">
        <f ca="1">[1]!cb_info_carrydate(B64)</f>
        <v>2020-12-07</v>
      </c>
      <c r="Y64" s="125" t="str">
        <f ca="1">[1]!cb_clause_conversion_2_swapsharestartdate(B64)</f>
        <v>2021-06-11</v>
      </c>
      <c r="Z64" s="125" t="str">
        <f ca="1">[1]!cb_clause_putoption_conditionalputbackstartenddate(B64)</f>
        <v>2024-12-07</v>
      </c>
      <c r="AA64" s="230">
        <f ca="1">[1]!cb_info_maturitycallprice(B64)</f>
        <v>115</v>
      </c>
      <c r="AB64" s="230">
        <f ca="1">IF(ISNUMBER([1]!cb_info_conditionalputprice(B64)),[1]!cb_info_conditionalputprice(B64),"-")</f>
        <v>0</v>
      </c>
      <c r="AC64" s="230">
        <f ca="1">[1]!cb_info_interest(B64)</f>
        <v>0.5</v>
      </c>
      <c r="AD64" s="263" t="str">
        <f ca="1">IFERROR(couponlist([1]!cb_clause_interest(B64,"4")),"-")</f>
        <v>0.5%，0.7%，1.2%，1.8%，2.5%</v>
      </c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</row>
    <row r="65" spans="1:43" s="191" customFormat="1" x14ac:dyDescent="0.35">
      <c r="A65" s="182" t="s">
        <v>0</v>
      </c>
      <c r="B65" s="182" t="s">
        <v>122</v>
      </c>
      <c r="C65" s="182" t="s">
        <v>123</v>
      </c>
      <c r="D65" s="235" t="str">
        <f ca="1">IF([1]!s_info_industry_sw(B65,1)=0,"-",[1]!s_info_industry_sw(B65,1))</f>
        <v>医药生物</v>
      </c>
      <c r="E65" s="183" t="str">
        <f ca="1">[1]!cb_info_underlyingcode(B65)</f>
        <v>603896.SH</v>
      </c>
      <c r="F65" s="185">
        <f ca="1">RTD("wdf.rtq",,B65,"LastPrice","Dirty_Price")</f>
        <v>146.82</v>
      </c>
      <c r="G65" s="185">
        <f ca="1">RTD("wdf.rtq",,E65,"LastPrice")</f>
        <v>40.44</v>
      </c>
      <c r="H65" s="225">
        <f ca="1">RTD("wdf.rtq",,B65,"PctChg","RT_Price")/100</f>
        <v>-6.9999999999999988E-4</v>
      </c>
      <c r="I65" s="225">
        <f ca="1">RTD("wdf.rtq",,E65,"PctChg")/100</f>
        <v>-2.2000000000000001E-3</v>
      </c>
      <c r="J65" s="186">
        <f ca="1">_xlfn.IFNA([1]!b_anal_ptmyear(B65,$B$2),"未发行或发行失败")</f>
        <v>4.7506849315068491</v>
      </c>
      <c r="K65" s="186">
        <f ca="1">RTD("wdf.rtq",,B65,"Amount","Dirty_Price")/100000000</f>
        <v>0.13806162</v>
      </c>
      <c r="L65" s="186">
        <f ca="1">[1]!cb_anal_convprice(B65,$B$2)</f>
        <v>28.38</v>
      </c>
      <c r="M65" s="186">
        <f t="shared" ca="1" si="0"/>
        <v>142.49471458773786</v>
      </c>
      <c r="N65" s="187">
        <f t="shared" ca="1" si="1"/>
        <v>3.0354005934717918</v>
      </c>
      <c r="O65" s="187">
        <f t="array" aca="1" ref="O65" ca="1">_xlfn.IFNA(RTD("wdf.rtq",,B65,"LastPrice","Yield_To_Maturity"),[1]!cb_anal_ytm(B65,$C$2))</f>
        <v>-4.702</v>
      </c>
      <c r="P65" s="187">
        <f ca="1">[1]!cb_anal_straightbondvalue(B65,$B$2)</f>
        <v>87.050200000000004</v>
      </c>
      <c r="Q65" s="187">
        <f t="shared" ca="1" si="2"/>
        <v>68.661301180238524</v>
      </c>
      <c r="R65" s="187" t="str">
        <f ca="1">[1]!b_rate_latestcredit(B65)</f>
        <v>AA-</v>
      </c>
      <c r="S65" s="187">
        <f ca="1">[1]!cb_info_outstandingbalance(B65,$B$2)</f>
        <v>1.0672090000000001</v>
      </c>
      <c r="T65" s="187">
        <f ca="1">[1]!cb_info_issueamount(B65,100000000)</f>
        <v>3.6</v>
      </c>
      <c r="U65" s="187">
        <f t="shared" ca="1" si="3"/>
        <v>29.644694444444443</v>
      </c>
      <c r="V65" s="240">
        <f ca="1">IF([1]!cb_anal_ldiluterate(B65,$B$2)=100,"-",[1]!cb_anal_ldiluterate(B65,$B$2))</f>
        <v>2.8384495507963341</v>
      </c>
      <c r="W65" s="188" t="str">
        <f ca="1">[1]!cb_info_listeddate(B65)</f>
        <v>2020-07-07</v>
      </c>
      <c r="X65" s="188" t="str">
        <f ca="1">[1]!cb_info_carrydate(B65)</f>
        <v>2020-06-09</v>
      </c>
      <c r="Y65" s="186" t="str">
        <f ca="1">[1]!cb_clause_conversion_2_swapsharestartdate(B65)</f>
        <v>2020-12-15</v>
      </c>
      <c r="Z65" s="186" t="str">
        <f ca="1">[1]!cb_clause_putoption_conditionalputbackstartenddate(B65)</f>
        <v>2024-06-09</v>
      </c>
      <c r="AA65" s="240">
        <f ca="1">[1]!cb_info_maturitycallprice(B65)</f>
        <v>112</v>
      </c>
      <c r="AB65" s="240">
        <f ca="1">IF(ISNUMBER([1]!cb_info_conditionalputprice(B65)),[1]!cb_info_conditionalputprice(B65),"-")</f>
        <v>0</v>
      </c>
      <c r="AC65" s="240">
        <f ca="1">[1]!cb_info_interest(B65)</f>
        <v>0.5</v>
      </c>
      <c r="AD65" s="262" t="str">
        <f ca="1">IFERROR(couponlist([1]!cb_clause_interest(B65,"4")),"-")</f>
        <v>0.5%，0.8%，1.5%，2.5%</v>
      </c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</row>
    <row r="66" spans="1:43" s="130" customFormat="1" x14ac:dyDescent="0.35">
      <c r="A66" s="121" t="s">
        <v>0</v>
      </c>
      <c r="B66" s="121" t="s">
        <v>34</v>
      </c>
      <c r="C66" s="121" t="s">
        <v>35</v>
      </c>
      <c r="D66" s="236" t="str">
        <f ca="1">IF([1]!s_info_industry_sw(B66,1)=0,"-",[1]!s_info_industry_sw(B66,1))</f>
        <v>医药生物</v>
      </c>
      <c r="E66" s="122" t="str">
        <f ca="1">[1]!cb_info_underlyingcode(B66)</f>
        <v>603716.SH</v>
      </c>
      <c r="F66" s="124">
        <f ca="1">RTD("wdf.rtq",,B66,"LastPrice","Dirty_Price")</f>
        <v>104.64</v>
      </c>
      <c r="G66" s="124">
        <f ca="1">RTD("wdf.rtq",,E66,"LastPrice")</f>
        <v>11.46</v>
      </c>
      <c r="H66" s="226">
        <f ca="1">RTD("wdf.rtq",,B66,"PctChg","RT_Price")/100</f>
        <v>1.9E-3</v>
      </c>
      <c r="I66" s="226">
        <f ca="1">RTD("wdf.rtq",,E66,"PctChg")/100</f>
        <v>5.3E-3</v>
      </c>
      <c r="J66" s="125">
        <f ca="1">_xlfn.IFNA([1]!b_anal_ptmyear(B66,$B$2),"未发行或发行失败")</f>
        <v>4.9506849315068493</v>
      </c>
      <c r="K66" s="125">
        <f ca="1">RTD("wdf.rtq",,B66,"Amount","Dirty_Price")/100000000</f>
        <v>3.501319E-2</v>
      </c>
      <c r="L66" s="125">
        <f ca="1">[1]!cb_anal_convprice(B66,$B$2)</f>
        <v>16.98</v>
      </c>
      <c r="M66" s="125">
        <f t="shared" ca="1" si="0"/>
        <v>67.491166077738512</v>
      </c>
      <c r="N66" s="126">
        <f t="shared" ca="1" si="1"/>
        <v>55.04251308900524</v>
      </c>
      <c r="O66" s="126">
        <f t="array" aca="1" ref="O66" ca="1">_xlfn.IFNA(RTD("wdf.rtq",,B66,"LastPrice","Yield_To_Maturity"),[1]!cb_anal_ytm(B66,$C$2))</f>
        <v>3.0052000000000003</v>
      </c>
      <c r="P66" s="126">
        <f ca="1">[1]!cb_anal_straightbondvalue(B66,$B$2)</f>
        <v>88.37</v>
      </c>
      <c r="Q66" s="126">
        <f t="shared" ca="1" si="2"/>
        <v>18.411225529025685</v>
      </c>
      <c r="R66" s="126" t="str">
        <f ca="1">[1]!b_rate_latestcredit(B66)</f>
        <v>AA-</v>
      </c>
      <c r="S66" s="126">
        <f ca="1">[1]!cb_info_outstandingbalance(B66,$B$2)</f>
        <v>5.4326429999999997</v>
      </c>
      <c r="T66" s="126">
        <f ca="1">[1]!cb_info_issueamount(B66,100000000)</f>
        <v>5.4330999999999996</v>
      </c>
      <c r="U66" s="126">
        <f t="shared" ca="1" si="3"/>
        <v>99.991588595829271</v>
      </c>
      <c r="V66" s="230">
        <f ca="1">IF([1]!cb_anal_ldiluterate(B66,$B$2)=100,"-",[1]!cb_anal_ldiluterate(B66,$B$2))</f>
        <v>13.712962738861014</v>
      </c>
      <c r="W66" s="127" t="str">
        <f ca="1">[1]!cb_info_listeddate(B66)</f>
        <v>2020-09-15</v>
      </c>
      <c r="X66" s="127" t="str">
        <f ca="1">[1]!cb_info_carrydate(B66)</f>
        <v>2020-08-21</v>
      </c>
      <c r="Y66" s="125" t="str">
        <f ca="1">[1]!cb_clause_conversion_2_swapsharestartdate(B66)</f>
        <v>2021-03-01</v>
      </c>
      <c r="Z66" s="125" t="str">
        <f ca="1">[1]!cb_clause_putoption_conditionalputbackstartenddate(B66)</f>
        <v>2024-08-21</v>
      </c>
      <c r="AA66" s="230">
        <f ca="1">[1]!cb_info_maturitycallprice(B66)</f>
        <v>115</v>
      </c>
      <c r="AB66" s="230">
        <f ca="1">IF(ISNUMBER([1]!cb_info_conditionalputprice(B66)),[1]!cb_info_conditionalputprice(B66),"-")</f>
        <v>0</v>
      </c>
      <c r="AC66" s="230">
        <f ca="1">[1]!cb_info_interest(B66)</f>
        <v>0.5</v>
      </c>
      <c r="AD66" s="263" t="str">
        <f ca="1">IFERROR(couponlist([1]!cb_clause_interest(B66,"4")),"-")</f>
        <v>0.50%，0.80%，1.00%，1.50%，2.50%，3.00%</v>
      </c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</row>
    <row r="67" spans="1:43" s="191" customFormat="1" x14ac:dyDescent="0.35">
      <c r="A67" s="182" t="s">
        <v>0</v>
      </c>
      <c r="B67" s="182" t="s">
        <v>565</v>
      </c>
      <c r="C67" s="182" t="s">
        <v>566</v>
      </c>
      <c r="D67" s="235" t="str">
        <f ca="1">IF([1]!s_info_industry_sw(B67,1)=0,"-",[1]!s_info_industry_sw(B67,1))</f>
        <v>医药生物</v>
      </c>
      <c r="E67" s="183" t="str">
        <f ca="1">[1]!cb_info_underlyingcode(B67)</f>
        <v>603669.SH</v>
      </c>
      <c r="F67" s="185">
        <f ca="1">RTD("wdf.rtq",,B67,"LastPrice","Dirty_Price")</f>
        <v>119.2</v>
      </c>
      <c r="G67" s="185">
        <f ca="1">RTD("wdf.rtq",,E67,"LastPrice")</f>
        <v>8.94</v>
      </c>
      <c r="H67" s="225">
        <f ca="1">RTD("wdf.rtq",,B67,"PctChg","RT_Price")/100</f>
        <v>-1.2999999999999999E-3</v>
      </c>
      <c r="I67" s="225">
        <f ca="1">RTD("wdf.rtq",,E67,"PctChg")/100</f>
        <v>3.4000000000000002E-3</v>
      </c>
      <c r="J67" s="186">
        <f ca="1">_xlfn.IFNA([1]!b_anal_ptmyear(B67,$B$2),"未发行或发行失败")</f>
        <v>5.2301369863013702</v>
      </c>
      <c r="K67" s="186">
        <f ca="1">RTD("wdf.rtq",,B67,"Amount","Dirty_Price")/100000000</f>
        <v>5.228501E-2</v>
      </c>
      <c r="L67" s="186">
        <f ca="1">[1]!cb_anal_convprice(B67,$B$2)</f>
        <v>8.61</v>
      </c>
      <c r="M67" s="186">
        <f t="shared" ca="1" si="0"/>
        <v>103.83275261324043</v>
      </c>
      <c r="N67" s="187">
        <f t="shared" ca="1" si="1"/>
        <v>14.799999999999983</v>
      </c>
      <c r="O67" s="187">
        <f t="array" aca="1" ref="O67" ca="1">_xlfn.IFNA(RTD("wdf.rtq",,B67,"LastPrice","Yield_To_Maturity"),[1]!cb_anal_ytm(B67,$C$2))</f>
        <v>0.30940000000000001</v>
      </c>
      <c r="P67" s="187">
        <f ca="1">[1]!cb_anal_straightbondvalue(B67,$B$2)</f>
        <v>86.957700000000003</v>
      </c>
      <c r="Q67" s="187">
        <f t="shared" ca="1" si="2"/>
        <v>37.078142591167875</v>
      </c>
      <c r="R67" s="187" t="str">
        <f ca="1">[1]!b_rate_latestcredit(B67)</f>
        <v>AA-</v>
      </c>
      <c r="S67" s="187">
        <f ca="1">[1]!cb_info_outstandingbalance(B67,$B$2)</f>
        <v>4.5847239999999996</v>
      </c>
      <c r="T67" s="187">
        <f ca="1">[1]!cb_info_issueamount(B67,100000000)</f>
        <v>5.25</v>
      </c>
      <c r="U67" s="187">
        <f t="shared" ca="1" si="3"/>
        <v>87.328076190476182</v>
      </c>
      <c r="V67" s="240">
        <f ca="1">IF([1]!cb_anal_ldiluterate(B67,$B$2)=100,"-",[1]!cb_anal_ldiluterate(B67,$B$2))</f>
        <v>7.8733679152163951</v>
      </c>
      <c r="W67" s="188" t="str">
        <f ca="1">[1]!cb_info_listeddate(B67)</f>
        <v>2020-12-22</v>
      </c>
      <c r="X67" s="188" t="str">
        <f ca="1">[1]!cb_info_carrydate(B67)</f>
        <v>2020-12-01</v>
      </c>
      <c r="Y67" s="186" t="str">
        <f ca="1">[1]!cb_clause_conversion_2_swapsharestartdate(B67)</f>
        <v>2021-06-07</v>
      </c>
      <c r="Z67" s="186" t="str">
        <f ca="1">[1]!cb_clause_putoption_conditionalputbackstartenddate(B67)</f>
        <v>2024-12-01</v>
      </c>
      <c r="AA67" s="240">
        <f ca="1">[1]!cb_info_maturitycallprice(B67)</f>
        <v>115</v>
      </c>
      <c r="AB67" s="240">
        <f ca="1">IF(ISNUMBER([1]!cb_info_conditionalputprice(B67)),[1]!cb_info_conditionalputprice(B67),"-")</f>
        <v>0</v>
      </c>
      <c r="AC67" s="240">
        <f ca="1">[1]!cb_info_interest(B67)</f>
        <v>0.4</v>
      </c>
      <c r="AD67" s="262" t="str">
        <f ca="1">IFERROR(couponlist([1]!cb_clause_interest(B67,"4")),"-")</f>
        <v>0.40%，0.70%，1.00%，1.50%，2.50%，3.00%</v>
      </c>
      <c r="AE67" s="189"/>
      <c r="AF67" s="189"/>
      <c r="AG67" s="189"/>
      <c r="AH67" s="189"/>
      <c r="AI67" s="189"/>
      <c r="AJ67" s="189"/>
      <c r="AK67" s="189"/>
      <c r="AL67" s="189"/>
      <c r="AM67" s="189"/>
      <c r="AN67" s="189"/>
      <c r="AO67" s="189"/>
      <c r="AP67" s="189"/>
      <c r="AQ67" s="189"/>
    </row>
    <row r="68" spans="1:43" s="130" customFormat="1" x14ac:dyDescent="0.35">
      <c r="A68" s="121" t="s">
        <v>5</v>
      </c>
      <c r="B68" s="121" t="s">
        <v>366</v>
      </c>
      <c r="C68" s="121" t="s">
        <v>367</v>
      </c>
      <c r="D68" s="236" t="str">
        <f ca="1">IF([1]!s_info_industry_sw(B68,1)=0,"-",[1]!s_info_industry_sw(B68,1))</f>
        <v>医药生物</v>
      </c>
      <c r="E68" s="122" t="str">
        <f ca="1">[1]!cb_info_underlyingcode(B68)</f>
        <v>002551.SZ</v>
      </c>
      <c r="F68" s="124">
        <f ca="1">RTD("wdf.rtq",,B68,"LastPrice","Dirty_Price")</f>
        <v>132.12</v>
      </c>
      <c r="G68" s="124">
        <f ca="1">RTD("wdf.rtq",,E68,"LastPrice")</f>
        <v>5.1100000000000003</v>
      </c>
      <c r="H68" s="226">
        <f ca="1">RTD("wdf.rtq",,B68,"PctChg","RT_Price")/100</f>
        <v>2.0000000000000001E-4</v>
      </c>
      <c r="I68" s="226">
        <f ca="1">RTD("wdf.rtq",,E68,"PctChg")/100</f>
        <v>2E-3</v>
      </c>
      <c r="J68" s="125">
        <f ca="1">_xlfn.IFNA([1]!b_anal_ptmyear(B68,$B$2),"未发行或发行失败")</f>
        <v>3.4356164383561643</v>
      </c>
      <c r="K68" s="125">
        <f ca="1">RTD("wdf.rtq",,B68,"Amount","Dirty_Price")/100000000</f>
        <v>0.17254522999999999</v>
      </c>
      <c r="L68" s="125">
        <f ca="1">[1]!cb_anal_convprice(B68,$B$2)</f>
        <v>4.88</v>
      </c>
      <c r="M68" s="125">
        <f t="shared" ca="1" si="0"/>
        <v>104.71311475409837</v>
      </c>
      <c r="N68" s="126">
        <f t="shared" ca="1" si="1"/>
        <v>26.173307240704489</v>
      </c>
      <c r="O68" s="126">
        <f t="array" aca="1" ref="O68" ca="1">_xlfn.IFNA(RTD("wdf.rtq",,B68,"LastPrice","Yield_To_Maturity"),[1]!cb_anal_ytm(B68,$C$2))</f>
        <v>-4.2077</v>
      </c>
      <c r="P68" s="126">
        <f ca="1">[1]!cb_anal_straightbondvalue(B68,$B$2)</f>
        <v>100.3946</v>
      </c>
      <c r="Q68" s="126">
        <f t="shared" ca="1" si="2"/>
        <v>31.600703623501659</v>
      </c>
      <c r="R68" s="126" t="str">
        <f ca="1">[1]!b_rate_latestcredit(B68)</f>
        <v>AA</v>
      </c>
      <c r="S68" s="126">
        <f ca="1">[1]!cb_info_outstandingbalance(B68,$B$2)</f>
        <v>1.9052</v>
      </c>
      <c r="T68" s="126">
        <f ca="1">[1]!cb_info_issueamount(B68,100000000)</f>
        <v>7.5</v>
      </c>
      <c r="U68" s="126">
        <f t="shared" ca="1" si="3"/>
        <v>25.402666666666669</v>
      </c>
      <c r="V68" s="230">
        <f ca="1">IF([1]!cb_anal_ldiluterate(B68,$B$2)=100,"-",[1]!cb_anal_ldiluterate(B68,$B$2))</f>
        <v>6.2992387721530649</v>
      </c>
      <c r="W68" s="127" t="str">
        <f ca="1">[1]!cb_info_listeddate(B68)</f>
        <v>2019-03-07</v>
      </c>
      <c r="X68" s="127" t="str">
        <f ca="1">[1]!cb_info_carrydate(B68)</f>
        <v>2019-02-14</v>
      </c>
      <c r="Y68" s="125" t="str">
        <f ca="1">[1]!cb_clause_conversion_2_swapsharestartdate(B68)</f>
        <v>2019-08-21</v>
      </c>
      <c r="Z68" s="125" t="str">
        <f ca="1">[1]!cb_clause_putoption_conditionalputbackstartenddate(B68)</f>
        <v>2023-02-14</v>
      </c>
      <c r="AA68" s="230">
        <f ca="1">[1]!cb_info_maturitycallprice(B68)</f>
        <v>110</v>
      </c>
      <c r="AB68" s="230">
        <f ca="1">IF(ISNUMBER([1]!cb_info_conditionalputprice(B68)),[1]!cb_info_conditionalputprice(B68),"-")</f>
        <v>0</v>
      </c>
      <c r="AC68" s="230">
        <f ca="1">[1]!cb_info_interest(B68)</f>
        <v>0.4</v>
      </c>
      <c r="AD68" s="263" t="str">
        <f ca="1">IFERROR(couponlist([1]!cb_clause_interest(B68,"4")),"-")</f>
        <v>0.4%，0.6%，1.0%，1.5%，1.8%，2.0%</v>
      </c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</row>
    <row r="69" spans="1:43" s="191" customFormat="1" x14ac:dyDescent="0.35">
      <c r="A69" s="182" t="s">
        <v>5</v>
      </c>
      <c r="B69" s="182" t="s">
        <v>376</v>
      </c>
      <c r="C69" s="182" t="s">
        <v>377</v>
      </c>
      <c r="D69" s="235" t="str">
        <f ca="1">IF([1]!s_info_industry_sw(B69,1)=0,"-",[1]!s_info_industry_sw(B69,1))</f>
        <v>医药生物</v>
      </c>
      <c r="E69" s="183" t="str">
        <f ca="1">[1]!cb_info_underlyingcode(B69)</f>
        <v>300381.SZ</v>
      </c>
      <c r="F69" s="185">
        <f ca="1">RTD("wdf.rtq",,B69,"LastPrice","Dirty_Price")</f>
        <v>204.70000000000002</v>
      </c>
      <c r="G69" s="185">
        <f ca="1">RTD("wdf.rtq",,E69,"LastPrice")</f>
        <v>10.040000000000001</v>
      </c>
      <c r="H69" s="225">
        <f ca="1">RTD("wdf.rtq",,B69,"PctChg","RT_Price")/100</f>
        <v>-2.4000000000000002E-3</v>
      </c>
      <c r="I69" s="225">
        <f ca="1">RTD("wdf.rtq",,E69,"PctChg")/100</f>
        <v>-6.9000000000000008E-3</v>
      </c>
      <c r="J69" s="186">
        <f ca="1">_xlfn.IFNA([1]!b_anal_ptmyear(B69,$B$2),"未发行或发行失败")</f>
        <v>3.2821917808219179</v>
      </c>
      <c r="K69" s="186">
        <f ca="1">RTD("wdf.rtq",,B69,"Amount","Dirty_Price")/100000000</f>
        <v>7.8433920000000004E-2</v>
      </c>
      <c r="L69" s="186">
        <f ca="1">[1]!cb_anal_convprice(B69,$B$2)</f>
        <v>8.25</v>
      </c>
      <c r="M69" s="186">
        <f t="shared" ca="1" si="0"/>
        <v>121.69696969696972</v>
      </c>
      <c r="N69" s="187">
        <f t="shared" ca="1" si="1"/>
        <v>68.204681274900366</v>
      </c>
      <c r="O69" s="187">
        <f t="array" aca="1" ref="O69" ca="1">_xlfn.IFNA(RTD("wdf.rtq",,B69,"LastPrice","Yield_To_Maturity"),[1]!cb_anal_ytm(B69,$C$2))</f>
        <v>-16.529500000000002</v>
      </c>
      <c r="P69" s="187">
        <f ca="1">[1]!cb_anal_straightbondvalue(B69,$B$2)</f>
        <v>94.082999999999998</v>
      </c>
      <c r="Q69" s="187">
        <f t="shared" ca="1" si="2"/>
        <v>117.57384437145924</v>
      </c>
      <c r="R69" s="187" t="str">
        <f ca="1">[1]!b_rate_latestcredit(B69)</f>
        <v>AA-</v>
      </c>
      <c r="S69" s="187">
        <f ca="1">[1]!cb_info_outstandingbalance(B69,$B$2)</f>
        <v>0.542852</v>
      </c>
      <c r="T69" s="187">
        <f ca="1">[1]!cb_info_issueamount(B69,100000000)</f>
        <v>6.6496769999999996</v>
      </c>
      <c r="U69" s="187">
        <f t="shared" ca="1" si="3"/>
        <v>8.163584486885604</v>
      </c>
      <c r="V69" s="240">
        <f ca="1">IF([1]!cb_anal_ldiluterate(B69,$B$2)=100,"-",[1]!cb_anal_ldiluterate(B69,$B$2))</f>
        <v>1.3846923239191331</v>
      </c>
      <c r="W69" s="188" t="str">
        <f ca="1">[1]!cb_info_listeddate(B69)</f>
        <v>2019-01-23</v>
      </c>
      <c r="X69" s="188" t="str">
        <f ca="1">[1]!cb_info_carrydate(B69)</f>
        <v>2018-12-20</v>
      </c>
      <c r="Y69" s="186" t="str">
        <f ca="1">[1]!cb_clause_conversion_2_swapsharestartdate(B69)</f>
        <v>2019-06-26</v>
      </c>
      <c r="Z69" s="186" t="str">
        <f ca="1">[1]!cb_clause_putoption_conditionalputbackstartenddate(B69)</f>
        <v>2022-12-20</v>
      </c>
      <c r="AA69" s="240">
        <f ca="1">[1]!cb_info_maturitycallprice(B69)</f>
        <v>110</v>
      </c>
      <c r="AB69" s="240">
        <f ca="1">IF(ISNUMBER([1]!cb_info_conditionalputprice(B69)),[1]!cb_info_conditionalputprice(B69),"-")</f>
        <v>0</v>
      </c>
      <c r="AC69" s="240">
        <f ca="1">[1]!cb_info_interest(B69)</f>
        <v>0.4</v>
      </c>
      <c r="AD69" s="262" t="str">
        <f ca="1">IFERROR(couponlist([1]!cb_clause_interest(B69,"4")),"-")</f>
        <v>0.40%，0.60%，1.00%，1.50%，1.80%，2.00%</v>
      </c>
      <c r="AE69" s="189"/>
      <c r="AF69" s="189"/>
      <c r="AG69" s="189"/>
      <c r="AH69" s="189"/>
      <c r="AI69" s="189"/>
      <c r="AJ69" s="189"/>
      <c r="AK69" s="189"/>
      <c r="AL69" s="189"/>
      <c r="AM69" s="189"/>
      <c r="AN69" s="189"/>
      <c r="AO69" s="189"/>
      <c r="AP69" s="189"/>
      <c r="AQ69" s="189"/>
    </row>
    <row r="70" spans="1:43" s="130" customFormat="1" x14ac:dyDescent="0.35">
      <c r="A70" s="121" t="s">
        <v>5</v>
      </c>
      <c r="B70" s="121" t="s">
        <v>218</v>
      </c>
      <c r="C70" s="121" t="s">
        <v>219</v>
      </c>
      <c r="D70" s="236" t="str">
        <f ca="1">IF([1]!s_info_industry_sw(B70,1)=0,"-",[1]!s_info_industry_sw(B70,1))</f>
        <v>医药生物</v>
      </c>
      <c r="E70" s="122" t="str">
        <f ca="1">[1]!cb_info_underlyingcode(B70)</f>
        <v>002873.SZ</v>
      </c>
      <c r="F70" s="124">
        <f ca="1">RTD("wdf.rtq",,B70,"LastPrice","Dirty_Price")</f>
        <v>124.5</v>
      </c>
      <c r="G70" s="124">
        <f ca="1">RTD("wdf.rtq",,E70,"LastPrice")</f>
        <v>17.71</v>
      </c>
      <c r="H70" s="226">
        <f ca="1">RTD("wdf.rtq",,B70,"PctChg","RT_Price")/100</f>
        <v>-2E-3</v>
      </c>
      <c r="I70" s="226">
        <f ca="1">RTD("wdf.rtq",,E70,"PctChg")/100</f>
        <v>-1.7000000000000001E-3</v>
      </c>
      <c r="J70" s="125">
        <f ca="1">_xlfn.IFNA([1]!b_anal_ptmyear(B70,$B$2),"未发行或发行失败")</f>
        <v>4.3095890410958901</v>
      </c>
      <c r="K70" s="125">
        <f ca="1">RTD("wdf.rtq",,B70,"Amount","Dirty_Price")/100000000</f>
        <v>6.57856E-2</v>
      </c>
      <c r="L70" s="125">
        <f ca="1">[1]!cb_anal_convprice(B70,$B$2)</f>
        <v>16.27</v>
      </c>
      <c r="M70" s="125">
        <f t="shared" ca="1" si="0"/>
        <v>108.85064535955748</v>
      </c>
      <c r="N70" s="126">
        <f t="shared" ca="1" si="1"/>
        <v>14.376905702992644</v>
      </c>
      <c r="O70" s="126">
        <f t="array" aca="1" ref="O70" ca="1">_xlfn.IFNA(RTD("wdf.rtq",,B70,"LastPrice","Yield_To_Maturity"),[1]!cb_anal_ytm(B70,$C$2))</f>
        <v>-0.99140000000000006</v>
      </c>
      <c r="P70" s="126">
        <f ca="1">[1]!cb_anal_straightbondvalue(B70,$B$2)</f>
        <v>84.212000000000003</v>
      </c>
      <c r="Q70" s="126">
        <f t="shared" ca="1" si="2"/>
        <v>47.841162779651341</v>
      </c>
      <c r="R70" s="126" t="str">
        <f ca="1">[1]!b_rate_latestcredit(B70)</f>
        <v>A+</v>
      </c>
      <c r="S70" s="126">
        <f ca="1">[1]!cb_info_outstandingbalance(B70,$B$2)</f>
        <v>1.762448</v>
      </c>
      <c r="T70" s="126">
        <f ca="1">[1]!cb_info_issueamount(B70,100000000)</f>
        <v>1.7729999999999999</v>
      </c>
      <c r="U70" s="126">
        <f t="shared" ca="1" si="3"/>
        <v>99.404850535815001</v>
      </c>
      <c r="V70" s="230">
        <f ca="1">IF([1]!cb_anal_ldiluterate(B70,$B$2)=100,"-",[1]!cb_anal_ldiluterate(B70,$B$2))</f>
        <v>8.880439065201994</v>
      </c>
      <c r="W70" s="127" t="str">
        <f ca="1">[1]!cb_info_listeddate(B70)</f>
        <v>2020-01-17</v>
      </c>
      <c r="X70" s="127" t="str">
        <f ca="1">[1]!cb_info_carrydate(B70)</f>
        <v>2019-12-30</v>
      </c>
      <c r="Y70" s="125" t="str">
        <f ca="1">[1]!cb_clause_conversion_2_swapsharestartdate(B70)</f>
        <v>2020-07-06</v>
      </c>
      <c r="Z70" s="125" t="str">
        <f ca="1">[1]!cb_clause_putoption_conditionalputbackstartenddate(B70)</f>
        <v>2023-12-30</v>
      </c>
      <c r="AA70" s="230">
        <f ca="1">[1]!cb_info_maturitycallprice(B70)</f>
        <v>113</v>
      </c>
      <c r="AB70" s="230">
        <f ca="1">IF(ISNUMBER([1]!cb_info_conditionalputprice(B70)),[1]!cb_info_conditionalputprice(B70),"-")</f>
        <v>0</v>
      </c>
      <c r="AC70" s="230">
        <f ca="1">[1]!cb_info_interest(B70)</f>
        <v>0.6</v>
      </c>
      <c r="AD70" s="263" t="str">
        <f ca="1">IFERROR(couponlist([1]!cb_clause_interest(B70,"4")),"-")</f>
        <v>0.6%，0.8%，1.4%，1.9%，2.3%，2.8%</v>
      </c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</row>
    <row r="71" spans="1:43" s="191" customFormat="1" x14ac:dyDescent="0.35">
      <c r="A71" s="182" t="s">
        <v>5</v>
      </c>
      <c r="B71" s="182" t="s">
        <v>852</v>
      </c>
      <c r="C71" s="182" t="s">
        <v>853</v>
      </c>
      <c r="D71" s="235" t="str">
        <f ca="1">IF([1]!s_info_industry_sw(B71,1)=0,"-",[1]!s_info_industry_sw(B71,1))</f>
        <v>医药生物</v>
      </c>
      <c r="E71" s="183" t="str">
        <f ca="1">[1]!cb_info_underlyingcode(B71)</f>
        <v>300630.SZ</v>
      </c>
      <c r="F71" s="185">
        <f ca="1">RTD("wdf.rtq",,B71,"LastPrice","Dirty_Price")</f>
        <v>121.60000000000001</v>
      </c>
      <c r="G71" s="185">
        <f ca="1">RTD("wdf.rtq",,E71,"LastPrice")</f>
        <v>39.550000000000004</v>
      </c>
      <c r="H71" s="225">
        <f ca="1">RTD("wdf.rtq",,B71,"PctChg","RT_Price")/100</f>
        <v>-9.0000000000000011E-3</v>
      </c>
      <c r="I71" s="225">
        <f ca="1">RTD("wdf.rtq",,E71,"PctChg")/100</f>
        <v>-6.3E-3</v>
      </c>
      <c r="J71" s="186">
        <f ca="1">_xlfn.IFNA([1]!b_anal_ptmyear(B71,$B$2),"未发行或发行失败")</f>
        <v>5.4219178082191783</v>
      </c>
      <c r="K71" s="186">
        <f ca="1">RTD("wdf.rtq",,B71,"Amount","Dirty_Price")/100000000</f>
        <v>3.43638E-2</v>
      </c>
      <c r="L71" s="186">
        <f ca="1">[1]!cb_anal_convprice(B71,$B$2)</f>
        <v>46.03</v>
      </c>
      <c r="M71" s="186">
        <f t="shared" ref="M71:M134" ca="1" si="4">IFERROR(100*G71/L71,)</f>
        <v>85.92222463610689</v>
      </c>
      <c r="N71" s="187">
        <f t="shared" ref="N71:N134" ca="1" si="5">IF(F71=0,"-",100*F71/M71-100)</f>
        <v>41.523337547408346</v>
      </c>
      <c r="O71" s="187">
        <f t="array" aca="1" ref="O71" ca="1">_xlfn.IFNA(RTD("wdf.rtq",,B71,"LastPrice","Yield_To_Maturity"),[1]!cb_anal_ytm(B71,$C$2))</f>
        <v>0.2918</v>
      </c>
      <c r="P71" s="187">
        <f ca="1">[1]!cb_anal_straightbondvalue(B71,$B$2)</f>
        <v>87.400700000000001</v>
      </c>
      <c r="Q71" s="187">
        <f t="shared" ref="Q71:Q134" ca="1" si="6">IF(F71=0,"-",100*F71/P71-100)</f>
        <v>39.129320474549985</v>
      </c>
      <c r="R71" s="187" t="str">
        <f ca="1">[1]!b_rate_latestcredit(B71)</f>
        <v>AA-</v>
      </c>
      <c r="S71" s="187">
        <f ca="1">[1]!cb_info_outstandingbalance(B71,$B$2)</f>
        <v>8.4997290000000003</v>
      </c>
      <c r="T71" s="187">
        <f ca="1">[1]!cb_info_issueamount(B71,100000000)</f>
        <v>8.5</v>
      </c>
      <c r="U71" s="187">
        <f t="shared" ref="U71:U134" ca="1" si="7">100*S71/T71</f>
        <v>99.996811764705882</v>
      </c>
      <c r="V71" s="240">
        <f ca="1">IF([1]!cb_anal_ldiluterate(B71,$B$2)=100,"-",[1]!cb_anal_ldiluterate(B71,$B$2))</f>
        <v>5.4304851358640045</v>
      </c>
      <c r="W71" s="188" t="str">
        <f ca="1">[1]!cb_info_listeddate(B71)</f>
        <v>2021-03-08</v>
      </c>
      <c r="X71" s="188" t="str">
        <f ca="1">[1]!cb_info_carrydate(B71)</f>
        <v>2021-02-09</v>
      </c>
      <c r="Y71" s="186" t="str">
        <f ca="1">[1]!cb_clause_conversion_2_swapsharestartdate(B71)</f>
        <v>2021-08-23</v>
      </c>
      <c r="Z71" s="186" t="str">
        <f ca="1">[1]!cb_clause_putoption_conditionalputbackstartenddate(B71)</f>
        <v>2025-02-09</v>
      </c>
      <c r="AA71" s="240">
        <f ca="1">[1]!cb_info_maturitycallprice(B71)</f>
        <v>118</v>
      </c>
      <c r="AB71" s="240">
        <f ca="1">IF(ISNUMBER([1]!cb_info_conditionalputprice(B71)),[1]!cb_info_conditionalputprice(B71),"-")</f>
        <v>0</v>
      </c>
      <c r="AC71" s="240">
        <f ca="1">[1]!cb_info_interest(B71)</f>
        <v>0.4</v>
      </c>
      <c r="AD71" s="262" t="str">
        <f ca="1">IFERROR(couponlist([1]!cb_clause_interest(B71,"4")),"-")</f>
        <v>0.40%，0.60%，1.00%，1.50%，2.00%，2.50%</v>
      </c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189"/>
    </row>
    <row r="72" spans="1:43" s="130" customFormat="1" x14ac:dyDescent="0.35">
      <c r="A72" s="121" t="s">
        <v>0</v>
      </c>
      <c r="B72" s="121" t="s">
        <v>527</v>
      </c>
      <c r="C72" s="121" t="s">
        <v>528</v>
      </c>
      <c r="D72" s="236" t="str">
        <f ca="1">IF([1]!s_info_industry_sw(B72,1)=0,"-",[1]!s_info_industry_sw(B72,1))</f>
        <v>医药生物</v>
      </c>
      <c r="E72" s="122" t="str">
        <f ca="1">[1]!cb_info_underlyingcode(B72)</f>
        <v>600998.SH</v>
      </c>
      <c r="F72" s="124">
        <f ca="1">RTD("wdf.rtq",,B72,"LastPrice","Dirty_Price")</f>
        <v>111.60000000000001</v>
      </c>
      <c r="G72" s="124">
        <f ca="1">RTD("wdf.rtq",,E72,"LastPrice")</f>
        <v>15.49</v>
      </c>
      <c r="H72" s="226">
        <f ca="1">RTD("wdf.rtq",,B72,"PctChg","RT_Price")/100</f>
        <v>3.0000000000000003E-4</v>
      </c>
      <c r="I72" s="226">
        <f ca="1">RTD("wdf.rtq",,E72,"PctChg")/100</f>
        <v>-7.7000000000000002E-3</v>
      </c>
      <c r="J72" s="125">
        <f ca="1">_xlfn.IFNA([1]!b_anal_ptmyear(B72,$B$2),"未发行或发行失败")</f>
        <v>0.35342465753424657</v>
      </c>
      <c r="K72" s="125">
        <f ca="1">RTD("wdf.rtq",,B72,"Amount","Dirty_Price")/100000000</f>
        <v>0.19833386</v>
      </c>
      <c r="L72" s="125">
        <f ca="1">[1]!cb_anal_convprice(B72,$B$2)</f>
        <v>17.829999999999998</v>
      </c>
      <c r="M72" s="125">
        <f t="shared" ca="1" si="4"/>
        <v>86.876051598429626</v>
      </c>
      <c r="N72" s="126">
        <f t="shared" ca="1" si="5"/>
        <v>28.458876694641674</v>
      </c>
      <c r="O72" s="126">
        <f t="array" aca="1" ref="O72" ca="1">_xlfn.IFNA(RTD("wdf.rtq",,B72,"LastPrice","Yield_To_Maturity"),[1]!cb_anal_ytm(B72,$C$2))</f>
        <v>-9.1273</v>
      </c>
      <c r="P72" s="126">
        <f ca="1">[1]!cb_anal_straightbondvalue(B72,$B$2)</f>
        <v>107.0187</v>
      </c>
      <c r="Q72" s="126">
        <f t="shared" ca="1" si="6"/>
        <v>4.2808406381314654</v>
      </c>
      <c r="R72" s="126" t="str">
        <f ca="1">[1]!b_rate_latestcredit(B72)</f>
        <v>AA+</v>
      </c>
      <c r="S72" s="126">
        <f ca="1">[1]!cb_info_outstandingbalance(B72,$B$2)</f>
        <v>14.991669999999999</v>
      </c>
      <c r="T72" s="126">
        <f ca="1">[1]!cb_info_issueamount(B72,100000000)</f>
        <v>15</v>
      </c>
      <c r="U72" s="126">
        <f t="shared" ca="1" si="7"/>
        <v>99.944466666666656</v>
      </c>
      <c r="V72" s="230">
        <f ca="1">IF([1]!cb_anal_ldiluterate(B72,$B$2)=100,"-",[1]!cb_anal_ldiluterate(B72,$B$2))</f>
        <v>4.294504245335844</v>
      </c>
      <c r="W72" s="127" t="str">
        <f ca="1">[1]!cb_info_listeddate(B72)</f>
        <v>2016-01-29</v>
      </c>
      <c r="X72" s="127" t="str">
        <f ca="1">[1]!cb_info_carrydate(B72)</f>
        <v>2016-01-15</v>
      </c>
      <c r="Y72" s="125" t="str">
        <f ca="1">[1]!cb_clause_conversion_2_swapsharestartdate(B72)</f>
        <v>2016-07-21</v>
      </c>
      <c r="Z72" s="125" t="str">
        <f ca="1">[1]!cb_clause_putoption_conditionalputbackstartenddate(B72)</f>
        <v>2020-01-15</v>
      </c>
      <c r="AA72" s="230">
        <f ca="1">[1]!cb_info_maturitycallprice(B72)</f>
        <v>108</v>
      </c>
      <c r="AB72" s="230">
        <f ca="1">IF(ISNUMBER([1]!cb_info_conditionalputprice(B72)),[1]!cb_info_conditionalputprice(B72),"-")</f>
        <v>103</v>
      </c>
      <c r="AC72" s="230">
        <f ca="1">[1]!cb_info_interest(B72)</f>
        <v>0.2</v>
      </c>
      <c r="AD72" s="263" t="str">
        <f ca="1">IFERROR(couponlist([1]!cb_clause_interest(B72,"4")),"-")</f>
        <v>0.20%，0.40%，0.60%，0.80%，1.60%，2.00%</v>
      </c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29"/>
      <c r="AP72" s="129"/>
      <c r="AQ72" s="129"/>
    </row>
    <row r="73" spans="1:43" s="191" customFormat="1" x14ac:dyDescent="0.35">
      <c r="A73" s="182" t="s">
        <v>5</v>
      </c>
      <c r="B73" s="182" t="s">
        <v>620</v>
      </c>
      <c r="C73" s="182" t="s">
        <v>621</v>
      </c>
      <c r="D73" s="235" t="str">
        <f ca="1">IF([1]!s_info_industry_sw(B73,1)=0,"-",[1]!s_info_industry_sw(B73,1))</f>
        <v>医药生物</v>
      </c>
      <c r="E73" s="183" t="str">
        <f ca="1">[1]!cb_info_underlyingcode(B73)</f>
        <v>300298.SZ</v>
      </c>
      <c r="F73" s="185">
        <f ca="1">RTD("wdf.rtq",,B73,"LastPrice","Dirty_Price")</f>
        <v>116.051</v>
      </c>
      <c r="G73" s="185">
        <f ca="1">RTD("wdf.rtq",,E73,"LastPrice")</f>
        <v>26.54</v>
      </c>
      <c r="H73" s="225">
        <f ca="1">RTD("wdf.rtq",,B73,"PctChg","RT_Price")/100</f>
        <v>-3.4000000000000002E-3</v>
      </c>
      <c r="I73" s="225">
        <f ca="1">RTD("wdf.rtq",,E73,"PctChg")/100</f>
        <v>1.03E-2</v>
      </c>
      <c r="J73" s="186">
        <f ca="1">_xlfn.IFNA([1]!b_anal_ptmyear(B73,$B$2),"未发行或发行失败")</f>
        <v>5.2849315068493148</v>
      </c>
      <c r="K73" s="186">
        <f ca="1">RTD("wdf.rtq",,B73,"Amount","Dirty_Price")/100000000</f>
        <v>1.888855E-2</v>
      </c>
      <c r="L73" s="186">
        <f ca="1">[1]!cb_anal_convprice(B73,$B$2)</f>
        <v>35.18</v>
      </c>
      <c r="M73" s="186">
        <f t="shared" ca="1" si="4"/>
        <v>75.440591245025587</v>
      </c>
      <c r="N73" s="187">
        <f t="shared" ca="1" si="5"/>
        <v>53.830978899773925</v>
      </c>
      <c r="O73" s="187">
        <f t="array" aca="1" ref="O73" ca="1">_xlfn.IFNA(RTD("wdf.rtq",,B73,"LastPrice","Yield_To_Maturity"),[1]!cb_anal_ytm(B73,$C$2))</f>
        <v>0.1736</v>
      </c>
      <c r="P73" s="187">
        <f ca="1">[1]!cb_anal_straightbondvalue(B73,$B$2)</f>
        <v>93.779899999999998</v>
      </c>
      <c r="Q73" s="187">
        <f t="shared" ca="1" si="6"/>
        <v>23.748265886399977</v>
      </c>
      <c r="R73" s="187" t="str">
        <f ca="1">[1]!b_rate_latestcredit(B73)</f>
        <v>AA</v>
      </c>
      <c r="S73" s="187">
        <f ca="1">[1]!cb_info_outstandingbalance(B73,$B$2)</f>
        <v>4.9997850000000001</v>
      </c>
      <c r="T73" s="187">
        <f ca="1">[1]!cb_info_issueamount(B73,100000000)</f>
        <v>5</v>
      </c>
      <c r="U73" s="187">
        <f t="shared" ca="1" si="7"/>
        <v>99.995699999999999</v>
      </c>
      <c r="V73" s="240">
        <f ca="1">IF([1]!cb_anal_ldiluterate(B73,$B$2)=100,"-",[1]!cb_anal_ldiluterate(B73,$B$2))</f>
        <v>3.0284622873838156</v>
      </c>
      <c r="W73" s="188" t="str">
        <f ca="1">[1]!cb_info_listeddate(B73)</f>
        <v>2021-01-12</v>
      </c>
      <c r="X73" s="188" t="str">
        <f ca="1">[1]!cb_info_carrydate(B73)</f>
        <v>2020-12-21</v>
      </c>
      <c r="Y73" s="186" t="str">
        <f ca="1">[1]!cb_clause_conversion_2_swapsharestartdate(B73)</f>
        <v>2021-06-25</v>
      </c>
      <c r="Z73" s="186" t="str">
        <f ca="1">[1]!cb_clause_putoption_conditionalputbackstartenddate(B73)</f>
        <v>2024-12-21</v>
      </c>
      <c r="AA73" s="240">
        <f ca="1">[1]!cb_info_maturitycallprice(B73)</f>
        <v>112</v>
      </c>
      <c r="AB73" s="240">
        <f ca="1">IF(ISNUMBER([1]!cb_info_conditionalputprice(B73)),[1]!cb_info_conditionalputprice(B73),"-")</f>
        <v>0</v>
      </c>
      <c r="AC73" s="240">
        <f ca="1">[1]!cb_info_interest(B73)</f>
        <v>0.3</v>
      </c>
      <c r="AD73" s="262" t="str">
        <f ca="1">IFERROR(couponlist([1]!cb_clause_interest(B73,"4")),"-")</f>
        <v>0.30%，0.50%，1.00%，1.50%，1.80%，2.00%</v>
      </c>
      <c r="AE73" s="189"/>
      <c r="AF73" s="189"/>
      <c r="AG73" s="189"/>
      <c r="AH73" s="189"/>
      <c r="AI73" s="189"/>
      <c r="AJ73" s="189"/>
      <c r="AK73" s="189"/>
      <c r="AL73" s="189"/>
      <c r="AM73" s="189"/>
      <c r="AN73" s="189"/>
      <c r="AO73" s="189"/>
      <c r="AP73" s="189"/>
      <c r="AQ73" s="189"/>
    </row>
    <row r="74" spans="1:43" s="130" customFormat="1" x14ac:dyDescent="0.35">
      <c r="A74" s="121" t="s">
        <v>5</v>
      </c>
      <c r="B74" s="121" t="s">
        <v>850</v>
      </c>
      <c r="C74" s="121" t="s">
        <v>851</v>
      </c>
      <c r="D74" s="236" t="str">
        <f ca="1">IF([1]!s_info_industry_sw(B74,1)=0,"-",[1]!s_info_industry_sw(B74,1))</f>
        <v>医药生物</v>
      </c>
      <c r="E74" s="122" t="str">
        <f ca="1">[1]!cb_info_underlyingcode(B74)</f>
        <v>300723.SZ</v>
      </c>
      <c r="F74" s="124">
        <f ca="1">RTD("wdf.rtq",,B74,"LastPrice","Dirty_Price")</f>
        <v>138.80600000000001</v>
      </c>
      <c r="G74" s="124">
        <f ca="1">RTD("wdf.rtq",,E74,"LastPrice")</f>
        <v>34.68</v>
      </c>
      <c r="H74" s="226">
        <f ca="1">RTD("wdf.rtq",,B74,"PctChg","RT_Price")/100</f>
        <v>-3.6000000000000003E-3</v>
      </c>
      <c r="I74" s="226">
        <f ca="1">RTD("wdf.rtq",,E74,"PctChg")/100</f>
        <v>-8.3000000000000001E-3</v>
      </c>
      <c r="J74" s="125">
        <f ca="1">_xlfn.IFNA([1]!b_anal_ptmyear(B74,$B$2),"未发行或发行失败")</f>
        <v>5.3890410958904109</v>
      </c>
      <c r="K74" s="125">
        <f ca="1">RTD("wdf.rtq",,B74,"Amount","Dirty_Price")/100000000</f>
        <v>0.14580383</v>
      </c>
      <c r="L74" s="125">
        <f ca="1">[1]!cb_anal_convprice(B74,$B$2)</f>
        <v>25.48</v>
      </c>
      <c r="M74" s="125">
        <f t="shared" ca="1" si="4"/>
        <v>136.10675039246468</v>
      </c>
      <c r="N74" s="126">
        <f t="shared" ca="1" si="5"/>
        <v>1.9831856978085369</v>
      </c>
      <c r="O74" s="126">
        <f t="array" aca="1" ref="O74" ca="1">_xlfn.IFNA(RTD("wdf.rtq",,B74,"LastPrice","Yield_To_Maturity"),[1]!cb_anal_ytm(B74,$C$2))</f>
        <v>-2.1105</v>
      </c>
      <c r="P74" s="126">
        <f ca="1">[1]!cb_anal_straightbondvalue(B74,$B$2)</f>
        <v>87.965699999999998</v>
      </c>
      <c r="Q74" s="126">
        <f t="shared" ca="1" si="6"/>
        <v>57.795595328633794</v>
      </c>
      <c r="R74" s="126" t="str">
        <f ca="1">[1]!b_rate_latestcredit(B74)</f>
        <v>AA-</v>
      </c>
      <c r="S74" s="126">
        <f ca="1">[1]!cb_info_outstandingbalance(B74,$B$2)</f>
        <v>4.2523999999999997</v>
      </c>
      <c r="T74" s="126">
        <f ca="1">[1]!cb_info_issueamount(B74,100000000)</f>
        <v>4.8</v>
      </c>
      <c r="U74" s="126">
        <f t="shared" ca="1" si="7"/>
        <v>88.591666666666654</v>
      </c>
      <c r="V74" s="230">
        <f ca="1">IF([1]!cb_anal_ldiluterate(B74,$B$2)=100,"-",[1]!cb_anal_ldiluterate(B74,$B$2))</f>
        <v>13.216437555792135</v>
      </c>
      <c r="W74" s="127" t="str">
        <f ca="1">[1]!cb_info_listeddate(B74)</f>
        <v>2021-02-23</v>
      </c>
      <c r="X74" s="127" t="str">
        <f ca="1">[1]!cb_info_carrydate(B74)</f>
        <v>2021-01-28</v>
      </c>
      <c r="Y74" s="125" t="str">
        <f ca="1">[1]!cb_clause_conversion_2_swapsharestartdate(B74)</f>
        <v>2021-08-03</v>
      </c>
      <c r="Z74" s="125" t="str">
        <f ca="1">[1]!cb_clause_putoption_conditionalputbackstartenddate(B74)</f>
        <v>2025-01-28</v>
      </c>
      <c r="AA74" s="230">
        <f ca="1">[1]!cb_info_maturitycallprice(B74)</f>
        <v>118</v>
      </c>
      <c r="AB74" s="230">
        <f ca="1">IF(ISNUMBER([1]!cb_info_conditionalputprice(B74)),[1]!cb_info_conditionalputprice(B74),"-")</f>
        <v>0</v>
      </c>
      <c r="AC74" s="230">
        <f ca="1">[1]!cb_info_interest(B74)</f>
        <v>0.4</v>
      </c>
      <c r="AD74" s="263" t="str">
        <f ca="1">IFERROR(couponlist([1]!cb_clause_interest(B74,"4")),"-")</f>
        <v>0.4%，0.6%，1.0%，1.5%，2.5%，3.0%</v>
      </c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29"/>
      <c r="AP74" s="129"/>
      <c r="AQ74" s="129"/>
    </row>
    <row r="75" spans="1:43" s="191" customFormat="1" x14ac:dyDescent="0.35">
      <c r="A75" s="182" t="s">
        <v>5</v>
      </c>
      <c r="B75" s="182" t="s">
        <v>24</v>
      </c>
      <c r="C75" s="182" t="s">
        <v>25</v>
      </c>
      <c r="D75" s="235" t="str">
        <f ca="1">IF([1]!s_info_industry_sw(B75,1)=0,"-",[1]!s_info_industry_sw(B75,1))</f>
        <v>医药生物</v>
      </c>
      <c r="E75" s="183" t="str">
        <f ca="1">[1]!cb_info_underlyingcode(B75)</f>
        <v>300246.SZ</v>
      </c>
      <c r="F75" s="185">
        <f ca="1">RTD("wdf.rtq",,B75,"LastPrice","Dirty_Price")</f>
        <v>113.17700000000001</v>
      </c>
      <c r="G75" s="185">
        <f ca="1">RTD("wdf.rtq",,E75,"LastPrice")</f>
        <v>17.2</v>
      </c>
      <c r="H75" s="225">
        <f ca="1">RTD("wdf.rtq",,B75,"PctChg","RT_Price")/100</f>
        <v>-6.9999999999999988E-4</v>
      </c>
      <c r="I75" s="225">
        <f ca="1">RTD("wdf.rtq",,E75,"PctChg")/100</f>
        <v>-1.43E-2</v>
      </c>
      <c r="J75" s="186">
        <f ca="1">_xlfn.IFNA([1]!b_anal_ptmyear(B75,$B$2),"未发行或发行失败")</f>
        <v>4.9890410958904106</v>
      </c>
      <c r="K75" s="186">
        <f ca="1">RTD("wdf.rtq",,B75,"Amount","Dirty_Price")/100000000</f>
        <v>0.13912657</v>
      </c>
      <c r="L75" s="186">
        <f ca="1">[1]!cb_anal_convprice(B75,$B$2)</f>
        <v>40.14</v>
      </c>
      <c r="M75" s="186">
        <f t="shared" ca="1" si="4"/>
        <v>42.850024912805182</v>
      </c>
      <c r="N75" s="187">
        <f t="shared" ca="1" si="5"/>
        <v>164.12353372093025</v>
      </c>
      <c r="O75" s="187">
        <f t="array" aca="1" ref="O75" ca="1">_xlfn.IFNA(RTD("wdf.rtq",,B75,"LastPrice","Yield_To_Maturity"),[1]!cb_anal_ytm(B75,$C$2))</f>
        <v>1.3765000000000001</v>
      </c>
      <c r="P75" s="187">
        <f ca="1">[1]!cb_anal_straightbondvalue(B75,$B$2)</f>
        <v>88.308499999999995</v>
      </c>
      <c r="Q75" s="187">
        <f t="shared" ca="1" si="6"/>
        <v>28.16093581025612</v>
      </c>
      <c r="R75" s="187" t="str">
        <f ca="1">[1]!b_rate_latestcredit(B75)</f>
        <v>AA-</v>
      </c>
      <c r="S75" s="187">
        <f ca="1">[1]!cb_info_outstandingbalance(B75,$B$2)</f>
        <v>2.1886190000000001</v>
      </c>
      <c r="T75" s="187">
        <f ca="1">[1]!cb_info_issueamount(B75,100000000)</f>
        <v>2.19</v>
      </c>
      <c r="U75" s="187">
        <f t="shared" ca="1" si="7"/>
        <v>99.936940639269423</v>
      </c>
      <c r="V75" s="240">
        <f ca="1">IF([1]!cb_anal_ldiluterate(B75,$B$2)=100,"-",[1]!cb_anal_ldiluterate(B75,$B$2))</f>
        <v>4.743646054004377</v>
      </c>
      <c r="W75" s="188" t="str">
        <f ca="1">[1]!cb_info_listeddate(B75)</f>
        <v>2020-09-24</v>
      </c>
      <c r="X75" s="188" t="str">
        <f ca="1">[1]!cb_info_carrydate(B75)</f>
        <v>2020-09-04</v>
      </c>
      <c r="Y75" s="186" t="str">
        <f ca="1">[1]!cb_clause_conversion_2_swapsharestartdate(B75)</f>
        <v>2021-03-11</v>
      </c>
      <c r="Z75" s="186" t="str">
        <f ca="1">[1]!cb_clause_putoption_conditionalputbackstartenddate(B75)</f>
        <v>2024-09-04</v>
      </c>
      <c r="AA75" s="240">
        <f ca="1">[1]!cb_info_maturitycallprice(B75)</f>
        <v>115</v>
      </c>
      <c r="AB75" s="240">
        <f ca="1">IF(ISNUMBER([1]!cb_info_conditionalputprice(B75)),[1]!cb_info_conditionalputprice(B75),"-")</f>
        <v>0</v>
      </c>
      <c r="AC75" s="240">
        <f ca="1">[1]!cb_info_interest(B75)</f>
        <v>0.4</v>
      </c>
      <c r="AD75" s="262" t="str">
        <f ca="1">IFERROR(couponlist([1]!cb_clause_interest(B75,"4")),"-")</f>
        <v>0.4%，0.7%，1.0%，1.8%，2.5%，3.5%</v>
      </c>
      <c r="AE75" s="189"/>
      <c r="AF75" s="189"/>
      <c r="AG75" s="189"/>
      <c r="AH75" s="189"/>
      <c r="AI75" s="189"/>
      <c r="AJ75" s="189"/>
      <c r="AK75" s="189"/>
      <c r="AL75" s="189"/>
      <c r="AM75" s="189"/>
      <c r="AN75" s="189"/>
      <c r="AO75" s="189"/>
      <c r="AP75" s="189"/>
      <c r="AQ75" s="189"/>
    </row>
    <row r="76" spans="1:43" s="130" customFormat="1" x14ac:dyDescent="0.35">
      <c r="A76" s="121" t="s">
        <v>5</v>
      </c>
      <c r="B76" s="121" t="s">
        <v>1289</v>
      </c>
      <c r="C76" s="121" t="s">
        <v>1290</v>
      </c>
      <c r="D76" s="236" t="str">
        <f ca="1">IF([1]!s_info_industry_sw(B76,1)=0,"-",[1]!s_info_industry_sw(B76,1))</f>
        <v>医药生物</v>
      </c>
      <c r="E76" s="122" t="str">
        <f ca="1">[1]!cb_info_underlyingcode(B76)</f>
        <v>300003.SZ</v>
      </c>
      <c r="F76" s="124">
        <f ca="1">RTD("wdf.rtq",,B76,"LastPrice","Dirty_Price")</f>
        <v>121.9</v>
      </c>
      <c r="G76" s="124">
        <f ca="1">RTD("wdf.rtq",,E76,"LastPrice")</f>
        <v>26.41</v>
      </c>
      <c r="H76" s="226">
        <f ca="1">RTD("wdf.rtq",,B76,"PctChg","RT_Price")/100</f>
        <v>1E-3</v>
      </c>
      <c r="I76" s="226">
        <f ca="1">RTD("wdf.rtq",,E76,"PctChg")/100</f>
        <v>-8.3000000000000001E-3</v>
      </c>
      <c r="J76" s="125">
        <f ca="1">_xlfn.IFNA([1]!b_anal_ptmyear(B76,$B$2),"未发行或发行失败")</f>
        <v>4.5561643835616437</v>
      </c>
      <c r="K76" s="125">
        <f ca="1">RTD("wdf.rtq",,B76,"Amount","Dirty_Price")/100000000</f>
        <v>1.7029969999999998E-2</v>
      </c>
      <c r="L76" s="125">
        <f ca="1">[1]!cb_anal_convprice(B76,$B$2)</f>
        <v>29.5</v>
      </c>
      <c r="M76" s="125">
        <f t="shared" ca="1" si="4"/>
        <v>89.525423728813564</v>
      </c>
      <c r="N76" s="126">
        <f t="shared" ca="1" si="5"/>
        <v>36.162438470276413</v>
      </c>
      <c r="O76" s="126">
        <f t="array" aca="1" ref="O76" ca="1">_xlfn.IFNA(RTD("wdf.rtq",,B76,"LastPrice","Yield_To_Maturity"),[1]!cb_anal_ytm(B76,$C$2))</f>
        <v>-2.0397000000000003</v>
      </c>
      <c r="P76" s="126">
        <f ca="1">[1]!cb_anal_straightbondvalue(B76,$B$2)</f>
        <v>94.808599999999998</v>
      </c>
      <c r="Q76" s="126">
        <f t="shared" ca="1" si="6"/>
        <v>28.574833928567671</v>
      </c>
      <c r="R76" s="126" t="str">
        <f ca="1">[1]!b_rate_latestcredit(B76)</f>
        <v>AA+</v>
      </c>
      <c r="S76" s="126">
        <f ca="1">[1]!cb_info_outstandingbalance(B76,$B$2)</f>
        <v>16.38</v>
      </c>
      <c r="T76" s="126">
        <f ca="1">[1]!cb_info_issueamount(B76,100000000)</f>
        <v>16.38</v>
      </c>
      <c r="U76" s="126">
        <f t="shared" ca="1" si="7"/>
        <v>100</v>
      </c>
      <c r="V76" s="230">
        <f ca="1">IF([1]!cb_anal_ldiluterate(B76,$B$2)=100,"-",[1]!cb_anal_ldiluterate(B76,$B$2))</f>
        <v>3.4826075505228058</v>
      </c>
      <c r="W76" s="127" t="str">
        <f ca="1">[1]!cb_info_listeddate(B76)</f>
        <v>2021-04-19</v>
      </c>
      <c r="X76" s="127" t="str">
        <f ca="1">[1]!cb_info_carrydate(B76)</f>
        <v>2021-03-30</v>
      </c>
      <c r="Y76" s="125" t="str">
        <f ca="1">[1]!cb_clause_conversion_2_swapsharestartdate(B76)</f>
        <v>2021-10-08</v>
      </c>
      <c r="Z76" s="125" t="str">
        <f ca="1">[1]!cb_clause_putoption_conditionalputbackstartenddate(B76)</f>
        <v>2024-03-30</v>
      </c>
      <c r="AA76" s="230">
        <f ca="1">[1]!cb_info_maturitycallprice(B76)</f>
        <v>107.8</v>
      </c>
      <c r="AB76" s="230">
        <f ca="1">IF(ISNUMBER([1]!cb_info_conditionalputprice(B76)),[1]!cb_info_conditionalputprice(B76),"-")</f>
        <v>0</v>
      </c>
      <c r="AC76" s="230">
        <f ca="1">[1]!cb_info_interest(B76)</f>
        <v>0.3</v>
      </c>
      <c r="AD76" s="263" t="str">
        <f ca="1">IFERROR(couponlist([1]!cb_clause_interest(B76,"4")),"-")</f>
        <v>0.30%，0.50%，1.00%，1.50%，1.80%</v>
      </c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</row>
    <row r="77" spans="1:43" s="191" customFormat="1" x14ac:dyDescent="0.35">
      <c r="A77" s="182" t="s">
        <v>5</v>
      </c>
      <c r="B77" s="182" t="s">
        <v>473</v>
      </c>
      <c r="C77" s="182" t="s">
        <v>474</v>
      </c>
      <c r="D77" s="235" t="str">
        <f ca="1">IF([1]!s_info_industry_sw(B77,1)=0,"-",[1]!s_info_industry_sw(B77,1))</f>
        <v>休闲服务</v>
      </c>
      <c r="E77" s="183" t="str">
        <f ca="1">[1]!cb_info_underlyingcode(B77)</f>
        <v>002707.SZ</v>
      </c>
      <c r="F77" s="185">
        <f ca="1">RTD("wdf.rtq",,B77,"LastPrice","Dirty_Price")</f>
        <v>106.55200000000001</v>
      </c>
      <c r="G77" s="185">
        <f ca="1">RTD("wdf.rtq",,E77,"LastPrice")</f>
        <v>5.32</v>
      </c>
      <c r="H77" s="225">
        <f ca="1">RTD("wdf.rtq",,B77,"PctChg","RT_Price")/100</f>
        <v>4.3E-3</v>
      </c>
      <c r="I77" s="225">
        <f ca="1">RTD("wdf.rtq",,E77,"PctChg")/100</f>
        <v>3.1E-2</v>
      </c>
      <c r="J77" s="186">
        <f ca="1">_xlfn.IFNA([1]!b_anal_ptmyear(B77,$B$2),"未发行或发行失败")</f>
        <v>2.2301369863013698</v>
      </c>
      <c r="K77" s="186">
        <f ca="1">RTD("wdf.rtq",,B77,"Amount","Dirty_Price")/100000000</f>
        <v>0.16613168</v>
      </c>
      <c r="L77" s="186">
        <f ca="1">[1]!cb_anal_convprice(B77,$B$2)</f>
        <v>7.92</v>
      </c>
      <c r="M77" s="186">
        <f t="shared" ca="1" si="4"/>
        <v>67.171717171717177</v>
      </c>
      <c r="N77" s="187">
        <f t="shared" ca="1" si="5"/>
        <v>58.6262857142857</v>
      </c>
      <c r="O77" s="187">
        <f t="array" aca="1" ref="O77" ca="1">_xlfn.IFNA(RTD("wdf.rtq",,B77,"LastPrice","Yield_To_Maturity"),[1]!cb_anal_ytm(B77,$C$2))</f>
        <v>0.95700000000000007</v>
      </c>
      <c r="P77" s="187">
        <f ca="1">[1]!cb_anal_straightbondvalue(B77,$B$2)</f>
        <v>88.086399999999998</v>
      </c>
      <c r="Q77" s="187">
        <f t="shared" ca="1" si="6"/>
        <v>20.963054455625397</v>
      </c>
      <c r="R77" s="187" t="str">
        <f ca="1">[1]!b_rate_latestcredit(B77)</f>
        <v>A</v>
      </c>
      <c r="S77" s="187">
        <f ca="1">[1]!cb_info_outstandingbalance(B77,$B$2)</f>
        <v>4.5556939999999999</v>
      </c>
      <c r="T77" s="187">
        <f ca="1">[1]!cb_info_issueamount(B77,100000000)</f>
        <v>7</v>
      </c>
      <c r="U77" s="187">
        <f t="shared" ca="1" si="7"/>
        <v>65.081342857142857</v>
      </c>
      <c r="V77" s="240">
        <f ca="1">IF([1]!cb_anal_ldiluterate(B77,$B$2)=100,"-",[1]!cb_anal_ldiluterate(B77,$B$2))</f>
        <v>8.2492382615266671</v>
      </c>
      <c r="W77" s="188" t="str">
        <f ca="1">[1]!cb_info_listeddate(B77)</f>
        <v>2017-12-28</v>
      </c>
      <c r="X77" s="188" t="str">
        <f ca="1">[1]!cb_info_carrydate(B77)</f>
        <v>2017-12-01</v>
      </c>
      <c r="Y77" s="186" t="str">
        <f ca="1">[1]!cb_clause_conversion_2_swapsharestartdate(B77)</f>
        <v>2018-06-07</v>
      </c>
      <c r="Z77" s="186" t="str">
        <f ca="1">[1]!cb_clause_putoption_conditionalputbackstartenddate(B77)</f>
        <v>2021-12-01</v>
      </c>
      <c r="AA77" s="240">
        <f ca="1">[1]!cb_info_maturitycallprice(B77)</f>
        <v>106</v>
      </c>
      <c r="AB77" s="240">
        <f ca="1">IF(ISNUMBER([1]!cb_info_conditionalputprice(B77)),[1]!cb_info_conditionalputprice(B77),"-")</f>
        <v>100.252</v>
      </c>
      <c r="AC77" s="240">
        <f ca="1">[1]!cb_info_interest(B77)</f>
        <v>0.3</v>
      </c>
      <c r="AD77" s="262" t="str">
        <f ca="1">IFERROR(couponlist([1]!cb_clause_interest(B77,"4")),"-")</f>
        <v>0.3%，0.5%，1.0%，1.3%，1.5%，1.8%</v>
      </c>
      <c r="AE77" s="189"/>
      <c r="AF77" s="189"/>
      <c r="AG77" s="189"/>
      <c r="AH77" s="189"/>
      <c r="AI77" s="189"/>
      <c r="AJ77" s="189"/>
      <c r="AK77" s="189"/>
      <c r="AL77" s="189"/>
      <c r="AM77" s="189"/>
      <c r="AN77" s="189"/>
      <c r="AO77" s="189"/>
      <c r="AP77" s="189"/>
      <c r="AQ77" s="189"/>
    </row>
    <row r="78" spans="1:43" s="130" customFormat="1" x14ac:dyDescent="0.35">
      <c r="A78" s="121" t="s">
        <v>0</v>
      </c>
      <c r="B78" s="121" t="s">
        <v>348</v>
      </c>
      <c r="C78" s="121" t="s">
        <v>349</v>
      </c>
      <c r="D78" s="236" t="str">
        <f ca="1">IF([1]!s_info_industry_sw(B78,1)=0,"-",[1]!s_info_industry_sw(B78,1))</f>
        <v>通信</v>
      </c>
      <c r="E78" s="122" t="str">
        <f ca="1">[1]!cb_info_underlyingcode(B78)</f>
        <v>600487.SH</v>
      </c>
      <c r="F78" s="124">
        <f ca="1">RTD("wdf.rtq",,B78,"LastPrice","Dirty_Price")</f>
        <v>118.64</v>
      </c>
      <c r="G78" s="124">
        <f ca="1">RTD("wdf.rtq",,E78,"LastPrice")</f>
        <v>13.530000000000001</v>
      </c>
      <c r="H78" s="226">
        <f ca="1">RTD("wdf.rtq",,B78,"PctChg","RT_Price")/100</f>
        <v>-6.0000000000000006E-4</v>
      </c>
      <c r="I78" s="226">
        <f ca="1">RTD("wdf.rtq",,E78,"PctChg")/100</f>
        <v>5.8999999999999999E-3</v>
      </c>
      <c r="J78" s="125">
        <f ca="1">_xlfn.IFNA([1]!b_anal_ptmyear(B78,$B$2),"未发行或发行失败")</f>
        <v>3.526027397260274</v>
      </c>
      <c r="K78" s="125">
        <f ca="1">RTD("wdf.rtq",,B78,"Amount","Dirty_Price")/100000000</f>
        <v>0.2043191</v>
      </c>
      <c r="L78" s="125">
        <f ca="1">[1]!cb_anal_convprice(B78,$B$2)</f>
        <v>14.95</v>
      </c>
      <c r="M78" s="125">
        <f t="shared" ca="1" si="4"/>
        <v>90.501672240802677</v>
      </c>
      <c r="N78" s="126">
        <f t="shared" ca="1" si="5"/>
        <v>31.091500369549152</v>
      </c>
      <c r="O78" s="126">
        <f t="array" aca="1" ref="O78" ca="1">_xlfn.IFNA(RTD("wdf.rtq",,B78,"LastPrice","Yield_To_Maturity"),[1]!cb_anal_ytm(B78,$C$2))</f>
        <v>-1.0718000000000001</v>
      </c>
      <c r="P78" s="126">
        <f ca="1">[1]!cb_anal_straightbondvalue(B78,$B$2)</f>
        <v>101.9824</v>
      </c>
      <c r="Q78" s="126">
        <f t="shared" ca="1" si="6"/>
        <v>16.333798773121643</v>
      </c>
      <c r="R78" s="126" t="str">
        <f ca="1">[1]!b_rate_latestcredit(B78)</f>
        <v>AA+</v>
      </c>
      <c r="S78" s="126">
        <f ca="1">[1]!cb_info_outstandingbalance(B78,$B$2)</f>
        <v>17.103560000000002</v>
      </c>
      <c r="T78" s="126">
        <f ca="1">[1]!cb_info_issueamount(B78,100000000)</f>
        <v>17.329999999999998</v>
      </c>
      <c r="U78" s="126">
        <f t="shared" ca="1" si="7"/>
        <v>98.693364108482427</v>
      </c>
      <c r="V78" s="230">
        <f ca="1">IF([1]!cb_anal_ldiluterate(B78,$B$2)=100,"-",[1]!cb_anal_ldiluterate(B78,$B$2))</f>
        <v>4.775178241732239</v>
      </c>
      <c r="W78" s="127" t="str">
        <f ca="1">[1]!cb_info_listeddate(B78)</f>
        <v>2019-04-16</v>
      </c>
      <c r="X78" s="127" t="str">
        <f ca="1">[1]!cb_info_carrydate(B78)</f>
        <v>2019-03-19</v>
      </c>
      <c r="Y78" s="125" t="str">
        <f ca="1">[1]!cb_clause_conversion_2_swapsharestartdate(B78)</f>
        <v>2019-09-26</v>
      </c>
      <c r="Z78" s="125" t="str">
        <f ca="1">[1]!cb_clause_putoption_conditionalputbackstartenddate(B78)</f>
        <v>2023-03-19</v>
      </c>
      <c r="AA78" s="230">
        <f ca="1">[1]!cb_info_maturitycallprice(B78)</f>
        <v>110</v>
      </c>
      <c r="AB78" s="230">
        <f ca="1">IF(ISNUMBER([1]!cb_info_conditionalputprice(B78)),[1]!cb_info_conditionalputprice(B78),"-")</f>
        <v>0</v>
      </c>
      <c r="AC78" s="230">
        <f ca="1">[1]!cb_info_interest(B78)</f>
        <v>0.3</v>
      </c>
      <c r="AD78" s="263" t="str">
        <f ca="1">IFERROR(couponlist([1]!cb_clause_interest(B78,"4")),"-")</f>
        <v>0.3%，0.5%，1.0%，1.5%，1.8%，2.0%</v>
      </c>
      <c r="AE78" s="129"/>
      <c r="AF78" s="129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29"/>
    </row>
    <row r="79" spans="1:43" s="191" customFormat="1" x14ac:dyDescent="0.35">
      <c r="A79" s="182" t="s">
        <v>5</v>
      </c>
      <c r="B79" s="182" t="s">
        <v>415</v>
      </c>
      <c r="C79" s="182" t="s">
        <v>416</v>
      </c>
      <c r="D79" s="235" t="str">
        <f ca="1">IF([1]!s_info_industry_sw(B79,1)=0,"-",[1]!s_info_industry_sw(B79,1))</f>
        <v>通信</v>
      </c>
      <c r="E79" s="183" t="str">
        <f ca="1">[1]!cb_info_underlyingcode(B79)</f>
        <v>002446.SZ</v>
      </c>
      <c r="F79" s="185">
        <f ca="1">RTD("wdf.rtq",,B79,"LastPrice","Dirty_Price")</f>
        <v>293.18299999999999</v>
      </c>
      <c r="G79" s="185">
        <f ca="1">RTD("wdf.rtq",,E79,"LastPrice")</f>
        <v>6.04</v>
      </c>
      <c r="H79" s="225">
        <f ca="1">RTD("wdf.rtq",,B79,"PctChg","RT_Price")/100</f>
        <v>4.1000000000000003E-3</v>
      </c>
      <c r="I79" s="225">
        <f ca="1">RTD("wdf.rtq",,E79,"PctChg")/100</f>
        <v>-1.7000000000000001E-3</v>
      </c>
      <c r="J79" s="186">
        <f ca="1">_xlfn.IFNA([1]!b_anal_ptmyear(B79,$B$2),"未发行或发行失败")</f>
        <v>2.8547945205479452</v>
      </c>
      <c r="K79" s="186">
        <f ca="1">RTD("wdf.rtq",,B79,"Amount","Dirty_Price")/100000000</f>
        <v>0.56621107000000004</v>
      </c>
      <c r="L79" s="186">
        <f ca="1">[1]!cb_anal_convprice(B79,$B$2)</f>
        <v>6.82</v>
      </c>
      <c r="M79" s="186">
        <f t="shared" ca="1" si="4"/>
        <v>88.563049853372434</v>
      </c>
      <c r="N79" s="187">
        <f t="shared" ca="1" si="5"/>
        <v>231.04438079470196</v>
      </c>
      <c r="O79" s="187">
        <f t="array" aca="1" ref="O79" ca="1">_xlfn.IFNA(RTD("wdf.rtq",,B79,"LastPrice","Yield_To_Maturity"),[1]!cb_anal_ytm(B79,$C$2))</f>
        <v>-28.6038</v>
      </c>
      <c r="P79" s="187">
        <f ca="1">[1]!cb_anal_straightbondvalue(B79,$B$2)</f>
        <v>102.30929999999999</v>
      </c>
      <c r="Q79" s="187">
        <f t="shared" ca="1" si="6"/>
        <v>186.56534645433015</v>
      </c>
      <c r="R79" s="187" t="str">
        <f ca="1">[1]!b_rate_latestcredit(B79)</f>
        <v>AA</v>
      </c>
      <c r="S79" s="187">
        <f ca="1">[1]!cb_info_outstandingbalance(B79,$B$2)</f>
        <v>0.529783</v>
      </c>
      <c r="T79" s="187">
        <f ca="1">[1]!cb_info_issueamount(B79,100000000)</f>
        <v>10</v>
      </c>
      <c r="U79" s="187">
        <f t="shared" ca="1" si="7"/>
        <v>5.2978299999999994</v>
      </c>
      <c r="V79" s="240">
        <f ca="1">IF([1]!cb_anal_ldiluterate(B79,$B$2)=100,"-",[1]!cb_anal_ldiluterate(B79,$B$2))</f>
        <v>0.9243122478371828</v>
      </c>
      <c r="W79" s="188" t="str">
        <f ca="1">[1]!cb_info_listeddate(B79)</f>
        <v>2018-08-14</v>
      </c>
      <c r="X79" s="188" t="str">
        <f ca="1">[1]!cb_info_carrydate(B79)</f>
        <v>2018-07-17</v>
      </c>
      <c r="Y79" s="186" t="str">
        <f ca="1">[1]!cb_clause_conversion_2_swapsharestartdate(B79)</f>
        <v>2019-01-23</v>
      </c>
      <c r="Z79" s="186" t="str">
        <f ca="1">[1]!cb_clause_putoption_conditionalputbackstartenddate(B79)</f>
        <v>2022-07-17</v>
      </c>
      <c r="AA79" s="240">
        <f ca="1">[1]!cb_info_maturitycallprice(B79)</f>
        <v>110</v>
      </c>
      <c r="AB79" s="240">
        <f ca="1">IF(ISNUMBER([1]!cb_info_conditionalputprice(B79)),[1]!cb_info_conditionalputprice(B79),"-")</f>
        <v>100.455</v>
      </c>
      <c r="AC79" s="240">
        <f ca="1">[1]!cb_info_interest(B79)</f>
        <v>0.5</v>
      </c>
      <c r="AD79" s="262" t="str">
        <f ca="1">IFERROR(couponlist([1]!cb_clause_interest(B79,"4")),"-")</f>
        <v>0.5%，0.7%，1.0%，1.5%，1.8%，2.0%</v>
      </c>
      <c r="AE79" s="189"/>
      <c r="AF79" s="189"/>
      <c r="AG79" s="189"/>
      <c r="AH79" s="189"/>
      <c r="AI79" s="189"/>
      <c r="AJ79" s="189"/>
      <c r="AK79" s="189"/>
      <c r="AL79" s="189"/>
      <c r="AM79" s="189"/>
      <c r="AN79" s="189"/>
      <c r="AO79" s="189"/>
      <c r="AP79" s="189"/>
      <c r="AQ79" s="189"/>
    </row>
    <row r="80" spans="1:43" s="130" customFormat="1" x14ac:dyDescent="0.35">
      <c r="A80" s="121" t="s">
        <v>0</v>
      </c>
      <c r="B80" s="121" t="s">
        <v>318</v>
      </c>
      <c r="C80" s="121" t="s">
        <v>319</v>
      </c>
      <c r="D80" s="236" t="str">
        <f ca="1">IF([1]!s_info_industry_sw(B80,1)=0,"-",[1]!s_info_industry_sw(B80,1))</f>
        <v>通信</v>
      </c>
      <c r="E80" s="122" t="str">
        <f ca="1">[1]!cb_info_underlyingcode(B80)</f>
        <v>600105.SH</v>
      </c>
      <c r="F80" s="124">
        <f ca="1">RTD("wdf.rtq",,B80,"LastPrice","Dirty_Price")</f>
        <v>111.98</v>
      </c>
      <c r="G80" s="124">
        <f ca="1">RTD("wdf.rtq",,E80,"LastPrice")</f>
        <v>3.98</v>
      </c>
      <c r="H80" s="226">
        <f ca="1">RTD("wdf.rtq",,B80,"PctChg","RT_Price")/100</f>
        <v>6.5000000000000006E-3</v>
      </c>
      <c r="I80" s="226">
        <f ca="1">RTD("wdf.rtq",,E80,"PctChg")/100</f>
        <v>1.0200000000000001E-2</v>
      </c>
      <c r="J80" s="125">
        <f ca="1">_xlfn.IFNA([1]!b_anal_ptmyear(B80,$B$2),"未发行或发行失败")</f>
        <v>3.602739726027397</v>
      </c>
      <c r="K80" s="125">
        <f ca="1">RTD("wdf.rtq",,B80,"Amount","Dirty_Price")/100000000</f>
        <v>3.0123E-2</v>
      </c>
      <c r="L80" s="125">
        <f ca="1">[1]!cb_anal_convprice(B80,$B$2)</f>
        <v>5.04</v>
      </c>
      <c r="M80" s="125">
        <f t="shared" ca="1" si="4"/>
        <v>78.968253968253961</v>
      </c>
      <c r="N80" s="126">
        <f t="shared" ca="1" si="5"/>
        <v>41.803819095477394</v>
      </c>
      <c r="O80" s="126">
        <f t="array" aca="1" ref="O80" ca="1">_xlfn.IFNA(RTD("wdf.rtq",,B80,"LastPrice","Yield_To_Maturity"),[1]!cb_anal_ytm(B80,$C$2))</f>
        <v>0.58189999999999997</v>
      </c>
      <c r="P80" s="126">
        <f ca="1">[1]!cb_anal_straightbondvalue(B80,$B$2)</f>
        <v>91.975899999999996</v>
      </c>
      <c r="Q80" s="126">
        <f t="shared" ca="1" si="6"/>
        <v>21.749284323393411</v>
      </c>
      <c r="R80" s="126" t="str">
        <f ca="1">[1]!b_rate_latestcredit(B80)</f>
        <v>AA-</v>
      </c>
      <c r="S80" s="126">
        <f ca="1">[1]!cb_info_outstandingbalance(B80,$B$2)</f>
        <v>2.6120999999999999</v>
      </c>
      <c r="T80" s="126">
        <f ca="1">[1]!cb_info_issueamount(B80,100000000)</f>
        <v>9.8000000000000007</v>
      </c>
      <c r="U80" s="126">
        <f t="shared" ca="1" si="7"/>
        <v>26.654081632653057</v>
      </c>
      <c r="V80" s="230">
        <f ca="1">IF([1]!cb_anal_ldiluterate(B80,$B$2)=100,"-",[1]!cb_anal_ldiluterate(B80,$B$2))</f>
        <v>3.6174540946631715</v>
      </c>
      <c r="W80" s="127" t="str">
        <f ca="1">[1]!cb_info_listeddate(B80)</f>
        <v>2019-05-08</v>
      </c>
      <c r="X80" s="127" t="str">
        <f ca="1">[1]!cb_info_carrydate(B80)</f>
        <v>2019-04-16</v>
      </c>
      <c r="Y80" s="125" t="str">
        <f ca="1">[1]!cb_clause_conversion_2_swapsharestartdate(B80)</f>
        <v>2019-10-22</v>
      </c>
      <c r="Z80" s="125" t="str">
        <f ca="1">[1]!cb_clause_putoption_conditionalputbackstartenddate(B80)</f>
        <v>2023-04-16</v>
      </c>
      <c r="AA80" s="230">
        <f ca="1">[1]!cb_info_maturitycallprice(B80)</f>
        <v>110</v>
      </c>
      <c r="AB80" s="230">
        <f ca="1">IF(ISNUMBER([1]!cb_info_conditionalputprice(B80)),[1]!cb_info_conditionalputprice(B80),"-")</f>
        <v>0</v>
      </c>
      <c r="AC80" s="230">
        <f ca="1">[1]!cb_info_interest(B80)</f>
        <v>0.4</v>
      </c>
      <c r="AD80" s="263" t="str">
        <f ca="1">IFERROR(couponlist([1]!cb_clause_interest(B80,"4")),"-")</f>
        <v>0.4%，0.6%，1.0%，1.5%，1.8%，2.0%</v>
      </c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</row>
    <row r="81" spans="1:49" s="191" customFormat="1" x14ac:dyDescent="0.35">
      <c r="A81" s="182" t="s">
        <v>0</v>
      </c>
      <c r="B81" s="182" t="s">
        <v>362</v>
      </c>
      <c r="C81" s="182" t="s">
        <v>363</v>
      </c>
      <c r="D81" s="235" t="str">
        <f ca="1">IF([1]!s_info_industry_sw(B81,1)=0,"-",[1]!s_info_industry_sw(B81,1))</f>
        <v>通信</v>
      </c>
      <c r="E81" s="183" t="str">
        <f ca="1">[1]!cb_info_underlyingcode(B81)</f>
        <v>600522.SH</v>
      </c>
      <c r="F81" s="185">
        <f ca="1">RTD("wdf.rtq",,B81,"LastPrice","Dirty_Price")</f>
        <v>117.61</v>
      </c>
      <c r="G81" s="185">
        <f ca="1">RTD("wdf.rtq",,E81,"LastPrice")</f>
        <v>8.8800000000000008</v>
      </c>
      <c r="H81" s="225">
        <f ca="1">RTD("wdf.rtq",,B81,"PctChg","RT_Price")/100</f>
        <v>1.2E-2</v>
      </c>
      <c r="I81" s="225">
        <f ca="1">RTD("wdf.rtq",,E81,"PctChg")/100</f>
        <v>3.0200000000000001E-2</v>
      </c>
      <c r="J81" s="186">
        <f ca="1">_xlfn.IFNA([1]!b_anal_ptmyear(B81,$B$2),"未发行或发行失败")</f>
        <v>3.473972602739726</v>
      </c>
      <c r="K81" s="186">
        <f ca="1">RTD("wdf.rtq",,B81,"Amount","Dirty_Price")/100000000</f>
        <v>0.2792364</v>
      </c>
      <c r="L81" s="186">
        <f ca="1">[1]!cb_anal_convprice(B81,$B$2)</f>
        <v>9.99</v>
      </c>
      <c r="M81" s="186">
        <f t="shared" ca="1" si="4"/>
        <v>88.8888888888889</v>
      </c>
      <c r="N81" s="187">
        <f t="shared" ca="1" si="5"/>
        <v>32.311249999999973</v>
      </c>
      <c r="O81" s="187">
        <f t="array" aca="1" ref="O81" ca="1">_xlfn.IFNA(RTD("wdf.rtq",,B81,"LastPrice","Yield_To_Maturity"),[1]!cb_anal_ytm(B81,$C$2))</f>
        <v>-1.0902000000000001</v>
      </c>
      <c r="P81" s="187">
        <f ca="1">[1]!cb_anal_straightbondvalue(B81,$B$2)</f>
        <v>101.2657</v>
      </c>
      <c r="Q81" s="187">
        <f t="shared" ca="1" si="6"/>
        <v>16.140015819769189</v>
      </c>
      <c r="R81" s="187" t="str">
        <f ca="1">[1]!b_rate_latestcredit(B81)</f>
        <v>AA+</v>
      </c>
      <c r="S81" s="187">
        <f ca="1">[1]!cb_info_outstandingbalance(B81,$B$2)</f>
        <v>39.640369999999997</v>
      </c>
      <c r="T81" s="187">
        <f ca="1">[1]!cb_info_issueamount(B81,100000000)</f>
        <v>39.651200000000003</v>
      </c>
      <c r="U81" s="187">
        <f t="shared" ca="1" si="7"/>
        <v>99.972686829150177</v>
      </c>
      <c r="V81" s="240">
        <f ca="1">IF([1]!cb_anal_ldiluterate(B81,$B$2)=100,"-",[1]!cb_anal_ldiluterate(B81,$B$2))</f>
        <v>11.458906317300126</v>
      </c>
      <c r="W81" s="188" t="str">
        <f ca="1">[1]!cb_info_listeddate(B81)</f>
        <v>2019-03-22</v>
      </c>
      <c r="X81" s="188" t="str">
        <f ca="1">[1]!cb_info_carrydate(B81)</f>
        <v>2019-02-28</v>
      </c>
      <c r="Y81" s="186" t="str">
        <f ca="1">[1]!cb_clause_conversion_2_swapsharestartdate(B81)</f>
        <v>2019-09-06</v>
      </c>
      <c r="Z81" s="186" t="str">
        <f ca="1">[1]!cb_clause_putoption_conditionalputbackstartenddate(B81)</f>
        <v>2023-02-28</v>
      </c>
      <c r="AA81" s="240">
        <f ca="1">[1]!cb_info_maturitycallprice(B81)</f>
        <v>109</v>
      </c>
      <c r="AB81" s="240">
        <f ca="1">IF(ISNUMBER([1]!cb_info_conditionalputprice(B81)),[1]!cb_info_conditionalputprice(B81),"-")</f>
        <v>0</v>
      </c>
      <c r="AC81" s="240">
        <f ca="1">[1]!cb_info_interest(B81)</f>
        <v>0.4</v>
      </c>
      <c r="AD81" s="262" t="str">
        <f ca="1">IFERROR(couponlist([1]!cb_clause_interest(B81,"4")),"-")</f>
        <v>0.4%，0.6%，1.0%，1.5%，1.8%，2.0%</v>
      </c>
      <c r="AE81" s="189"/>
      <c r="AF81" s="189"/>
      <c r="AG81" s="189"/>
      <c r="AH81" s="189"/>
      <c r="AI81" s="189"/>
      <c r="AJ81" s="189"/>
      <c r="AK81" s="189"/>
      <c r="AL81" s="189"/>
      <c r="AM81" s="189"/>
      <c r="AN81" s="189"/>
      <c r="AO81" s="189"/>
      <c r="AP81" s="189"/>
      <c r="AQ81" s="189"/>
    </row>
    <row r="82" spans="1:49" s="130" customFormat="1" x14ac:dyDescent="0.35">
      <c r="A82" s="121" t="s">
        <v>0</v>
      </c>
      <c r="B82" s="121" t="s">
        <v>246</v>
      </c>
      <c r="C82" s="121" t="s">
        <v>247</v>
      </c>
      <c r="D82" s="236" t="str">
        <f ca="1">IF([1]!s_info_industry_sw(B82,1)=0,"-",[1]!s_info_industry_sw(B82,1))</f>
        <v>通信</v>
      </c>
      <c r="E82" s="122" t="str">
        <f ca="1">[1]!cb_info_underlyingcode(B82)</f>
        <v>600498.SH</v>
      </c>
      <c r="F82" s="124">
        <f ca="1">RTD("wdf.rtq",,B82,"LastPrice","Dirty_Price")</f>
        <v>114.11</v>
      </c>
      <c r="G82" s="124">
        <f ca="1">RTD("wdf.rtq",,E82,"LastPrice")</f>
        <v>18.73</v>
      </c>
      <c r="H82" s="226">
        <f ca="1">RTD("wdf.rtq",,B82,"PctChg","RT_Price")/100</f>
        <v>1.6000000000000001E-3</v>
      </c>
      <c r="I82" s="226">
        <f ca="1">RTD("wdf.rtq",,E82,"PctChg")/100</f>
        <v>5.4000000000000003E-3</v>
      </c>
      <c r="J82" s="125">
        <f ca="1">_xlfn.IFNA([1]!b_anal_ptmyear(B82,$B$2),"未发行或发行失败")</f>
        <v>4.2328767123287667</v>
      </c>
      <c r="K82" s="125">
        <f ca="1">RTD("wdf.rtq",,B82,"Amount","Dirty_Price")/100000000</f>
        <v>2.203488E-2</v>
      </c>
      <c r="L82" s="125">
        <f ca="1">[1]!cb_anal_convprice(B82,$B$2)</f>
        <v>22.85</v>
      </c>
      <c r="M82" s="125">
        <f t="shared" ca="1" si="4"/>
        <v>81.96936542669583</v>
      </c>
      <c r="N82" s="126">
        <f t="shared" ca="1" si="5"/>
        <v>39.210544580886307</v>
      </c>
      <c r="O82" s="126">
        <f t="array" aca="1" ref="O82" ca="1">_xlfn.IFNA(RTD("wdf.rtq",,B82,"LastPrice","Yield_To_Maturity"),[1]!cb_anal_ytm(B82,$C$2))</f>
        <v>-0.70760000000000001</v>
      </c>
      <c r="P82" s="126">
        <f ca="1">[1]!cb_anal_straightbondvalue(B82,$B$2)</f>
        <v>96.8904</v>
      </c>
      <c r="Q82" s="126">
        <f t="shared" ca="1" si="6"/>
        <v>17.772245753965308</v>
      </c>
      <c r="R82" s="126" t="str">
        <f ca="1">[1]!b_rate_latestcredit(B82)</f>
        <v>AAA</v>
      </c>
      <c r="S82" s="126">
        <f ca="1">[1]!cb_info_outstandingbalance(B82,$B$2)</f>
        <v>30.876529999999999</v>
      </c>
      <c r="T82" s="126">
        <f ca="1">[1]!cb_info_issueamount(B82,100000000)</f>
        <v>30.883500000000002</v>
      </c>
      <c r="U82" s="126">
        <f t="shared" ca="1" si="7"/>
        <v>99.977431314455927</v>
      </c>
      <c r="V82" s="230">
        <f ca="1">IF([1]!cb_anal_ldiluterate(B82,$B$2)=100,"-",[1]!cb_anal_ldiluterate(B82,$B$2))</f>
        <v>10.66792660386057</v>
      </c>
      <c r="W82" s="127" t="str">
        <f ca="1">[1]!cb_info_listeddate(B82)</f>
        <v>2019-12-25</v>
      </c>
      <c r="X82" s="127" t="str">
        <f ca="1">[1]!cb_info_carrydate(B82)</f>
        <v>2019-12-02</v>
      </c>
      <c r="Y82" s="125" t="str">
        <f ca="1">[1]!cb_clause_conversion_2_swapsharestartdate(B82)</f>
        <v>2020-06-08</v>
      </c>
      <c r="Z82" s="125" t="str">
        <f ca="1">[1]!cb_clause_putoption_conditionalputbackstartenddate(B82)</f>
        <v>2023-12-02</v>
      </c>
      <c r="AA82" s="230">
        <f ca="1">[1]!cb_info_maturitycallprice(B82)</f>
        <v>106</v>
      </c>
      <c r="AB82" s="230">
        <f ca="1">IF(ISNUMBER([1]!cb_info_conditionalputprice(B82)),[1]!cb_info_conditionalputprice(B82),"-")</f>
        <v>0</v>
      </c>
      <c r="AC82" s="230">
        <f ca="1">[1]!cb_info_interest(B82)</f>
        <v>0.2</v>
      </c>
      <c r="AD82" s="263" t="str">
        <f ca="1">IFERROR(couponlist([1]!cb_clause_interest(B82,"4")),"-")</f>
        <v>0.2%，0.5%，1.0%，1.5%，1.8%，2.0%</v>
      </c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</row>
    <row r="83" spans="1:49" s="191" customFormat="1" x14ac:dyDescent="0.35">
      <c r="A83" s="182" t="s">
        <v>5</v>
      </c>
      <c r="B83" s="182" t="s">
        <v>294</v>
      </c>
      <c r="C83" s="182" t="s">
        <v>295</v>
      </c>
      <c r="D83" s="235" t="str">
        <f ca="1">IF([1]!s_info_industry_sw(B83,1)=0,"-",[1]!s_info_industry_sw(B83,1))</f>
        <v>通信</v>
      </c>
      <c r="E83" s="183" t="str">
        <f ca="1">[1]!cb_info_underlyingcode(B83)</f>
        <v>000070.SZ</v>
      </c>
      <c r="F83" s="185">
        <f ca="1">RTD("wdf.rtq",,B83,"LastPrice","Dirty_Price")</f>
        <v>108.65100000000001</v>
      </c>
      <c r="G83" s="185">
        <f ca="1">RTD("wdf.rtq",,E83,"LastPrice")</f>
        <v>7.6000000000000005</v>
      </c>
      <c r="H83" s="225">
        <f ca="1">RTD("wdf.rtq",,B83,"PctChg","RT_Price")/100</f>
        <v>1.9E-3</v>
      </c>
      <c r="I83" s="225">
        <f ca="1">RTD("wdf.rtq",,E83,"PctChg")/100</f>
        <v>6.6E-3</v>
      </c>
      <c r="J83" s="186">
        <f ca="1">_xlfn.IFNA([1]!b_anal_ptmyear(B83,$B$2),"未发行或发行失败")</f>
        <v>3.9123287671232876</v>
      </c>
      <c r="K83" s="186">
        <f ca="1">RTD("wdf.rtq",,B83,"Amount","Dirty_Price")/100000000</f>
        <v>1.243905E-2</v>
      </c>
      <c r="L83" s="186">
        <f ca="1">[1]!cb_anal_convprice(B83,$B$2)</f>
        <v>12.33</v>
      </c>
      <c r="M83" s="186">
        <f t="shared" ca="1" si="4"/>
        <v>61.638280616382808</v>
      </c>
      <c r="N83" s="187">
        <f t="shared" ca="1" si="5"/>
        <v>76.271951315789465</v>
      </c>
      <c r="O83" s="187">
        <f t="array" aca="1" ref="O83" ca="1">_xlfn.IFNA(RTD("wdf.rtq",,B83,"LastPrice","Yield_To_Maturity"),[1]!cb_anal_ytm(B83,$C$2))</f>
        <v>1.0199</v>
      </c>
      <c r="P83" s="187">
        <f ca="1">[1]!cb_anal_straightbondvalue(B83,$B$2)</f>
        <v>96.828500000000005</v>
      </c>
      <c r="Q83" s="187">
        <f t="shared" ca="1" si="6"/>
        <v>12.209731638928616</v>
      </c>
      <c r="R83" s="187" t="str">
        <f ca="1">[1]!b_rate_latestcredit(B83)</f>
        <v>AA</v>
      </c>
      <c r="S83" s="187">
        <f ca="1">[1]!cb_info_outstandingbalance(B83,$B$2)</f>
        <v>5.4988669999999997</v>
      </c>
      <c r="T83" s="187">
        <f ca="1">[1]!cb_info_issueamount(B83,100000000)</f>
        <v>5.5</v>
      </c>
      <c r="U83" s="187">
        <f t="shared" ca="1" si="7"/>
        <v>99.979399999999998</v>
      </c>
      <c r="V83" s="240">
        <f ca="1">IF([1]!cb_anal_ldiluterate(B83,$B$2)=100,"-",[1]!cb_anal_ldiluterate(B83,$B$2))</f>
        <v>5.2494482522455632</v>
      </c>
      <c r="W83" s="188" t="str">
        <f ca="1">[1]!cb_info_listeddate(B83)</f>
        <v>2020-09-04</v>
      </c>
      <c r="X83" s="188" t="str">
        <f ca="1">[1]!cb_info_carrydate(B83)</f>
        <v>2020-08-07</v>
      </c>
      <c r="Y83" s="186" t="str">
        <f ca="1">[1]!cb_clause_conversion_2_swapsharestartdate(B83)</f>
        <v>2021-02-18</v>
      </c>
      <c r="Z83" s="186" t="str">
        <f ca="1">[1]!cb_clause_putoption_conditionalputbackstartenddate(B83)</f>
        <v>2023-08-07</v>
      </c>
      <c r="AA83" s="240">
        <f ca="1">[1]!cb_info_maturitycallprice(B83)</f>
        <v>110</v>
      </c>
      <c r="AB83" s="240">
        <f ca="1">IF(ISNUMBER([1]!cb_info_conditionalputprice(B83)),[1]!cb_info_conditionalputprice(B83),"-")</f>
        <v>0</v>
      </c>
      <c r="AC83" s="240">
        <f ca="1">[1]!cb_info_interest(B83)</f>
        <v>0.3</v>
      </c>
      <c r="AD83" s="262" t="str">
        <f ca="1">IFERROR(couponlist([1]!cb_clause_interest(B83,"4")),"-")</f>
        <v>0.3%，0.5%，1.0%，1.5%，1.8%</v>
      </c>
      <c r="AE83" s="189"/>
      <c r="AF83" s="189"/>
      <c r="AG83" s="189"/>
      <c r="AH83" s="189"/>
      <c r="AI83" s="189"/>
      <c r="AJ83" s="189"/>
      <c r="AK83" s="189"/>
      <c r="AL83" s="189"/>
      <c r="AM83" s="189"/>
      <c r="AN83" s="189"/>
      <c r="AO83" s="189"/>
      <c r="AP83" s="189"/>
      <c r="AQ83" s="189"/>
    </row>
    <row r="84" spans="1:49" s="130" customFormat="1" x14ac:dyDescent="0.35">
      <c r="A84" s="121" t="s">
        <v>0</v>
      </c>
      <c r="B84" s="121" t="s">
        <v>10</v>
      </c>
      <c r="C84" s="121" t="s">
        <v>11</v>
      </c>
      <c r="D84" s="236" t="str">
        <f ca="1">IF([1]!s_info_industry_sw(B84,1)=0,"-",[1]!s_info_industry_sw(B84,1))</f>
        <v>通信</v>
      </c>
      <c r="E84" s="122" t="str">
        <f ca="1">[1]!cb_info_underlyingcode(B84)</f>
        <v>603602.SH</v>
      </c>
      <c r="F84" s="124">
        <f ca="1">RTD("wdf.rtq",,B84,"LastPrice","Dirty_Price")</f>
        <v>108.5</v>
      </c>
      <c r="G84" s="124">
        <f ca="1">RTD("wdf.rtq",,E84,"LastPrice")</f>
        <v>10.42</v>
      </c>
      <c r="H84" s="226">
        <f ca="1">RTD("wdf.rtq",,B84,"PctChg","RT_Price")/100</f>
        <v>8.0000000000000004E-4</v>
      </c>
      <c r="I84" s="226">
        <f ca="1">RTD("wdf.rtq",,E84,"PctChg")/100</f>
        <v>-1.9E-3</v>
      </c>
      <c r="J84" s="125">
        <f ca="1">_xlfn.IFNA([1]!b_anal_ptmyear(B84,$B$2),"未发行或发行失败")</f>
        <v>4.6054794520547944</v>
      </c>
      <c r="K84" s="125">
        <f ca="1">RTD("wdf.rtq",,B84,"Amount","Dirty_Price")/100000000</f>
        <v>2.2098920000000001E-2</v>
      </c>
      <c r="L84" s="125">
        <f ca="1">[1]!cb_anal_convprice(B84,$B$2)</f>
        <v>18.78</v>
      </c>
      <c r="M84" s="125">
        <f t="shared" ca="1" si="4"/>
        <v>55.484558040468578</v>
      </c>
      <c r="N84" s="126">
        <f t="shared" ca="1" si="5"/>
        <v>95.549904030710195</v>
      </c>
      <c r="O84" s="126">
        <f t="array" aca="1" ref="O84" ca="1">_xlfn.IFNA(RTD("wdf.rtq",,B84,"LastPrice","Yield_To_Maturity"),[1]!cb_anal_ytm(B84,$C$2))</f>
        <v>3.048</v>
      </c>
      <c r="P84" s="126">
        <f ca="1">[1]!cb_anal_straightbondvalue(B84,$B$2)</f>
        <v>85.088800000000006</v>
      </c>
      <c r="Q84" s="126">
        <f t="shared" ca="1" si="6"/>
        <v>27.513844360244818</v>
      </c>
      <c r="R84" s="126" t="str">
        <f ca="1">[1]!b_rate_latestcredit(B84)</f>
        <v>A+</v>
      </c>
      <c r="S84" s="126">
        <f ca="1">[1]!cb_info_outstandingbalance(B84,$B$2)</f>
        <v>2.6983700000000002</v>
      </c>
      <c r="T84" s="126">
        <f ca="1">[1]!cb_info_issueamount(B84,100000000)</f>
        <v>2.7</v>
      </c>
      <c r="U84" s="126">
        <f t="shared" ca="1" si="7"/>
        <v>99.939629629629621</v>
      </c>
      <c r="V84" s="230">
        <f ca="1">IF([1]!cb_anal_ldiluterate(B84,$B$2)=100,"-",[1]!cb_anal_ldiluterate(B84,$B$2))</f>
        <v>6.5844909173380231</v>
      </c>
      <c r="W84" s="127" t="str">
        <f ca="1">[1]!cb_info_listeddate(B84)</f>
        <v>2020-05-22</v>
      </c>
      <c r="X84" s="127" t="str">
        <f ca="1">[1]!cb_info_carrydate(B84)</f>
        <v>2020-04-17</v>
      </c>
      <c r="Y84" s="125" t="str">
        <f ca="1">[1]!cb_clause_conversion_2_swapsharestartdate(B84)</f>
        <v>2020-10-23</v>
      </c>
      <c r="Z84" s="125" t="str">
        <f ca="1">[1]!cb_clause_putoption_conditionalputbackstartenddate(B84)</f>
        <v>2024-04-17</v>
      </c>
      <c r="AA84" s="230">
        <f ca="1">[1]!cb_info_maturitycallprice(B84)</f>
        <v>118</v>
      </c>
      <c r="AB84" s="230">
        <f ca="1">IF(ISNUMBER([1]!cb_info_conditionalputprice(B84)),[1]!cb_info_conditionalputprice(B84),"-")</f>
        <v>0</v>
      </c>
      <c r="AC84" s="230">
        <f ca="1">[1]!cb_info_interest(B84)</f>
        <v>0.5</v>
      </c>
      <c r="AD84" s="263" t="str">
        <f ca="1">IFERROR(couponlist([1]!cb_clause_interest(B84,"4")),"-")</f>
        <v>0.50%，0.70%，1.20%，1.80%，2.50%，2.80%</v>
      </c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29"/>
    </row>
    <row r="85" spans="1:49" s="191" customFormat="1" x14ac:dyDescent="0.35">
      <c r="A85" s="182" t="s">
        <v>5</v>
      </c>
      <c r="B85" s="182" t="s">
        <v>485</v>
      </c>
      <c r="C85" s="182" t="s">
        <v>486</v>
      </c>
      <c r="D85" s="235" t="str">
        <f ca="1">IF([1]!s_info_industry_sw(B85,1)=0,"-",[1]!s_info_industry_sw(B85,1))</f>
        <v>食品饮料</v>
      </c>
      <c r="E85" s="183" t="str">
        <f ca="1">[1]!cb_info_underlyingcode(B85)</f>
        <v>002597.SZ</v>
      </c>
      <c r="F85" s="185">
        <f ca="1">RTD("wdf.rtq",,B85,"LastPrice","Dirty_Price")</f>
        <v>226.5</v>
      </c>
      <c r="G85" s="185">
        <f ca="1">RTD("wdf.rtq",,E85,"LastPrice")</f>
        <v>42.35</v>
      </c>
      <c r="H85" s="225">
        <f ca="1">RTD("wdf.rtq",,B85,"PctChg","RT_Price")/100</f>
        <v>1.34E-2</v>
      </c>
      <c r="I85" s="225">
        <f ca="1">RTD("wdf.rtq",,E85,"PctChg")/100</f>
        <v>3.7499999999999999E-2</v>
      </c>
      <c r="J85" s="186">
        <f ca="1">_xlfn.IFNA([1]!b_anal_ptmyear(B85,$B$2),"未发行或发行失败")</f>
        <v>2.1479452054794521</v>
      </c>
      <c r="K85" s="186">
        <f ca="1">RTD("wdf.rtq",,B85,"Amount","Dirty_Price")/100000000</f>
        <v>8.3661735700000008</v>
      </c>
      <c r="L85" s="186">
        <f ca="1">[1]!cb_anal_convprice(B85,$B$2)</f>
        <v>21.97</v>
      </c>
      <c r="M85" s="186">
        <f t="shared" ca="1" si="4"/>
        <v>192.76285844333182</v>
      </c>
      <c r="N85" s="187">
        <f t="shared" ca="1" si="5"/>
        <v>17.501889020070834</v>
      </c>
      <c r="O85" s="187">
        <f t="array" aca="1" ref="O85" ca="1">_xlfn.IFNA(RTD("wdf.rtq",,B85,"LastPrice","Yield_To_Maturity"),[1]!cb_anal_ytm(B85,$C$2))</f>
        <v>-29.251900000000003</v>
      </c>
      <c r="P85" s="187">
        <f ca="1">[1]!cb_anal_straightbondvalue(B85,$B$2)</f>
        <v>101.65389999999999</v>
      </c>
      <c r="Q85" s="187">
        <f t="shared" ca="1" si="6"/>
        <v>122.81486494861488</v>
      </c>
      <c r="R85" s="187" t="str">
        <f ca="1">[1]!b_rate_latestcredit(B85)</f>
        <v>AA</v>
      </c>
      <c r="S85" s="187">
        <f ca="1">[1]!cb_info_outstandingbalance(B85,$B$2)</f>
        <v>5.5198510000000001</v>
      </c>
      <c r="T85" s="187">
        <f ca="1">[1]!cb_info_issueamount(B85,100000000)</f>
        <v>6</v>
      </c>
      <c r="U85" s="187">
        <f t="shared" ca="1" si="7"/>
        <v>91.997516666666669</v>
      </c>
      <c r="V85" s="240">
        <f ca="1">IF([1]!cb_anal_ldiluterate(B85,$B$2)=100,"-",[1]!cb_anal_ldiluterate(B85,$B$2))</f>
        <v>4.2978082015564727</v>
      </c>
      <c r="W85" s="188" t="str">
        <f ca="1">[1]!cb_info_listeddate(B85)</f>
        <v>2017-11-27</v>
      </c>
      <c r="X85" s="188" t="str">
        <f ca="1">[1]!cb_info_carrydate(B85)</f>
        <v>2017-11-01</v>
      </c>
      <c r="Y85" s="186" t="str">
        <f ca="1">[1]!cb_clause_conversion_2_swapsharestartdate(B85)</f>
        <v>2018-08-07</v>
      </c>
      <c r="Z85" s="186" t="str">
        <f ca="1">[1]!cb_clause_putoption_conditionalputbackstartenddate(B85)</f>
        <v>2021-11-01</v>
      </c>
      <c r="AA85" s="240">
        <f ca="1">[1]!cb_info_maturitycallprice(B85)</f>
        <v>106</v>
      </c>
      <c r="AB85" s="240">
        <f ca="1">IF(ISNUMBER([1]!cb_info_conditionalputprice(B85)),[1]!cb_info_conditionalputprice(B85),"-")</f>
        <v>100.2</v>
      </c>
      <c r="AC85" s="240">
        <f ca="1">[1]!cb_info_interest(B85)</f>
        <v>0.3</v>
      </c>
      <c r="AD85" s="262" t="str">
        <f ca="1">IFERROR(couponlist([1]!cb_clause_interest(B85,"4")),"-")</f>
        <v>0.3%，0.5%，1.0%，1.3%，1.5%，1.8%</v>
      </c>
      <c r="AE85" s="189"/>
      <c r="AF85" s="189"/>
      <c r="AG85" s="189"/>
      <c r="AH85" s="189"/>
      <c r="AI85" s="189"/>
      <c r="AJ85" s="189"/>
      <c r="AK85" s="189"/>
      <c r="AL85" s="189"/>
      <c r="AM85" s="189"/>
      <c r="AN85" s="189"/>
      <c r="AO85" s="189"/>
      <c r="AP85" s="189"/>
      <c r="AQ85" s="189"/>
    </row>
    <row r="86" spans="1:49" s="130" customFormat="1" x14ac:dyDescent="0.35">
      <c r="A86" s="121" t="s">
        <v>0</v>
      </c>
      <c r="B86" s="121" t="s">
        <v>352</v>
      </c>
      <c r="C86" s="121" t="s">
        <v>353</v>
      </c>
      <c r="D86" s="236" t="str">
        <f ca="1">IF([1]!s_info_industry_sw(B86,1)=0,"-",[1]!s_info_industry_sw(B86,1))</f>
        <v>食品饮料</v>
      </c>
      <c r="E86" s="122" t="str">
        <f ca="1">[1]!cb_info_underlyingcode(B86)</f>
        <v>600197.SH</v>
      </c>
      <c r="F86" s="124">
        <f ca="1">RTD("wdf.rtq",,B86,"LastPrice","Dirty_Price")</f>
        <v>191.43</v>
      </c>
      <c r="G86" s="124">
        <f ca="1">RTD("wdf.rtq",,E86,"LastPrice")</f>
        <v>29.07</v>
      </c>
      <c r="H86" s="226">
        <f ca="1">RTD("wdf.rtq",,B86,"PctChg","RT_Price")/100</f>
        <v>-5.8000000000000005E-3</v>
      </c>
      <c r="I86" s="226">
        <f ca="1">RTD("wdf.rtq",,E86,"PctChg")/100</f>
        <v>-1.3900000000000001E-2</v>
      </c>
      <c r="J86" s="125">
        <f ca="1">_xlfn.IFNA([1]!b_anal_ptmyear(B86,$B$2),"未发行或发行失败")</f>
        <v>3.515068493150685</v>
      </c>
      <c r="K86" s="125">
        <f ca="1">RTD("wdf.rtq",,B86,"Amount","Dirty_Price")/100000000</f>
        <v>2.7222273299999999</v>
      </c>
      <c r="L86" s="125">
        <f ca="1">[1]!cb_anal_convprice(B86,$B$2)</f>
        <v>16.41</v>
      </c>
      <c r="M86" s="125">
        <f t="shared" ca="1" si="4"/>
        <v>177.14808043875686</v>
      </c>
      <c r="N86" s="126">
        <f t="shared" ca="1" si="5"/>
        <v>8.0621362229102118</v>
      </c>
      <c r="O86" s="126">
        <f t="array" aca="1" ref="O86" ca="1">_xlfn.IFNA(RTD("wdf.rtq",,B86,"LastPrice","Yield_To_Maturity"),[1]!cb_anal_ytm(B86,$C$2))</f>
        <v>-13.8606</v>
      </c>
      <c r="P86" s="126">
        <f ca="1">[1]!cb_anal_straightbondvalue(B86,$B$2)</f>
        <v>99.965999999999994</v>
      </c>
      <c r="Q86" s="126">
        <f t="shared" ca="1" si="6"/>
        <v>91.495108336834534</v>
      </c>
      <c r="R86" s="126" t="str">
        <f ca="1">[1]!b_rate_latestcredit(B86)</f>
        <v>AA</v>
      </c>
      <c r="S86" s="126">
        <f ca="1">[1]!cb_info_outstandingbalance(B86,$B$2)</f>
        <v>2.4376099999999998</v>
      </c>
      <c r="T86" s="126">
        <f ca="1">[1]!cb_info_issueamount(B86,100000000)</f>
        <v>8.76</v>
      </c>
      <c r="U86" s="126">
        <f t="shared" ca="1" si="7"/>
        <v>27.826598173515983</v>
      </c>
      <c r="V86" s="230">
        <f ca="1">IF([1]!cb_anal_ldiluterate(B86,$B$2)=100,"-",[1]!cb_anal_ldiluterate(B86,$B$2))</f>
        <v>3.0528885509659656</v>
      </c>
      <c r="W86" s="127" t="str">
        <f ca="1">[1]!cb_info_listeddate(B86)</f>
        <v>2019-04-04</v>
      </c>
      <c r="X86" s="127" t="str">
        <f ca="1">[1]!cb_info_carrydate(B86)</f>
        <v>2019-03-15</v>
      </c>
      <c r="Y86" s="125" t="str">
        <f ca="1">[1]!cb_clause_conversion_2_swapsharestartdate(B86)</f>
        <v>2019-09-23</v>
      </c>
      <c r="Z86" s="125" t="str">
        <f ca="1">[1]!cb_clause_putoption_conditionalputbackstartenddate(B86)</f>
        <v>2023-03-15</v>
      </c>
      <c r="AA86" s="230">
        <f ca="1">[1]!cb_info_maturitycallprice(B86)</f>
        <v>110</v>
      </c>
      <c r="AB86" s="230">
        <f ca="1">IF(ISNUMBER([1]!cb_info_conditionalputprice(B86)),[1]!cb_info_conditionalputprice(B86),"-")</f>
        <v>0</v>
      </c>
      <c r="AC86" s="230">
        <f ca="1">[1]!cb_info_interest(B86)</f>
        <v>0.5</v>
      </c>
      <c r="AD86" s="263" t="str">
        <f ca="1">IFERROR(couponlist([1]!cb_clause_interest(B86,"4")),"-")</f>
        <v>0.5%，0.7%，1.0%，1.5%，1.8%，2.0%</v>
      </c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</row>
    <row r="87" spans="1:49" s="191" customFormat="1" x14ac:dyDescent="0.35">
      <c r="A87" s="182" t="s">
        <v>5</v>
      </c>
      <c r="B87" s="182" t="s">
        <v>644</v>
      </c>
      <c r="C87" s="182" t="s">
        <v>645</v>
      </c>
      <c r="D87" s="235" t="str">
        <f ca="1">IF([1]!s_info_industry_sw(B87,1)=0,"-",[1]!s_info_industry_sw(B87,1))</f>
        <v>食品饮料</v>
      </c>
      <c r="E87" s="183" t="str">
        <f ca="1">[1]!cb_info_underlyingcode(B87)</f>
        <v>002557.SZ</v>
      </c>
      <c r="F87" s="185">
        <f ca="1">RTD("wdf.rtq",,B87,"LastPrice","Dirty_Price")</f>
        <v>117.497</v>
      </c>
      <c r="G87" s="185">
        <f ca="1">RTD("wdf.rtq",,E87,"LastPrice")</f>
        <v>42.88</v>
      </c>
      <c r="H87" s="225">
        <f ca="1">RTD("wdf.rtq",,B87,"PctChg","RT_Price")/100</f>
        <v>8.0000000000000004E-4</v>
      </c>
      <c r="I87" s="225">
        <f ca="1">RTD("wdf.rtq",,E87,"PctChg")/100</f>
        <v>-3.0300000000000004E-2</v>
      </c>
      <c r="J87" s="186">
        <f ca="1">_xlfn.IFNA([1]!b_anal_ptmyear(B87,$B$2),"未发行或发行失败")</f>
        <v>5.1150684931506847</v>
      </c>
      <c r="K87" s="186">
        <f ca="1">RTD("wdf.rtq",,B87,"Amount","Dirty_Price")/100000000</f>
        <v>0.14829229999999999</v>
      </c>
      <c r="L87" s="186">
        <f ca="1">[1]!cb_anal_convprice(B87,$B$2)</f>
        <v>60.03</v>
      </c>
      <c r="M87" s="186">
        <f t="shared" ca="1" si="4"/>
        <v>71.430951191071131</v>
      </c>
      <c r="N87" s="187">
        <f t="shared" ca="1" si="5"/>
        <v>64.490319729477619</v>
      </c>
      <c r="O87" s="187">
        <f t="array" aca="1" ref="O87" ca="1">_xlfn.IFNA(RTD("wdf.rtq",,B87,"LastPrice","Yield_To_Maturity"),[1]!cb_anal_ytm(B87,$C$2))</f>
        <v>0.45440000000000003</v>
      </c>
      <c r="P87" s="187">
        <f ca="1">[1]!cb_anal_straightbondvalue(B87,$B$2)</f>
        <v>97.084900000000005</v>
      </c>
      <c r="Q87" s="187">
        <f t="shared" ca="1" si="6"/>
        <v>21.024999768244086</v>
      </c>
      <c r="R87" s="187" t="str">
        <f ca="1">[1]!b_rate_latestcredit(B87)</f>
        <v>AA</v>
      </c>
      <c r="S87" s="187">
        <f ca="1">[1]!cb_info_outstandingbalance(B87,$B$2)</f>
        <v>13.399075</v>
      </c>
      <c r="T87" s="187">
        <f ca="1">[1]!cb_info_issueamount(B87,100000000)</f>
        <v>13.4</v>
      </c>
      <c r="U87" s="187">
        <f t="shared" ca="1" si="7"/>
        <v>99.993097014925368</v>
      </c>
      <c r="V87" s="240">
        <f ca="1">IF([1]!cb_anal_ldiluterate(B87,$B$2)=100,"-",[1]!cb_anal_ldiluterate(B87,$B$2))</f>
        <v>4.2169333642228715</v>
      </c>
      <c r="W87" s="188" t="str">
        <f ca="1">[1]!cb_info_listeddate(B87)</f>
        <v>2020-11-18</v>
      </c>
      <c r="X87" s="188" t="str">
        <f ca="1">[1]!cb_info_carrydate(B87)</f>
        <v>2020-10-20</v>
      </c>
      <c r="Y87" s="186" t="str">
        <f ca="1">[1]!cb_clause_conversion_2_swapsharestartdate(B87)</f>
        <v>2021-04-26</v>
      </c>
      <c r="Z87" s="186" t="str">
        <f ca="1">[1]!cb_clause_putoption_conditionalputbackstartenddate(B87)</f>
        <v>2024-10-20</v>
      </c>
      <c r="AA87" s="240">
        <f ca="1">[1]!cb_info_maturitycallprice(B87)</f>
        <v>115</v>
      </c>
      <c r="AB87" s="240">
        <f ca="1">IF(ISNUMBER([1]!cb_info_conditionalputprice(B87)),[1]!cb_info_conditionalputprice(B87),"-")</f>
        <v>0</v>
      </c>
      <c r="AC87" s="240">
        <f ca="1">[1]!cb_info_interest(B87)</f>
        <v>0.3</v>
      </c>
      <c r="AD87" s="262" t="str">
        <f ca="1">IFERROR(couponlist([1]!cb_clause_interest(B87,"4")),"-")</f>
        <v>0.30%，0.60%，1.00%，1.50%，1.80%，2.00%</v>
      </c>
      <c r="AE87" s="189"/>
      <c r="AF87" s="189"/>
      <c r="AG87" s="189"/>
      <c r="AH87" s="189"/>
      <c r="AI87" s="189"/>
      <c r="AJ87" s="189"/>
      <c r="AK87" s="189"/>
      <c r="AL87" s="189"/>
      <c r="AM87" s="189"/>
      <c r="AN87" s="189"/>
      <c r="AO87" s="189"/>
      <c r="AP87" s="189"/>
      <c r="AQ87" s="189"/>
    </row>
    <row r="88" spans="1:49" s="130" customFormat="1" x14ac:dyDescent="0.35">
      <c r="A88" s="121" t="s">
        <v>5</v>
      </c>
      <c r="B88" s="121" t="s">
        <v>92</v>
      </c>
      <c r="C88" s="121" t="s">
        <v>93</v>
      </c>
      <c r="D88" s="236" t="str">
        <f ca="1">IF([1]!s_info_industry_sw(B88,1)=0,"-",[1]!s_info_industry_sw(B88,1))</f>
        <v>食品饮料</v>
      </c>
      <c r="E88" s="122" t="str">
        <f ca="1">[1]!cb_info_underlyingcode(B88)</f>
        <v>002726.SZ</v>
      </c>
      <c r="F88" s="124">
        <f ca="1">RTD("wdf.rtq",,B88,"LastPrice","Dirty_Price")</f>
        <v>127.807</v>
      </c>
      <c r="G88" s="124">
        <f ca="1">RTD("wdf.rtq",,E88,"LastPrice")</f>
        <v>10.52</v>
      </c>
      <c r="H88" s="226">
        <f ca="1">RTD("wdf.rtq",,B88,"PctChg","RT_Price")/100</f>
        <v>-9.1999999999999998E-3</v>
      </c>
      <c r="I88" s="226">
        <f ca="1">RTD("wdf.rtq",,E88,"PctChg")/100</f>
        <v>-1.9599999999999999E-2</v>
      </c>
      <c r="J88" s="125">
        <f ca="1">_xlfn.IFNA([1]!b_anal_ptmyear(B88,$B$2),"未发行或发行失败")</f>
        <v>4.8438356164383558</v>
      </c>
      <c r="K88" s="125">
        <f ca="1">RTD("wdf.rtq",,B88,"Amount","Dirty_Price")/100000000</f>
        <v>3.0371559999999999E-2</v>
      </c>
      <c r="L88" s="125">
        <f ca="1">[1]!cb_anal_convprice(B88,$B$2)</f>
        <v>9.2899999999999991</v>
      </c>
      <c r="M88" s="125">
        <f t="shared" ca="1" si="4"/>
        <v>113.2400430570506</v>
      </c>
      <c r="N88" s="126">
        <f t="shared" ca="1" si="5"/>
        <v>12.863786121673002</v>
      </c>
      <c r="O88" s="126">
        <f t="array" aca="1" ref="O88" ca="1">_xlfn.IFNA(RTD("wdf.rtq",,B88,"LastPrice","Yield_To_Maturity"),[1]!cb_anal_ytm(B88,$C$2))</f>
        <v>-1.3327</v>
      </c>
      <c r="P88" s="126">
        <f ca="1">[1]!cb_anal_straightbondvalue(B88,$B$2)</f>
        <v>98.131799999999998</v>
      </c>
      <c r="Q88" s="126">
        <f t="shared" ca="1" si="6"/>
        <v>30.240146415331225</v>
      </c>
      <c r="R88" s="126" t="str">
        <f ca="1">[1]!b_rate_latestcredit(B88)</f>
        <v>AA</v>
      </c>
      <c r="S88" s="126">
        <f ca="1">[1]!cb_info_outstandingbalance(B88,$B$2)</f>
        <v>9.4618800000000007</v>
      </c>
      <c r="T88" s="126">
        <f ca="1">[1]!cb_info_issueamount(B88,100000000)</f>
        <v>9.5</v>
      </c>
      <c r="U88" s="126">
        <f t="shared" ca="1" si="7"/>
        <v>99.598736842105268</v>
      </c>
      <c r="V88" s="230">
        <f ca="1">IF([1]!cb_anal_ldiluterate(B88,$B$2)=100,"-",[1]!cb_anal_ldiluterate(B88,$B$2))</f>
        <v>9.3007985443764536</v>
      </c>
      <c r="W88" s="127" t="str">
        <f ca="1">[1]!cb_info_listeddate(B88)</f>
        <v>2020-08-07</v>
      </c>
      <c r="X88" s="127" t="str">
        <f ca="1">[1]!cb_info_carrydate(B88)</f>
        <v>2020-07-13</v>
      </c>
      <c r="Y88" s="125" t="str">
        <f ca="1">[1]!cb_clause_conversion_2_swapsharestartdate(B88)</f>
        <v>2021-01-18</v>
      </c>
      <c r="Z88" s="125" t="str">
        <f ca="1">[1]!cb_clause_putoption_conditionalputbackstartenddate(B88)</f>
        <v>2024-07-13</v>
      </c>
      <c r="AA88" s="230">
        <f ca="1">[1]!cb_info_maturitycallprice(B88)</f>
        <v>115</v>
      </c>
      <c r="AB88" s="230">
        <f ca="1">IF(ISNUMBER([1]!cb_info_conditionalputprice(B88)),[1]!cb_info_conditionalputprice(B88),"-")</f>
        <v>0</v>
      </c>
      <c r="AC88" s="230">
        <f ca="1">[1]!cb_info_interest(B88)</f>
        <v>0.3</v>
      </c>
      <c r="AD88" s="263" t="str">
        <f ca="1">IFERROR(couponlist([1]!cb_clause_interest(B88,"4")),"-")</f>
        <v>0.30%，0.60%，1.00%，1.50%，1.80%，2.00%</v>
      </c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</row>
    <row r="89" spans="1:49" s="191" customFormat="1" x14ac:dyDescent="0.35">
      <c r="A89" s="182" t="s">
        <v>5</v>
      </c>
      <c r="B89" s="182" t="s">
        <v>150</v>
      </c>
      <c r="C89" s="182" t="s">
        <v>151</v>
      </c>
      <c r="D89" s="235" t="str">
        <f ca="1">IF([1]!s_info_industry_sw(B89,1)=0,"-",[1]!s_info_industry_sw(B89,1))</f>
        <v>食品饮料</v>
      </c>
      <c r="E89" s="183" t="str">
        <f ca="1">[1]!cb_info_underlyingcode(B89)</f>
        <v>002840.SZ</v>
      </c>
      <c r="F89" s="185">
        <f ca="1">RTD("wdf.rtq",,B89,"LastPrice","Dirty_Price")</f>
        <v>113.70100000000001</v>
      </c>
      <c r="G89" s="185">
        <f ca="1">RTD("wdf.rtq",,E89,"LastPrice")</f>
        <v>8.51</v>
      </c>
      <c r="H89" s="225">
        <f ca="1">RTD("wdf.rtq",,B89,"PctChg","RT_Price")/100</f>
        <v>-4.8999999999999998E-3</v>
      </c>
      <c r="I89" s="225">
        <f ca="1">RTD("wdf.rtq",,E89,"PctChg")/100</f>
        <v>1.2000000000000001E-3</v>
      </c>
      <c r="J89" s="186">
        <f ca="1">_xlfn.IFNA([1]!b_anal_ptmyear(B89,$B$2),"未发行或发行失败")</f>
        <v>4.5863013698630137</v>
      </c>
      <c r="K89" s="186">
        <f ca="1">RTD("wdf.rtq",,B89,"Amount","Dirty_Price")/100000000</f>
        <v>9.6875489999999995E-2</v>
      </c>
      <c r="L89" s="186">
        <f ca="1">[1]!cb_anal_convprice(B89,$B$2)</f>
        <v>9.3699999999999992</v>
      </c>
      <c r="M89" s="186">
        <f t="shared" ca="1" si="4"/>
        <v>90.82177161152616</v>
      </c>
      <c r="N89" s="187">
        <f t="shared" ca="1" si="5"/>
        <v>25.19134782608694</v>
      </c>
      <c r="O89" s="187">
        <f t="array" aca="1" ref="O89" ca="1">_xlfn.IFNA(RTD("wdf.rtq",,B89,"LastPrice","Yield_To_Maturity"),[1]!cb_anal_ytm(B89,$C$2))</f>
        <v>-0.15710000000000002</v>
      </c>
      <c r="P89" s="187">
        <f ca="1">[1]!cb_anal_straightbondvalue(B89,$B$2)</f>
        <v>93.606899999999996</v>
      </c>
      <c r="Q89" s="187">
        <f t="shared" ca="1" si="6"/>
        <v>21.466473091193066</v>
      </c>
      <c r="R89" s="187" t="str">
        <f ca="1">[1]!b_rate_latestcredit(B89)</f>
        <v>AA</v>
      </c>
      <c r="S89" s="187">
        <f ca="1">[1]!cb_info_outstandingbalance(B89,$B$2)</f>
        <v>5.3520200000000004</v>
      </c>
      <c r="T89" s="187">
        <f ca="1">[1]!cb_info_issueamount(B89,100000000)</f>
        <v>5.5</v>
      </c>
      <c r="U89" s="187">
        <f t="shared" ca="1" si="7"/>
        <v>97.309454545454543</v>
      </c>
      <c r="V89" s="240">
        <f ca="1">IF([1]!cb_anal_ldiluterate(B89,$B$2)=100,"-",[1]!cb_anal_ldiluterate(B89,$B$2))</f>
        <v>11.579157853276969</v>
      </c>
      <c r="W89" s="188" t="str">
        <f ca="1">[1]!cb_info_listeddate(B89)</f>
        <v>2020-05-08</v>
      </c>
      <c r="X89" s="188" t="str">
        <f ca="1">[1]!cb_info_carrydate(B89)</f>
        <v>2020-04-10</v>
      </c>
      <c r="Y89" s="186" t="str">
        <f ca="1">[1]!cb_clause_conversion_2_swapsharestartdate(B89)</f>
        <v>2020-10-16</v>
      </c>
      <c r="Z89" s="186" t="str">
        <f ca="1">[1]!cb_clause_putoption_conditionalputbackstartenddate(B89)</f>
        <v>2024-04-10</v>
      </c>
      <c r="AA89" s="240">
        <f ca="1">[1]!cb_info_maturitycallprice(B89)</f>
        <v>108</v>
      </c>
      <c r="AB89" s="240">
        <f ca="1">IF(ISNUMBER([1]!cb_info_conditionalputprice(B89)),[1]!cb_info_conditionalputprice(B89),"-")</f>
        <v>0</v>
      </c>
      <c r="AC89" s="240">
        <f ca="1">[1]!cb_info_interest(B89)</f>
        <v>0.3</v>
      </c>
      <c r="AD89" s="262" t="str">
        <f ca="1">IFERROR(couponlist([1]!cb_clause_interest(B89,"4")),"-")</f>
        <v>0.30%，0.60%，1.00%，1.50%，1.80%，2.00%</v>
      </c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</row>
    <row r="90" spans="1:49" s="130" customFormat="1" x14ac:dyDescent="0.35">
      <c r="A90" s="121" t="s">
        <v>5</v>
      </c>
      <c r="B90" s="121" t="s">
        <v>1721</v>
      </c>
      <c r="C90" s="121" t="s">
        <v>1722</v>
      </c>
      <c r="D90" s="236" t="str">
        <f ca="1">IF([1]!s_info_industry_sw(B90,1)=0,"-",[1]!s_info_industry_sw(B90,1))</f>
        <v>食品饮料</v>
      </c>
      <c r="E90" s="122" t="str">
        <f ca="1">[1]!cb_info_underlyingcode(B90)</f>
        <v>300791.SZ</v>
      </c>
      <c r="F90" s="124">
        <f ca="1">RTD("wdf.rtq",,B90,"LastPrice","Dirty_Price")</f>
        <v>123.01100000000001</v>
      </c>
      <c r="G90" s="124">
        <f ca="1">RTD("wdf.rtq",,E90,"LastPrice")</f>
        <v>47.37</v>
      </c>
      <c r="H90" s="226">
        <f ca="1">RTD("wdf.rtq",,B90,"PctChg","RT_Price")/100</f>
        <v>-7.7000000000000002E-3</v>
      </c>
      <c r="I90" s="226">
        <f ca="1">RTD("wdf.rtq",,E90,"PctChg")/100</f>
        <v>-2.53E-2</v>
      </c>
      <c r="J90" s="125">
        <f ca="1">_xlfn.IFNA([1]!b_anal_ptmyear(B90,$B$2),"未发行或发行失败")</f>
        <v>5.6109589041095891</v>
      </c>
      <c r="K90" s="125">
        <f ca="1">RTD("wdf.rtq",,B90,"Amount","Dirty_Price")/100000000</f>
        <v>1.5663259999999998E-2</v>
      </c>
      <c r="L90" s="125">
        <f ca="1">[1]!cb_anal_convprice(B90,$B$2)</f>
        <v>56.92</v>
      </c>
      <c r="M90" s="125">
        <f t="shared" ca="1" si="4"/>
        <v>83.22206605762473</v>
      </c>
      <c r="N90" s="126">
        <f t="shared" ca="1" si="5"/>
        <v>47.810557736964341</v>
      </c>
      <c r="O90" s="126">
        <f t="array" aca="1" ref="O90" ca="1">_xlfn.IFNA(RTD("wdf.rtq",,B90,"LastPrice","Yield_To_Maturity"),[1]!cb_anal_ytm(B90,$C$2))</f>
        <v>-0.67610000000000003</v>
      </c>
      <c r="P90" s="126">
        <f ca="1">[1]!cb_anal_straightbondvalue(B90,$B$2)</f>
        <v>82.756699999999995</v>
      </c>
      <c r="Q90" s="126">
        <f t="shared" ca="1" si="6"/>
        <v>48.641741393748191</v>
      </c>
      <c r="R90" s="126" t="str">
        <f ca="1">[1]!b_rate_latestcredit(B90)</f>
        <v>AA-</v>
      </c>
      <c r="S90" s="126">
        <f ca="1">[1]!cb_info_outstandingbalance(B90,$B$2)</f>
        <v>10.248929</v>
      </c>
      <c r="T90" s="126">
        <f ca="1">[1]!cb_info_issueamount(B90,100000000)</f>
        <v>10.248928999999999</v>
      </c>
      <c r="U90" s="126">
        <f t="shared" ca="1" si="7"/>
        <v>100.00000000000001</v>
      </c>
      <c r="V90" s="230">
        <f ca="1">IF([1]!cb_anal_ldiluterate(B90,$B$2)=100,"-",[1]!cb_anal_ldiluterate(B90,$B$2))</f>
        <v>25.299542611809024</v>
      </c>
      <c r="W90" s="127" t="str">
        <f ca="1">[1]!cb_info_listeddate(B90)</f>
        <v>2021-05-14</v>
      </c>
      <c r="X90" s="127" t="str">
        <f ca="1">[1]!cb_info_carrydate(B90)</f>
        <v>2021-04-19</v>
      </c>
      <c r="Y90" s="125" t="str">
        <f ca="1">[1]!cb_clause_conversion_2_swapsharestartdate(B90)</f>
        <v>2021-10-25</v>
      </c>
      <c r="Z90" s="125" t="str">
        <f ca="1">[1]!cb_clause_putoption_conditionalputbackstartenddate(B90)</f>
        <v>2025-04-19</v>
      </c>
      <c r="AA90" s="230">
        <f ca="1">[1]!cb_info_maturitycallprice(B90)</f>
        <v>113</v>
      </c>
      <c r="AB90" s="230">
        <f ca="1">IF(ISNUMBER([1]!cb_info_conditionalputprice(B90)),[1]!cb_info_conditionalputprice(B90),"-")</f>
        <v>0</v>
      </c>
      <c r="AC90" s="230">
        <f ca="1">[1]!cb_info_interest(B90)</f>
        <v>0.4</v>
      </c>
      <c r="AD90" s="263" t="str">
        <f ca="1">IFERROR(couponlist([1]!cb_clause_interest(B90,"4")),"-")</f>
        <v>0.4%，0.6%，1.0%，1.5%，2.0%，3.0%</v>
      </c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</row>
    <row r="91" spans="1:49" s="191" customFormat="1" x14ac:dyDescent="0.35">
      <c r="A91" s="182" t="s">
        <v>0</v>
      </c>
      <c r="B91" s="182" t="s">
        <v>529</v>
      </c>
      <c r="C91" s="182" t="s">
        <v>530</v>
      </c>
      <c r="D91" s="235" t="str">
        <f ca="1">IF([1]!s_info_industry_sw(B91,1)=0,"-",[1]!s_info_industry_sw(B91,1))</f>
        <v>商业贸易</v>
      </c>
      <c r="E91" s="183" t="str">
        <f ca="1">[1]!cb_info_underlyingcode(B91)</f>
        <v>600755.SH</v>
      </c>
      <c r="F91" s="185">
        <f ca="1">RTD("wdf.rtq",,B91,"LastPrice","Dirty_Price")</f>
        <v>135.01000000000002</v>
      </c>
      <c r="G91" s="185">
        <f ca="1">RTD("wdf.rtq",,E91,"LastPrice")</f>
        <v>9.1</v>
      </c>
      <c r="H91" s="225">
        <f ca="1">RTD("wdf.rtq",,B91,"PctChg","RT_Price")/100</f>
        <v>1.9E-3</v>
      </c>
      <c r="I91" s="225">
        <f ca="1">RTD("wdf.rtq",,E91,"PctChg")/100</f>
        <v>1.1000000000000001E-3</v>
      </c>
      <c r="J91" s="186">
        <f ca="1">_xlfn.IFNA([1]!b_anal_ptmyear(B91,$B$2),"未发行或发行失败")</f>
        <v>0.32602739726027397</v>
      </c>
      <c r="K91" s="186">
        <f ca="1">RTD("wdf.rtq",,B91,"Amount","Dirty_Price")/100000000</f>
        <v>0.55527316000000004</v>
      </c>
      <c r="L91" s="186">
        <f ca="1">[1]!cb_anal_convprice(B91,$B$2)</f>
        <v>6.72</v>
      </c>
      <c r="M91" s="186">
        <f t="shared" ca="1" si="4"/>
        <v>135.41666666666669</v>
      </c>
      <c r="N91" s="187">
        <f t="shared" ca="1" si="5"/>
        <v>-0.30030769230769749</v>
      </c>
      <c r="O91" s="187">
        <f t="array" aca="1" ref="O91" ca="1">_xlfn.IFNA(RTD("wdf.rtq",,B91,"LastPrice","Yield_To_Maturity"),[1]!cb_anal_ytm(B91,$C$2))</f>
        <v>-61.408100000000005</v>
      </c>
      <c r="P91" s="187">
        <f ca="1">[1]!cb_anal_straightbondvalue(B91,$B$2)</f>
        <v>107.11620000000001</v>
      </c>
      <c r="Q91" s="187">
        <f t="shared" ca="1" si="6"/>
        <v>26.040692257567031</v>
      </c>
      <c r="R91" s="187" t="str">
        <f ca="1">[1]!b_rate_latestcredit(B91)</f>
        <v>AAA</v>
      </c>
      <c r="S91" s="187">
        <f ca="1">[1]!cb_info_outstandingbalance(B91,$B$2)</f>
        <v>11.027661999999999</v>
      </c>
      <c r="T91" s="187">
        <f ca="1">[1]!cb_info_issueamount(B91,100000000)</f>
        <v>28</v>
      </c>
      <c r="U91" s="187">
        <f t="shared" ca="1" si="7"/>
        <v>39.384507142857146</v>
      </c>
      <c r="V91" s="240">
        <f ca="1">IF([1]!cb_anal_ldiluterate(B91,$B$2)=100,"-",[1]!cb_anal_ldiluterate(B91,$B$2))</f>
        <v>8.8307212610869108</v>
      </c>
      <c r="W91" s="188" t="str">
        <f ca="1">[1]!cb_info_listeddate(B91)</f>
        <v>2016-01-19</v>
      </c>
      <c r="X91" s="188" t="str">
        <f ca="1">[1]!cb_info_carrydate(B91)</f>
        <v>2016-01-05</v>
      </c>
      <c r="Y91" s="186" t="str">
        <f ca="1">[1]!cb_clause_conversion_2_swapsharestartdate(B91)</f>
        <v>2016-07-05</v>
      </c>
      <c r="Z91" s="186" t="str">
        <f ca="1">[1]!cb_clause_putoption_conditionalputbackstartenddate(B91)</f>
        <v>2020-01-05</v>
      </c>
      <c r="AA91" s="240">
        <f ca="1">[1]!cb_info_maturitycallprice(B91)</f>
        <v>108</v>
      </c>
      <c r="AB91" s="240">
        <f ca="1">IF(ISNUMBER([1]!cb_info_conditionalputprice(B91)),[1]!cb_info_conditionalputprice(B91),"-")</f>
        <v>0</v>
      </c>
      <c r="AC91" s="240">
        <f ca="1">[1]!cb_info_interest(B91)</f>
        <v>0.3</v>
      </c>
      <c r="AD91" s="262" t="str">
        <f ca="1">IFERROR(couponlist([1]!cb_clause_interest(B91,"4")),"-")</f>
        <v>0.3%，0.5%，0.9%，1.4%，1.7%</v>
      </c>
      <c r="AE91" s="189"/>
      <c r="AF91" s="189"/>
      <c r="AG91" s="189"/>
      <c r="AH91" s="189"/>
      <c r="AI91" s="189"/>
      <c r="AJ91" s="189"/>
      <c r="AK91" s="189"/>
      <c r="AL91" s="189"/>
      <c r="AM91" s="189"/>
      <c r="AN91" s="189"/>
      <c r="AO91" s="189"/>
      <c r="AP91" s="189"/>
      <c r="AQ91" s="189"/>
    </row>
    <row r="92" spans="1:49" s="130" customFormat="1" x14ac:dyDescent="0.35">
      <c r="A92" s="121" t="s">
        <v>0</v>
      </c>
      <c r="B92" s="121" t="s">
        <v>124</v>
      </c>
      <c r="C92" s="121" t="s">
        <v>125</v>
      </c>
      <c r="D92" s="236" t="str">
        <f ca="1">IF([1]!s_info_industry_sw(B92,1)=0,"-",[1]!s_info_industry_sw(B92,1))</f>
        <v>商业贸易</v>
      </c>
      <c r="E92" s="122" t="str">
        <f ca="1">[1]!cb_info_underlyingcode(B92)</f>
        <v>603708.SH</v>
      </c>
      <c r="F92" s="124">
        <f ca="1">RTD("wdf.rtq",,B92,"LastPrice","Dirty_Price")</f>
        <v>103.72</v>
      </c>
      <c r="G92" s="124">
        <f ca="1">RTD("wdf.rtq",,E92,"LastPrice")</f>
        <v>15.39</v>
      </c>
      <c r="H92" s="226">
        <f ca="1">RTD("wdf.rtq",,B92,"PctChg","RT_Price")/100</f>
        <v>7.5000000000000015E-3</v>
      </c>
      <c r="I92" s="226">
        <f ca="1">RTD("wdf.rtq",,E92,"PctChg")/100</f>
        <v>0</v>
      </c>
      <c r="J92" s="125">
        <f ca="1">_xlfn.IFNA([1]!b_anal_ptmyear(B92,$B$2),"未发行或发行失败")</f>
        <v>4.7397260273972606</v>
      </c>
      <c r="K92" s="125">
        <f ca="1">RTD("wdf.rtq",,B92,"Amount","Dirty_Price")/100000000</f>
        <v>3.8560780000000003E-2</v>
      </c>
      <c r="L92" s="125">
        <f ca="1">[1]!cb_anal_convprice(B92,$B$2)</f>
        <v>37.53</v>
      </c>
      <c r="M92" s="125">
        <f t="shared" ca="1" si="4"/>
        <v>41.007194244604314</v>
      </c>
      <c r="N92" s="126">
        <f t="shared" ca="1" si="5"/>
        <v>152.93122807017545</v>
      </c>
      <c r="O92" s="126">
        <f t="array" aca="1" ref="O92" ca="1">_xlfn.IFNA(RTD("wdf.rtq",,B92,"LastPrice","Yield_To_Maturity"),[1]!cb_anal_ytm(B92,$C$2))</f>
        <v>2.2265999999999999</v>
      </c>
      <c r="P92" s="126">
        <f ca="1">[1]!cb_anal_straightbondvalue(B92,$B$2)</f>
        <v>94.5578</v>
      </c>
      <c r="Q92" s="126">
        <f t="shared" ca="1" si="6"/>
        <v>9.6895232334085648</v>
      </c>
      <c r="R92" s="126" t="str">
        <f ca="1">[1]!b_rate_latestcredit(B92)</f>
        <v>AA</v>
      </c>
      <c r="S92" s="126">
        <f ca="1">[1]!cb_info_outstandingbalance(B92,$B$2)</f>
        <v>6.4496000000000002</v>
      </c>
      <c r="T92" s="126">
        <f ca="1">[1]!cb_info_issueamount(B92,100000000)</f>
        <v>6.45</v>
      </c>
      <c r="U92" s="126">
        <f t="shared" ca="1" si="7"/>
        <v>99.993798449612413</v>
      </c>
      <c r="V92" s="230">
        <f ca="1">IF([1]!cb_anal_ldiluterate(B92,$B$2)=100,"-",[1]!cb_anal_ldiluterate(B92,$B$2))</f>
        <v>2.7470529678516842</v>
      </c>
      <c r="W92" s="127" t="str">
        <f ca="1">[1]!cb_info_listeddate(B92)</f>
        <v>2020-06-24</v>
      </c>
      <c r="X92" s="127" t="str">
        <f ca="1">[1]!cb_info_carrydate(B92)</f>
        <v>2020-06-05</v>
      </c>
      <c r="Y92" s="125" t="str">
        <f ca="1">[1]!cb_clause_conversion_2_swapsharestartdate(B92)</f>
        <v>2020-12-14</v>
      </c>
      <c r="Z92" s="125" t="str">
        <f ca="1">[1]!cb_clause_putoption_conditionalputbackstartenddate(B92)</f>
        <v>2024-06-05</v>
      </c>
      <c r="AA92" s="230">
        <f ca="1">[1]!cb_info_maturitycallprice(B92)</f>
        <v>110</v>
      </c>
      <c r="AB92" s="230">
        <f ca="1">IF(ISNUMBER([1]!cb_info_conditionalputprice(B92)),[1]!cb_info_conditionalputprice(B92),"-")</f>
        <v>0</v>
      </c>
      <c r="AC92" s="230">
        <f ca="1">[1]!cb_info_interest(B92)</f>
        <v>0.4</v>
      </c>
      <c r="AD92" s="263" t="str">
        <f ca="1">IFERROR(couponlist([1]!cb_clause_interest(B92,"4")),"-")</f>
        <v>0.40%，0.60%，1.00%，1.50%，1.80%，2.00%</v>
      </c>
      <c r="AE92" s="129"/>
      <c r="AF92" s="129"/>
      <c r="AG92" s="129"/>
      <c r="AH92" s="129"/>
      <c r="AI92" s="129"/>
      <c r="AJ92" s="129"/>
      <c r="AK92" s="129"/>
      <c r="AL92" s="129"/>
      <c r="AM92" s="129"/>
      <c r="AN92" s="129"/>
      <c r="AO92" s="129"/>
      <c r="AP92" s="129"/>
      <c r="AQ92" s="129"/>
    </row>
    <row r="93" spans="1:49" s="191" customFormat="1" x14ac:dyDescent="0.35">
      <c r="A93" s="182" t="s">
        <v>0</v>
      </c>
      <c r="B93" s="182" t="s">
        <v>160</v>
      </c>
      <c r="C93" s="182" t="s">
        <v>161</v>
      </c>
      <c r="D93" s="235" t="str">
        <f ca="1">IF([1]!s_info_industry_sw(B93,1)=0,"-",[1]!s_info_industry_sw(B93,1))</f>
        <v>商业贸易</v>
      </c>
      <c r="E93" s="183" t="str">
        <f ca="1">[1]!cb_info_underlyingcode(B93)</f>
        <v>601366.SH</v>
      </c>
      <c r="F93" s="185">
        <f ca="1">RTD("wdf.rtq",,B93,"LastPrice","Dirty_Price")</f>
        <v>107.48</v>
      </c>
      <c r="G93" s="185">
        <f ca="1">RTD("wdf.rtq",,E93,"LastPrice")</f>
        <v>6.34</v>
      </c>
      <c r="H93" s="225">
        <f ca="1">RTD("wdf.rtq",,B93,"PctChg","RT_Price")/100</f>
        <v>4.0000000000000001E-3</v>
      </c>
      <c r="I93" s="225">
        <f ca="1">RTD("wdf.rtq",,E93,"PctChg")/100</f>
        <v>0</v>
      </c>
      <c r="J93" s="186">
        <f ca="1">_xlfn.IFNA([1]!b_anal_ptmyear(B93,$B$2),"未发行或发行失败")</f>
        <v>4.5616438356164384</v>
      </c>
      <c r="K93" s="186">
        <f ca="1">RTD("wdf.rtq",,B93,"Amount","Dirty_Price")/100000000</f>
        <v>7.6797099999999993E-2</v>
      </c>
      <c r="L93" s="186">
        <f ca="1">[1]!cb_anal_convprice(B93,$B$2)</f>
        <v>7.01</v>
      </c>
      <c r="M93" s="186">
        <f t="shared" ca="1" si="4"/>
        <v>90.44222539229672</v>
      </c>
      <c r="N93" s="187">
        <f t="shared" ca="1" si="5"/>
        <v>18.838296529968446</v>
      </c>
      <c r="O93" s="187">
        <f t="array" aca="1" ref="O93" ca="1">_xlfn.IFNA(RTD("wdf.rtq",,B93,"LastPrice","Yield_To_Maturity"),[1]!cb_anal_ytm(B93,$C$2))</f>
        <v>1.5043</v>
      </c>
      <c r="P93" s="187">
        <f ca="1">[1]!cb_anal_straightbondvalue(B93,$B$2)</f>
        <v>95.355000000000004</v>
      </c>
      <c r="Q93" s="187">
        <f t="shared" ca="1" si="6"/>
        <v>12.715641549997372</v>
      </c>
      <c r="R93" s="187" t="str">
        <f ca="1">[1]!b_rate_latestcredit(B93)</f>
        <v>AA</v>
      </c>
      <c r="S93" s="187">
        <f ca="1">[1]!cb_info_outstandingbalance(B93,$B$2)</f>
        <v>17.998719999999999</v>
      </c>
      <c r="T93" s="187">
        <f ca="1">[1]!cb_info_issueamount(B93,100000000)</f>
        <v>18</v>
      </c>
      <c r="U93" s="187">
        <f t="shared" ca="1" si="7"/>
        <v>99.992888888888885</v>
      </c>
      <c r="V93" s="240">
        <f ca="1">IF([1]!cb_anal_ldiluterate(B93,$B$2)=100,"-",[1]!cb_anal_ldiluterate(B93,$B$2))</f>
        <v>23.538632673682578</v>
      </c>
      <c r="W93" s="188" t="str">
        <f ca="1">[1]!cb_info_listeddate(B93)</f>
        <v>2020-04-21</v>
      </c>
      <c r="X93" s="188" t="str">
        <f ca="1">[1]!cb_info_carrydate(B93)</f>
        <v>2020-04-01</v>
      </c>
      <c r="Y93" s="186" t="str">
        <f ca="1">[1]!cb_clause_conversion_2_swapsharestartdate(B93)</f>
        <v>2020-10-09</v>
      </c>
      <c r="Z93" s="186" t="str">
        <f ca="1">[1]!cb_clause_putoption_conditionalputbackstartenddate(B93)</f>
        <v>2024-04-01</v>
      </c>
      <c r="AA93" s="240">
        <f ca="1">[1]!cb_info_maturitycallprice(B93)</f>
        <v>110</v>
      </c>
      <c r="AB93" s="240">
        <f ca="1">IF(ISNUMBER([1]!cb_info_conditionalputprice(B93)),[1]!cb_info_conditionalputprice(B93),"-")</f>
        <v>0</v>
      </c>
      <c r="AC93" s="240">
        <f ca="1">[1]!cb_info_interest(B93)</f>
        <v>0.4</v>
      </c>
      <c r="AD93" s="262" t="str">
        <f ca="1">IFERROR(couponlist([1]!cb_clause_interest(B93,"4")),"-")</f>
        <v>0.40%，0.60%，1.00%，1.50%，1.80%，2.00%</v>
      </c>
      <c r="AE93" s="189"/>
      <c r="AF93" s="189"/>
      <c r="AG93" s="189"/>
      <c r="AH93" s="189"/>
      <c r="AI93" s="189"/>
      <c r="AJ93" s="189"/>
      <c r="AK93" s="189"/>
      <c r="AL93" s="189"/>
      <c r="AM93" s="189"/>
      <c r="AN93" s="189"/>
      <c r="AO93" s="189"/>
      <c r="AP93" s="189"/>
      <c r="AQ93" s="189"/>
    </row>
    <row r="94" spans="1:49" s="130" customFormat="1" x14ac:dyDescent="0.35">
      <c r="A94" s="121" t="s">
        <v>5</v>
      </c>
      <c r="B94" s="121" t="s">
        <v>515</v>
      </c>
      <c r="C94" s="121" t="s">
        <v>516</v>
      </c>
      <c r="D94" s="236" t="str">
        <f ca="1">IF([1]!s_info_industry_sw(B94,1)=0,"-",[1]!s_info_industry_sw(B94,1))</f>
        <v>商业贸易</v>
      </c>
      <c r="E94" s="122" t="str">
        <f ca="1">[1]!cb_info_underlyingcode(B94)</f>
        <v>000861.SZ</v>
      </c>
      <c r="F94" s="124">
        <f ca="1">RTD("wdf.rtq",,B94,"LastPrice","Dirty_Price")</f>
        <v>108.79</v>
      </c>
      <c r="G94" s="124">
        <f ca="1">RTD("wdf.rtq",,E94,"LastPrice")</f>
        <v>2.19</v>
      </c>
      <c r="H94" s="226">
        <f ca="1">RTD("wdf.rtq",,B94,"PctChg","RT_Price")/100</f>
        <v>-1E-4</v>
      </c>
      <c r="I94" s="226">
        <f ca="1">RTD("wdf.rtq",,E94,"PctChg")/100</f>
        <v>9.1999999999999998E-3</v>
      </c>
      <c r="J94" s="125">
        <f ca="1">_xlfn.IFNA([1]!b_anal_ptmyear(B94,$B$2),"未发行或发行失败")</f>
        <v>0.74794520547945209</v>
      </c>
      <c r="K94" s="125">
        <f ca="1">RTD("wdf.rtq",,B94,"Amount","Dirty_Price")/100000000</f>
        <v>8.5432499999999995E-2</v>
      </c>
      <c r="L94" s="125">
        <f ca="1">[1]!cb_anal_convprice(B94,$B$2)</f>
        <v>2.99</v>
      </c>
      <c r="M94" s="125">
        <f t="shared" ca="1" si="4"/>
        <v>73.244147157190625</v>
      </c>
      <c r="N94" s="126">
        <f t="shared" ca="1" si="5"/>
        <v>48.530639269406407</v>
      </c>
      <c r="O94" s="126">
        <f t="array" aca="1" ref="O94" ca="1">_xlfn.IFNA(RTD("wdf.rtq",,B94,"LastPrice","Yield_To_Maturity"),[1]!cb_anal_ytm(B94,$C$2))</f>
        <v>1.4871000000000001</v>
      </c>
      <c r="P94" s="126">
        <f ca="1">[1]!cb_anal_straightbondvalue(B94,$B$2)</f>
        <v>107.6527</v>
      </c>
      <c r="Q94" s="126">
        <f t="shared" ca="1" si="6"/>
        <v>1.056452833974447</v>
      </c>
      <c r="R94" s="126" t="str">
        <f ca="1">[1]!b_rate_latestcredit(B94)</f>
        <v>AA</v>
      </c>
      <c r="S94" s="126">
        <f ca="1">[1]!cb_info_outstandingbalance(B94,$B$2)</f>
        <v>6.7381729999999997</v>
      </c>
      <c r="T94" s="126">
        <f ca="1">[1]!cb_info_issueamount(B94,100000000)</f>
        <v>11.11</v>
      </c>
      <c r="U94" s="126">
        <f t="shared" ca="1" si="7"/>
        <v>60.649621962196214</v>
      </c>
      <c r="V94" s="230">
        <f ca="1">IF([1]!cb_anal_ldiluterate(B94,$B$2)=100,"-",[1]!cb_anal_ldiluterate(B94,$B$2))</f>
        <v>9.4169232523765416</v>
      </c>
      <c r="W94" s="127" t="str">
        <f ca="1">[1]!cb_info_listeddate(B94)</f>
        <v>2016-07-01</v>
      </c>
      <c r="X94" s="127" t="str">
        <f ca="1">[1]!cb_info_carrydate(B94)</f>
        <v>2016-06-08</v>
      </c>
      <c r="Y94" s="125" t="str">
        <f ca="1">[1]!cb_clause_conversion_2_swapsharestartdate(B94)</f>
        <v>2016-12-16</v>
      </c>
      <c r="Z94" s="125" t="str">
        <f ca="1">[1]!cb_clause_putoption_conditionalputbackstartenddate(B94)</f>
        <v>2020-06-08</v>
      </c>
      <c r="AA94" s="230">
        <f ca="1">[1]!cb_info_maturitycallprice(B94)</f>
        <v>110</v>
      </c>
      <c r="AB94" s="230">
        <f ca="1">IF(ISNUMBER([1]!cb_info_conditionalputprice(B94)),[1]!cb_info_conditionalputprice(B94),"-")</f>
        <v>0</v>
      </c>
      <c r="AC94" s="230">
        <f ca="1">[1]!cb_info_interest(B94)</f>
        <v>0.5</v>
      </c>
      <c r="AD94" s="263" t="str">
        <f ca="1">IFERROR(couponlist([1]!cb_clause_interest(B94,"4")),"-")</f>
        <v>0.50%，0.70%，1.00%，1.50%，1.80%，2.00%</v>
      </c>
      <c r="AE94" s="129"/>
      <c r="AF94" s="129"/>
      <c r="AG94" s="129"/>
      <c r="AH94" s="129"/>
      <c r="AI94" s="129"/>
      <c r="AJ94" s="129"/>
      <c r="AK94" s="129"/>
      <c r="AL94" s="129"/>
      <c r="AM94" s="129"/>
      <c r="AN94" s="129"/>
      <c r="AO94" s="129"/>
      <c r="AP94" s="129"/>
      <c r="AQ94" s="129"/>
      <c r="AR94" s="242"/>
      <c r="AS94" s="242"/>
      <c r="AT94" s="242"/>
      <c r="AU94" s="242"/>
      <c r="AV94" s="242"/>
      <c r="AW94" s="242"/>
    </row>
    <row r="95" spans="1:49" s="191" customFormat="1" x14ac:dyDescent="0.35">
      <c r="A95" s="182" t="s">
        <v>5</v>
      </c>
      <c r="B95" s="182" t="s">
        <v>1763</v>
      </c>
      <c r="C95" s="182" t="s">
        <v>1764</v>
      </c>
      <c r="D95" s="235" t="str">
        <f ca="1">IF([1]!s_info_industry_sw(B95,1)=0,"-",[1]!s_info_industry_sw(B95,1))</f>
        <v>商业贸易</v>
      </c>
      <c r="E95" s="183" t="str">
        <f ca="1">[1]!cb_info_underlyingcode(B95)</f>
        <v>002091.SZ</v>
      </c>
      <c r="F95" s="185">
        <f ca="1">RTD("wdf.rtq",,B95,"LastPrice","Dirty_Price")</f>
        <v>172.19800000000001</v>
      </c>
      <c r="G95" s="185">
        <f ca="1">RTD("wdf.rtq",,E95,"LastPrice")</f>
        <v>14.94</v>
      </c>
      <c r="H95" s="225">
        <f ca="1">RTD("wdf.rtq",,B95,"PctChg","RT_Price")/100</f>
        <v>1.3000000000000001E-2</v>
      </c>
      <c r="I95" s="225">
        <f ca="1">RTD("wdf.rtq",,E95,"PctChg")/100</f>
        <v>6.9400000000000003E-2</v>
      </c>
      <c r="J95" s="186">
        <f ca="1">_xlfn.IFNA([1]!b_anal_ptmyear(B95,$B$2),"未发行或发行失败")</f>
        <v>5.8273972602739725</v>
      </c>
      <c r="K95" s="186">
        <f ca="1">RTD("wdf.rtq",,B95,"Amount","Dirty_Price")/100000000</f>
        <v>7.3346974700000001</v>
      </c>
      <c r="L95" s="186">
        <f ca="1">[1]!cb_anal_convprice(B95,$B$2)</f>
        <v>9.02</v>
      </c>
      <c r="M95" s="186">
        <f t="shared" ca="1" si="4"/>
        <v>165.63192904656319</v>
      </c>
      <c r="N95" s="187">
        <f t="shared" ca="1" si="5"/>
        <v>3.9642543507362831</v>
      </c>
      <c r="O95" s="187">
        <f t="array" aca="1" ref="O95" ca="1">_xlfn.IFNA(RTD("wdf.rtq",,B95,"LastPrice","Yield_To_Maturity"),[1]!cb_anal_ytm(B95,$C$2))</f>
        <v>-7.1325000000000003</v>
      </c>
      <c r="P95" s="187">
        <f ca="1">[1]!cb_anal_straightbondvalue(B95,$B$2)</f>
        <v>90.934899999999999</v>
      </c>
      <c r="Q95" s="187">
        <f t="shared" ca="1" si="6"/>
        <v>89.364039549171991</v>
      </c>
      <c r="R95" s="187" t="str">
        <f ca="1">[1]!b_rate_latestcredit(B95)</f>
        <v>AA+</v>
      </c>
      <c r="S95" s="187">
        <f ca="1">[1]!cb_info_outstandingbalance(B95,$B$2)</f>
        <v>45.574185999999997</v>
      </c>
      <c r="T95" s="187">
        <f ca="1">[1]!cb_info_issueamount(B95,100000000)</f>
        <v>45.574185999999997</v>
      </c>
      <c r="U95" s="187">
        <f t="shared" ca="1" si="7"/>
        <v>100</v>
      </c>
      <c r="V95" s="240">
        <f ca="1">IF([1]!cb_anal_ldiluterate(B95,$B$2)=100,"-",[1]!cb_anal_ldiluterate(B95,$B$2))</f>
        <v>25.03412112993751</v>
      </c>
      <c r="W95" s="188" t="str">
        <f ca="1">[1]!cb_info_listeddate(B95)</f>
        <v>2021-08-10</v>
      </c>
      <c r="X95" s="188" t="str">
        <f ca="1">[1]!cb_info_carrydate(B95)</f>
        <v>2021-07-07</v>
      </c>
      <c r="Y95" s="186" t="str">
        <f ca="1">[1]!cb_clause_conversion_2_swapsharestartdate(B95)</f>
        <v>2022-01-13</v>
      </c>
      <c r="Z95" s="186" t="str">
        <f ca="1">[1]!cb_clause_putoption_conditionalputbackstartenddate(B95)</f>
        <v>2025-07-07</v>
      </c>
      <c r="AA95" s="240">
        <f ca="1">[1]!cb_info_maturitycallprice(B95)</f>
        <v>108</v>
      </c>
      <c r="AB95" s="240">
        <f ca="1">IF(ISNUMBER([1]!cb_info_conditionalputprice(B95)),[1]!cb_info_conditionalputprice(B95),"-")</f>
        <v>0</v>
      </c>
      <c r="AC95" s="240">
        <f ca="1">[1]!cb_info_interest(B95)</f>
        <v>0.2</v>
      </c>
      <c r="AD95" s="262" t="str">
        <f ca="1">IFERROR(couponlist([1]!cb_clause_interest(B95,"4")),"-")</f>
        <v>0.20%，0.40%，0.60%，1.50%，1.80%，2.00%</v>
      </c>
      <c r="AE95" s="189"/>
      <c r="AF95" s="189"/>
      <c r="AG95" s="189"/>
      <c r="AH95" s="189"/>
      <c r="AI95" s="189"/>
      <c r="AJ95" s="189"/>
      <c r="AK95" s="189"/>
      <c r="AL95" s="189"/>
      <c r="AM95" s="189"/>
      <c r="AN95" s="189"/>
      <c r="AO95" s="189"/>
      <c r="AP95" s="189"/>
      <c r="AQ95" s="189"/>
    </row>
    <row r="96" spans="1:49" s="130" customFormat="1" x14ac:dyDescent="0.35">
      <c r="A96" s="121" t="s">
        <v>0</v>
      </c>
      <c r="B96" s="121" t="s">
        <v>226</v>
      </c>
      <c r="C96" s="121" t="s">
        <v>227</v>
      </c>
      <c r="D96" s="236" t="str">
        <f ca="1">IF([1]!s_info_industry_sw(B96,1)=0,"-",[1]!s_info_industry_sw(B96,1))</f>
        <v>轻工制造</v>
      </c>
      <c r="E96" s="122" t="str">
        <f ca="1">[1]!cb_info_underlyingcode(B96)</f>
        <v>601515.SH</v>
      </c>
      <c r="F96" s="124">
        <f ca="1">RTD("wdf.rtq",,B96,"LastPrice","Dirty_Price")</f>
        <v>137.79000000000002</v>
      </c>
      <c r="G96" s="124">
        <f ca="1">RTD("wdf.rtq",,E96,"LastPrice")</f>
        <v>7.63</v>
      </c>
      <c r="H96" s="226">
        <f ca="1">RTD("wdf.rtq",,B96,"PctChg","RT_Price")/100</f>
        <v>1.3800000000000002E-2</v>
      </c>
      <c r="I96" s="226">
        <f ca="1">RTD("wdf.rtq",,E96,"PctChg")/100</f>
        <v>-1.2999999999999999E-3</v>
      </c>
      <c r="J96" s="125">
        <f ca="1">_xlfn.IFNA([1]!b_anal_ptmyear(B96,$B$2),"未发行或发行失败")</f>
        <v>4.2931506849315069</v>
      </c>
      <c r="K96" s="125">
        <f ca="1">RTD("wdf.rtq",,B96,"Amount","Dirty_Price")/100000000</f>
        <v>0.22949726000000001</v>
      </c>
      <c r="L96" s="125">
        <f ca="1">[1]!cb_anal_convprice(B96,$B$2)</f>
        <v>6.45</v>
      </c>
      <c r="M96" s="125">
        <f t="shared" ca="1" si="4"/>
        <v>118.29457364341084</v>
      </c>
      <c r="N96" s="126">
        <f t="shared" ca="1" si="5"/>
        <v>16.480406290956779</v>
      </c>
      <c r="O96" s="126">
        <f t="array" aca="1" ref="O96" ca="1">_xlfn.IFNA(RTD("wdf.rtq",,B96,"LastPrice","Yield_To_Maturity"),[1]!cb_anal_ytm(B96,$C$2))</f>
        <v>-3.83</v>
      </c>
      <c r="P96" s="126">
        <f ca="1">[1]!cb_anal_straightbondvalue(B96,$B$2)</f>
        <v>98.403700000000001</v>
      </c>
      <c r="Q96" s="126">
        <f t="shared" ca="1" si="6"/>
        <v>40.02522262882394</v>
      </c>
      <c r="R96" s="126" t="str">
        <f ca="1">[1]!b_rate_latestcredit(B96)</f>
        <v>AA</v>
      </c>
      <c r="S96" s="126">
        <f ca="1">[1]!cb_info_outstandingbalance(B96,$B$2)</f>
        <v>2.9523100000000002</v>
      </c>
      <c r="T96" s="126">
        <f ca="1">[1]!cb_info_issueamount(B96,100000000)</f>
        <v>2.9532799999999999</v>
      </c>
      <c r="U96" s="126">
        <f t="shared" ca="1" si="7"/>
        <v>99.967155163072917</v>
      </c>
      <c r="V96" s="230">
        <f ca="1">IF([1]!cb_anal_ldiluterate(B96,$B$2)=100,"-",[1]!cb_anal_ldiluterate(B96,$B$2))</f>
        <v>3.3164033149737406</v>
      </c>
      <c r="W96" s="127" t="str">
        <f ca="1">[1]!cb_info_listeddate(B96)</f>
        <v>2020-01-20</v>
      </c>
      <c r="X96" s="127" t="str">
        <f ca="1">[1]!cb_info_carrydate(B96)</f>
        <v>2019-12-24</v>
      </c>
      <c r="Y96" s="125" t="str">
        <f ca="1">[1]!cb_clause_conversion_2_swapsharestartdate(B96)</f>
        <v>2020-06-30</v>
      </c>
      <c r="Z96" s="125" t="str">
        <f ca="1">[1]!cb_clause_putoption_conditionalputbackstartenddate(B96)</f>
        <v>2023-12-24</v>
      </c>
      <c r="AA96" s="230">
        <f ca="1">[1]!cb_info_maturitycallprice(B96)</f>
        <v>112</v>
      </c>
      <c r="AB96" s="230">
        <f ca="1">IF(ISNUMBER([1]!cb_info_conditionalputprice(B96)),[1]!cb_info_conditionalputprice(B96),"-")</f>
        <v>0</v>
      </c>
      <c r="AC96" s="230">
        <f ca="1">[1]!cb_info_interest(B96)</f>
        <v>0.4</v>
      </c>
      <c r="AD96" s="263" t="str">
        <f ca="1">IFERROR(couponlist([1]!cb_clause_interest(B96,"4")),"-")</f>
        <v>0.40%，0.60%，1.00%，1.50%，1.80%，2.00%</v>
      </c>
      <c r="AE96" s="129"/>
      <c r="AF96" s="129"/>
      <c r="AG96" s="129"/>
      <c r="AH96" s="129"/>
      <c r="AI96" s="129"/>
      <c r="AJ96" s="129"/>
      <c r="AK96" s="129"/>
      <c r="AL96" s="129"/>
      <c r="AM96" s="129"/>
      <c r="AN96" s="129"/>
      <c r="AO96" s="129"/>
      <c r="AP96" s="129"/>
      <c r="AQ96" s="129"/>
    </row>
    <row r="97" spans="1:43" s="191" customFormat="1" x14ac:dyDescent="0.35">
      <c r="A97" s="182" t="s">
        <v>5</v>
      </c>
      <c r="B97" s="182" t="s">
        <v>411</v>
      </c>
      <c r="C97" s="182" t="s">
        <v>412</v>
      </c>
      <c r="D97" s="235" t="str">
        <f ca="1">IF([1]!s_info_industry_sw(B97,1)=0,"-",[1]!s_info_industry_sw(B97,1))</f>
        <v>轻工制造</v>
      </c>
      <c r="E97" s="183" t="str">
        <f ca="1">[1]!cb_info_underlyingcode(B97)</f>
        <v>300057.SZ</v>
      </c>
      <c r="F97" s="185">
        <f ca="1">RTD("wdf.rtq",,B97,"LastPrice","Dirty_Price")</f>
        <v>160.19400000000002</v>
      </c>
      <c r="G97" s="185">
        <f ca="1">RTD("wdf.rtq",,E97,"LastPrice")</f>
        <v>7.94</v>
      </c>
      <c r="H97" s="225">
        <f ca="1">RTD("wdf.rtq",,B97,"PctChg","RT_Price")/100</f>
        <v>3.1000000000000003E-3</v>
      </c>
      <c r="I97" s="225">
        <f ca="1">RTD("wdf.rtq",,E97,"PctChg")/100</f>
        <v>0</v>
      </c>
      <c r="J97" s="186">
        <f ca="1">_xlfn.IFNA([1]!b_anal_ptmyear(B97,$B$2),"未发行或发行失败")</f>
        <v>2.8630136986301369</v>
      </c>
      <c r="K97" s="186">
        <f ca="1">RTD("wdf.rtq",,B97,"Amount","Dirty_Price")/100000000</f>
        <v>0.66630738</v>
      </c>
      <c r="L97" s="186">
        <f ca="1">[1]!cb_anal_convprice(B97,$B$2)</f>
        <v>5.27</v>
      </c>
      <c r="M97" s="186">
        <f t="shared" ca="1" si="4"/>
        <v>150.66413662239091</v>
      </c>
      <c r="N97" s="187">
        <f t="shared" ca="1" si="5"/>
        <v>6.3252367758186381</v>
      </c>
      <c r="O97" s="187">
        <f t="array" aca="1" ref="O97" ca="1">_xlfn.IFNA(RTD("wdf.rtq",,B97,"LastPrice","Yield_To_Maturity"),[1]!cb_anal_ytm(B97,$C$2))</f>
        <v>-12.6631</v>
      </c>
      <c r="P97" s="187">
        <f ca="1">[1]!cb_anal_straightbondvalue(B97,$B$2)</f>
        <v>92.581699999999998</v>
      </c>
      <c r="Q97" s="187">
        <f t="shared" ca="1" si="6"/>
        <v>73.029875234522621</v>
      </c>
      <c r="R97" s="187" t="str">
        <f ca="1">[1]!b_rate_latestcredit(B97)</f>
        <v>AA-</v>
      </c>
      <c r="S97" s="187">
        <f ca="1">[1]!cb_info_outstandingbalance(B97,$B$2)</f>
        <v>1.2755110000000001</v>
      </c>
      <c r="T97" s="187">
        <f ca="1">[1]!cb_info_issueamount(B97,100000000)</f>
        <v>9.5</v>
      </c>
      <c r="U97" s="187">
        <f t="shared" ca="1" si="7"/>
        <v>13.426431578947369</v>
      </c>
      <c r="V97" s="240">
        <f ca="1">IF([1]!cb_anal_ldiluterate(B97,$B$2)=100,"-",[1]!cb_anal_ldiluterate(B97,$B$2))</f>
        <v>4.6881458030420369</v>
      </c>
      <c r="W97" s="188" t="str">
        <f ca="1">[1]!cb_info_listeddate(B97)</f>
        <v>2018-08-29</v>
      </c>
      <c r="X97" s="188" t="str">
        <f ca="1">[1]!cb_info_carrydate(B97)</f>
        <v>2018-07-20</v>
      </c>
      <c r="Y97" s="186" t="str">
        <f ca="1">[1]!cb_clause_conversion_2_swapsharestartdate(B97)</f>
        <v>2019-01-28</v>
      </c>
      <c r="Z97" s="186" t="str">
        <f ca="1">[1]!cb_clause_putoption_conditionalputbackstartenddate(B97)</f>
        <v>2022-07-20</v>
      </c>
      <c r="AA97" s="240">
        <f ca="1">[1]!cb_info_maturitycallprice(B97)</f>
        <v>106</v>
      </c>
      <c r="AB97" s="240">
        <f ca="1">IF(ISNUMBER([1]!cb_info_conditionalputprice(B97)),[1]!cb_info_conditionalputprice(B97),"-")</f>
        <v>0</v>
      </c>
      <c r="AC97" s="240">
        <f ca="1">[1]!cb_info_interest(B97)</f>
        <v>0.4</v>
      </c>
      <c r="AD97" s="262" t="str">
        <f ca="1">IFERROR(couponlist([1]!cb_clause_interest(B97,"4")),"-")</f>
        <v>0.40%，0.60%，1.00%，1.50%，1.80%，2.00%</v>
      </c>
      <c r="AE97" s="189"/>
      <c r="AF97" s="189"/>
      <c r="AG97" s="189"/>
      <c r="AH97" s="189"/>
      <c r="AI97" s="189"/>
      <c r="AJ97" s="189"/>
      <c r="AK97" s="189"/>
      <c r="AL97" s="189"/>
      <c r="AM97" s="189"/>
      <c r="AN97" s="189"/>
      <c r="AO97" s="189"/>
      <c r="AP97" s="189"/>
      <c r="AQ97" s="189"/>
    </row>
    <row r="98" spans="1:43" s="130" customFormat="1" x14ac:dyDescent="0.35">
      <c r="A98" s="121" t="s">
        <v>5</v>
      </c>
      <c r="B98" s="121" t="s">
        <v>503</v>
      </c>
      <c r="C98" s="121" t="s">
        <v>504</v>
      </c>
      <c r="D98" s="236" t="str">
        <f ca="1">IF([1]!s_info_industry_sw(B98,1)=0,"-",[1]!s_info_industry_sw(B98,1))</f>
        <v>轻工制造</v>
      </c>
      <c r="E98" s="122" t="str">
        <f ca="1">[1]!cb_info_underlyingcode(B98)</f>
        <v>002078.SZ</v>
      </c>
      <c r="F98" s="124">
        <f ca="1">RTD("wdf.rtq",,B98,"LastPrice","Dirty_Price")</f>
        <v>184.327</v>
      </c>
      <c r="G98" s="124">
        <f ca="1">RTD("wdf.rtq",,E98,"LastPrice")</f>
        <v>13.780000000000001</v>
      </c>
      <c r="H98" s="226">
        <f ca="1">RTD("wdf.rtq",,B98,"PctChg","RT_Price")/100</f>
        <v>3.44E-2</v>
      </c>
      <c r="I98" s="226">
        <f ca="1">RTD("wdf.rtq",,E98,"PctChg")/100</f>
        <v>2.6800000000000001E-2</v>
      </c>
      <c r="J98" s="125">
        <f ca="1">_xlfn.IFNA([1]!b_anal_ptmyear(B98,$B$2),"未发行或发行失败")</f>
        <v>1.2876712328767124</v>
      </c>
      <c r="K98" s="125">
        <f ca="1">RTD("wdf.rtq",,B98,"Amount","Dirty_Price")/100000000</f>
        <v>0.79365342999999999</v>
      </c>
      <c r="L98" s="125">
        <f ca="1">[1]!cb_anal_convprice(B98,$B$2)</f>
        <v>8.4499999999999993</v>
      </c>
      <c r="M98" s="125">
        <f t="shared" ca="1" si="4"/>
        <v>163.07692307692309</v>
      </c>
      <c r="N98" s="126">
        <f t="shared" ca="1" si="5"/>
        <v>13.030707547169797</v>
      </c>
      <c r="O98" s="126">
        <f t="array" aca="1" ref="O98" ca="1">_xlfn.IFNA(RTD("wdf.rtq",,B98,"LastPrice","Yield_To_Maturity"),[1]!cb_anal_ytm(B98,$C$2))</f>
        <v>-34.616</v>
      </c>
      <c r="P98" s="126">
        <f ca="1">[1]!cb_anal_straightbondvalue(B98,$B$2)</f>
        <v>103.19110000000001</v>
      </c>
      <c r="Q98" s="126">
        <f t="shared" ca="1" si="6"/>
        <v>78.626838942505685</v>
      </c>
      <c r="R98" s="126" t="str">
        <f ca="1">[1]!b_rate_latestcredit(B98)</f>
        <v>AA+</v>
      </c>
      <c r="S98" s="126">
        <f ca="1">[1]!cb_info_outstandingbalance(B98,$B$2)</f>
        <v>9.0870180000000005</v>
      </c>
      <c r="T98" s="126">
        <f ca="1">[1]!cb_info_issueamount(B98,100000000)</f>
        <v>12</v>
      </c>
      <c r="U98" s="126">
        <f t="shared" ca="1" si="7"/>
        <v>75.725149999999999</v>
      </c>
      <c r="V98" s="230">
        <f ca="1">IF([1]!cb_anal_ldiluterate(B98,$B$2)=100,"-",[1]!cb_anal_ldiluterate(B98,$B$2))</f>
        <v>3.9536472943158874</v>
      </c>
      <c r="W98" s="127" t="str">
        <f ca="1">[1]!cb_info_listeddate(B98)</f>
        <v>2018-01-16</v>
      </c>
      <c r="X98" s="127" t="str">
        <f ca="1">[1]!cb_info_carrydate(B98)</f>
        <v>2017-12-22</v>
      </c>
      <c r="Y98" s="125" t="str">
        <f ca="1">[1]!cb_clause_conversion_2_swapsharestartdate(B98)</f>
        <v>2018-06-28</v>
      </c>
      <c r="Z98" s="125" t="str">
        <f ca="1">[1]!cb_clause_putoption_conditionalputbackstartenddate(B98)</f>
        <v>2020-12-22</v>
      </c>
      <c r="AA98" s="230">
        <f ca="1">[1]!cb_info_maturitycallprice(B98)</f>
        <v>106</v>
      </c>
      <c r="AB98" s="230">
        <f ca="1">IF(ISNUMBER([1]!cb_info_conditionalputprice(B98)),[1]!cb_info_conditionalputprice(B98),"-")</f>
        <v>0</v>
      </c>
      <c r="AC98" s="230">
        <f ca="1">[1]!cb_info_interest(B98)</f>
        <v>0.3</v>
      </c>
      <c r="AD98" s="263" t="str">
        <f ca="1">IFERROR(couponlist([1]!cb_clause_interest(B98,"4")),"-")</f>
        <v>0.3%，0.5%，0.8%，1.0%，1.5%</v>
      </c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29"/>
      <c r="AP98" s="129"/>
      <c r="AQ98" s="129"/>
    </row>
    <row r="99" spans="1:43" s="191" customFormat="1" x14ac:dyDescent="0.35">
      <c r="A99" s="182" t="s">
        <v>5</v>
      </c>
      <c r="B99" s="182" t="s">
        <v>585</v>
      </c>
      <c r="C99" s="182" t="s">
        <v>586</v>
      </c>
      <c r="D99" s="235" t="str">
        <f ca="1">IF([1]!s_info_industry_sw(B99,1)=0,"-",[1]!s_info_industry_sw(B99,1))</f>
        <v>轻工制造</v>
      </c>
      <c r="E99" s="183" t="str">
        <f ca="1">[1]!cb_info_underlyingcode(B99)</f>
        <v>300729.SZ</v>
      </c>
      <c r="F99" s="185">
        <f ca="1">RTD("wdf.rtq",,B99,"LastPrice","Dirty_Price")</f>
        <v>124.9</v>
      </c>
      <c r="G99" s="185">
        <f ca="1">RTD("wdf.rtq",,E99,"LastPrice")</f>
        <v>22.5</v>
      </c>
      <c r="H99" s="225">
        <f ca="1">RTD("wdf.rtq",,B99,"PctChg","RT_Price")/100</f>
        <v>-2E-3</v>
      </c>
      <c r="I99" s="225">
        <f ca="1">RTD("wdf.rtq",,E99,"PctChg")/100</f>
        <v>-1.3600000000000001E-2</v>
      </c>
      <c r="J99" s="186">
        <f ca="1">_xlfn.IFNA([1]!b_anal_ptmyear(B99,$B$2),"未发行或发行失败")</f>
        <v>5.117808219178082</v>
      </c>
      <c r="K99" s="186">
        <f ca="1">RTD("wdf.rtq",,B99,"Amount","Dirty_Price")/100000000</f>
        <v>5.2537830000000001E-2</v>
      </c>
      <c r="L99" s="186">
        <f ca="1">[1]!cb_anal_convprice(B99,$B$2)</f>
        <v>56.12</v>
      </c>
      <c r="M99" s="186">
        <f t="shared" ca="1" si="4"/>
        <v>40.092658588738416</v>
      </c>
      <c r="N99" s="187">
        <f t="shared" ca="1" si="5"/>
        <v>211.52835555555555</v>
      </c>
      <c r="O99" s="187">
        <f t="array" aca="1" ref="O99" ca="1">_xlfn.IFNA(RTD("wdf.rtq",,B99,"LastPrice","Yield_To_Maturity"),[1]!cb_anal_ytm(B99,$C$2))</f>
        <v>0.74790000000000001</v>
      </c>
      <c r="P99" s="187">
        <f ca="1">[1]!cb_anal_straightbondvalue(B99,$B$2)</f>
        <v>85.178799999999995</v>
      </c>
      <c r="Q99" s="187">
        <f t="shared" ca="1" si="6"/>
        <v>46.632730209864434</v>
      </c>
      <c r="R99" s="187" t="str">
        <f ca="1">[1]!b_rate_latestcredit(B99)</f>
        <v>A+</v>
      </c>
      <c r="S99" s="187">
        <f ca="1">[1]!cb_info_outstandingbalance(B99,$B$2)</f>
        <v>1.419284</v>
      </c>
      <c r="T99" s="187">
        <f ca="1">[1]!cb_info_issueamount(B99,100000000)</f>
        <v>1.42</v>
      </c>
      <c r="U99" s="187">
        <f t="shared" ca="1" si="7"/>
        <v>99.949577464788746</v>
      </c>
      <c r="V99" s="240">
        <f ca="1">IF([1]!cb_anal_ldiluterate(B99,$B$2)=100,"-",[1]!cb_anal_ldiluterate(B99,$B$2))</f>
        <v>1.4418194776618449</v>
      </c>
      <c r="W99" s="188" t="str">
        <f ca="1">[1]!cb_info_listeddate(B99)</f>
        <v>2020-11-10</v>
      </c>
      <c r="X99" s="188" t="str">
        <f ca="1">[1]!cb_info_carrydate(B99)</f>
        <v>2020-10-21</v>
      </c>
      <c r="Y99" s="186" t="str">
        <f ca="1">[1]!cb_clause_conversion_2_swapsharestartdate(B99)</f>
        <v>2021-04-27</v>
      </c>
      <c r="Z99" s="186" t="str">
        <f ca="1">[1]!cb_clause_putoption_conditionalputbackstartenddate(B99)</f>
        <v>2024-10-21</v>
      </c>
      <c r="AA99" s="240">
        <f ca="1">[1]!cb_info_maturitycallprice(B99)</f>
        <v>120</v>
      </c>
      <c r="AB99" s="240">
        <f ca="1">IF(ISNUMBER([1]!cb_info_conditionalputprice(B99)),[1]!cb_info_conditionalputprice(B99),"-")</f>
        <v>0</v>
      </c>
      <c r="AC99" s="240">
        <f ca="1">[1]!cb_info_interest(B99)</f>
        <v>0.5</v>
      </c>
      <c r="AD99" s="262" t="str">
        <f ca="1">IFERROR(couponlist([1]!cb_clause_interest(B99,"4")),"-")</f>
        <v>0.5%，0.8%，1.8%，3.0%，3.5%，4.0%</v>
      </c>
      <c r="AE99" s="189"/>
      <c r="AF99" s="189"/>
      <c r="AG99" s="189"/>
      <c r="AH99" s="189"/>
      <c r="AI99" s="189"/>
      <c r="AJ99" s="189"/>
      <c r="AK99" s="189"/>
      <c r="AL99" s="189"/>
      <c r="AM99" s="189"/>
      <c r="AN99" s="189"/>
      <c r="AO99" s="189"/>
      <c r="AP99" s="189"/>
      <c r="AQ99" s="189"/>
    </row>
    <row r="100" spans="1:43" s="130" customFormat="1" x14ac:dyDescent="0.35">
      <c r="A100" s="121" t="s">
        <v>0</v>
      </c>
      <c r="B100" s="121" t="s">
        <v>240</v>
      </c>
      <c r="C100" s="121" t="s">
        <v>241</v>
      </c>
      <c r="D100" s="236" t="str">
        <f ca="1">IF([1]!s_info_industry_sw(B100,1)=0,"-",[1]!s_info_industry_sw(B100,1))</f>
        <v>轻工制造</v>
      </c>
      <c r="E100" s="122" t="str">
        <f ca="1">[1]!cb_info_underlyingcode(B100)</f>
        <v>600567.SH</v>
      </c>
      <c r="F100" s="124">
        <f ca="1">RTD("wdf.rtq",,B100,"LastPrice","Dirty_Price")</f>
        <v>126.10000000000001</v>
      </c>
      <c r="G100" s="124">
        <f ca="1">RTD("wdf.rtq",,E100,"LastPrice")</f>
        <v>3.72</v>
      </c>
      <c r="H100" s="226">
        <f ca="1">RTD("wdf.rtq",,B100,"PctChg","RT_Price")/100</f>
        <v>1.61E-2</v>
      </c>
      <c r="I100" s="226">
        <f ca="1">RTD("wdf.rtq",,E100,"PctChg")/100</f>
        <v>3.6200000000000003E-2</v>
      </c>
      <c r="J100" s="125">
        <f ca="1">_xlfn.IFNA([1]!b_anal_ptmyear(B100,$B$2),"未发行或发行失败")</f>
        <v>4.2630136986301368</v>
      </c>
      <c r="K100" s="125">
        <f ca="1">RTD("wdf.rtq",,B100,"Amount","Dirty_Price")/100000000</f>
        <v>0.10446527999999999</v>
      </c>
      <c r="L100" s="125">
        <f ca="1">[1]!cb_anal_convprice(B100,$B$2)</f>
        <v>3.26</v>
      </c>
      <c r="M100" s="125">
        <f t="shared" ca="1" si="4"/>
        <v>114.11042944785277</v>
      </c>
      <c r="N100" s="126">
        <f t="shared" ca="1" si="5"/>
        <v>10.506989247311822</v>
      </c>
      <c r="O100" s="126">
        <f t="array" aca="1" ref="O100" ca="1">_xlfn.IFNA(RTD("wdf.rtq",,B100,"LastPrice","Yield_To_Maturity"),[1]!cb_anal_ytm(B100,$C$2))</f>
        <v>-1.9970000000000001</v>
      </c>
      <c r="P100" s="126">
        <f ca="1">[1]!cb_anal_straightbondvalue(B100,$B$2)</f>
        <v>100.2873</v>
      </c>
      <c r="Q100" s="126">
        <f t="shared" ca="1" si="6"/>
        <v>25.738752563883963</v>
      </c>
      <c r="R100" s="126" t="str">
        <f ca="1">[1]!b_rate_latestcredit(B100)</f>
        <v>AA+</v>
      </c>
      <c r="S100" s="126">
        <f ca="1">[1]!cb_info_outstandingbalance(B100,$B$2)</f>
        <v>18.451560000000001</v>
      </c>
      <c r="T100" s="126">
        <f ca="1">[1]!cb_info_issueamount(B100,100000000)</f>
        <v>18.600000000000001</v>
      </c>
      <c r="U100" s="126">
        <f t="shared" ca="1" si="7"/>
        <v>99.201935483870955</v>
      </c>
      <c r="V100" s="230">
        <f ca="1">IF([1]!cb_anal_ldiluterate(B100,$B$2)=100,"-",[1]!cb_anal_ldiluterate(B100,$B$2))</f>
        <v>10.922678381967966</v>
      </c>
      <c r="W100" s="127" t="str">
        <f ca="1">[1]!cb_info_listeddate(B100)</f>
        <v>2020-01-03</v>
      </c>
      <c r="X100" s="127" t="str">
        <f ca="1">[1]!cb_info_carrydate(B100)</f>
        <v>2019-12-13</v>
      </c>
      <c r="Y100" s="125" t="str">
        <f ca="1">[1]!cb_clause_conversion_2_swapsharestartdate(B100)</f>
        <v>2020-06-19</v>
      </c>
      <c r="Z100" s="125" t="str">
        <f ca="1">[1]!cb_clause_putoption_conditionalputbackstartenddate(B100)</f>
        <v>2023-12-13</v>
      </c>
      <c r="AA100" s="230">
        <f ca="1">[1]!cb_info_maturitycallprice(B100)</f>
        <v>111</v>
      </c>
      <c r="AB100" s="230">
        <f ca="1">IF(ISNUMBER([1]!cb_info_conditionalputprice(B100)),[1]!cb_info_conditionalputprice(B100),"-")</f>
        <v>100.17</v>
      </c>
      <c r="AC100" s="230">
        <f ca="1">[1]!cb_info_interest(B100)</f>
        <v>0.3</v>
      </c>
      <c r="AD100" s="263" t="str">
        <f ca="1">IFERROR(couponlist([1]!cb_clause_interest(B100,"4")),"-")</f>
        <v>0.3%，0.5%，0.9%，1.5%，2.0%，2.5%</v>
      </c>
      <c r="AE100" s="129"/>
      <c r="AF100" s="129"/>
      <c r="AG100" s="129"/>
      <c r="AH100" s="129"/>
      <c r="AI100" s="129"/>
      <c r="AJ100" s="129"/>
      <c r="AK100" s="129"/>
      <c r="AL100" s="129"/>
      <c r="AM100" s="129"/>
      <c r="AN100" s="129"/>
      <c r="AO100" s="129"/>
      <c r="AP100" s="129"/>
      <c r="AQ100" s="129"/>
    </row>
    <row r="101" spans="1:43" s="191" customFormat="1" x14ac:dyDescent="0.35">
      <c r="A101" s="182" t="s">
        <v>0</v>
      </c>
      <c r="B101" s="182" t="s">
        <v>392</v>
      </c>
      <c r="C101" s="182" t="s">
        <v>393</v>
      </c>
      <c r="D101" s="235" t="str">
        <f ca="1">IF([1]!s_info_industry_sw(B101,1)=0,"-",[1]!s_info_industry_sw(B101,1))</f>
        <v>轻工制造</v>
      </c>
      <c r="E101" s="183" t="str">
        <f ca="1">[1]!cb_info_underlyingcode(B101)</f>
        <v>600567.SH</v>
      </c>
      <c r="F101" s="185">
        <f ca="1">RTD("wdf.rtq",,B101,"LastPrice","Dirty_Price")</f>
        <v>125.64</v>
      </c>
      <c r="G101" s="185">
        <f ca="1">RTD("wdf.rtq",,E101,"LastPrice")</f>
        <v>3.72</v>
      </c>
      <c r="H101" s="225">
        <f ca="1">RTD("wdf.rtq",,B101,"PctChg","RT_Price")/100</f>
        <v>1.54E-2</v>
      </c>
      <c r="I101" s="225">
        <f ca="1">RTD("wdf.rtq",,E101,"PctChg")/100</f>
        <v>3.6200000000000003E-2</v>
      </c>
      <c r="J101" s="186">
        <f ca="1">_xlfn.IFNA([1]!b_anal_ptmyear(B101,$B$2),"未发行或发行失败")</f>
        <v>3.2027397260273971</v>
      </c>
      <c r="K101" s="186">
        <f ca="1">RTD("wdf.rtq",,B101,"Amount","Dirty_Price")/100000000</f>
        <v>0.34073185</v>
      </c>
      <c r="L101" s="186">
        <f ca="1">[1]!cb_anal_convprice(B101,$B$2)</f>
        <v>3.3</v>
      </c>
      <c r="M101" s="186">
        <f t="shared" ca="1" si="4"/>
        <v>112.72727272727273</v>
      </c>
      <c r="N101" s="187">
        <f t="shared" ca="1" si="5"/>
        <v>11.454838709677418</v>
      </c>
      <c r="O101" s="187">
        <f t="array" aca="1" ref="O101" ca="1">_xlfn.IFNA(RTD("wdf.rtq",,B101,"LastPrice","Yield_To_Maturity"),[1]!cb_anal_ytm(B101,$C$2))</f>
        <v>-2.1132</v>
      </c>
      <c r="P101" s="187">
        <f ca="1">[1]!cb_anal_straightbondvalue(B101,$B$2)</f>
        <v>106.2025</v>
      </c>
      <c r="Q101" s="187">
        <f t="shared" ca="1" si="6"/>
        <v>18.302299851698407</v>
      </c>
      <c r="R101" s="187" t="str">
        <f ca="1">[1]!b_rate_latestcredit(B101)</f>
        <v>AA+</v>
      </c>
      <c r="S101" s="187">
        <f ca="1">[1]!cb_info_outstandingbalance(B101,$B$2)</f>
        <v>22.462</v>
      </c>
      <c r="T101" s="187">
        <f ca="1">[1]!cb_info_issueamount(B101,100000000)</f>
        <v>23</v>
      </c>
      <c r="U101" s="187">
        <f t="shared" ca="1" si="7"/>
        <v>97.660869565217382</v>
      </c>
      <c r="V101" s="240">
        <f ca="1">IF([1]!cb_anal_ldiluterate(B101,$B$2)=100,"-",[1]!cb_anal_ldiluterate(B101,$B$2))</f>
        <v>12.851140935799254</v>
      </c>
      <c r="W101" s="188" t="str">
        <f ca="1">[1]!cb_info_listeddate(B101)</f>
        <v>2018-12-10</v>
      </c>
      <c r="X101" s="188" t="str">
        <f ca="1">[1]!cb_info_carrydate(B101)</f>
        <v>2018-11-21</v>
      </c>
      <c r="Y101" s="186" t="str">
        <f ca="1">[1]!cb_clause_conversion_2_swapsharestartdate(B101)</f>
        <v>2019-05-27</v>
      </c>
      <c r="Z101" s="186" t="str">
        <f ca="1">[1]!cb_clause_putoption_conditionalputbackstartenddate(B101)</f>
        <v>2022-11-21</v>
      </c>
      <c r="AA101" s="240">
        <f ca="1">[1]!cb_info_maturitycallprice(B101)</f>
        <v>113</v>
      </c>
      <c r="AB101" s="240">
        <f ca="1">IF(ISNUMBER([1]!cb_info_conditionalputprice(B101)),[1]!cb_info_conditionalputprice(B101),"-")</f>
        <v>100.17</v>
      </c>
      <c r="AC101" s="240">
        <f ca="1">[1]!cb_info_interest(B101)</f>
        <v>0.4</v>
      </c>
      <c r="AD101" s="262" t="str">
        <f ca="1">IFERROR(couponlist([1]!cb_clause_interest(B101,"4")),"-")</f>
        <v>0.4%，0.6%，1.0%，1.5%，2.0%，3.0%</v>
      </c>
      <c r="AE101" s="189"/>
      <c r="AF101" s="189"/>
      <c r="AG101" s="189"/>
      <c r="AH101" s="189"/>
      <c r="AI101" s="189"/>
      <c r="AJ101" s="189"/>
      <c r="AK101" s="189"/>
      <c r="AL101" s="189"/>
      <c r="AM101" s="189"/>
      <c r="AN101" s="189"/>
      <c r="AO101" s="189"/>
      <c r="AP101" s="189"/>
      <c r="AQ101" s="189"/>
    </row>
    <row r="102" spans="1:43" s="130" customFormat="1" x14ac:dyDescent="0.35">
      <c r="A102" s="121" t="s">
        <v>0</v>
      </c>
      <c r="B102" s="121" t="s">
        <v>298</v>
      </c>
      <c r="C102" s="121" t="s">
        <v>299</v>
      </c>
      <c r="D102" s="236" t="str">
        <f ca="1">IF([1]!s_info_industry_sw(B102,1)=0,"-",[1]!s_info_industry_sw(B102,1))</f>
        <v>轻工制造</v>
      </c>
      <c r="E102" s="122" t="str">
        <f ca="1">[1]!cb_info_underlyingcode(B102)</f>
        <v>603165.SH</v>
      </c>
      <c r="F102" s="124">
        <f ca="1">RTD("wdf.rtq",,B102,"LastPrice","Dirty_Price")</f>
        <v>131.89000000000001</v>
      </c>
      <c r="G102" s="124">
        <f ca="1">RTD("wdf.rtq",,E102,"LastPrice")</f>
        <v>13.18</v>
      </c>
      <c r="H102" s="226">
        <f ca="1">RTD("wdf.rtq",,B102,"PctChg","RT_Price")/100</f>
        <v>2.1500000000000005E-2</v>
      </c>
      <c r="I102" s="226">
        <f ca="1">RTD("wdf.rtq",,E102,"PctChg")/100</f>
        <v>3.9400000000000004E-2</v>
      </c>
      <c r="J102" s="125">
        <f ca="1">_xlfn.IFNA([1]!b_anal_ptmyear(B102,$B$2),"未发行或发行失败")</f>
        <v>3.8712328767123285</v>
      </c>
      <c r="K102" s="125">
        <f ca="1">RTD("wdf.rtq",,B102,"Amount","Dirty_Price")/100000000</f>
        <v>0.11964975999999999</v>
      </c>
      <c r="L102" s="125">
        <f ca="1">[1]!cb_anal_convprice(B102,$B$2)</f>
        <v>10.84</v>
      </c>
      <c r="M102" s="125">
        <f t="shared" ca="1" si="4"/>
        <v>121.58671586715867</v>
      </c>
      <c r="N102" s="126">
        <f t="shared" ca="1" si="5"/>
        <v>8.4740212443095686</v>
      </c>
      <c r="O102" s="126">
        <f t="array" aca="1" ref="O102" ca="1">_xlfn.IFNA(RTD("wdf.rtq",,B102,"LastPrice","Yield_To_Maturity"),[1]!cb_anal_ytm(B102,$C$2))</f>
        <v>-3.6915</v>
      </c>
      <c r="P102" s="126">
        <f ca="1">[1]!cb_anal_straightbondvalue(B102,$B$2)</f>
        <v>90.275400000000005</v>
      </c>
      <c r="Q102" s="126">
        <f t="shared" ca="1" si="6"/>
        <v>46.097386441932144</v>
      </c>
      <c r="R102" s="126" t="str">
        <f ca="1">[1]!b_rate_latestcredit(B102)</f>
        <v>AA-</v>
      </c>
      <c r="S102" s="126">
        <f ca="1">[1]!cb_info_outstandingbalance(B102,$B$2)</f>
        <v>1.63192</v>
      </c>
      <c r="T102" s="126">
        <f ca="1">[1]!cb_info_issueamount(B102,100000000)</f>
        <v>3.3</v>
      </c>
      <c r="U102" s="126">
        <f t="shared" ca="1" si="7"/>
        <v>49.45212121212122</v>
      </c>
      <c r="V102" s="230">
        <f ca="1">IF([1]!cb_anal_ldiluterate(B102,$B$2)=100,"-",[1]!cb_anal_ldiluterate(B102,$B$2))</f>
        <v>5.4120686511482701</v>
      </c>
      <c r="W102" s="127" t="str">
        <f ca="1">[1]!cb_info_listeddate(B102)</f>
        <v>2019-08-13</v>
      </c>
      <c r="X102" s="127" t="str">
        <f ca="1">[1]!cb_info_carrydate(B102)</f>
        <v>2019-07-23</v>
      </c>
      <c r="Y102" s="125" t="str">
        <f ca="1">[1]!cb_clause_conversion_2_swapsharestartdate(B102)</f>
        <v>2020-02-03</v>
      </c>
      <c r="Z102" s="125" t="str">
        <f ca="1">[1]!cb_clause_putoption_conditionalputbackstartenddate(B102)</f>
        <v>2023-07-23</v>
      </c>
      <c r="AA102" s="230">
        <f ca="1">[1]!cb_info_maturitycallprice(B102)</f>
        <v>110</v>
      </c>
      <c r="AB102" s="230">
        <f ca="1">IF(ISNUMBER([1]!cb_info_conditionalputprice(B102)),[1]!cb_info_conditionalputprice(B102),"-")</f>
        <v>0</v>
      </c>
      <c r="AC102" s="230">
        <f ca="1">[1]!cb_info_interest(B102)</f>
        <v>0.5</v>
      </c>
      <c r="AD102" s="263" t="str">
        <f ca="1">IFERROR(couponlist([1]!cb_clause_interest(B102,"4")),"-")</f>
        <v>0.50%，0.70%，1.00%，1.50%，1.80%，2.00%</v>
      </c>
      <c r="AE102" s="129"/>
      <c r="AF102" s="129"/>
      <c r="AG102" s="129"/>
      <c r="AH102" s="129"/>
      <c r="AI102" s="129"/>
      <c r="AJ102" s="129"/>
      <c r="AK102" s="129"/>
      <c r="AL102" s="129"/>
      <c r="AM102" s="129"/>
      <c r="AN102" s="129"/>
      <c r="AO102" s="129"/>
      <c r="AP102" s="129"/>
      <c r="AQ102" s="129"/>
    </row>
    <row r="103" spans="1:43" s="191" customFormat="1" x14ac:dyDescent="0.35">
      <c r="A103" s="182" t="s">
        <v>5</v>
      </c>
      <c r="B103" s="182" t="s">
        <v>28</v>
      </c>
      <c r="C103" s="182" t="s">
        <v>29</v>
      </c>
      <c r="D103" s="235" t="str">
        <f ca="1">IF([1]!s_info_industry_sw(B103,1)=0,"-",[1]!s_info_industry_sw(B103,1))</f>
        <v>轻工制造</v>
      </c>
      <c r="E103" s="183" t="str">
        <f ca="1">[1]!cb_info_underlyingcode(B103)</f>
        <v>002067.SZ</v>
      </c>
      <c r="F103" s="185">
        <f ca="1">RTD("wdf.rtq",,B103,"LastPrice","Dirty_Price")</f>
        <v>124.09</v>
      </c>
      <c r="G103" s="185">
        <f ca="1">RTD("wdf.rtq",,E103,"LastPrice")</f>
        <v>3.99</v>
      </c>
      <c r="H103" s="225">
        <f ca="1">RTD("wdf.rtq",,B103,"PctChg","RT_Price")/100</f>
        <v>1.6400000000000001E-2</v>
      </c>
      <c r="I103" s="225">
        <f ca="1">RTD("wdf.rtq",,E103,"PctChg")/100</f>
        <v>2.0500000000000004E-2</v>
      </c>
      <c r="J103" s="186">
        <f ca="1">_xlfn.IFNA([1]!b_anal_ptmyear(B103,$B$2),"未发行或发行失败")</f>
        <v>4.978082191780822</v>
      </c>
      <c r="K103" s="186">
        <f ca="1">RTD("wdf.rtq",,B103,"Amount","Dirty_Price")/100000000</f>
        <v>0.10586538</v>
      </c>
      <c r="L103" s="186">
        <f ca="1">[1]!cb_anal_convprice(B103,$B$2)</f>
        <v>3.4</v>
      </c>
      <c r="M103" s="186">
        <f t="shared" ca="1" si="4"/>
        <v>117.35294117647059</v>
      </c>
      <c r="N103" s="187">
        <f t="shared" ca="1" si="5"/>
        <v>5.7408521303258055</v>
      </c>
      <c r="O103" s="187">
        <f t="array" aca="1" ref="O103" ca="1">_xlfn.IFNA(RTD("wdf.rtq",,B103,"LastPrice","Yield_To_Maturity"),[1]!cb_anal_ytm(B103,$C$2))</f>
        <v>-1.5773000000000001</v>
      </c>
      <c r="P103" s="187">
        <f ca="1">[1]!cb_anal_straightbondvalue(B103,$B$2)</f>
        <v>93.278800000000004</v>
      </c>
      <c r="Q103" s="187">
        <f t="shared" ca="1" si="6"/>
        <v>33.031299716548659</v>
      </c>
      <c r="R103" s="187" t="str">
        <f ca="1">[1]!b_rate_latestcredit(B103)</f>
        <v>AA</v>
      </c>
      <c r="S103" s="187">
        <f ca="1">[1]!cb_info_outstandingbalance(B103,$B$2)</f>
        <v>10.650347</v>
      </c>
      <c r="T103" s="187">
        <f ca="1">[1]!cb_info_issueamount(B103,100000000)</f>
        <v>12.8</v>
      </c>
      <c r="U103" s="187">
        <f t="shared" ca="1" si="7"/>
        <v>83.205835937499984</v>
      </c>
      <c r="V103" s="240">
        <f ca="1">IF([1]!cb_anal_ldiluterate(B103,$B$2)=100,"-",[1]!cb_anal_ldiluterate(B103,$B$2))</f>
        <v>23.203160154178125</v>
      </c>
      <c r="W103" s="188" t="str">
        <f ca="1">[1]!cb_info_listeddate(B103)</f>
        <v>2020-09-18</v>
      </c>
      <c r="X103" s="188" t="str">
        <f ca="1">[1]!cb_info_carrydate(B103)</f>
        <v>2020-08-31</v>
      </c>
      <c r="Y103" s="186" t="str">
        <f ca="1">[1]!cb_clause_conversion_2_swapsharestartdate(B103)</f>
        <v>2021-03-04</v>
      </c>
      <c r="Z103" s="186" t="str">
        <f ca="1">[1]!cb_clause_putoption_conditionalputbackstartenddate(B103)</f>
        <v>2024-08-31</v>
      </c>
      <c r="AA103" s="240">
        <f ca="1">[1]!cb_info_maturitycallprice(B103)</f>
        <v>110</v>
      </c>
      <c r="AB103" s="240">
        <f ca="1">IF(ISNUMBER([1]!cb_info_conditionalputprice(B103)),[1]!cb_info_conditionalputprice(B103),"-")</f>
        <v>0</v>
      </c>
      <c r="AC103" s="240">
        <f ca="1">[1]!cb_info_interest(B103)</f>
        <v>0.3</v>
      </c>
      <c r="AD103" s="262" t="str">
        <f ca="1">IFERROR(couponlist([1]!cb_clause_interest(B103,"4")),"-")</f>
        <v>0.3%，0.5%，1.0%，1.5%，1.8%，2.0%</v>
      </c>
      <c r="AE103" s="189"/>
      <c r="AF103" s="189"/>
      <c r="AG103" s="189"/>
      <c r="AH103" s="189"/>
      <c r="AI103" s="189"/>
      <c r="AJ103" s="189"/>
      <c r="AK103" s="189"/>
      <c r="AL103" s="189"/>
      <c r="AM103" s="189"/>
      <c r="AN103" s="189"/>
      <c r="AO103" s="189"/>
      <c r="AP103" s="189"/>
      <c r="AQ103" s="189"/>
    </row>
    <row r="104" spans="1:43" s="130" customFormat="1" x14ac:dyDescent="0.35">
      <c r="A104" s="121" t="s">
        <v>0</v>
      </c>
      <c r="B104" s="121" t="s">
        <v>196</v>
      </c>
      <c r="C104" s="121" t="s">
        <v>197</v>
      </c>
      <c r="D104" s="236" t="str">
        <f ca="1">IF([1]!s_info_industry_sw(B104,1)=0,"-",[1]!s_info_industry_sw(B104,1))</f>
        <v>轻工制造</v>
      </c>
      <c r="E104" s="122" t="str">
        <f ca="1">[1]!cb_info_underlyingcode(B104)</f>
        <v>603499.SH</v>
      </c>
      <c r="F104" s="124">
        <f ca="1">RTD("wdf.rtq",,B104,"LastPrice","Dirty_Price")</f>
        <v>112.54</v>
      </c>
      <c r="G104" s="124">
        <f ca="1">RTD("wdf.rtq",,E104,"LastPrice")</f>
        <v>7.47</v>
      </c>
      <c r="H104" s="226">
        <f ca="1">RTD("wdf.rtq",,B104,"PctChg","RT_Price")/100</f>
        <v>9.0000000000000008E-4</v>
      </c>
      <c r="I104" s="226">
        <f ca="1">RTD("wdf.rtq",,E104,"PctChg")/100</f>
        <v>-1.4500000000000002E-2</v>
      </c>
      <c r="J104" s="125">
        <f ca="1">_xlfn.IFNA([1]!b_anal_ptmyear(B104,$B$2),"未发行或发行失败")</f>
        <v>4.4739726027397264</v>
      </c>
      <c r="K104" s="125">
        <f ca="1">RTD("wdf.rtq",,B104,"Amount","Dirty_Price")/100000000</f>
        <v>1.108836E-2</v>
      </c>
      <c r="L104" s="125">
        <f ca="1">[1]!cb_anal_convprice(B104,$B$2)</f>
        <v>10.77</v>
      </c>
      <c r="M104" s="125">
        <f t="shared" ca="1" si="4"/>
        <v>69.359331476323121</v>
      </c>
      <c r="N104" s="126">
        <f t="shared" ca="1" si="5"/>
        <v>62.256465863453826</v>
      </c>
      <c r="O104" s="126">
        <f t="array" aca="1" ref="O104" ca="1">_xlfn.IFNA(RTD("wdf.rtq",,B104,"LastPrice","Yield_To_Maturity"),[1]!cb_anal_ytm(B104,$C$2))</f>
        <v>2.2441</v>
      </c>
      <c r="P104" s="126">
        <f ca="1">[1]!cb_anal_straightbondvalue(B104,$B$2)</f>
        <v>85.986999999999995</v>
      </c>
      <c r="Q104" s="126">
        <f t="shared" ca="1" si="6"/>
        <v>30.880249340016519</v>
      </c>
      <c r="R104" s="126" t="str">
        <f ca="1">[1]!b_rate_latestcredit(B104)</f>
        <v>A+</v>
      </c>
      <c r="S104" s="126">
        <f ca="1">[1]!cb_info_outstandingbalance(B104,$B$2)</f>
        <v>1.6141700000000001</v>
      </c>
      <c r="T104" s="126">
        <f ca="1">[1]!cb_info_issueamount(B104,100000000)</f>
        <v>2</v>
      </c>
      <c r="U104" s="126">
        <f t="shared" ca="1" si="7"/>
        <v>80.708500000000001</v>
      </c>
      <c r="V104" s="230">
        <f ca="1">IF([1]!cb_anal_ldiluterate(B104,$B$2)=100,"-",[1]!cb_anal_ldiluterate(B104,$B$2))</f>
        <v>6.9362648899729056</v>
      </c>
      <c r="W104" s="127" t="str">
        <f ca="1">[1]!cb_info_listeddate(B104)</f>
        <v>2020-03-31</v>
      </c>
      <c r="X104" s="127" t="str">
        <f ca="1">[1]!cb_info_carrydate(B104)</f>
        <v>2020-02-28</v>
      </c>
      <c r="Y104" s="125" t="str">
        <f ca="1">[1]!cb_clause_conversion_2_swapsharestartdate(B104)</f>
        <v>2020-09-07</v>
      </c>
      <c r="Z104" s="125" t="str">
        <f ca="1">[1]!cb_clause_putoption_conditionalputbackstartenddate(B104)</f>
        <v>2024-02-28</v>
      </c>
      <c r="AA104" s="230">
        <f ca="1">[1]!cb_info_maturitycallprice(B104)</f>
        <v>118</v>
      </c>
      <c r="AB104" s="230">
        <f ca="1">IF(ISNUMBER([1]!cb_info_conditionalputprice(B104)),[1]!cb_info_conditionalputprice(B104),"-")</f>
        <v>0</v>
      </c>
      <c r="AC104" s="230">
        <f ca="1">[1]!cb_info_interest(B104)</f>
        <v>0.5</v>
      </c>
      <c r="AD104" s="263" t="str">
        <f ca="1">IFERROR(couponlist([1]!cb_clause_interest(B104,"4")),"-")</f>
        <v>0.5%，0.8%，1.2%，1.8%，2.2%，2.8%</v>
      </c>
      <c r="AE104" s="129"/>
      <c r="AF104" s="129"/>
      <c r="AG104" s="129"/>
      <c r="AH104" s="129"/>
      <c r="AI104" s="129"/>
      <c r="AJ104" s="129"/>
      <c r="AK104" s="129"/>
      <c r="AL104" s="129"/>
      <c r="AM104" s="129"/>
      <c r="AN104" s="129"/>
      <c r="AO104" s="129"/>
      <c r="AP104" s="129"/>
      <c r="AQ104" s="129"/>
    </row>
    <row r="105" spans="1:43" s="191" customFormat="1" x14ac:dyDescent="0.35">
      <c r="A105" s="182" t="s">
        <v>5</v>
      </c>
      <c r="B105" s="182" t="s">
        <v>401</v>
      </c>
      <c r="C105" s="182" t="s">
        <v>402</v>
      </c>
      <c r="D105" s="235" t="str">
        <f ca="1">IF([1]!s_info_industry_sw(B105,1)=0,"-",[1]!s_info_industry_sw(B105,1))</f>
        <v>轻工制造</v>
      </c>
      <c r="E105" s="183" t="str">
        <f ca="1">[1]!cb_info_underlyingcode(B105)</f>
        <v>002615.SZ</v>
      </c>
      <c r="F105" s="185">
        <f ca="1">RTD("wdf.rtq",,B105,"LastPrice","Dirty_Price")</f>
        <v>119.06800000000001</v>
      </c>
      <c r="G105" s="185">
        <f ca="1">RTD("wdf.rtq",,E105,"LastPrice")</f>
        <v>5.5</v>
      </c>
      <c r="H105" s="225">
        <f ca="1">RTD("wdf.rtq",,B105,"PctChg","RT_Price")/100</f>
        <v>-5.1999999999999998E-3</v>
      </c>
      <c r="I105" s="225">
        <f ca="1">RTD("wdf.rtq",,E105,"PctChg")/100</f>
        <v>0</v>
      </c>
      <c r="J105" s="186">
        <f ca="1">_xlfn.IFNA([1]!b_anal_ptmyear(B105,$B$2),"未发行或发行失败")</f>
        <v>2.9534246575342467</v>
      </c>
      <c r="K105" s="186">
        <f ca="1">RTD("wdf.rtq",,B105,"Amount","Dirty_Price")/100000000</f>
        <v>1.356778E-2</v>
      </c>
      <c r="L105" s="186">
        <f ca="1">[1]!cb_anal_convprice(B105,$B$2)</f>
        <v>5.71</v>
      </c>
      <c r="M105" s="186">
        <f t="shared" ca="1" si="4"/>
        <v>96.322241681260948</v>
      </c>
      <c r="N105" s="187">
        <f t="shared" ca="1" si="5"/>
        <v>23.614232727272736</v>
      </c>
      <c r="O105" s="187">
        <f t="array" aca="1" ref="O105" ca="1">_xlfn.IFNA(RTD("wdf.rtq",,B105,"LastPrice","Yield_To_Maturity"),[1]!cb_anal_ytm(B105,$C$2))</f>
        <v>-1.3294000000000001</v>
      </c>
      <c r="P105" s="187">
        <f ca="1">[1]!cb_anal_straightbondvalue(B105,$B$2)</f>
        <v>96.262299999999996</v>
      </c>
      <c r="Q105" s="187">
        <f t="shared" ca="1" si="6"/>
        <v>23.691206214686346</v>
      </c>
      <c r="R105" s="187" t="str">
        <f ca="1">[1]!b_rate_latestcredit(B105)</f>
        <v>AA-</v>
      </c>
      <c r="S105" s="187">
        <f ca="1">[1]!cb_info_outstandingbalance(B105,$B$2)</f>
        <v>2.988359</v>
      </c>
      <c r="T105" s="187">
        <f ca="1">[1]!cb_info_issueamount(B105,100000000)</f>
        <v>3</v>
      </c>
      <c r="U105" s="187">
        <f t="shared" ca="1" si="7"/>
        <v>99.61196666666666</v>
      </c>
      <c r="V105" s="240">
        <f ca="1">IF([1]!cb_anal_ldiluterate(B105,$B$2)=100,"-",[1]!cb_anal_ldiluterate(B105,$B$2))</f>
        <v>18.478690635161993</v>
      </c>
      <c r="W105" s="188" t="str">
        <f ca="1">[1]!cb_info_listeddate(B105)</f>
        <v>2019-09-11</v>
      </c>
      <c r="X105" s="188" t="str">
        <f ca="1">[1]!cb_info_carrydate(B105)</f>
        <v>2019-08-22</v>
      </c>
      <c r="Y105" s="186" t="str">
        <f ca="1">[1]!cb_clause_conversion_2_swapsharestartdate(B105)</f>
        <v>2020-02-28</v>
      </c>
      <c r="Z105" s="186" t="str">
        <f ca="1">[1]!cb_clause_putoption_conditionalputbackstartenddate(B105)</f>
        <v>2022-08-22</v>
      </c>
      <c r="AA105" s="240">
        <f ca="1">[1]!cb_info_maturitycallprice(B105)</f>
        <v>112</v>
      </c>
      <c r="AB105" s="240">
        <f ca="1">IF(ISNUMBER([1]!cb_info_conditionalputprice(B105)),[1]!cb_info_conditionalputprice(B105),"-")</f>
        <v>0</v>
      </c>
      <c r="AC105" s="240">
        <f ca="1">[1]!cb_info_interest(B105)</f>
        <v>0.4</v>
      </c>
      <c r="AD105" s="262" t="str">
        <f ca="1">IFERROR(couponlist([1]!cb_clause_interest(B105,"4")),"-")</f>
        <v>0.4%，0.8%，1.0%，1.5%，2.5%</v>
      </c>
      <c r="AE105" s="189"/>
      <c r="AF105" s="189"/>
      <c r="AG105" s="189"/>
      <c r="AH105" s="189"/>
      <c r="AI105" s="189"/>
      <c r="AJ105" s="189"/>
      <c r="AK105" s="189"/>
      <c r="AL105" s="189"/>
      <c r="AM105" s="189"/>
      <c r="AN105" s="189"/>
      <c r="AO105" s="189"/>
      <c r="AP105" s="189"/>
      <c r="AQ105" s="189"/>
    </row>
    <row r="106" spans="1:43" s="130" customFormat="1" x14ac:dyDescent="0.35">
      <c r="A106" s="121" t="s">
        <v>5</v>
      </c>
      <c r="B106" s="121" t="s">
        <v>842</v>
      </c>
      <c r="C106" s="121" t="s">
        <v>843</v>
      </c>
      <c r="D106" s="236" t="str">
        <f ca="1">IF([1]!s_info_industry_sw(B106,1)=0,"-",[1]!s_info_industry_sw(B106,1))</f>
        <v>轻工制造</v>
      </c>
      <c r="E106" s="122" t="str">
        <f ca="1">[1]!cb_info_underlyingcode(B106)</f>
        <v>300651.SZ</v>
      </c>
      <c r="F106" s="124">
        <f ca="1">RTD("wdf.rtq",,B106,"LastPrice","Dirty_Price")</f>
        <v>122.697</v>
      </c>
      <c r="G106" s="124">
        <f ca="1">RTD("wdf.rtq",,E106,"LastPrice")</f>
        <v>32.03</v>
      </c>
      <c r="H106" s="226">
        <f ca="1">RTD("wdf.rtq",,B106,"PctChg","RT_Price")/100</f>
        <v>-1.2000000000000001E-3</v>
      </c>
      <c r="I106" s="226">
        <f ca="1">RTD("wdf.rtq",,E106,"PctChg")/100</f>
        <v>-8.4000000000000012E-3</v>
      </c>
      <c r="J106" s="125">
        <f ca="1">_xlfn.IFNA([1]!b_anal_ptmyear(B106,$B$2),"未发行或发行失败")</f>
        <v>5.3643835616438356</v>
      </c>
      <c r="K106" s="125">
        <f ca="1">RTD("wdf.rtq",,B106,"Amount","Dirty_Price")/100000000</f>
        <v>0.33193471000000002</v>
      </c>
      <c r="L106" s="125">
        <f ca="1">[1]!cb_anal_convprice(B106,$B$2)</f>
        <v>49.19</v>
      </c>
      <c r="M106" s="125">
        <f t="shared" ca="1" si="4"/>
        <v>65.114860744053672</v>
      </c>
      <c r="N106" s="126">
        <f t="shared" ca="1" si="5"/>
        <v>88.431640024976588</v>
      </c>
      <c r="O106" s="126">
        <f t="array" aca="1" ref="O106" ca="1">_xlfn.IFNA(RTD("wdf.rtq",,B106,"LastPrice","Yield_To_Maturity"),[1]!cb_anal_ytm(B106,$C$2))</f>
        <v>1.0112000000000001</v>
      </c>
      <c r="P106" s="126">
        <f ca="1">[1]!cb_anal_straightbondvalue(B106,$B$2)</f>
        <v>82.964799999999997</v>
      </c>
      <c r="Q106" s="126">
        <f t="shared" ca="1" si="6"/>
        <v>47.890430640464416</v>
      </c>
      <c r="R106" s="126" t="str">
        <f ca="1">[1]!b_rate_latestcredit(B106)</f>
        <v>A+</v>
      </c>
      <c r="S106" s="126">
        <f ca="1">[1]!cb_info_outstandingbalance(B106,$B$2)</f>
        <v>2.4998629999999999</v>
      </c>
      <c r="T106" s="126">
        <f ca="1">[1]!cb_info_issueamount(B106,100000000)</f>
        <v>2.5</v>
      </c>
      <c r="U106" s="126">
        <f t="shared" ca="1" si="7"/>
        <v>99.994519999999994</v>
      </c>
      <c r="V106" s="230">
        <f ca="1">IF([1]!cb_anal_ldiluterate(B106,$B$2)=100,"-",[1]!cb_anal_ldiluterate(B106,$B$2))</f>
        <v>6.5336124119087442</v>
      </c>
      <c r="W106" s="127" t="str">
        <f ca="1">[1]!cb_info_listeddate(B106)</f>
        <v>2021-02-18</v>
      </c>
      <c r="X106" s="127" t="str">
        <f ca="1">[1]!cb_info_carrydate(B106)</f>
        <v>2021-01-19</v>
      </c>
      <c r="Y106" s="125" t="str">
        <f ca="1">[1]!cb_clause_conversion_2_swapsharestartdate(B106)</f>
        <v>2021-07-26</v>
      </c>
      <c r="Z106" s="125" t="str">
        <f ca="1">[1]!cb_clause_putoption_conditionalputbackstartenddate(B106)</f>
        <v>2025-01-19</v>
      </c>
      <c r="AA106" s="230">
        <f ca="1">[1]!cb_info_maturitycallprice(B106)</f>
        <v>120</v>
      </c>
      <c r="AB106" s="230">
        <f ca="1">IF(ISNUMBER([1]!cb_info_conditionalputprice(B106)),[1]!cb_info_conditionalputprice(B106),"-")</f>
        <v>0</v>
      </c>
      <c r="AC106" s="230">
        <f ca="1">[1]!cb_info_interest(B106)</f>
        <v>0.5</v>
      </c>
      <c r="AD106" s="263" t="str">
        <f ca="1">IFERROR(couponlist([1]!cb_clause_interest(B106,"4")),"-")</f>
        <v>0.5%，0.8%，1.5%，3.0%，3.5%，4.0%</v>
      </c>
      <c r="AE106" s="129"/>
      <c r="AF106" s="129"/>
      <c r="AG106" s="129"/>
      <c r="AH106" s="129"/>
      <c r="AI106" s="129"/>
      <c r="AJ106" s="129"/>
      <c r="AK106" s="129"/>
      <c r="AL106" s="129"/>
      <c r="AM106" s="129"/>
      <c r="AN106" s="129"/>
      <c r="AO106" s="129"/>
      <c r="AP106" s="129"/>
      <c r="AQ106" s="129"/>
    </row>
    <row r="107" spans="1:43" s="191" customFormat="1" x14ac:dyDescent="0.35">
      <c r="A107" s="182" t="s">
        <v>5</v>
      </c>
      <c r="B107" s="182" t="s">
        <v>332</v>
      </c>
      <c r="C107" s="182" t="s">
        <v>333</v>
      </c>
      <c r="D107" s="235" t="str">
        <f ca="1">IF([1]!s_info_industry_sw(B107,1)=0,"-",[1]!s_info_industry_sw(B107,1))</f>
        <v>轻工制造</v>
      </c>
      <c r="E107" s="183" t="str">
        <f ca="1">[1]!cb_info_underlyingcode(B107)</f>
        <v>002631.SZ</v>
      </c>
      <c r="F107" s="185">
        <f ca="1">RTD("wdf.rtq",,B107,"LastPrice","Dirty_Price")</f>
        <v>122.631</v>
      </c>
      <c r="G107" s="185">
        <f ca="1">RTD("wdf.rtq",,E107,"LastPrice")</f>
        <v>9.41</v>
      </c>
      <c r="H107" s="225">
        <f ca="1">RTD("wdf.rtq",,B107,"PctChg","RT_Price")/100</f>
        <v>8.0999999999999996E-3</v>
      </c>
      <c r="I107" s="225">
        <f ca="1">RTD("wdf.rtq",,E107,"PctChg")/100</f>
        <v>3.2000000000000002E-3</v>
      </c>
      <c r="J107" s="186">
        <f ca="1">_xlfn.IFNA([1]!b_anal_ptmyear(B107,$B$2),"未发行或发行失败")</f>
        <v>3.5671232876712331</v>
      </c>
      <c r="K107" s="186">
        <f ca="1">RTD("wdf.rtq",,B107,"Amount","Dirty_Price")/100000000</f>
        <v>1.0441795599999999</v>
      </c>
      <c r="L107" s="186">
        <f ca="1">[1]!cb_anal_convprice(B107,$B$2)</f>
        <v>8.6</v>
      </c>
      <c r="M107" s="186">
        <f t="shared" ca="1" si="4"/>
        <v>109.41860465116279</v>
      </c>
      <c r="N107" s="187">
        <f t="shared" ca="1" si="5"/>
        <v>12.075090329436762</v>
      </c>
      <c r="O107" s="187">
        <f t="array" aca="1" ref="O107" ca="1">_xlfn.IFNA(RTD("wdf.rtq",,B107,"LastPrice","Yield_To_Maturity"),[1]!cb_anal_ytm(B107,$C$2))</f>
        <v>1.1304000000000001</v>
      </c>
      <c r="P107" s="187">
        <f ca="1">[1]!cb_anal_straightbondvalue(B107,$B$2)</f>
        <v>103.07429999999999</v>
      </c>
      <c r="Q107" s="187">
        <f t="shared" ca="1" si="6"/>
        <v>18.973400741018864</v>
      </c>
      <c r="R107" s="187" t="str">
        <f ca="1">[1]!b_rate_latestcredit(B107)</f>
        <v>AA-</v>
      </c>
      <c r="S107" s="187">
        <f ca="1">[1]!cb_info_outstandingbalance(B107,$B$2)</f>
        <v>6.2936360000000002</v>
      </c>
      <c r="T107" s="187">
        <f ca="1">[1]!cb_info_issueamount(B107,100000000)</f>
        <v>6.3</v>
      </c>
      <c r="U107" s="187">
        <f t="shared" ca="1" si="7"/>
        <v>99.898984126984132</v>
      </c>
      <c r="V107" s="240">
        <f ca="1">IF([1]!cb_anal_ldiluterate(B107,$B$2)=100,"-",[1]!cb_anal_ldiluterate(B107,$B$2))</f>
        <v>10.059889221195135</v>
      </c>
      <c r="W107" s="188" t="str">
        <f ca="1">[1]!cb_info_listeddate(B107)</f>
        <v>2019-04-24</v>
      </c>
      <c r="X107" s="188" t="str">
        <f ca="1">[1]!cb_info_carrydate(B107)</f>
        <v>2019-04-03</v>
      </c>
      <c r="Y107" s="186" t="str">
        <f ca="1">[1]!cb_clause_conversion_2_swapsharestartdate(B107)</f>
        <v>2019-10-11</v>
      </c>
      <c r="Z107" s="186" t="str">
        <f ca="1">[1]!cb_clause_putoption_conditionalputbackstartenddate(B107)</f>
        <v>2024-04-03</v>
      </c>
      <c r="AA107" s="240">
        <f ca="1">[1]!cb_info_maturitycallprice(B107)</f>
        <v>120</v>
      </c>
      <c r="AB107" s="240">
        <f ca="1">IF(ISNUMBER([1]!cb_info_conditionalputprice(B107)),[1]!cb_info_conditionalputprice(B107),"-")</f>
        <v>0</v>
      </c>
      <c r="AC107" s="240">
        <f ca="1">[1]!cb_info_interest(B107)</f>
        <v>0.5</v>
      </c>
      <c r="AD107" s="262" t="str">
        <f ca="1">IFERROR(couponlist([1]!cb_clause_interest(B107,"4")),"-")</f>
        <v>0.5%，0.7%，1.5%，2.5%，3.5%，4.0%</v>
      </c>
      <c r="AE107" s="189"/>
      <c r="AF107" s="189"/>
      <c r="AG107" s="189"/>
      <c r="AH107" s="189"/>
      <c r="AI107" s="189"/>
      <c r="AJ107" s="189"/>
      <c r="AK107" s="189"/>
      <c r="AL107" s="189"/>
      <c r="AM107" s="189"/>
      <c r="AN107" s="189"/>
      <c r="AO107" s="189"/>
      <c r="AP107" s="189"/>
      <c r="AQ107" s="189"/>
    </row>
    <row r="108" spans="1:43" s="130" customFormat="1" x14ac:dyDescent="0.35">
      <c r="A108" s="121" t="s">
        <v>5</v>
      </c>
      <c r="B108" s="121" t="s">
        <v>388</v>
      </c>
      <c r="C108" s="121" t="s">
        <v>389</v>
      </c>
      <c r="D108" s="236" t="str">
        <f ca="1">IF([1]!s_info_industry_sw(B108,1)=0,"-",[1]!s_info_industry_sw(B108,1))</f>
        <v>轻工制造</v>
      </c>
      <c r="E108" s="122" t="str">
        <f ca="1">[1]!cb_info_underlyingcode(B108)</f>
        <v>002787.SZ</v>
      </c>
      <c r="F108" s="124">
        <f ca="1">RTD("wdf.rtq",,B108,"LastPrice","Dirty_Price")</f>
        <v>109.19800000000001</v>
      </c>
      <c r="G108" s="124">
        <f ca="1">RTD("wdf.rtq",,E108,"LastPrice")</f>
        <v>5.88</v>
      </c>
      <c r="H108" s="226">
        <f ca="1">RTD("wdf.rtq",,B108,"PctChg","RT_Price")/100</f>
        <v>4.5999999999999999E-3</v>
      </c>
      <c r="I108" s="226">
        <f ca="1">RTD("wdf.rtq",,E108,"PctChg")/100</f>
        <v>1.3800000000000002E-2</v>
      </c>
      <c r="J108" s="125">
        <f ca="1">_xlfn.IFNA([1]!b_anal_ptmyear(B108,$B$2),"未发行或发行失败")</f>
        <v>3.2191780821917808</v>
      </c>
      <c r="K108" s="125">
        <f ca="1">RTD("wdf.rtq",,B108,"Amount","Dirty_Price")/100000000</f>
        <v>2.005933E-2</v>
      </c>
      <c r="L108" s="125">
        <f ca="1">[1]!cb_anal_convprice(B108,$B$2)</f>
        <v>7.37</v>
      </c>
      <c r="M108" s="125">
        <f t="shared" ca="1" si="4"/>
        <v>79.782903663500676</v>
      </c>
      <c r="N108" s="126">
        <f t="shared" ca="1" si="5"/>
        <v>36.868921768707509</v>
      </c>
      <c r="O108" s="126">
        <f t="array" aca="1" ref="O108" ca="1">_xlfn.IFNA(RTD("wdf.rtq",,B108,"LastPrice","Yield_To_Maturity"),[1]!cb_anal_ytm(B108,$C$2))</f>
        <v>1.5174000000000001</v>
      </c>
      <c r="P108" s="126">
        <f ca="1">[1]!cb_anal_straightbondvalue(B108,$B$2)</f>
        <v>94.742599999999996</v>
      </c>
      <c r="Q108" s="126">
        <f t="shared" ca="1" si="6"/>
        <v>15.257550457766641</v>
      </c>
      <c r="R108" s="126" t="str">
        <f ca="1">[1]!b_rate_latestcredit(B108)</f>
        <v>AA-</v>
      </c>
      <c r="S108" s="126">
        <f ca="1">[1]!cb_info_outstandingbalance(B108,$B$2)</f>
        <v>3.631589</v>
      </c>
      <c r="T108" s="126">
        <f ca="1">[1]!cb_info_issueamount(B108,100000000)</f>
        <v>4</v>
      </c>
      <c r="U108" s="126">
        <f t="shared" ca="1" si="7"/>
        <v>90.789725000000004</v>
      </c>
      <c r="V108" s="230">
        <f ca="1">IF([1]!cb_anal_ldiluterate(B108,$B$2)=100,"-",[1]!cb_anal_ldiluterate(B108,$B$2))</f>
        <v>21.598037175892873</v>
      </c>
      <c r="W108" s="127" t="str">
        <f ca="1">[1]!cb_info_listeddate(B108)</f>
        <v>2018-12-20</v>
      </c>
      <c r="X108" s="127" t="str">
        <f ca="1">[1]!cb_info_carrydate(B108)</f>
        <v>2018-11-27</v>
      </c>
      <c r="Y108" s="125" t="str">
        <f ca="1">[1]!cb_clause_conversion_2_swapsharestartdate(B108)</f>
        <v>2019-06-03</v>
      </c>
      <c r="Z108" s="125" t="str">
        <f ca="1">[1]!cb_clause_putoption_conditionalputbackstartenddate(B108)</f>
        <v>2022-11-27</v>
      </c>
      <c r="AA108" s="230">
        <f ca="1">[1]!cb_info_maturitycallprice(B108)</f>
        <v>110</v>
      </c>
      <c r="AB108" s="230">
        <f ca="1">IF(ISNUMBER([1]!cb_info_conditionalputprice(B108)),[1]!cb_info_conditionalputprice(B108),"-")</f>
        <v>0</v>
      </c>
      <c r="AC108" s="230">
        <f ca="1">[1]!cb_info_interest(B108)</f>
        <v>0.5</v>
      </c>
      <c r="AD108" s="263" t="str">
        <f ca="1">IFERROR(couponlist([1]!cb_clause_interest(B108,"4")),"-")</f>
        <v>0.5%，0.7%，1.0%，1.5%，2.0%，3.0%</v>
      </c>
      <c r="AE108" s="129"/>
      <c r="AF108" s="129"/>
      <c r="AG108" s="129"/>
      <c r="AH108" s="129"/>
      <c r="AI108" s="129"/>
      <c r="AJ108" s="129"/>
      <c r="AK108" s="129"/>
      <c r="AL108" s="129"/>
      <c r="AM108" s="129"/>
      <c r="AN108" s="129"/>
      <c r="AO108" s="129"/>
      <c r="AP108" s="129"/>
      <c r="AQ108" s="129"/>
    </row>
    <row r="109" spans="1:43" s="191" customFormat="1" x14ac:dyDescent="0.35">
      <c r="A109" s="182" t="s">
        <v>5</v>
      </c>
      <c r="B109" s="182" t="s">
        <v>292</v>
      </c>
      <c r="C109" s="182" t="s">
        <v>293</v>
      </c>
      <c r="D109" s="235" t="str">
        <f ca="1">IF([1]!s_info_industry_sw(B109,1)=0,"-",[1]!s_info_industry_sw(B109,1))</f>
        <v>轻工制造</v>
      </c>
      <c r="E109" s="183" t="str">
        <f ca="1">[1]!cb_info_underlyingcode(B109)</f>
        <v>002228.SZ</v>
      </c>
      <c r="F109" s="185">
        <f ca="1">RTD("wdf.rtq",,B109,"LastPrice","Dirty_Price")</f>
        <v>113</v>
      </c>
      <c r="G109" s="185">
        <f ca="1">RTD("wdf.rtq",,E109,"LastPrice")</f>
        <v>3.67</v>
      </c>
      <c r="H109" s="225">
        <f ca="1">RTD("wdf.rtq",,B109,"PctChg","RT_Price")/100</f>
        <v>4.3E-3</v>
      </c>
      <c r="I109" s="225">
        <f ca="1">RTD("wdf.rtq",,E109,"PctChg")/100</f>
        <v>5.5000000000000005E-3</v>
      </c>
      <c r="J109" s="186">
        <f ca="1">_xlfn.IFNA([1]!b_anal_ptmyear(B109,$B$2),"未发行或发行失败")</f>
        <v>3.9369863013698629</v>
      </c>
      <c r="K109" s="186">
        <f ca="1">RTD("wdf.rtq",,B109,"Amount","Dirty_Price")/100000000</f>
        <v>3.1164819999999999E-2</v>
      </c>
      <c r="L109" s="186">
        <f ca="1">[1]!cb_anal_convprice(B109,$B$2)</f>
        <v>4.18</v>
      </c>
      <c r="M109" s="186">
        <f t="shared" ca="1" si="4"/>
        <v>87.799043062200965</v>
      </c>
      <c r="N109" s="187">
        <f t="shared" ca="1" si="5"/>
        <v>28.702997275204353</v>
      </c>
      <c r="O109" s="187">
        <f t="array" aca="1" ref="O109" ca="1">_xlfn.IFNA(RTD("wdf.rtq",,B109,"LastPrice","Yield_To_Maturity"),[1]!cb_anal_ytm(B109,$C$2))</f>
        <v>0.29610000000000003</v>
      </c>
      <c r="P109" s="187">
        <f ca="1">[1]!cb_anal_straightbondvalue(B109,$B$2)</f>
        <v>97.96</v>
      </c>
      <c r="Q109" s="187">
        <f t="shared" ca="1" si="6"/>
        <v>15.353205389955093</v>
      </c>
      <c r="R109" s="187" t="str">
        <f ca="1">[1]!b_rate_latestcredit(B109)</f>
        <v>AA</v>
      </c>
      <c r="S109" s="187">
        <f ca="1">[1]!cb_info_outstandingbalance(B109,$B$2)</f>
        <v>2.9993660000000002</v>
      </c>
      <c r="T109" s="187">
        <f ca="1">[1]!cb_info_issueamount(B109,100000000)</f>
        <v>5.9574999999999996</v>
      </c>
      <c r="U109" s="187">
        <f t="shared" ca="1" si="7"/>
        <v>50.346051195971469</v>
      </c>
      <c r="V109" s="240">
        <f ca="1">IF([1]!cb_anal_ldiluterate(B109,$B$2)=100,"-",[1]!cb_anal_ldiluterate(B109,$B$2))</f>
        <v>5.4929724526428343</v>
      </c>
      <c r="W109" s="188" t="str">
        <f ca="1">[1]!cb_info_listeddate(B109)</f>
        <v>2019-09-16</v>
      </c>
      <c r="X109" s="188" t="str">
        <f ca="1">[1]!cb_info_carrydate(B109)</f>
        <v>2019-08-16</v>
      </c>
      <c r="Y109" s="186" t="str">
        <f ca="1">[1]!cb_clause_conversion_2_swapsharestartdate(B109)</f>
        <v>2020-02-24</v>
      </c>
      <c r="Z109" s="186" t="str">
        <f ca="1">[1]!cb_clause_putoption_conditionalputbackstartenddate(B109)</f>
        <v>2023-08-16</v>
      </c>
      <c r="AA109" s="240">
        <f ca="1">[1]!cb_info_maturitycallprice(B109)</f>
        <v>110</v>
      </c>
      <c r="AB109" s="240">
        <f ca="1">IF(ISNUMBER([1]!cb_info_conditionalputprice(B109)),[1]!cb_info_conditionalputprice(B109),"-")</f>
        <v>0</v>
      </c>
      <c r="AC109" s="240">
        <f ca="1">[1]!cb_info_interest(B109)</f>
        <v>0.3</v>
      </c>
      <c r="AD109" s="262" t="str">
        <f ca="1">IFERROR(couponlist([1]!cb_clause_interest(B109,"4")),"-")</f>
        <v>0.3%，0.5%，1.0%，1.50%，1.80%，2.0%</v>
      </c>
      <c r="AE109" s="189"/>
      <c r="AF109" s="189"/>
      <c r="AG109" s="189"/>
      <c r="AH109" s="189"/>
      <c r="AI109" s="189"/>
      <c r="AJ109" s="189"/>
      <c r="AK109" s="189"/>
      <c r="AL109" s="189"/>
      <c r="AM109" s="189"/>
      <c r="AN109" s="189"/>
      <c r="AO109" s="189"/>
      <c r="AP109" s="189"/>
      <c r="AQ109" s="189"/>
    </row>
    <row r="110" spans="1:43" s="130" customFormat="1" x14ac:dyDescent="0.35">
      <c r="A110" s="121" t="s">
        <v>0</v>
      </c>
      <c r="B110" s="121" t="s">
        <v>296</v>
      </c>
      <c r="C110" s="121" t="s">
        <v>297</v>
      </c>
      <c r="D110" s="236" t="str">
        <f ca="1">IF([1]!s_info_industry_sw(B110,1)=0,"-",[1]!s_info_industry_sw(B110,1))</f>
        <v>轻工制造</v>
      </c>
      <c r="E110" s="122" t="str">
        <f ca="1">[1]!cb_info_underlyingcode(B110)</f>
        <v>603898.SH</v>
      </c>
      <c r="F110" s="124">
        <f ca="1">RTD("wdf.rtq",,B110,"LastPrice","Dirty_Price")</f>
        <v>114.55000000000001</v>
      </c>
      <c r="G110" s="124">
        <f ca="1">RTD("wdf.rtq",,E110,"LastPrice")</f>
        <v>12.94</v>
      </c>
      <c r="H110" s="226">
        <f ca="1">RTD("wdf.rtq",,B110,"PctChg","RT_Price")/100</f>
        <v>4.0000000000000002E-4</v>
      </c>
      <c r="I110" s="226">
        <f ca="1">RTD("wdf.rtq",,E110,"PctChg")/100</f>
        <v>1.89E-2</v>
      </c>
      <c r="J110" s="125">
        <f ca="1">_xlfn.IFNA([1]!b_anal_ptmyear(B110,$B$2),"未发行或发行失败")</f>
        <v>3.8958904109589039</v>
      </c>
      <c r="K110" s="125">
        <f ca="1">RTD("wdf.rtq",,B110,"Amount","Dirty_Price")/100000000</f>
        <v>9.9486000000000002E-3</v>
      </c>
      <c r="L110" s="125">
        <f ca="1">[1]!cb_anal_convprice(B110,$B$2)</f>
        <v>16.14</v>
      </c>
      <c r="M110" s="125">
        <f t="shared" ca="1" si="4"/>
        <v>80.173482032218089</v>
      </c>
      <c r="N110" s="126">
        <f t="shared" ca="1" si="5"/>
        <v>42.877666151468333</v>
      </c>
      <c r="O110" s="126">
        <f t="array" aca="1" ref="O110" ca="1">_xlfn.IFNA(RTD("wdf.rtq",,B110,"LastPrice","Yield_To_Maturity"),[1]!cb_anal_ytm(B110,$C$2))</f>
        <v>-5.7100000000000005E-2</v>
      </c>
      <c r="P110" s="126">
        <f ca="1">[1]!cb_anal_straightbondvalue(B110,$B$2)</f>
        <v>98.12</v>
      </c>
      <c r="Q110" s="126">
        <f t="shared" ca="1" si="6"/>
        <v>16.744802282918883</v>
      </c>
      <c r="R110" s="126" t="str">
        <f ca="1">[1]!b_rate_latestcredit(B110)</f>
        <v>AA</v>
      </c>
      <c r="S110" s="126">
        <f ca="1">[1]!cb_info_outstandingbalance(B110,$B$2)</f>
        <v>6.0272399999999999</v>
      </c>
      <c r="T110" s="126">
        <f ca="1">[1]!cb_info_issueamount(B110,100000000)</f>
        <v>6.3</v>
      </c>
      <c r="U110" s="126">
        <f t="shared" ca="1" si="7"/>
        <v>95.670476190476194</v>
      </c>
      <c r="V110" s="230">
        <f ca="1">IF([1]!cb_anal_ldiluterate(B110,$B$2)=100,"-",[1]!cb_anal_ldiluterate(B110,$B$2))</f>
        <v>10.711790927838189</v>
      </c>
      <c r="W110" s="127" t="str">
        <f ca="1">[1]!cb_info_listeddate(B110)</f>
        <v>2019-08-23</v>
      </c>
      <c r="X110" s="127" t="str">
        <f ca="1">[1]!cb_info_carrydate(B110)</f>
        <v>2019-08-01</v>
      </c>
      <c r="Y110" s="125" t="str">
        <f ca="1">[1]!cb_clause_conversion_2_swapsharestartdate(B110)</f>
        <v>2020-02-12</v>
      </c>
      <c r="Z110" s="125" t="str">
        <f ca="1">[1]!cb_clause_putoption_conditionalputbackstartenddate(B110)</f>
        <v>2023-08-01</v>
      </c>
      <c r="AA110" s="230">
        <f ca="1">[1]!cb_info_maturitycallprice(B110)</f>
        <v>110</v>
      </c>
      <c r="AB110" s="230">
        <f ca="1">IF(ISNUMBER([1]!cb_info_conditionalputprice(B110)),[1]!cb_info_conditionalputprice(B110),"-")</f>
        <v>0</v>
      </c>
      <c r="AC110" s="230">
        <f ca="1">[1]!cb_info_interest(B110)</f>
        <v>0.4</v>
      </c>
      <c r="AD110" s="263" t="str">
        <f ca="1">IFERROR(couponlist([1]!cb_clause_interest(B110,"4")),"-")</f>
        <v>0.4%，0.6%，1.0%，1.5%，1.8%，2.0%</v>
      </c>
      <c r="AE110" s="129"/>
      <c r="AF110" s="129"/>
      <c r="AG110" s="129"/>
      <c r="AH110" s="129"/>
      <c r="AI110" s="129"/>
      <c r="AJ110" s="129"/>
      <c r="AK110" s="129"/>
      <c r="AL110" s="129"/>
      <c r="AM110" s="129"/>
      <c r="AN110" s="129"/>
      <c r="AO110" s="129"/>
      <c r="AP110" s="129"/>
      <c r="AQ110" s="129"/>
    </row>
    <row r="111" spans="1:43" s="191" customFormat="1" x14ac:dyDescent="0.35">
      <c r="A111" s="182" t="s">
        <v>5</v>
      </c>
      <c r="B111" s="182" t="s">
        <v>272</v>
      </c>
      <c r="C111" s="182" t="s">
        <v>273</v>
      </c>
      <c r="D111" s="235" t="str">
        <f ca="1">IF([1]!s_info_industry_sw(B111,1)=0,"-",[1]!s_info_industry_sw(B111,1))</f>
        <v>轻工制造</v>
      </c>
      <c r="E111" s="183" t="str">
        <f ca="1">[1]!cb_info_underlyingcode(B111)</f>
        <v>002846.SZ</v>
      </c>
      <c r="F111" s="185">
        <f ca="1">RTD("wdf.rtq",,B111,"LastPrice","Dirty_Price")</f>
        <v>126.26</v>
      </c>
      <c r="G111" s="185">
        <f ca="1">RTD("wdf.rtq",,E111,"LastPrice")</f>
        <v>7.74</v>
      </c>
      <c r="H111" s="225">
        <f ca="1">RTD("wdf.rtq",,B111,"PctChg","RT_Price")/100</f>
        <v>-1.9E-3</v>
      </c>
      <c r="I111" s="225">
        <f ca="1">RTD("wdf.rtq",,E111,"PctChg")/100</f>
        <v>2.5999999999999999E-3</v>
      </c>
      <c r="J111" s="186">
        <f ca="1">_xlfn.IFNA([1]!b_anal_ptmyear(B111,$B$2),"未发行或发行失败")</f>
        <v>4.117808219178082</v>
      </c>
      <c r="K111" s="186">
        <f ca="1">RTD("wdf.rtq",,B111,"Amount","Dirty_Price")/100000000</f>
        <v>6.4645330000000001E-2</v>
      </c>
      <c r="L111" s="186">
        <f ca="1">[1]!cb_anal_convprice(B111,$B$2)</f>
        <v>8.2899999999999991</v>
      </c>
      <c r="M111" s="186">
        <f t="shared" ca="1" si="4"/>
        <v>93.365500603136311</v>
      </c>
      <c r="N111" s="187">
        <f t="shared" ca="1" si="5"/>
        <v>35.231963824289409</v>
      </c>
      <c r="O111" s="187">
        <f t="array" aca="1" ref="O111" ca="1">_xlfn.IFNA(RTD("wdf.rtq",,B111,"LastPrice","Yield_To_Maturity"),[1]!cb_anal_ytm(B111,$C$2))</f>
        <v>-1.7701</v>
      </c>
      <c r="P111" s="187">
        <f ca="1">[1]!cb_anal_straightbondvalue(B111,$B$2)</f>
        <v>84.227999999999994</v>
      </c>
      <c r="Q111" s="187">
        <f t="shared" ca="1" si="6"/>
        <v>49.902645201120777</v>
      </c>
      <c r="R111" s="187" t="str">
        <f ca="1">[1]!b_rate_latestcredit(B111)</f>
        <v>A+</v>
      </c>
      <c r="S111" s="187">
        <f ca="1">[1]!cb_info_outstandingbalance(B111,$B$2)</f>
        <v>1.520219</v>
      </c>
      <c r="T111" s="187">
        <f ca="1">[1]!cb_info_issueamount(B111,100000000)</f>
        <v>2.14</v>
      </c>
      <c r="U111" s="187">
        <f t="shared" ca="1" si="7"/>
        <v>71.038271028037371</v>
      </c>
      <c r="V111" s="240">
        <f ca="1">IF([1]!cb_anal_ldiluterate(B111,$B$2)=100,"-",[1]!cb_anal_ldiluterate(B111,$B$2))</f>
        <v>7.6074828006824298</v>
      </c>
      <c r="W111" s="188" t="str">
        <f ca="1">[1]!cb_info_listeddate(B111)</f>
        <v>2019-11-21</v>
      </c>
      <c r="X111" s="188" t="str">
        <f ca="1">[1]!cb_info_carrydate(B111)</f>
        <v>2019-10-21</v>
      </c>
      <c r="Y111" s="186" t="str">
        <f ca="1">[1]!cb_clause_conversion_2_swapsharestartdate(B111)</f>
        <v>2020-04-27</v>
      </c>
      <c r="Z111" s="186" t="str">
        <f ca="1">[1]!cb_clause_putoption_conditionalputbackstartenddate(B111)</f>
        <v>2023-10-21</v>
      </c>
      <c r="AA111" s="240">
        <f ca="1">[1]!cb_info_maturitycallprice(B111)</f>
        <v>112</v>
      </c>
      <c r="AB111" s="240">
        <f ca="1">IF(ISNUMBER([1]!cb_info_conditionalputprice(B111)),[1]!cb_info_conditionalputprice(B111),"-")</f>
        <v>0</v>
      </c>
      <c r="AC111" s="240">
        <f ca="1">[1]!cb_info_interest(B111)</f>
        <v>0.4</v>
      </c>
      <c r="AD111" s="262" t="str">
        <f ca="1">IFERROR(couponlist([1]!cb_clause_interest(B111,"4")),"-")</f>
        <v>0.4%，0.6%，1.0%，1.7%，2.2%，2.7%</v>
      </c>
      <c r="AE111" s="189"/>
      <c r="AF111" s="189"/>
      <c r="AG111" s="189"/>
      <c r="AH111" s="189"/>
      <c r="AI111" s="189"/>
      <c r="AJ111" s="189"/>
      <c r="AK111" s="189"/>
      <c r="AL111" s="189"/>
      <c r="AM111" s="189"/>
      <c r="AN111" s="189"/>
      <c r="AO111" s="189"/>
      <c r="AP111" s="189"/>
      <c r="AQ111" s="189"/>
    </row>
    <row r="112" spans="1:43" s="130" customFormat="1" x14ac:dyDescent="0.35">
      <c r="A112" s="121" t="s">
        <v>0</v>
      </c>
      <c r="B112" s="121" t="s">
        <v>1705</v>
      </c>
      <c r="C112" s="121" t="s">
        <v>1706</v>
      </c>
      <c r="D112" s="236" t="str">
        <f ca="1">IF([1]!s_info_industry_sw(B112,1)=0,"-",[1]!s_info_industry_sw(B112,1))</f>
        <v>轻工制造</v>
      </c>
      <c r="E112" s="122" t="str">
        <f ca="1">[1]!cb_info_underlyingcode(B112)</f>
        <v>603208.SH</v>
      </c>
      <c r="F112" s="124">
        <f ca="1">RTD("wdf.rtq",,B112,"LastPrice","Dirty_Price")</f>
        <v>120.35000000000001</v>
      </c>
      <c r="G112" s="124">
        <f ca="1">RTD("wdf.rtq",,E112,"LastPrice")</f>
        <v>73.760000000000005</v>
      </c>
      <c r="H112" s="226">
        <f ca="1">RTD("wdf.rtq",,B112,"PctChg","RT_Price")/100</f>
        <v>1.7000000000000001E-3</v>
      </c>
      <c r="I112" s="226">
        <f ca="1">RTD("wdf.rtq",,E112,"PctChg")/100</f>
        <v>3.1300000000000001E-2</v>
      </c>
      <c r="J112" s="125">
        <f ca="1">_xlfn.IFNA([1]!b_anal_ptmyear(B112,$B$2),"未发行或发行失败")</f>
        <v>5.7561643835616438</v>
      </c>
      <c r="K112" s="125">
        <f ca="1">RTD("wdf.rtq",,B112,"Amount","Dirty_Price")/100000000</f>
        <v>6.4705659999999998E-2</v>
      </c>
      <c r="L112" s="125">
        <f ca="1">[1]!cb_anal_convprice(B112,$B$2)</f>
        <v>97.55</v>
      </c>
      <c r="M112" s="125">
        <f t="shared" ca="1" si="4"/>
        <v>75.612506406970795</v>
      </c>
      <c r="N112" s="126">
        <f t="shared" ca="1" si="5"/>
        <v>59.166790943600859</v>
      </c>
      <c r="O112" s="126">
        <f t="array" aca="1" ref="O112" ca="1">_xlfn.IFNA(RTD("wdf.rtq",,B112,"LastPrice","Yield_To_Maturity"),[1]!cb_anal_ytm(B112,$C$2))</f>
        <v>0.53010000000000002</v>
      </c>
      <c r="P112" s="126">
        <f ca="1">[1]!cb_anal_straightbondvalue(B112,$B$2)</f>
        <v>85.669600000000003</v>
      </c>
      <c r="Q112" s="126">
        <f t="shared" ca="1" si="6"/>
        <v>40.48157105904545</v>
      </c>
      <c r="R112" s="126" t="str">
        <f ca="1">[1]!b_rate_latestcredit(B112)</f>
        <v>AA-</v>
      </c>
      <c r="S112" s="126">
        <f ca="1">[1]!cb_info_outstandingbalance(B112,$B$2)</f>
        <v>5.83</v>
      </c>
      <c r="T112" s="126">
        <f ca="1">[1]!cb_info_issueamount(B112,100000000)</f>
        <v>5.83</v>
      </c>
      <c r="U112" s="126">
        <f t="shared" ca="1" si="7"/>
        <v>100</v>
      </c>
      <c r="V112" s="230">
        <f ca="1">IF([1]!cb_anal_ldiluterate(B112,$B$2)=100,"-",[1]!cb_anal_ldiluterate(B112,$B$2))</f>
        <v>5.3823555462768784</v>
      </c>
      <c r="W112" s="127" t="str">
        <f ca="1">[1]!cb_info_listeddate(B112)</f>
        <v>2021-07-01</v>
      </c>
      <c r="X112" s="127" t="str">
        <f ca="1">[1]!cb_info_carrydate(B112)</f>
        <v>2021-06-11</v>
      </c>
      <c r="Y112" s="125" t="str">
        <f ca="1">[1]!cb_clause_conversion_2_swapsharestartdate(B112)</f>
        <v>2021-12-18</v>
      </c>
      <c r="Z112" s="125" t="str">
        <f ca="1">[1]!cb_clause_putoption_conditionalputbackstartenddate(B112)</f>
        <v>2025-06-11</v>
      </c>
      <c r="AA112" s="230">
        <f ca="1">[1]!cb_info_maturitycallprice(B112)</f>
        <v>118</v>
      </c>
      <c r="AB112" s="230">
        <f ca="1">IF(ISNUMBER([1]!cb_info_conditionalputprice(B112)),[1]!cb_info_conditionalputprice(B112),"-")</f>
        <v>0</v>
      </c>
      <c r="AC112" s="230">
        <f ca="1">[1]!cb_info_interest(B112)</f>
        <v>0.4</v>
      </c>
      <c r="AD112" s="263" t="str">
        <f ca="1">IFERROR(couponlist([1]!cb_clause_interest(B112,"4")),"-")</f>
        <v>0.40%，0.60%，1.00%，1.50%，2.50%，3.00%</v>
      </c>
      <c r="AE112" s="129"/>
      <c r="AF112" s="129"/>
      <c r="AG112" s="129"/>
      <c r="AH112" s="129"/>
      <c r="AI112" s="129"/>
      <c r="AJ112" s="129"/>
      <c r="AK112" s="129"/>
      <c r="AL112" s="129"/>
      <c r="AM112" s="129"/>
      <c r="AN112" s="129"/>
      <c r="AO112" s="129"/>
      <c r="AP112" s="129"/>
      <c r="AQ112" s="129"/>
    </row>
    <row r="113" spans="1:43" s="191" customFormat="1" x14ac:dyDescent="0.35">
      <c r="A113" s="182" t="s">
        <v>5</v>
      </c>
      <c r="B113" s="182" t="s">
        <v>1767</v>
      </c>
      <c r="C113" s="182" t="s">
        <v>1768</v>
      </c>
      <c r="D113" s="235" t="str">
        <f ca="1">IF([1]!s_info_industry_sw(B113,1)=0,"-",[1]!s_info_industry_sw(B113,1))</f>
        <v>轻工制造</v>
      </c>
      <c r="E113" s="183" t="str">
        <f ca="1">[1]!cb_info_underlyingcode(B113)</f>
        <v>002969.SZ</v>
      </c>
      <c r="F113" s="185">
        <f ca="1">RTD("wdf.rtq",,B113,"LastPrice","Dirty_Price")</f>
        <v>130</v>
      </c>
      <c r="G113" s="185">
        <f ca="1">RTD("wdf.rtq",,E113,"LastPrice")</f>
        <v>5.57</v>
      </c>
      <c r="H113" s="225">
        <f ca="1">RTD("wdf.rtq",,B113,"PctChg","RT_Price")/100</f>
        <v>0.3</v>
      </c>
      <c r="I113" s="225">
        <f ca="1">RTD("wdf.rtq",,E113,"PctChg")/100</f>
        <v>-1.2400000000000001E-2</v>
      </c>
      <c r="J113" s="186">
        <f ca="1">_xlfn.IFNA([1]!b_anal_ptmyear(B113,$B$2),"未发行或发行失败")</f>
        <v>5.9178082191780819</v>
      </c>
      <c r="K113" s="186">
        <f ca="1">RTD("wdf.rtq",,B113,"Amount","Dirty_Price")/100000000</f>
        <v>0.48886629999999998</v>
      </c>
      <c r="L113" s="186">
        <f ca="1">[1]!cb_anal_convprice(B113,$B$2)</f>
        <v>4.87</v>
      </c>
      <c r="M113" s="186">
        <f t="shared" ca="1" si="4"/>
        <v>114.37371663244353</v>
      </c>
      <c r="N113" s="187">
        <f t="shared" ca="1" si="5"/>
        <v>13.6624775583483</v>
      </c>
      <c r="O113" s="187">
        <f t="array" aca="1" ref="O113" ca="1">_xlfn.IFNA(RTD("wdf.rtq",,B113,"LastPrice","Yield_To_Maturity"),[1]!cb_anal_ytm(B113,$C$2))</f>
        <v>-1.7785000000000002</v>
      </c>
      <c r="P113" s="187">
        <f ca="1">[1]!cb_anal_straightbondvalue(B113,$B$2)</f>
        <v>90.960999999999999</v>
      </c>
      <c r="Q113" s="187">
        <f t="shared" ca="1" si="6"/>
        <v>42.918393597255971</v>
      </c>
      <c r="R113" s="187" t="str">
        <f ca="1">[1]!b_rate_latestcredit(B113)</f>
        <v>AA</v>
      </c>
      <c r="S113" s="187">
        <f ca="1">[1]!cb_info_outstandingbalance(B113,$B$2)</f>
        <v>7.5</v>
      </c>
      <c r="T113" s="187">
        <f ca="1">[1]!cb_info_issueamount(B113,100000000)</f>
        <v>7.5</v>
      </c>
      <c r="U113" s="187">
        <f t="shared" ca="1" si="7"/>
        <v>100</v>
      </c>
      <c r="V113" s="240">
        <f ca="1">IF([1]!cb_anal_ldiluterate(B113,$B$2)=100,"-",[1]!cb_anal_ldiluterate(B113,$B$2))</f>
        <v>25.745399648179745</v>
      </c>
      <c r="W113" s="188" t="str">
        <f ca="1">[1]!cb_info_listeddate(B113)</f>
        <v>2021-09-08</v>
      </c>
      <c r="X113" s="188" t="str">
        <f ca="1">[1]!cb_info_carrydate(B113)</f>
        <v>2021-08-09</v>
      </c>
      <c r="Y113" s="186" t="str">
        <f ca="1">[1]!cb_clause_conversion_2_swapsharestartdate(B113)</f>
        <v>2022-02-14</v>
      </c>
      <c r="Z113" s="186" t="str">
        <f ca="1">[1]!cb_clause_putoption_conditionalputbackstartenddate(B113)</f>
        <v>2025-08-09</v>
      </c>
      <c r="AA113" s="240">
        <f ca="1">[1]!cb_info_maturitycallprice(B113)</f>
        <v>112</v>
      </c>
      <c r="AB113" s="240">
        <f ca="1">IF(ISNUMBER([1]!cb_info_conditionalputprice(B113)),[1]!cb_info_conditionalputprice(B113),"-")</f>
        <v>0</v>
      </c>
      <c r="AC113" s="240">
        <f ca="1">[1]!cb_info_interest(B113)</f>
        <v>0.3</v>
      </c>
      <c r="AD113" s="262" t="str">
        <f ca="1">IFERROR(couponlist([1]!cb_clause_interest(B113,"4")),"-")</f>
        <v>0.30%，0.50%，1.00%，1.50%，1.80%，2.00%</v>
      </c>
      <c r="AE113" s="189"/>
      <c r="AF113" s="189"/>
      <c r="AG113" s="189"/>
      <c r="AH113" s="189"/>
      <c r="AI113" s="189"/>
      <c r="AJ113" s="189"/>
      <c r="AK113" s="189"/>
      <c r="AL113" s="189"/>
      <c r="AM113" s="189"/>
      <c r="AN113" s="189"/>
      <c r="AO113" s="189"/>
      <c r="AP113" s="189"/>
      <c r="AQ113" s="189"/>
    </row>
    <row r="114" spans="1:43" s="130" customFormat="1" x14ac:dyDescent="0.35">
      <c r="A114" s="121" t="s">
        <v>5</v>
      </c>
      <c r="B114" s="121" t="s">
        <v>611</v>
      </c>
      <c r="C114" s="121" t="s">
        <v>612</v>
      </c>
      <c r="D114" s="236" t="str">
        <f ca="1">IF([1]!s_info_industry_sw(B114,1)=0,"-",[1]!s_info_industry_sw(B114,1))</f>
        <v>轻工制造</v>
      </c>
      <c r="E114" s="122" t="str">
        <f ca="1">[1]!cb_info_underlyingcode(B114)</f>
        <v>300057.SZ</v>
      </c>
      <c r="F114" s="124">
        <f ca="1">RTD("wdf.rtq",,B114,"LastPrice","Dirty_Price")</f>
        <v>139.636</v>
      </c>
      <c r="G114" s="124">
        <f ca="1">RTD("wdf.rtq",,E114,"LastPrice")</f>
        <v>7.94</v>
      </c>
      <c r="H114" s="226">
        <f ca="1">RTD("wdf.rtq",,B114,"PctChg","RT_Price")/100</f>
        <v>8.2000000000000007E-3</v>
      </c>
      <c r="I114" s="226">
        <f ca="1">RTD("wdf.rtq",,E114,"PctChg")/100</f>
        <v>0</v>
      </c>
      <c r="J114" s="125">
        <f ca="1">_xlfn.IFNA([1]!b_anal_ptmyear(B114,$B$2),"未发行或发行失败")</f>
        <v>5.2575342465753421</v>
      </c>
      <c r="K114" s="125">
        <f ca="1">RTD("wdf.rtq",,B114,"Amount","Dirty_Price")/100000000</f>
        <v>0.23199908999999999</v>
      </c>
      <c r="L114" s="125">
        <f ca="1">[1]!cb_anal_convprice(B114,$B$2)</f>
        <v>6.2</v>
      </c>
      <c r="M114" s="125">
        <f t="shared" ca="1" si="4"/>
        <v>128.06451612903226</v>
      </c>
      <c r="N114" s="126">
        <f t="shared" ca="1" si="5"/>
        <v>9.03566750629723</v>
      </c>
      <c r="O114" s="126">
        <f t="array" aca="1" ref="O114" ca="1">_xlfn.IFNA(RTD("wdf.rtq",,B114,"LastPrice","Yield_To_Maturity"),[1]!cb_anal_ytm(B114,$C$2))</f>
        <v>-3.9726000000000004</v>
      </c>
      <c r="P114" s="126">
        <f ca="1">[1]!cb_anal_straightbondvalue(B114,$B$2)</f>
        <v>81.142499999999998</v>
      </c>
      <c r="Q114" s="126">
        <f t="shared" ca="1" si="6"/>
        <v>72.087377145145894</v>
      </c>
      <c r="R114" s="126" t="str">
        <f ca="1">[1]!b_rate_latestcredit(B114)</f>
        <v>AA-</v>
      </c>
      <c r="S114" s="126">
        <f ca="1">[1]!cb_info_outstandingbalance(B114,$B$2)</f>
        <v>8.716253</v>
      </c>
      <c r="T114" s="126">
        <f ca="1">[1]!cb_info_issueamount(B114,100000000)</f>
        <v>9</v>
      </c>
      <c r="U114" s="126">
        <f t="shared" ca="1" si="7"/>
        <v>96.847255555555563</v>
      </c>
      <c r="V114" s="230">
        <f ca="1">IF([1]!cb_anal_ldiluterate(B114,$B$2)=100,"-",[1]!cb_anal_ldiluterate(B114,$B$2))</f>
        <v>22.597013752415457</v>
      </c>
      <c r="W114" s="127" t="str">
        <f ca="1">[1]!cb_info_listeddate(B114)</f>
        <v>2020-12-28</v>
      </c>
      <c r="X114" s="127" t="str">
        <f ca="1">[1]!cb_info_carrydate(B114)</f>
        <v>2020-12-11</v>
      </c>
      <c r="Y114" s="125" t="str">
        <f ca="1">[1]!cb_clause_conversion_2_swapsharestartdate(B114)</f>
        <v>2021-06-17</v>
      </c>
      <c r="Z114" s="125" t="str">
        <f ca="1">[1]!cb_clause_putoption_conditionalputbackstartenddate(B114)</f>
        <v>2024-12-11</v>
      </c>
      <c r="AA114" s="230">
        <f ca="1">[1]!cb_info_maturitycallprice(B114)</f>
        <v>108</v>
      </c>
      <c r="AB114" s="230">
        <f ca="1">IF(ISNUMBER([1]!cb_info_conditionalputprice(B114)),[1]!cb_info_conditionalputprice(B114),"-")</f>
        <v>0</v>
      </c>
      <c r="AC114" s="230">
        <f ca="1">[1]!cb_info_interest(B114)</f>
        <v>0.4</v>
      </c>
      <c r="AD114" s="263" t="str">
        <f ca="1">IFERROR(couponlist([1]!cb_clause_interest(B114,"4")),"-")</f>
        <v>0.40%，0.60%，1.00%，1.50%，1.80%，2.00%</v>
      </c>
      <c r="AE114" s="129"/>
      <c r="AF114" s="129"/>
      <c r="AG114" s="129"/>
      <c r="AH114" s="129"/>
      <c r="AI114" s="129"/>
      <c r="AJ114" s="129"/>
      <c r="AK114" s="129"/>
      <c r="AL114" s="129"/>
      <c r="AM114" s="129"/>
      <c r="AN114" s="129"/>
      <c r="AO114" s="129"/>
      <c r="AP114" s="129"/>
      <c r="AQ114" s="129"/>
    </row>
    <row r="115" spans="1:43" s="191" customFormat="1" x14ac:dyDescent="0.35">
      <c r="A115" s="182" t="s">
        <v>5</v>
      </c>
      <c r="B115" s="182" t="s">
        <v>204</v>
      </c>
      <c r="C115" s="182" t="s">
        <v>205</v>
      </c>
      <c r="D115" s="235" t="str">
        <f ca="1">IF([1]!s_info_industry_sw(B115,1)=0,"-",[1]!s_info_industry_sw(B115,1))</f>
        <v>轻工制造</v>
      </c>
      <c r="E115" s="183" t="str">
        <f ca="1">[1]!cb_info_underlyingcode(B115)</f>
        <v>002701.SZ</v>
      </c>
      <c r="F115" s="185">
        <f ca="1">RTD("wdf.rtq",,B115,"LastPrice","Dirty_Price")</f>
        <v>145.81800000000001</v>
      </c>
      <c r="G115" s="185">
        <f ca="1">RTD("wdf.rtq",,E115,"LastPrice")</f>
        <v>6.3</v>
      </c>
      <c r="H115" s="225">
        <f ca="1">RTD("wdf.rtq",,B115,"PctChg","RT_Price")/100</f>
        <v>4.4400000000000002E-2</v>
      </c>
      <c r="I115" s="225">
        <f ca="1">RTD("wdf.rtq",,E115,"PctChg")/100</f>
        <v>4.6500000000000007E-2</v>
      </c>
      <c r="J115" s="186">
        <f ca="1">_xlfn.IFNA([1]!b_anal_ptmyear(B115,$B$2),"未发行或发行失败")</f>
        <v>4.4273972602739722</v>
      </c>
      <c r="K115" s="186">
        <f ca="1">RTD("wdf.rtq",,B115,"Amount","Dirty_Price")/100000000</f>
        <v>0.35476449999999998</v>
      </c>
      <c r="L115" s="186">
        <f ca="1">[1]!cb_anal_convprice(B115,$B$2)</f>
        <v>4.5</v>
      </c>
      <c r="M115" s="186">
        <f t="shared" ca="1" si="4"/>
        <v>140</v>
      </c>
      <c r="N115" s="187">
        <f t="shared" ca="1" si="5"/>
        <v>4.1557142857142964</v>
      </c>
      <c r="O115" s="187">
        <f t="array" aca="1" ref="O115" ca="1">_xlfn.IFNA(RTD("wdf.rtq",,B115,"LastPrice","Yield_To_Maturity"),[1]!cb_anal_ytm(B115,$C$2))</f>
        <v>-5.2366999999999999</v>
      </c>
      <c r="P115" s="187">
        <f ca="1">[1]!cb_anal_straightbondvalue(B115,$B$2)</f>
        <v>99.350300000000004</v>
      </c>
      <c r="Q115" s="187">
        <f t="shared" ca="1" si="6"/>
        <v>46.771574922269991</v>
      </c>
      <c r="R115" s="187" t="str">
        <f ca="1">[1]!b_rate_latestcredit(B115)</f>
        <v>AA+</v>
      </c>
      <c r="S115" s="187">
        <f ca="1">[1]!cb_info_outstandingbalance(B115,$B$2)</f>
        <v>6.7394939999999997</v>
      </c>
      <c r="T115" s="187">
        <f ca="1">[1]!cb_info_issueamount(B115,100000000)</f>
        <v>10.868</v>
      </c>
      <c r="U115" s="187">
        <f t="shared" ca="1" si="7"/>
        <v>62.012274567537723</v>
      </c>
      <c r="V115" s="240">
        <f ca="1">IF([1]!cb_anal_ldiluterate(B115,$B$2)=100,"-",[1]!cb_anal_ldiluterate(B115,$B$2))</f>
        <v>5.8249350443383818</v>
      </c>
      <c r="W115" s="188" t="str">
        <f ca="1">[1]!cb_info_listeddate(B115)</f>
        <v>2020-03-16</v>
      </c>
      <c r="X115" s="188" t="str">
        <f ca="1">[1]!cb_info_carrydate(B115)</f>
        <v>2020-02-11</v>
      </c>
      <c r="Y115" s="186" t="str">
        <f ca="1">[1]!cb_clause_conversion_2_swapsharestartdate(B115)</f>
        <v>2020-08-17</v>
      </c>
      <c r="Z115" s="186" t="str">
        <f ca="1">[1]!cb_clause_putoption_conditionalputbackstartenddate(B115)</f>
        <v>2024-02-11</v>
      </c>
      <c r="AA115" s="240">
        <f ca="1">[1]!cb_info_maturitycallprice(B115)</f>
        <v>110</v>
      </c>
      <c r="AB115" s="240">
        <f ca="1">IF(ISNUMBER([1]!cb_info_conditionalputprice(B115)),[1]!cb_info_conditionalputprice(B115),"-")</f>
        <v>0</v>
      </c>
      <c r="AC115" s="240">
        <f ca="1">[1]!cb_info_interest(B115)</f>
        <v>0.5</v>
      </c>
      <c r="AD115" s="262" t="str">
        <f ca="1">IFERROR(couponlist([1]!cb_clause_interest(B115,"4")),"-")</f>
        <v>0.50%，0.80%，1.00%，1.70%，2.00%，2.30%</v>
      </c>
      <c r="AE115" s="189"/>
      <c r="AF115" s="189"/>
      <c r="AG115" s="189"/>
      <c r="AH115" s="189"/>
      <c r="AI115" s="189"/>
      <c r="AJ115" s="189"/>
      <c r="AK115" s="189"/>
      <c r="AL115" s="189"/>
      <c r="AM115" s="189"/>
      <c r="AN115" s="189"/>
      <c r="AO115" s="189"/>
      <c r="AP115" s="189"/>
      <c r="AQ115" s="189"/>
    </row>
    <row r="116" spans="1:43" s="130" customFormat="1" x14ac:dyDescent="0.35">
      <c r="A116" s="121" t="s">
        <v>0</v>
      </c>
      <c r="B116" s="121" t="s">
        <v>102</v>
      </c>
      <c r="C116" s="121" t="s">
        <v>103</v>
      </c>
      <c r="D116" s="236" t="str">
        <f ca="1">IF([1]!s_info_industry_sw(B116,1)=0,"-",[1]!s_info_industry_sw(B116,1))</f>
        <v>轻工制造</v>
      </c>
      <c r="E116" s="122" t="str">
        <f ca="1">[1]!cb_info_underlyingcode(B116)</f>
        <v>603687.SH</v>
      </c>
      <c r="F116" s="124">
        <f ca="1">RTD("wdf.rtq",,B116,"LastPrice","Dirty_Price")</f>
        <v>116.92</v>
      </c>
      <c r="G116" s="124">
        <f ca="1">RTD("wdf.rtq",,E116,"LastPrice")</f>
        <v>8.86</v>
      </c>
      <c r="H116" s="226">
        <f ca="1">RTD("wdf.rtq",,B116,"PctChg","RT_Price")/100</f>
        <v>2E-3</v>
      </c>
      <c r="I116" s="226">
        <f ca="1">RTD("wdf.rtq",,E116,"PctChg")/100</f>
        <v>-5.5999999999999991E-3</v>
      </c>
      <c r="J116" s="125">
        <f ca="1">_xlfn.IFNA([1]!b_anal_ptmyear(B116,$B$2),"未发行或发行失败")</f>
        <v>4.8109589041095893</v>
      </c>
      <c r="K116" s="125">
        <f ca="1">RTD("wdf.rtq",,B116,"Amount","Dirty_Price")/100000000</f>
        <v>9.0162249999999999E-2</v>
      </c>
      <c r="L116" s="125">
        <f ca="1">[1]!cb_anal_convprice(B116,$B$2)</f>
        <v>8.76</v>
      </c>
      <c r="M116" s="125">
        <f t="shared" ca="1" si="4"/>
        <v>101.14155251141553</v>
      </c>
      <c r="N116" s="126">
        <f t="shared" ca="1" si="5"/>
        <v>15.600361173814903</v>
      </c>
      <c r="O116" s="126">
        <f t="array" aca="1" ref="O116" ca="1">_xlfn.IFNA(RTD("wdf.rtq",,B116,"LastPrice","Yield_To_Maturity"),[1]!cb_anal_ytm(B116,$C$2))</f>
        <v>0.85310000000000008</v>
      </c>
      <c r="P116" s="126">
        <f ca="1">[1]!cb_anal_straightbondvalue(B116,$B$2)</f>
        <v>89.9495</v>
      </c>
      <c r="Q116" s="126">
        <f t="shared" ca="1" si="6"/>
        <v>29.984046603927766</v>
      </c>
      <c r="R116" s="126" t="str">
        <f ca="1">[1]!b_rate_latestcredit(B116)</f>
        <v>AA-</v>
      </c>
      <c r="S116" s="126">
        <f ca="1">[1]!cb_info_outstandingbalance(B116,$B$2)</f>
        <v>5.4970699999999999</v>
      </c>
      <c r="T116" s="126">
        <f ca="1">[1]!cb_info_issueamount(B116,100000000)</f>
        <v>5.5</v>
      </c>
      <c r="U116" s="126">
        <f t="shared" ca="1" si="7"/>
        <v>99.946727272727273</v>
      </c>
      <c r="V116" s="230">
        <f ca="1">IF([1]!cb_anal_ldiluterate(B116,$B$2)=100,"-",[1]!cb_anal_ldiluterate(B116,$B$2))</f>
        <v>30.675544910774192</v>
      </c>
      <c r="W116" s="127" t="str">
        <f ca="1">[1]!cb_info_listeddate(B116)</f>
        <v>2020-07-23</v>
      </c>
      <c r="X116" s="127" t="str">
        <f ca="1">[1]!cb_info_carrydate(B116)</f>
        <v>2020-07-01</v>
      </c>
      <c r="Y116" s="125" t="str">
        <f ca="1">[1]!cb_clause_conversion_2_swapsharestartdate(B116)</f>
        <v>2021-01-08</v>
      </c>
      <c r="Z116" s="125" t="str">
        <f ca="1">[1]!cb_clause_putoption_conditionalputbackstartenddate(B116)</f>
        <v>2024-07-01</v>
      </c>
      <c r="AA116" s="230">
        <f ca="1">[1]!cb_info_maturitycallprice(B116)</f>
        <v>116</v>
      </c>
      <c r="AB116" s="230">
        <f ca="1">IF(ISNUMBER([1]!cb_info_conditionalputprice(B116)),[1]!cb_info_conditionalputprice(B116),"-")</f>
        <v>0</v>
      </c>
      <c r="AC116" s="230">
        <f ca="1">[1]!cb_info_interest(B116)</f>
        <v>0.5</v>
      </c>
      <c r="AD116" s="263" t="str">
        <f ca="1">IFERROR(couponlist([1]!cb_clause_interest(B116,"4")),"-")</f>
        <v>0.50%，0.70%，1.00%，1.50%，2.50%，3.00%</v>
      </c>
      <c r="AE116" s="129"/>
      <c r="AF116" s="129"/>
      <c r="AG116" s="129"/>
      <c r="AH116" s="129"/>
      <c r="AI116" s="129"/>
      <c r="AJ116" s="129"/>
      <c r="AK116" s="129"/>
      <c r="AL116" s="129"/>
      <c r="AM116" s="129"/>
      <c r="AN116" s="129"/>
      <c r="AO116" s="129"/>
      <c r="AP116" s="129"/>
      <c r="AQ116" s="129"/>
    </row>
    <row r="117" spans="1:43" s="191" customFormat="1" x14ac:dyDescent="0.35">
      <c r="A117" s="182" t="s">
        <v>0</v>
      </c>
      <c r="B117" s="182" t="s">
        <v>481</v>
      </c>
      <c r="C117" s="182" t="s">
        <v>482</v>
      </c>
      <c r="D117" s="235" t="str">
        <f ca="1">IF([1]!s_info_industry_sw(B117,1)=0,"-",[1]!s_info_industry_sw(B117,1))</f>
        <v>汽车</v>
      </c>
      <c r="E117" s="183" t="str">
        <f ca="1">[1]!cb_info_underlyingcode(B117)</f>
        <v>601127.SH</v>
      </c>
      <c r="F117" s="185">
        <f ca="1">RTD("wdf.rtq",,B117,"LastPrice","Dirty_Price")</f>
        <v>469.65000000000003</v>
      </c>
      <c r="G117" s="185">
        <f ca="1">RTD("wdf.rtq",,E117,"LastPrice")</f>
        <v>79.3</v>
      </c>
      <c r="H117" s="225">
        <f ca="1">RTD("wdf.rtq",,B117,"PctChg","RT_Price")/100</f>
        <v>1.2000000000000001E-3</v>
      </c>
      <c r="I117" s="225">
        <f ca="1">RTD("wdf.rtq",,E117,"PctChg")/100</f>
        <v>0</v>
      </c>
      <c r="J117" s="186">
        <f ca="1">_xlfn.IFNA([1]!b_anal_ptmyear(B117,$B$2),"未发行或发行失败")</f>
        <v>2.1616438356164385</v>
      </c>
      <c r="K117" s="186">
        <f ca="1">RTD("wdf.rtq",,B117,"Amount","Dirty_Price")/100000000</f>
        <v>9.0967284999999993</v>
      </c>
      <c r="L117" s="186">
        <f ca="1">[1]!cb_anal_convprice(B117,$B$2)</f>
        <v>16.96</v>
      </c>
      <c r="M117" s="186">
        <f t="shared" ca="1" si="4"/>
        <v>467.57075471698113</v>
      </c>
      <c r="N117" s="187">
        <f t="shared" ca="1" si="5"/>
        <v>0.44469104665826364</v>
      </c>
      <c r="O117" s="187">
        <f t="array" aca="1" ref="O117" ca="1">_xlfn.IFNA(RTD("wdf.rtq",,B117,"LastPrice","Yield_To_Maturity"),[1]!cb_anal_ytm(B117,$C$2))</f>
        <v>-49.4908</v>
      </c>
      <c r="P117" s="187">
        <f ca="1">[1]!cb_anal_straightbondvalue(B117,$B$2)</f>
        <v>97.228700000000003</v>
      </c>
      <c r="Q117" s="187">
        <f t="shared" ca="1" si="6"/>
        <v>383.03638740413066</v>
      </c>
      <c r="R117" s="187" t="str">
        <f ca="1">[1]!b_rate_latestcredit(B117)</f>
        <v>AA-</v>
      </c>
      <c r="S117" s="187">
        <f ca="1">[1]!cb_info_outstandingbalance(B117,$B$2)</f>
        <v>2.3306939999999998</v>
      </c>
      <c r="T117" s="187">
        <f ca="1">[1]!cb_info_issueamount(B117,100000000)</f>
        <v>15</v>
      </c>
      <c r="U117" s="187">
        <f t="shared" ca="1" si="7"/>
        <v>15.537959999999998</v>
      </c>
      <c r="V117" s="240">
        <f ca="1">IF([1]!cb_anal_ldiluterate(B117,$B$2)=100,"-",[1]!cb_anal_ldiluterate(B117,$B$2))</f>
        <v>1.4265945594343119</v>
      </c>
      <c r="W117" s="188" t="str">
        <f ca="1">[1]!cb_info_listeddate(B117)</f>
        <v>2017-11-21</v>
      </c>
      <c r="X117" s="188" t="str">
        <f ca="1">[1]!cb_info_carrydate(B117)</f>
        <v>2017-11-06</v>
      </c>
      <c r="Y117" s="186" t="str">
        <f ca="1">[1]!cb_clause_conversion_2_swapsharestartdate(B117)</f>
        <v>2018-05-11</v>
      </c>
      <c r="Z117" s="186" t="str">
        <f ca="1">[1]!cb_clause_putoption_conditionalputbackstartenddate(B117)</f>
        <v>2021-11-06</v>
      </c>
      <c r="AA117" s="240">
        <f ca="1">[1]!cb_info_maturitycallprice(B117)</f>
        <v>106</v>
      </c>
      <c r="AB117" s="240">
        <f ca="1">IF(ISNUMBER([1]!cb_info_conditionalputprice(B117)),[1]!cb_info_conditionalputprice(B117),"-")</f>
        <v>0</v>
      </c>
      <c r="AC117" s="240">
        <f ca="1">[1]!cb_info_interest(B117)</f>
        <v>0.3</v>
      </c>
      <c r="AD117" s="262" t="str">
        <f ca="1">IFERROR(couponlist([1]!cb_clause_interest(B117,"4")),"-")</f>
        <v>0.30%，0.50%，1.00%，1.50%，1.80%，2.00%</v>
      </c>
      <c r="AE117" s="189"/>
      <c r="AF117" s="189"/>
      <c r="AG117" s="189"/>
      <c r="AH117" s="189"/>
      <c r="AI117" s="189"/>
      <c r="AJ117" s="189"/>
      <c r="AK117" s="189"/>
      <c r="AL117" s="189"/>
      <c r="AM117" s="189"/>
      <c r="AN117" s="189"/>
      <c r="AO117" s="189"/>
      <c r="AP117" s="189"/>
      <c r="AQ117" s="189"/>
    </row>
    <row r="118" spans="1:43" s="130" customFormat="1" x14ac:dyDescent="0.35">
      <c r="A118" s="121" t="s">
        <v>0</v>
      </c>
      <c r="B118" s="121" t="s">
        <v>525</v>
      </c>
      <c r="C118" s="121" t="s">
        <v>526</v>
      </c>
      <c r="D118" s="236" t="str">
        <f ca="1">IF([1]!s_info_industry_sw(B118,1)=0,"-",[1]!s_info_industry_sw(B118,1))</f>
        <v>汽车</v>
      </c>
      <c r="E118" s="122" t="str">
        <f ca="1">[1]!cb_info_underlyingcode(B118)</f>
        <v>601238.SH</v>
      </c>
      <c r="F118" s="124">
        <f ca="1">RTD("wdf.rtq",,B118,"LastPrice","Dirty_Price")</f>
        <v>143.13</v>
      </c>
      <c r="G118" s="124">
        <f ca="1">RTD("wdf.rtq",,E118,"LastPrice")</f>
        <v>19.650000000000002</v>
      </c>
      <c r="H118" s="226">
        <f ca="1">RTD("wdf.rtq",,B118,"PctChg","RT_Price")/100</f>
        <v>-2.53E-2</v>
      </c>
      <c r="I118" s="226">
        <f ca="1">RTD("wdf.rtq",,E118,"PctChg")/100</f>
        <v>-3.5300000000000005E-2</v>
      </c>
      <c r="J118" s="125">
        <f ca="1">_xlfn.IFNA([1]!b_anal_ptmyear(B118,$B$2),"未发行或发行失败")</f>
        <v>0.37260273972602742</v>
      </c>
      <c r="K118" s="125">
        <f ca="1">RTD("wdf.rtq",,B118,"Amount","Dirty_Price")/100000000</f>
        <v>2.0611596799999998</v>
      </c>
      <c r="L118" s="125">
        <f ca="1">[1]!cb_anal_convprice(B118,$B$2)</f>
        <v>13.97</v>
      </c>
      <c r="M118" s="125">
        <f t="shared" ca="1" si="4"/>
        <v>140.65855404438082</v>
      </c>
      <c r="N118" s="126">
        <f t="shared" ca="1" si="5"/>
        <v>1.7570534351145</v>
      </c>
      <c r="O118" s="126">
        <f t="array" aca="1" ref="O118" ca="1">_xlfn.IFNA(RTD("wdf.rtq",,B118,"LastPrice","Yield_To_Maturity"),[1]!cb_anal_ytm(B118,$C$2))</f>
        <v>-69.62230000000001</v>
      </c>
      <c r="P118" s="126">
        <f ca="1">[1]!cb_anal_straightbondvalue(B118,$B$2)</f>
        <v>105.018</v>
      </c>
      <c r="Q118" s="126">
        <f t="shared" ca="1" si="6"/>
        <v>36.290921556304625</v>
      </c>
      <c r="R118" s="126" t="str">
        <f ca="1">[1]!b_rate_latestcredit(B118)</f>
        <v>AAA</v>
      </c>
      <c r="S118" s="126">
        <f ca="1">[1]!cb_info_outstandingbalance(B118,$B$2)</f>
        <v>25.487220000000001</v>
      </c>
      <c r="T118" s="126">
        <f ca="1">[1]!cb_info_issueamount(B118,100000000)</f>
        <v>41.055799999999998</v>
      </c>
      <c r="U118" s="126">
        <f t="shared" ca="1" si="7"/>
        <v>62.079462585067162</v>
      </c>
      <c r="V118" s="230">
        <f ca="1">IF([1]!cb_anal_ldiluterate(B118,$B$2)=100,"-",[1]!cb_anal_ldiluterate(B118,$B$2))</f>
        <v>2.4866379632259745</v>
      </c>
      <c r="W118" s="127" t="str">
        <f ca="1">[1]!cb_info_listeddate(B118)</f>
        <v>2016-02-04</v>
      </c>
      <c r="X118" s="127" t="str">
        <f ca="1">[1]!cb_info_carrydate(B118)</f>
        <v>2016-01-22</v>
      </c>
      <c r="Y118" s="125" t="str">
        <f ca="1">[1]!cb_clause_conversion_2_swapsharestartdate(B118)</f>
        <v>2016-07-22</v>
      </c>
      <c r="Z118" s="125" t="str">
        <f ca="1">[1]!cb_clause_putoption_conditionalputbackstartenddate(B118)</f>
        <v>2020-01-22</v>
      </c>
      <c r="AA118" s="230">
        <f ca="1">[1]!cb_info_maturitycallprice(B118)</f>
        <v>106</v>
      </c>
      <c r="AB118" s="230">
        <f ca="1">IF(ISNUMBER([1]!cb_info_conditionalputprice(B118)),[1]!cb_info_conditionalputprice(B118),"-")</f>
        <v>100.68</v>
      </c>
      <c r="AC118" s="230">
        <f ca="1">[1]!cb_info_interest(B118)</f>
        <v>0.2</v>
      </c>
      <c r="AD118" s="263" t="str">
        <f ca="1">IFERROR(couponlist([1]!cb_clause_interest(B118,"4")),"-")</f>
        <v>0.2%，0.5%，1.0%，1.5%，1.5%，1.6%</v>
      </c>
      <c r="AE118" s="129"/>
      <c r="AF118" s="129"/>
      <c r="AG118" s="129"/>
      <c r="AH118" s="129"/>
      <c r="AI118" s="129"/>
      <c r="AJ118" s="129"/>
      <c r="AK118" s="129"/>
      <c r="AL118" s="129"/>
      <c r="AM118" s="129"/>
      <c r="AN118" s="129"/>
      <c r="AO118" s="129"/>
      <c r="AP118" s="129"/>
      <c r="AQ118" s="129"/>
    </row>
    <row r="119" spans="1:43" s="191" customFormat="1" x14ac:dyDescent="0.35">
      <c r="A119" s="182" t="s">
        <v>0</v>
      </c>
      <c r="B119" s="182" t="s">
        <v>250</v>
      </c>
      <c r="C119" s="182" t="s">
        <v>251</v>
      </c>
      <c r="D119" s="235" t="str">
        <f ca="1">IF([1]!s_info_industry_sw(B119,1)=0,"-",[1]!s_info_industry_sw(B119,1))</f>
        <v>汽车</v>
      </c>
      <c r="E119" s="183" t="str">
        <f ca="1">[1]!cb_info_underlyingcode(B119)</f>
        <v>603035.SH</v>
      </c>
      <c r="F119" s="185">
        <f ca="1">RTD("wdf.rtq",,B119,"LastPrice","Dirty_Price")</f>
        <v>164.1</v>
      </c>
      <c r="G119" s="185">
        <f ca="1">RTD("wdf.rtq",,E119,"LastPrice")</f>
        <v>13.83</v>
      </c>
      <c r="H119" s="225">
        <f ca="1">RTD("wdf.rtq",,B119,"PctChg","RT_Price")/100</f>
        <v>-3.2000000000000002E-3</v>
      </c>
      <c r="I119" s="225">
        <f ca="1">RTD("wdf.rtq",,E119,"PctChg")/100</f>
        <v>3.6000000000000003E-3</v>
      </c>
      <c r="J119" s="186">
        <f ca="1">_xlfn.IFNA([1]!b_anal_ptmyear(B119,$B$2),"未发行或发行失败")</f>
        <v>4.1945205479452055</v>
      </c>
      <c r="K119" s="186">
        <f ca="1">RTD("wdf.rtq",,B119,"Amount","Dirty_Price")/100000000</f>
        <v>0.31030608999999998</v>
      </c>
      <c r="L119" s="186">
        <f ca="1">[1]!cb_anal_convprice(B119,$B$2)</f>
        <v>9.33</v>
      </c>
      <c r="M119" s="186">
        <f t="shared" ca="1" si="4"/>
        <v>148.2315112540193</v>
      </c>
      <c r="N119" s="187">
        <f t="shared" ca="1" si="5"/>
        <v>10.705206073752706</v>
      </c>
      <c r="O119" s="187">
        <f t="array" aca="1" ref="O119" ca="1">_xlfn.IFNA(RTD("wdf.rtq",,B119,"LastPrice","Yield_To_Maturity"),[1]!cb_anal_ytm(B119,$C$2))</f>
        <v>-7.1105</v>
      </c>
      <c r="P119" s="187">
        <f ca="1">[1]!cb_anal_straightbondvalue(B119,$B$2)</f>
        <v>93.885599999999997</v>
      </c>
      <c r="Q119" s="187">
        <f t="shared" ca="1" si="6"/>
        <v>74.787187811549387</v>
      </c>
      <c r="R119" s="187" t="str">
        <f ca="1">[1]!b_rate_latestcredit(B119)</f>
        <v>AA-</v>
      </c>
      <c r="S119" s="187">
        <f ca="1">[1]!cb_info_outstandingbalance(B119,$B$2)</f>
        <v>2.1473080000000002</v>
      </c>
      <c r="T119" s="187">
        <f ca="1">[1]!cb_info_issueamount(B119,100000000)</f>
        <v>9.9242399999999993</v>
      </c>
      <c r="U119" s="187">
        <f t="shared" ca="1" si="7"/>
        <v>21.637001926595893</v>
      </c>
      <c r="V119" s="240">
        <f ca="1">IF([1]!cb_anal_ldiluterate(B119,$B$2)=100,"-",[1]!cb_anal_ldiluterate(B119,$B$2))</f>
        <v>6.416047467625356</v>
      </c>
      <c r="W119" s="188" t="str">
        <f ca="1">[1]!cb_info_listeddate(B119)</f>
        <v>2019-12-12</v>
      </c>
      <c r="X119" s="188" t="str">
        <f ca="1">[1]!cb_info_carrydate(B119)</f>
        <v>2019-11-18</v>
      </c>
      <c r="Y119" s="186" t="str">
        <f ca="1">[1]!cb_clause_conversion_2_swapsharestartdate(B119)</f>
        <v>2020-05-22</v>
      </c>
      <c r="Z119" s="186" t="str">
        <f ca="1">[1]!cb_clause_putoption_conditionalputbackstartenddate(B119)</f>
        <v>2023-11-18</v>
      </c>
      <c r="AA119" s="240">
        <f ca="1">[1]!cb_info_maturitycallprice(B119)</f>
        <v>115</v>
      </c>
      <c r="AB119" s="240">
        <f ca="1">IF(ISNUMBER([1]!cb_info_conditionalputprice(B119)),[1]!cb_info_conditionalputprice(B119),"-")</f>
        <v>0</v>
      </c>
      <c r="AC119" s="240">
        <f ca="1">[1]!cb_info_interest(B119)</f>
        <v>0.5</v>
      </c>
      <c r="AD119" s="262" t="str">
        <f ca="1">IFERROR(couponlist([1]!cb_clause_interest(B119,"4")),"-")</f>
        <v>0.50%，0.80%，1.20%，1.80%，2.50%，3.00%</v>
      </c>
      <c r="AE119" s="189"/>
      <c r="AF119" s="189"/>
      <c r="AG119" s="189"/>
      <c r="AH119" s="189"/>
      <c r="AI119" s="189"/>
      <c r="AJ119" s="189"/>
      <c r="AK119" s="189"/>
      <c r="AL119" s="189"/>
      <c r="AM119" s="189"/>
      <c r="AN119" s="189"/>
      <c r="AO119" s="189"/>
      <c r="AP119" s="189"/>
      <c r="AQ119" s="189"/>
    </row>
    <row r="120" spans="1:43" s="130" customFormat="1" x14ac:dyDescent="0.35">
      <c r="A120" s="121" t="s">
        <v>0</v>
      </c>
      <c r="B120" s="121" t="s">
        <v>42</v>
      </c>
      <c r="C120" s="121" t="s">
        <v>43</v>
      </c>
      <c r="D120" s="236" t="str">
        <f ca="1">IF([1]!s_info_industry_sw(B120,1)=0,"-",[1]!s_info_industry_sw(B120,1))</f>
        <v>汽车</v>
      </c>
      <c r="E120" s="122" t="str">
        <f ca="1">[1]!cb_info_underlyingcode(B120)</f>
        <v>600297.SH</v>
      </c>
      <c r="F120" s="124">
        <f ca="1">RTD("wdf.rtq",,B120,"LastPrice","Dirty_Price")</f>
        <v>108</v>
      </c>
      <c r="G120" s="124">
        <f ca="1">RTD("wdf.rtq",,E120,"LastPrice")</f>
        <v>3.2600000000000002</v>
      </c>
      <c r="H120" s="226">
        <f ca="1">RTD("wdf.rtq",,B120,"PctChg","RT_Price")/100</f>
        <v>7.4000000000000003E-3</v>
      </c>
      <c r="I120" s="226">
        <f ca="1">RTD("wdf.rtq",,E120,"PctChg")/100</f>
        <v>1.5600000000000001E-2</v>
      </c>
      <c r="J120" s="125">
        <f ca="1">_xlfn.IFNA([1]!b_anal_ptmyear(B120,$B$2),"未发行或发行失败")</f>
        <v>4.9424657534246572</v>
      </c>
      <c r="K120" s="125">
        <f ca="1">RTD("wdf.rtq",,B120,"Amount","Dirty_Price")/100000000</f>
        <v>0.48785699999999999</v>
      </c>
      <c r="L120" s="125">
        <f ca="1">[1]!cb_anal_convprice(B120,$B$2)</f>
        <v>4.03</v>
      </c>
      <c r="M120" s="125">
        <f t="shared" ca="1" si="4"/>
        <v>80.893300248138956</v>
      </c>
      <c r="N120" s="126">
        <f t="shared" ca="1" si="5"/>
        <v>33.50920245398774</v>
      </c>
      <c r="O120" s="126">
        <f t="array" aca="1" ref="O120" ca="1">_xlfn.IFNA(RTD("wdf.rtq",,B120,"LastPrice","Yield_To_Maturity"),[1]!cb_anal_ytm(B120,$C$2))</f>
        <v>1.171</v>
      </c>
      <c r="P120" s="126">
        <f ca="1">[1]!cb_anal_straightbondvalue(B120,$B$2)</f>
        <v>96.060599999999994</v>
      </c>
      <c r="Q120" s="126">
        <f t="shared" ca="1" si="6"/>
        <v>12.429029175333085</v>
      </c>
      <c r="R120" s="126" t="str">
        <f ca="1">[1]!b_rate_latestcredit(B120)</f>
        <v>AA+</v>
      </c>
      <c r="S120" s="126">
        <f ca="1">[1]!cb_info_outstandingbalance(B120,$B$2)</f>
        <v>33.686779999999999</v>
      </c>
      <c r="T120" s="126">
        <f ca="1">[1]!cb_info_issueamount(B120,100000000)</f>
        <v>33.700000000000003</v>
      </c>
      <c r="U120" s="126">
        <f t="shared" ca="1" si="7"/>
        <v>99.960771513353109</v>
      </c>
      <c r="V120" s="230">
        <f ca="1">IF([1]!cb_anal_ldiluterate(B120,$B$2)=100,"-",[1]!cb_anal_ldiluterate(B120,$B$2))</f>
        <v>9.3441998170544363</v>
      </c>
      <c r="W120" s="127" t="str">
        <f ca="1">[1]!cb_info_listeddate(B120)</f>
        <v>2020-09-15</v>
      </c>
      <c r="X120" s="127" t="str">
        <f ca="1">[1]!cb_info_carrydate(B120)</f>
        <v>2020-08-18</v>
      </c>
      <c r="Y120" s="125" t="str">
        <f ca="1">[1]!cb_clause_conversion_2_swapsharestartdate(B120)</f>
        <v>2021-02-24</v>
      </c>
      <c r="Z120" s="125" t="str">
        <f ca="1">[1]!cb_clause_putoption_conditionalputbackstartenddate(B120)</f>
        <v>2024-08-18</v>
      </c>
      <c r="AA120" s="230">
        <f ca="1">[1]!cb_info_maturitycallprice(B120)</f>
        <v>110</v>
      </c>
      <c r="AB120" s="230">
        <f ca="1">IF(ISNUMBER([1]!cb_info_conditionalputprice(B120)),[1]!cb_info_conditionalputprice(B120),"-")</f>
        <v>0</v>
      </c>
      <c r="AC120" s="230">
        <f ca="1">[1]!cb_info_interest(B120)</f>
        <v>0.2</v>
      </c>
      <c r="AD120" s="263" t="str">
        <f ca="1">IFERROR(couponlist([1]!cb_clause_interest(B120,"4")),"-")</f>
        <v>0.20%，0.40%，0.60%，1.50%，1.80%，2.00%</v>
      </c>
      <c r="AE120" s="129"/>
      <c r="AF120" s="129"/>
      <c r="AG120" s="129"/>
      <c r="AH120" s="129"/>
      <c r="AI120" s="129"/>
      <c r="AJ120" s="129"/>
      <c r="AK120" s="129"/>
      <c r="AL120" s="129"/>
      <c r="AM120" s="129"/>
      <c r="AN120" s="129"/>
      <c r="AO120" s="129"/>
      <c r="AP120" s="129"/>
      <c r="AQ120" s="129"/>
    </row>
    <row r="121" spans="1:43" s="191" customFormat="1" x14ac:dyDescent="0.35">
      <c r="A121" s="182" t="s">
        <v>5</v>
      </c>
      <c r="B121" s="182" t="s">
        <v>354</v>
      </c>
      <c r="C121" s="182" t="s">
        <v>355</v>
      </c>
      <c r="D121" s="235" t="str">
        <f ca="1">IF([1]!s_info_industry_sw(B121,1)=0,"-",[1]!s_info_industry_sw(B121,1))</f>
        <v>汽车</v>
      </c>
      <c r="E121" s="183" t="str">
        <f ca="1">[1]!cb_info_underlyingcode(B121)</f>
        <v>000887.SZ</v>
      </c>
      <c r="F121" s="185">
        <f ca="1">RTD("wdf.rtq",,B121,"LastPrice","Dirty_Price")</f>
        <v>165.01600000000002</v>
      </c>
      <c r="G121" s="185">
        <f ca="1">RTD("wdf.rtq",,E121,"LastPrice")</f>
        <v>17.580000000000002</v>
      </c>
      <c r="H121" s="225">
        <f ca="1">RTD("wdf.rtq",,B121,"PctChg","RT_Price")/100</f>
        <v>-1.4200000000000001E-2</v>
      </c>
      <c r="I121" s="225">
        <f ca="1">RTD("wdf.rtq",,E121,"PctChg")/100</f>
        <v>-1.0100000000000003E-2</v>
      </c>
      <c r="J121" s="186">
        <f ca="1">_xlfn.IFNA([1]!b_anal_ptmyear(B121,$B$2),"未发行或发行失败")</f>
        <v>3.495890410958904</v>
      </c>
      <c r="K121" s="186">
        <f ca="1">RTD("wdf.rtq",,B121,"Amount","Dirty_Price")/100000000</f>
        <v>0.64766053000000001</v>
      </c>
      <c r="L121" s="186">
        <f ca="1">[1]!cb_anal_convprice(B121,$B$2)</f>
        <v>11.39</v>
      </c>
      <c r="M121" s="186">
        <f t="shared" ca="1" si="4"/>
        <v>154.34591747146621</v>
      </c>
      <c r="N121" s="187">
        <f t="shared" ca="1" si="5"/>
        <v>6.9130967007963733</v>
      </c>
      <c r="O121" s="187">
        <f t="array" aca="1" ref="O121" ca="1">_xlfn.IFNA(RTD("wdf.rtq",,B121,"LastPrice","Yield_To_Maturity"),[1]!cb_anal_ytm(B121,$C$2))</f>
        <v>-10.0984</v>
      </c>
      <c r="P121" s="187">
        <f ca="1">[1]!cb_anal_straightbondvalue(B121,$B$2)</f>
        <v>102.26860000000001</v>
      </c>
      <c r="Q121" s="187">
        <f t="shared" ca="1" si="6"/>
        <v>61.35548936819319</v>
      </c>
      <c r="R121" s="187" t="str">
        <f ca="1">[1]!b_rate_latestcredit(B121)</f>
        <v>AA+</v>
      </c>
      <c r="S121" s="187">
        <f ca="1">[1]!cb_info_outstandingbalance(B121,$B$2)</f>
        <v>11.996582</v>
      </c>
      <c r="T121" s="187">
        <f ca="1">[1]!cb_info_issueamount(B121,100000000)</f>
        <v>12</v>
      </c>
      <c r="U121" s="187">
        <f t="shared" ca="1" si="7"/>
        <v>99.971516666666673</v>
      </c>
      <c r="V121" s="240">
        <f ca="1">IF([1]!cb_anal_ldiluterate(B121,$B$2)=100,"-",[1]!cb_anal_ldiluterate(B121,$B$2))</f>
        <v>7.9583552223944896</v>
      </c>
      <c r="W121" s="188" t="str">
        <f ca="1">[1]!cb_info_listeddate(B121)</f>
        <v>2019-04-04</v>
      </c>
      <c r="X121" s="188" t="str">
        <f ca="1">[1]!cb_info_carrydate(B121)</f>
        <v>2019-03-08</v>
      </c>
      <c r="Y121" s="186" t="str">
        <f ca="1">[1]!cb_clause_conversion_2_swapsharestartdate(B121)</f>
        <v>2019-09-16</v>
      </c>
      <c r="Z121" s="186" t="str">
        <f ca="1">[1]!cb_clause_putoption_conditionalputbackstartenddate(B121)</f>
        <v>2023-03-08</v>
      </c>
      <c r="AA121" s="240">
        <f ca="1">[1]!cb_info_maturitycallprice(B121)</f>
        <v>110</v>
      </c>
      <c r="AB121" s="240">
        <f ca="1">IF(ISNUMBER([1]!cb_info_conditionalputprice(B121)),[1]!cb_info_conditionalputprice(B121),"-")</f>
        <v>100.358</v>
      </c>
      <c r="AC121" s="240">
        <f ca="1">[1]!cb_info_interest(B121)</f>
        <v>0.5</v>
      </c>
      <c r="AD121" s="262" t="str">
        <f ca="1">IFERROR(couponlist([1]!cb_clause_interest(B121,"4")),"-")</f>
        <v>0.50%，0.70%，1.00%，1.50%，2.00%，2.50%</v>
      </c>
      <c r="AE121" s="189"/>
      <c r="AF121" s="189"/>
      <c r="AG121" s="189"/>
      <c r="AH121" s="189"/>
      <c r="AI121" s="189"/>
      <c r="AJ121" s="189"/>
      <c r="AK121" s="189"/>
      <c r="AL121" s="189"/>
      <c r="AM121" s="189"/>
      <c r="AN121" s="189"/>
      <c r="AO121" s="189"/>
      <c r="AP121" s="189"/>
      <c r="AQ121" s="189"/>
    </row>
    <row r="122" spans="1:43" s="130" customFormat="1" x14ac:dyDescent="0.35">
      <c r="A122" s="121" t="s">
        <v>5</v>
      </c>
      <c r="B122" s="121" t="s">
        <v>493</v>
      </c>
      <c r="C122" s="121" t="s">
        <v>494</v>
      </c>
      <c r="D122" s="236" t="str">
        <f ca="1">IF([1]!s_info_industry_sw(B122,1)=0,"-",[1]!s_info_industry_sw(B122,1))</f>
        <v>汽车</v>
      </c>
      <c r="E122" s="122" t="str">
        <f ca="1">[1]!cb_info_underlyingcode(B122)</f>
        <v>000700.SZ</v>
      </c>
      <c r="F122" s="124">
        <f ca="1">RTD("wdf.rtq",,B122,"LastPrice","Dirty_Price")</f>
        <v>169.88200000000001</v>
      </c>
      <c r="G122" s="124">
        <f ca="1">RTD("wdf.rtq",,E122,"LastPrice")</f>
        <v>6.3100000000000005</v>
      </c>
      <c r="H122" s="226">
        <f ca="1">RTD("wdf.rtq",,B122,"PctChg","RT_Price")/100</f>
        <v>-3.5000000000000005E-3</v>
      </c>
      <c r="I122" s="226">
        <f ca="1">RTD("wdf.rtq",,E122,"PctChg")/100</f>
        <v>-9.4000000000000004E-3</v>
      </c>
      <c r="J122" s="125">
        <f ca="1">_xlfn.IFNA([1]!b_anal_ptmyear(B122,$B$2),"未发行或发行失败")</f>
        <v>1.7315068493150685</v>
      </c>
      <c r="K122" s="125">
        <f ca="1">RTD("wdf.rtq",,B122,"Amount","Dirty_Price")/100000000</f>
        <v>0.21379411000000001</v>
      </c>
      <c r="L122" s="125">
        <f ca="1">[1]!cb_anal_convprice(B122,$B$2)</f>
        <v>7.24</v>
      </c>
      <c r="M122" s="125">
        <f t="shared" ca="1" si="4"/>
        <v>87.154696132596683</v>
      </c>
      <c r="N122" s="126">
        <f t="shared" ca="1" si="5"/>
        <v>94.920076069730612</v>
      </c>
      <c r="O122" s="126">
        <f t="array" aca="1" ref="O122" ca="1">_xlfn.IFNA(RTD("wdf.rtq",,B122,"LastPrice","Yield_To_Maturity"),[1]!cb_anal_ytm(B122,$C$2))</f>
        <v>-21.623699999999999</v>
      </c>
      <c r="P122" s="126">
        <f ca="1">[1]!cb_anal_straightbondvalue(B122,$B$2)</f>
        <v>102.04689999999999</v>
      </c>
      <c r="Q122" s="126">
        <f t="shared" ca="1" si="6"/>
        <v>66.474434794197578</v>
      </c>
      <c r="R122" s="126" t="str">
        <f ca="1">[1]!b_rate_latestcredit(B122)</f>
        <v>AA-</v>
      </c>
      <c r="S122" s="126">
        <f ca="1">[1]!cb_info_outstandingbalance(B122,$B$2)</f>
        <v>1.313788</v>
      </c>
      <c r="T122" s="126">
        <f ca="1">[1]!cb_info_issueamount(B122,100000000)</f>
        <v>8.1365999999999996</v>
      </c>
      <c r="U122" s="126">
        <f t="shared" ca="1" si="7"/>
        <v>16.146646019221787</v>
      </c>
      <c r="V122" s="230">
        <f ca="1">IF([1]!cb_anal_ldiluterate(B122,$B$2)=100,"-",[1]!cb_anal_ldiluterate(B122,$B$2))</f>
        <v>1.9404454968913798</v>
      </c>
      <c r="W122" s="127" t="str">
        <f ca="1">[1]!cb_info_listeddate(B122)</f>
        <v>2017-06-26</v>
      </c>
      <c r="X122" s="127" t="str">
        <f ca="1">[1]!cb_info_carrydate(B122)</f>
        <v>2017-06-02</v>
      </c>
      <c r="Y122" s="125" t="str">
        <f ca="1">[1]!cb_clause_conversion_2_swapsharestartdate(B122)</f>
        <v>2017-12-08</v>
      </c>
      <c r="Z122" s="125" t="str">
        <f ca="1">[1]!cb_clause_putoption_conditionalputbackstartenddate(B122)</f>
        <v>2021-06-02</v>
      </c>
      <c r="AA122" s="230">
        <f ca="1">[1]!cb_info_maturitycallprice(B122)</f>
        <v>110</v>
      </c>
      <c r="AB122" s="230">
        <f ca="1">IF(ISNUMBER([1]!cb_info_conditionalputprice(B122)),[1]!cb_info_conditionalputprice(B122),"-")</f>
        <v>0</v>
      </c>
      <c r="AC122" s="230">
        <f ca="1">[1]!cb_info_interest(B122)</f>
        <v>0.5</v>
      </c>
      <c r="AD122" s="263" t="str">
        <f ca="1">IFERROR(couponlist([1]!cb_clause_interest(B122,"4")),"-")</f>
        <v>0.50%，0.70%，1.00%，1.50%，1.80%，2.00%</v>
      </c>
      <c r="AE122" s="129"/>
      <c r="AF122" s="129"/>
      <c r="AG122" s="129"/>
      <c r="AH122" s="129"/>
      <c r="AI122" s="129"/>
      <c r="AJ122" s="129"/>
      <c r="AK122" s="129"/>
      <c r="AL122" s="129"/>
      <c r="AM122" s="129"/>
      <c r="AN122" s="129"/>
      <c r="AO122" s="129"/>
      <c r="AP122" s="129"/>
      <c r="AQ122" s="129"/>
    </row>
    <row r="123" spans="1:43" s="191" customFormat="1" x14ac:dyDescent="0.35">
      <c r="A123" s="182" t="s">
        <v>0</v>
      </c>
      <c r="B123" s="182" t="s">
        <v>312</v>
      </c>
      <c r="C123" s="182" t="s">
        <v>313</v>
      </c>
      <c r="D123" s="235" t="str">
        <f ca="1">IF([1]!s_info_industry_sw(B123,1)=0,"-",[1]!s_info_industry_sw(B123,1))</f>
        <v>汽车</v>
      </c>
      <c r="E123" s="183" t="str">
        <f ca="1">[1]!cb_info_underlyingcode(B123)</f>
        <v>603348.SH</v>
      </c>
      <c r="F123" s="185">
        <f ca="1">RTD("wdf.rtq",,B123,"LastPrice","Dirty_Price")</f>
        <v>204.63000000000002</v>
      </c>
      <c r="G123" s="185">
        <f ca="1">RTD("wdf.rtq",,E123,"LastPrice")</f>
        <v>35.31</v>
      </c>
      <c r="H123" s="225">
        <f ca="1">RTD("wdf.rtq",,B123,"PctChg","RT_Price")/100</f>
        <v>1.6000000000000001E-3</v>
      </c>
      <c r="I123" s="225">
        <f ca="1">RTD("wdf.rtq",,E123,"PctChg")/100</f>
        <v>-1.1199999999999998E-2</v>
      </c>
      <c r="J123" s="186">
        <f ca="1">_xlfn.IFNA([1]!b_anal_ptmyear(B123,$B$2),"未发行或发行失败")</f>
        <v>3.7534246575342465</v>
      </c>
      <c r="K123" s="186">
        <f ca="1">RTD("wdf.rtq",,B123,"Amount","Dirty_Price")/100000000</f>
        <v>0.20825746000000001</v>
      </c>
      <c r="L123" s="186">
        <f ca="1">[1]!cb_anal_convprice(B123,$B$2)</f>
        <v>19.28</v>
      </c>
      <c r="M123" s="186">
        <f t="shared" ca="1" si="4"/>
        <v>183.14315352697093</v>
      </c>
      <c r="N123" s="187">
        <f t="shared" ca="1" si="5"/>
        <v>11.732268479184398</v>
      </c>
      <c r="O123" s="187">
        <f t="array" aca="1" ref="O123" ca="1">_xlfn.IFNA(RTD("wdf.rtq",,B123,"LastPrice","Yield_To_Maturity"),[1]!cb_anal_ytm(B123,$C$2))</f>
        <v>-13.3612</v>
      </c>
      <c r="P123" s="187">
        <f ca="1">[1]!cb_anal_straightbondvalue(B123,$B$2)</f>
        <v>96.202699999999993</v>
      </c>
      <c r="Q123" s="187">
        <f t="shared" ca="1" si="6"/>
        <v>112.70712776252648</v>
      </c>
      <c r="R123" s="187" t="str">
        <f ca="1">[1]!b_rate_latestcredit(B123)</f>
        <v>AA-</v>
      </c>
      <c r="S123" s="187">
        <f ca="1">[1]!cb_info_outstandingbalance(B123,$B$2)</f>
        <v>1.4084700000000001</v>
      </c>
      <c r="T123" s="187">
        <f ca="1">[1]!cb_info_issueamount(B123,100000000)</f>
        <v>8</v>
      </c>
      <c r="U123" s="187">
        <f t="shared" ca="1" si="7"/>
        <v>17.605875000000001</v>
      </c>
      <c r="V123" s="240">
        <f ca="1">IF([1]!cb_anal_ldiluterate(B123,$B$2)=100,"-",[1]!cb_anal_ldiluterate(B123,$B$2))</f>
        <v>2.7615923773298583</v>
      </c>
      <c r="W123" s="188" t="str">
        <f ca="1">[1]!cb_info_listeddate(B123)</f>
        <v>2019-07-05</v>
      </c>
      <c r="X123" s="188" t="str">
        <f ca="1">[1]!cb_info_carrydate(B123)</f>
        <v>2019-06-10</v>
      </c>
      <c r="Y123" s="186" t="str">
        <f ca="1">[1]!cb_clause_conversion_2_swapsharestartdate(B123)</f>
        <v>2019-12-16</v>
      </c>
      <c r="Z123" s="186" t="str">
        <f ca="1">[1]!cb_clause_putoption_conditionalputbackstartenddate(B123)</f>
        <v>2023-06-10</v>
      </c>
      <c r="AA123" s="240">
        <f ca="1">[1]!cb_info_maturitycallprice(B123)</f>
        <v>115</v>
      </c>
      <c r="AB123" s="240">
        <f ca="1">IF(ISNUMBER([1]!cb_info_conditionalputprice(B123)),[1]!cb_info_conditionalputprice(B123),"-")</f>
        <v>0</v>
      </c>
      <c r="AC123" s="240">
        <f ca="1">[1]!cb_info_interest(B123)</f>
        <v>0.5</v>
      </c>
      <c r="AD123" s="262" t="str">
        <f ca="1">IFERROR(couponlist([1]!cb_clause_interest(B123,"4")),"-")</f>
        <v>0.50%，0.80%，1.20%，2.00%，2.50%，3.50%</v>
      </c>
      <c r="AE123" s="189"/>
      <c r="AF123" s="189"/>
      <c r="AG123" s="189"/>
      <c r="AH123" s="189"/>
      <c r="AI123" s="189"/>
      <c r="AJ123" s="189"/>
      <c r="AK123" s="189"/>
      <c r="AL123" s="189"/>
      <c r="AM123" s="189"/>
      <c r="AN123" s="189"/>
      <c r="AO123" s="189"/>
      <c r="AP123" s="189"/>
      <c r="AQ123" s="189"/>
    </row>
    <row r="124" spans="1:43" s="130" customFormat="1" x14ac:dyDescent="0.35">
      <c r="A124" s="121" t="s">
        <v>5</v>
      </c>
      <c r="B124" s="121" t="s">
        <v>82</v>
      </c>
      <c r="C124" s="121" t="s">
        <v>83</v>
      </c>
      <c r="D124" s="236" t="str">
        <f ca="1">IF([1]!s_info_industry_sw(B124,1)=0,"-",[1]!s_info_industry_sw(B124,1))</f>
        <v>汽车</v>
      </c>
      <c r="E124" s="122" t="str">
        <f ca="1">[1]!cb_info_underlyingcode(B124)</f>
        <v>002921.SZ</v>
      </c>
      <c r="F124" s="124">
        <f ca="1">RTD("wdf.rtq",,B124,"LastPrice","Dirty_Price")</f>
        <v>118.238</v>
      </c>
      <c r="G124" s="124">
        <f ca="1">RTD("wdf.rtq",,E124,"LastPrice")</f>
        <v>16.78</v>
      </c>
      <c r="H124" s="226">
        <f ca="1">RTD("wdf.rtq",,B124,"PctChg","RT_Price")/100</f>
        <v>-1.2999999999999999E-3</v>
      </c>
      <c r="I124" s="226">
        <f ca="1">RTD("wdf.rtq",,E124,"PctChg")/100</f>
        <v>1.7000000000000001E-2</v>
      </c>
      <c r="J124" s="125">
        <f ca="1">_xlfn.IFNA([1]!b_anal_ptmyear(B124,$B$2),"未发行或发行失败")</f>
        <v>4.8547945205479452</v>
      </c>
      <c r="K124" s="125">
        <f ca="1">RTD("wdf.rtq",,B124,"Amount","Dirty_Price")/100000000</f>
        <v>2.8478119999999999E-2</v>
      </c>
      <c r="L124" s="125">
        <f ca="1">[1]!cb_anal_convprice(B124,$B$2)</f>
        <v>18.440000000000001</v>
      </c>
      <c r="M124" s="125">
        <f t="shared" ca="1" si="4"/>
        <v>90.997830802603033</v>
      </c>
      <c r="N124" s="126">
        <f t="shared" ca="1" si="5"/>
        <v>29.934965435041704</v>
      </c>
      <c r="O124" s="126">
        <f t="array" aca="1" ref="O124" ca="1">_xlfn.IFNA(RTD("wdf.rtq",,B124,"LastPrice","Yield_To_Maturity"),[1]!cb_anal_ytm(B124,$C$2))</f>
        <v>-6.0200000000000004E-2</v>
      </c>
      <c r="P124" s="126">
        <f ca="1">[1]!cb_anal_straightbondvalue(B124,$B$2)</f>
        <v>71.800200000000004</v>
      </c>
      <c r="Q124" s="126">
        <f t="shared" ca="1" si="6"/>
        <v>64.67642151414617</v>
      </c>
      <c r="R124" s="126" t="str">
        <f ca="1">[1]!b_rate_latestcredit(B124)</f>
        <v>A</v>
      </c>
      <c r="S124" s="126">
        <f ca="1">[1]!cb_info_outstandingbalance(B124,$B$2)</f>
        <v>2.5998540000000001</v>
      </c>
      <c r="T124" s="126">
        <f ca="1">[1]!cb_info_issueamount(B124,100000000)</f>
        <v>2.6</v>
      </c>
      <c r="U124" s="126">
        <f t="shared" ca="1" si="7"/>
        <v>99.994384615384618</v>
      </c>
      <c r="V124" s="230">
        <f ca="1">IF([1]!cb_anal_ldiluterate(B124,$B$2)=100,"-",[1]!cb_anal_ldiluterate(B124,$B$2))</f>
        <v>14.699433132311654</v>
      </c>
      <c r="W124" s="127" t="str">
        <f ca="1">[1]!cb_info_listeddate(B124)</f>
        <v>2020-08-17</v>
      </c>
      <c r="X124" s="127" t="str">
        <f ca="1">[1]!cb_info_carrydate(B124)</f>
        <v>2020-07-17</v>
      </c>
      <c r="Y124" s="125" t="str">
        <f ca="1">[1]!cb_clause_conversion_2_swapsharestartdate(B124)</f>
        <v>2021-01-25</v>
      </c>
      <c r="Z124" s="125" t="str">
        <f ca="1">[1]!cb_clause_putoption_conditionalputbackstartenddate(B124)</f>
        <v>2024-07-17</v>
      </c>
      <c r="AA124" s="230">
        <f ca="1">[1]!cb_info_maturitycallprice(B124)</f>
        <v>112</v>
      </c>
      <c r="AB124" s="230">
        <f ca="1">IF(ISNUMBER([1]!cb_info_conditionalputprice(B124)),[1]!cb_info_conditionalputprice(B124),"-")</f>
        <v>0</v>
      </c>
      <c r="AC124" s="230">
        <f ca="1">[1]!cb_info_interest(B124)</f>
        <v>0.5</v>
      </c>
      <c r="AD124" s="263" t="str">
        <f ca="1">IFERROR(couponlist([1]!cb_clause_interest(B124,"4")),"-")</f>
        <v>0.5%，0.7%，1.2%，1.8%，2.2%，2.5%</v>
      </c>
      <c r="AE124" s="129"/>
      <c r="AF124" s="129"/>
      <c r="AG124" s="129"/>
      <c r="AH124" s="129"/>
      <c r="AI124" s="129"/>
      <c r="AJ124" s="129"/>
      <c r="AK124" s="129"/>
      <c r="AL124" s="129"/>
      <c r="AM124" s="129"/>
      <c r="AN124" s="129"/>
      <c r="AO124" s="129"/>
      <c r="AP124" s="129"/>
      <c r="AQ124" s="129"/>
    </row>
    <row r="125" spans="1:43" s="191" customFormat="1" x14ac:dyDescent="0.35">
      <c r="A125" s="182" t="s">
        <v>5</v>
      </c>
      <c r="B125" s="182" t="s">
        <v>616</v>
      </c>
      <c r="C125" s="182" t="s">
        <v>617</v>
      </c>
      <c r="D125" s="235" t="str">
        <f ca="1">IF([1]!s_info_industry_sw(B125,1)=0,"-",[1]!s_info_industry_sw(B125,1))</f>
        <v>汽车</v>
      </c>
      <c r="E125" s="183" t="str">
        <f ca="1">[1]!cb_info_underlyingcode(B125)</f>
        <v>300707.SZ</v>
      </c>
      <c r="F125" s="185">
        <f ca="1">RTD("wdf.rtq",,B125,"LastPrice","Dirty_Price")</f>
        <v>114.81</v>
      </c>
      <c r="G125" s="185">
        <f ca="1">RTD("wdf.rtq",,E125,"LastPrice")</f>
        <v>17.95</v>
      </c>
      <c r="H125" s="225">
        <f ca="1">RTD("wdf.rtq",,B125,"PctChg","RT_Price")/100</f>
        <v>2.7000000000000001E-3</v>
      </c>
      <c r="I125" s="225">
        <f ca="1">RTD("wdf.rtq",,E125,"PctChg")/100</f>
        <v>3.2800000000000003E-2</v>
      </c>
      <c r="J125" s="186">
        <f ca="1">_xlfn.IFNA([1]!b_anal_ptmyear(B125,$B$2),"未发行或发行失败")</f>
        <v>5.2684931506849315</v>
      </c>
      <c r="K125" s="186">
        <f ca="1">RTD("wdf.rtq",,B125,"Amount","Dirty_Price")/100000000</f>
        <v>0.11669002000000001</v>
      </c>
      <c r="L125" s="186">
        <f ca="1">[1]!cb_anal_convprice(B125,$B$2)</f>
        <v>20.72</v>
      </c>
      <c r="M125" s="186">
        <f t="shared" ca="1" si="4"/>
        <v>86.631274131274139</v>
      </c>
      <c r="N125" s="187">
        <f t="shared" ca="1" si="5"/>
        <v>32.527197771587737</v>
      </c>
      <c r="O125" s="187">
        <f t="array" aca="1" ref="O125" ca="1">_xlfn.IFNA(RTD("wdf.rtq",,B125,"LastPrice","Yield_To_Maturity"),[1]!cb_anal_ytm(B125,$C$2))</f>
        <v>1.1233</v>
      </c>
      <c r="P125" s="187">
        <f ca="1">[1]!cb_anal_straightbondvalue(B125,$B$2)</f>
        <v>78.4876</v>
      </c>
      <c r="Q125" s="187">
        <f t="shared" ca="1" si="6"/>
        <v>46.277883385400997</v>
      </c>
      <c r="R125" s="187" t="str">
        <f ca="1">[1]!b_rate_latestcredit(B125)</f>
        <v>A+</v>
      </c>
      <c r="S125" s="187">
        <f ca="1">[1]!cb_info_outstandingbalance(B125,$B$2)</f>
        <v>3.012283</v>
      </c>
      <c r="T125" s="187">
        <f ca="1">[1]!cb_info_issueamount(B125,100000000)</f>
        <v>3.0137999999999998</v>
      </c>
      <c r="U125" s="187">
        <f t="shared" ca="1" si="7"/>
        <v>99.949664874908763</v>
      </c>
      <c r="V125" s="240">
        <f ca="1">IF([1]!cb_anal_ldiluterate(B125,$B$2)=100,"-",[1]!cb_anal_ldiluterate(B125,$B$2))</f>
        <v>11.553763955234729</v>
      </c>
      <c r="W125" s="188" t="str">
        <f ca="1">[1]!cb_info_listeddate(B125)</f>
        <v>2021-01-06</v>
      </c>
      <c r="X125" s="188" t="str">
        <f ca="1">[1]!cb_info_carrydate(B125)</f>
        <v>2020-12-15</v>
      </c>
      <c r="Y125" s="186" t="str">
        <f ca="1">[1]!cb_clause_conversion_2_swapsharestartdate(B125)</f>
        <v>2021-06-21</v>
      </c>
      <c r="Z125" s="186" t="str">
        <f ca="1">[1]!cb_clause_putoption_conditionalputbackstartenddate(B125)</f>
        <v>2024-12-15</v>
      </c>
      <c r="AA125" s="240">
        <f ca="1">[1]!cb_info_maturitycallprice(B125)</f>
        <v>115</v>
      </c>
      <c r="AB125" s="240">
        <f ca="1">IF(ISNUMBER([1]!cb_info_conditionalputprice(B125)),[1]!cb_info_conditionalputprice(B125),"-")</f>
        <v>0</v>
      </c>
      <c r="AC125" s="240">
        <f ca="1">[1]!cb_info_interest(B125)</f>
        <v>0.5</v>
      </c>
      <c r="AD125" s="262" t="str">
        <f ca="1">IFERROR(couponlist([1]!cb_clause_interest(B125,"4")),"-")</f>
        <v>0.5%，0.7%，1.2%，1.8%，2.4%，2.8%</v>
      </c>
      <c r="AE125" s="189"/>
      <c r="AF125" s="189"/>
      <c r="AG125" s="189"/>
      <c r="AH125" s="189"/>
      <c r="AI125" s="189"/>
      <c r="AJ125" s="189"/>
      <c r="AK125" s="189"/>
      <c r="AL125" s="189"/>
      <c r="AM125" s="189"/>
      <c r="AN125" s="189"/>
      <c r="AO125" s="189"/>
      <c r="AP125" s="189"/>
      <c r="AQ125" s="189"/>
    </row>
    <row r="126" spans="1:43" s="130" customFormat="1" x14ac:dyDescent="0.35">
      <c r="A126" s="121" t="s">
        <v>5</v>
      </c>
      <c r="B126" s="121" t="s">
        <v>280</v>
      </c>
      <c r="C126" s="121" t="s">
        <v>281</v>
      </c>
      <c r="D126" s="236" t="str">
        <f ca="1">IF([1]!s_info_industry_sw(B126,1)=0,"-",[1]!s_info_industry_sw(B126,1))</f>
        <v>汽车</v>
      </c>
      <c r="E126" s="122" t="str">
        <f ca="1">[1]!cb_info_underlyingcode(B126)</f>
        <v>002406.SZ</v>
      </c>
      <c r="F126" s="124">
        <f ca="1">RTD("wdf.rtq",,B126,"LastPrice","Dirty_Price")</f>
        <v>130.45099999999999</v>
      </c>
      <c r="G126" s="124">
        <f ca="1">RTD("wdf.rtq",,E126,"LastPrice")</f>
        <v>6.6000000000000005</v>
      </c>
      <c r="H126" s="226">
        <f ca="1">RTD("wdf.rtq",,B126,"PctChg","RT_Price")/100</f>
        <v>-1.9E-3</v>
      </c>
      <c r="I126" s="226">
        <f ca="1">RTD("wdf.rtq",,E126,"PctChg")/100</f>
        <v>3.0000000000000001E-3</v>
      </c>
      <c r="J126" s="125">
        <f ca="1">_xlfn.IFNA([1]!b_anal_ptmyear(B126,$B$2),"未发行或发行失败")</f>
        <v>4.0410958904109586</v>
      </c>
      <c r="K126" s="125">
        <f ca="1">RTD("wdf.rtq",,B126,"Amount","Dirty_Price")/100000000</f>
        <v>8.9720389999999997E-2</v>
      </c>
      <c r="L126" s="125">
        <f ca="1">[1]!cb_anal_convprice(B126,$B$2)</f>
        <v>5.29</v>
      </c>
      <c r="M126" s="125">
        <f t="shared" ca="1" si="4"/>
        <v>124.76370510396976</v>
      </c>
      <c r="N126" s="126">
        <f t="shared" ca="1" si="5"/>
        <v>4.5584530303030135</v>
      </c>
      <c r="O126" s="126">
        <f t="array" aca="1" ref="O126" ca="1">_xlfn.IFNA(RTD("wdf.rtq",,B126,"LastPrice","Yield_To_Maturity"),[1]!cb_anal_ytm(B126,$C$2))</f>
        <v>-3.1579000000000002</v>
      </c>
      <c r="P126" s="126">
        <f ca="1">[1]!cb_anal_straightbondvalue(B126,$B$2)</f>
        <v>98.059899999999999</v>
      </c>
      <c r="Q126" s="126">
        <f t="shared" ca="1" si="6"/>
        <v>33.031952918573239</v>
      </c>
      <c r="R126" s="126" t="str">
        <f ca="1">[1]!b_rate_latestcredit(B126)</f>
        <v>AA</v>
      </c>
      <c r="S126" s="126">
        <f ca="1">[1]!cb_info_outstandingbalance(B126,$B$2)</f>
        <v>5.4380309999999996</v>
      </c>
      <c r="T126" s="126">
        <f ca="1">[1]!cb_info_issueamount(B126,100000000)</f>
        <v>8.9369999999999994</v>
      </c>
      <c r="U126" s="126">
        <f t="shared" ca="1" si="7"/>
        <v>60.848506210137629</v>
      </c>
      <c r="V126" s="230">
        <f ca="1">IF([1]!cb_anal_ldiluterate(B126,$B$2)=100,"-",[1]!cb_anal_ldiluterate(B126,$B$2))</f>
        <v>17.164510062202567</v>
      </c>
      <c r="W126" s="127" t="str">
        <f ca="1">[1]!cb_info_listeddate(B126)</f>
        <v>2019-10-31</v>
      </c>
      <c r="X126" s="127" t="str">
        <f ca="1">[1]!cb_info_carrydate(B126)</f>
        <v>2019-09-23</v>
      </c>
      <c r="Y126" s="125" t="str">
        <f ca="1">[1]!cb_clause_conversion_2_swapsharestartdate(B126)</f>
        <v>2020-03-27</v>
      </c>
      <c r="Z126" s="125" t="str">
        <f ca="1">[1]!cb_clause_putoption_conditionalputbackstartenddate(B126)</f>
        <v>2023-09-23</v>
      </c>
      <c r="AA126" s="230">
        <f ca="1">[1]!cb_info_maturitycallprice(B126)</f>
        <v>110</v>
      </c>
      <c r="AB126" s="230">
        <f ca="1">IF(ISNUMBER([1]!cb_info_conditionalputprice(B126)),[1]!cb_info_conditionalputprice(B126),"-")</f>
        <v>0</v>
      </c>
      <c r="AC126" s="230">
        <f ca="1">[1]!cb_info_interest(B126)</f>
        <v>0.3</v>
      </c>
      <c r="AD126" s="263" t="str">
        <f ca="1">IFERROR(couponlist([1]!cb_clause_interest(B126,"4")),"-")</f>
        <v>0.3%，0.6%，1.0%，1.5%，1.8%，2.0%</v>
      </c>
      <c r="AE126" s="129"/>
      <c r="AF126" s="129"/>
      <c r="AG126" s="129"/>
      <c r="AH126" s="129"/>
      <c r="AI126" s="129"/>
      <c r="AJ126" s="129"/>
      <c r="AK126" s="129"/>
      <c r="AL126" s="129"/>
      <c r="AM126" s="129"/>
      <c r="AN126" s="129"/>
      <c r="AO126" s="129"/>
      <c r="AP126" s="129"/>
      <c r="AQ126" s="129"/>
    </row>
    <row r="127" spans="1:43" s="191" customFormat="1" x14ac:dyDescent="0.35">
      <c r="A127" s="182" t="s">
        <v>5</v>
      </c>
      <c r="B127" s="182" t="s">
        <v>471</v>
      </c>
      <c r="C127" s="182" t="s">
        <v>472</v>
      </c>
      <c r="D127" s="235" t="str">
        <f ca="1">IF([1]!s_info_industry_sw(B127,1)=0,"-",[1]!s_info_industry_sw(B127,1))</f>
        <v>汽车</v>
      </c>
      <c r="E127" s="183" t="str">
        <f ca="1">[1]!cb_info_underlyingcode(B127)</f>
        <v>002284.SZ</v>
      </c>
      <c r="F127" s="185">
        <f ca="1">RTD("wdf.rtq",,B127,"LastPrice","Dirty_Price")</f>
        <v>115.667</v>
      </c>
      <c r="G127" s="185">
        <f ca="1">RTD("wdf.rtq",,E127,"LastPrice")</f>
        <v>8.4700000000000006</v>
      </c>
      <c r="H127" s="225">
        <f ca="1">RTD("wdf.rtq",,B127,"PctChg","RT_Price")/100</f>
        <v>3.2000000000000002E-3</v>
      </c>
      <c r="I127" s="225">
        <f ca="1">RTD("wdf.rtq",,E127,"PctChg")/100</f>
        <v>-8.2000000000000007E-3</v>
      </c>
      <c r="J127" s="186">
        <f ca="1">_xlfn.IFNA([1]!b_anal_ptmyear(B127,$B$2),"未发行或发行失败")</f>
        <v>2.2383561643835614</v>
      </c>
      <c r="K127" s="186">
        <f ca="1">RTD("wdf.rtq",,B127,"Amount","Dirty_Price")/100000000</f>
        <v>7.039347E-2</v>
      </c>
      <c r="L127" s="186">
        <f ca="1">[1]!cb_anal_convprice(B127,$B$2)</f>
        <v>10.34</v>
      </c>
      <c r="M127" s="186">
        <f t="shared" ca="1" si="4"/>
        <v>81.914893617021292</v>
      </c>
      <c r="N127" s="187">
        <f t="shared" ca="1" si="5"/>
        <v>41.203870129870126</v>
      </c>
      <c r="O127" s="187">
        <f t="array" aca="1" ref="O127" ca="1">_xlfn.IFNA(RTD("wdf.rtq",,B127,"LastPrice","Yield_To_Maturity"),[1]!cb_anal_ytm(B127,$C$2))</f>
        <v>-1.7374000000000001</v>
      </c>
      <c r="P127" s="187">
        <f ca="1">[1]!cb_anal_straightbondvalue(B127,$B$2)</f>
        <v>103.59569999999999</v>
      </c>
      <c r="Q127" s="187">
        <f t="shared" ca="1" si="6"/>
        <v>11.652317615499499</v>
      </c>
      <c r="R127" s="187" t="str">
        <f ca="1">[1]!b_rate_latestcredit(B127)</f>
        <v>AA</v>
      </c>
      <c r="S127" s="187">
        <f ca="1">[1]!cb_info_outstandingbalance(B127,$B$2)</f>
        <v>9.9869109999999992</v>
      </c>
      <c r="T127" s="187">
        <f ca="1">[1]!cb_info_issueamount(B127,100000000)</f>
        <v>10</v>
      </c>
      <c r="U127" s="187">
        <f t="shared" ca="1" si="7"/>
        <v>99.869109999999992</v>
      </c>
      <c r="V127" s="240">
        <f ca="1">IF([1]!cb_anal_ldiluterate(B127,$B$2)=100,"-",[1]!cb_anal_ldiluterate(B127,$B$2))</f>
        <v>12.341135840794971</v>
      </c>
      <c r="W127" s="188" t="str">
        <f ca="1">[1]!cb_info_listeddate(B127)</f>
        <v>2017-12-26</v>
      </c>
      <c r="X127" s="188" t="str">
        <f ca="1">[1]!cb_info_carrydate(B127)</f>
        <v>2017-12-04</v>
      </c>
      <c r="Y127" s="186" t="str">
        <f ca="1">[1]!cb_clause_conversion_2_swapsharestartdate(B127)</f>
        <v>2018-06-08</v>
      </c>
      <c r="Z127" s="186" t="str">
        <f ca="1">[1]!cb_clause_putoption_conditionalputbackstartenddate(B127)</f>
        <v>2021-12-04</v>
      </c>
      <c r="AA127" s="240">
        <f ca="1">[1]!cb_info_maturitycallprice(B127)</f>
        <v>108</v>
      </c>
      <c r="AB127" s="240">
        <f ca="1">IF(ISNUMBER([1]!cb_info_conditionalputprice(B127)),[1]!cb_info_conditionalputprice(B127),"-")</f>
        <v>0</v>
      </c>
      <c r="AC127" s="240">
        <f ca="1">[1]!cb_info_interest(B127)</f>
        <v>0.3</v>
      </c>
      <c r="AD127" s="262" t="str">
        <f ca="1">IFERROR(couponlist([1]!cb_clause_interest(B127,"4")),"-")</f>
        <v>0.3%，0.5%，1.0%，1.5%，1.8%，2.0%</v>
      </c>
      <c r="AE127" s="189"/>
      <c r="AF127" s="189"/>
      <c r="AG127" s="189"/>
      <c r="AH127" s="189"/>
      <c r="AI127" s="189"/>
      <c r="AJ127" s="189"/>
      <c r="AK127" s="189"/>
      <c r="AL127" s="189"/>
      <c r="AM127" s="189"/>
      <c r="AN127" s="189"/>
      <c r="AO127" s="189"/>
      <c r="AP127" s="189"/>
      <c r="AQ127" s="189"/>
    </row>
    <row r="128" spans="1:43" s="130" customFormat="1" x14ac:dyDescent="0.35">
      <c r="A128" s="121" t="s">
        <v>5</v>
      </c>
      <c r="B128" s="121" t="s">
        <v>848</v>
      </c>
      <c r="C128" s="121" t="s">
        <v>849</v>
      </c>
      <c r="D128" s="236" t="str">
        <f ca="1">IF([1]!s_info_industry_sw(B128,1)=0,"-",[1]!s_info_industry_sw(B128,1))</f>
        <v>汽车</v>
      </c>
      <c r="E128" s="122" t="str">
        <f ca="1">[1]!cb_info_underlyingcode(B128)</f>
        <v>300611.SZ</v>
      </c>
      <c r="F128" s="124">
        <f ca="1">RTD("wdf.rtq",,B128,"LastPrice","Dirty_Price")</f>
        <v>124.104</v>
      </c>
      <c r="G128" s="124">
        <f ca="1">RTD("wdf.rtq",,E128,"LastPrice")</f>
        <v>10.48</v>
      </c>
      <c r="H128" s="226">
        <f ca="1">RTD("wdf.rtq",,B128,"PctChg","RT_Price")/100</f>
        <v>8.0000000000000004E-4</v>
      </c>
      <c r="I128" s="226">
        <f ca="1">RTD("wdf.rtq",,E128,"PctChg")/100</f>
        <v>-8.5000000000000006E-3</v>
      </c>
      <c r="J128" s="125">
        <f ca="1">_xlfn.IFNA([1]!b_anal_ptmyear(B128,$B$2),"未发行或发行失败")</f>
        <v>5.3863013698630136</v>
      </c>
      <c r="K128" s="125">
        <f ca="1">RTD("wdf.rtq",,B128,"Amount","Dirty_Price")/100000000</f>
        <v>6.4798640000000005E-2</v>
      </c>
      <c r="L128" s="125">
        <f ca="1">[1]!cb_anal_convprice(B128,$B$2)</f>
        <v>9.2799999999999994</v>
      </c>
      <c r="M128" s="125">
        <f t="shared" ca="1" si="4"/>
        <v>112.93103448275863</v>
      </c>
      <c r="N128" s="126">
        <f t="shared" ca="1" si="5"/>
        <v>9.8936183206106705</v>
      </c>
      <c r="O128" s="126">
        <f t="array" aca="1" ref="O128" ca="1">_xlfn.IFNA(RTD("wdf.rtq",,B128,"LastPrice","Yield_To_Maturity"),[1]!cb_anal_ytm(B128,$C$2))</f>
        <v>-0.38640000000000002</v>
      </c>
      <c r="P128" s="126">
        <f ca="1">[1]!cb_anal_straightbondvalue(B128,$B$2)</f>
        <v>77.644900000000007</v>
      </c>
      <c r="Q128" s="126">
        <f t="shared" ca="1" si="6"/>
        <v>59.835352998071983</v>
      </c>
      <c r="R128" s="126" t="str">
        <f ca="1">[1]!b_rate_latestcredit(B128)</f>
        <v>A+</v>
      </c>
      <c r="S128" s="126">
        <f ca="1">[1]!cb_info_outstandingbalance(B128,$B$2)</f>
        <v>2.9993219999999998</v>
      </c>
      <c r="T128" s="126">
        <f ca="1">[1]!cb_info_issueamount(B128,100000000)</f>
        <v>3</v>
      </c>
      <c r="U128" s="126">
        <f t="shared" ca="1" si="7"/>
        <v>99.977399999999989</v>
      </c>
      <c r="V128" s="230">
        <f ca="1">IF([1]!cb_anal_ldiluterate(B128,$B$2)=100,"-",[1]!cb_anal_ldiluterate(B128,$B$2))</f>
        <v>20.984392044222702</v>
      </c>
      <c r="W128" s="127" t="str">
        <f ca="1">[1]!cb_info_listeddate(B128)</f>
        <v>2021-02-24</v>
      </c>
      <c r="X128" s="127" t="str">
        <f ca="1">[1]!cb_info_carrydate(B128)</f>
        <v>2021-01-27</v>
      </c>
      <c r="Y128" s="125" t="str">
        <f ca="1">[1]!cb_clause_conversion_2_swapsharestartdate(B128)</f>
        <v>2021-08-02</v>
      </c>
      <c r="Z128" s="125" t="str">
        <f ca="1">[1]!cb_clause_putoption_conditionalputbackstartenddate(B128)</f>
        <v>2025-01-27</v>
      </c>
      <c r="AA128" s="230">
        <f ca="1">[1]!cb_info_maturitycallprice(B128)</f>
        <v>115</v>
      </c>
      <c r="AB128" s="230">
        <f ca="1">IF(ISNUMBER([1]!cb_info_conditionalputprice(B128)),[1]!cb_info_conditionalputprice(B128),"-")</f>
        <v>0</v>
      </c>
      <c r="AC128" s="230">
        <f ca="1">[1]!cb_info_interest(B128)</f>
        <v>0.5</v>
      </c>
      <c r="AD128" s="263" t="str">
        <f ca="1">IFERROR(couponlist([1]!cb_clause_interest(B128,"4")),"-")</f>
        <v>0.50%，0.70%，1.20%，1.80%，2.40%，2.90%</v>
      </c>
      <c r="AE128" s="129"/>
      <c r="AF128" s="129"/>
      <c r="AG128" s="129"/>
      <c r="AH128" s="129"/>
      <c r="AI128" s="129"/>
      <c r="AJ128" s="129"/>
      <c r="AK128" s="129"/>
      <c r="AL128" s="129"/>
      <c r="AM128" s="129"/>
      <c r="AN128" s="129"/>
      <c r="AO128" s="129"/>
      <c r="AP128" s="129"/>
      <c r="AQ128" s="129"/>
    </row>
    <row r="129" spans="1:43" s="191" customFormat="1" x14ac:dyDescent="0.35">
      <c r="A129" s="182" t="s">
        <v>0</v>
      </c>
      <c r="B129" s="182" t="s">
        <v>563</v>
      </c>
      <c r="C129" s="182" t="s">
        <v>564</v>
      </c>
      <c r="D129" s="235" t="str">
        <f ca="1">IF([1]!s_info_industry_sw(B129,1)=0,"-",[1]!s_info_industry_sw(B129,1))</f>
        <v>汽车</v>
      </c>
      <c r="E129" s="183" t="str">
        <f ca="1">[1]!cb_info_underlyingcode(B129)</f>
        <v>603776.SH</v>
      </c>
      <c r="F129" s="185">
        <f ca="1">RTD("wdf.rtq",,B129,"LastPrice","Dirty_Price")</f>
        <v>122.72</v>
      </c>
      <c r="G129" s="185">
        <f ca="1">RTD("wdf.rtq",,E129,"LastPrice")</f>
        <v>18.8</v>
      </c>
      <c r="H129" s="225">
        <f ca="1">RTD("wdf.rtq",,B129,"PctChg","RT_Price")/100</f>
        <v>4.1000000000000003E-3</v>
      </c>
      <c r="I129" s="225">
        <f ca="1">RTD("wdf.rtq",,E129,"PctChg")/100</f>
        <v>3.7000000000000002E-3</v>
      </c>
      <c r="J129" s="186">
        <f ca="1">_xlfn.IFNA([1]!b_anal_ptmyear(B129,$B$2),"未发行或发行失败")</f>
        <v>5.2109589041095887</v>
      </c>
      <c r="K129" s="186">
        <f ca="1">RTD("wdf.rtq",,B129,"Amount","Dirty_Price")/100000000</f>
        <v>0.11209773000000001</v>
      </c>
      <c r="L129" s="186">
        <f ca="1">[1]!cb_anal_convprice(B129,$B$2)</f>
        <v>16.48</v>
      </c>
      <c r="M129" s="186">
        <f t="shared" ca="1" si="4"/>
        <v>114.07766990291262</v>
      </c>
      <c r="N129" s="187">
        <f t="shared" ca="1" si="5"/>
        <v>7.5758297872340421</v>
      </c>
      <c r="O129" s="187">
        <f t="array" aca="1" ref="O129" ca="1">_xlfn.IFNA(RTD("wdf.rtq",,B129,"LastPrice","Yield_To_Maturity"),[1]!cb_anal_ytm(B129,$C$2))</f>
        <v>-0.35670000000000002</v>
      </c>
      <c r="P129" s="187">
        <f ca="1">[1]!cb_anal_straightbondvalue(B129,$B$2)</f>
        <v>86.587999999999994</v>
      </c>
      <c r="Q129" s="187">
        <f t="shared" ca="1" si="6"/>
        <v>41.728646001755436</v>
      </c>
      <c r="R129" s="187" t="str">
        <f ca="1">[1]!b_rate_latestcredit(B129)</f>
        <v>AA-</v>
      </c>
      <c r="S129" s="187">
        <f ca="1">[1]!cb_info_outstandingbalance(B129,$B$2)</f>
        <v>7.3426200000000001</v>
      </c>
      <c r="T129" s="187">
        <f ca="1">[1]!cb_info_issueamount(B129,100000000)</f>
        <v>8.8648000000000007</v>
      </c>
      <c r="U129" s="187">
        <f t="shared" ca="1" si="7"/>
        <v>82.828941431278764</v>
      </c>
      <c r="V129" s="240">
        <f ca="1">IF([1]!cb_anal_ldiluterate(B129,$B$2)=100,"-",[1]!cb_anal_ldiluterate(B129,$B$2))</f>
        <v>16.073197352384199</v>
      </c>
      <c r="W129" s="188" t="str">
        <f ca="1">[1]!cb_info_listeddate(B129)</f>
        <v>2020-12-23</v>
      </c>
      <c r="X129" s="188" t="str">
        <f ca="1">[1]!cb_info_carrydate(B129)</f>
        <v>2020-11-24</v>
      </c>
      <c r="Y129" s="186" t="str">
        <f ca="1">[1]!cb_clause_conversion_2_swapsharestartdate(B129)</f>
        <v>2021-05-31</v>
      </c>
      <c r="Z129" s="186" t="str">
        <f ca="1">[1]!cb_clause_putoption_conditionalputbackstartenddate(B129)</f>
        <v>2024-11-24</v>
      </c>
      <c r="AA129" s="240">
        <f ca="1">[1]!cb_info_maturitycallprice(B129)</f>
        <v>115</v>
      </c>
      <c r="AB129" s="240">
        <f ca="1">IF(ISNUMBER([1]!cb_info_conditionalputprice(B129)),[1]!cb_info_conditionalputprice(B129),"-")</f>
        <v>0</v>
      </c>
      <c r="AC129" s="240">
        <f ca="1">[1]!cb_info_interest(B129)</f>
        <v>0.4</v>
      </c>
      <c r="AD129" s="262" t="str">
        <f ca="1">IFERROR(couponlist([1]!cb_clause_interest(B129,"4")),"-")</f>
        <v>0.4%，0.6%，1.0%，1.5%，2.0%，3.0%</v>
      </c>
      <c r="AE129" s="189"/>
      <c r="AF129" s="189"/>
      <c r="AG129" s="189"/>
      <c r="AH129" s="189"/>
      <c r="AI129" s="189"/>
      <c r="AJ129" s="189"/>
      <c r="AK129" s="189"/>
      <c r="AL129" s="189"/>
      <c r="AM129" s="189"/>
      <c r="AN129" s="189"/>
      <c r="AO129" s="189"/>
      <c r="AP129" s="189"/>
      <c r="AQ129" s="189"/>
    </row>
    <row r="130" spans="1:43" s="130" customFormat="1" x14ac:dyDescent="0.35">
      <c r="A130" s="121" t="s">
        <v>5</v>
      </c>
      <c r="B130" s="121" t="s">
        <v>413</v>
      </c>
      <c r="C130" s="121" t="s">
        <v>414</v>
      </c>
      <c r="D130" s="236" t="str">
        <f ca="1">IF([1]!s_info_industry_sw(B130,1)=0,"-",[1]!s_info_industry_sw(B130,1))</f>
        <v>汽车</v>
      </c>
      <c r="E130" s="122" t="str">
        <f ca="1">[1]!cb_info_underlyingcode(B130)</f>
        <v>300473.SZ</v>
      </c>
      <c r="F130" s="124">
        <f ca="1">RTD("wdf.rtq",,B130,"LastPrice","Dirty_Price")</f>
        <v>117.69000000000001</v>
      </c>
      <c r="G130" s="124">
        <f ca="1">RTD("wdf.rtq",,E130,"LastPrice")</f>
        <v>24.650000000000002</v>
      </c>
      <c r="H130" s="226">
        <f ca="1">RTD("wdf.rtq",,B130,"PctChg","RT_Price")/100</f>
        <v>-3.5000000000000005E-3</v>
      </c>
      <c r="I130" s="226">
        <f ca="1">RTD("wdf.rtq",,E130,"PctChg")/100</f>
        <v>-5.1999999999999998E-3</v>
      </c>
      <c r="J130" s="125">
        <f ca="1">_xlfn.IFNA([1]!b_anal_ptmyear(B130,$B$2),"未发行或发行失败")</f>
        <v>2.8575342465753426</v>
      </c>
      <c r="K130" s="125">
        <f ca="1">RTD("wdf.rtq",,B130,"Amount","Dirty_Price")/100000000</f>
        <v>2.3556509999999999E-2</v>
      </c>
      <c r="L130" s="125">
        <f ca="1">[1]!cb_anal_convprice(B130,$B$2)</f>
        <v>31.38</v>
      </c>
      <c r="M130" s="125">
        <f t="shared" ca="1" si="4"/>
        <v>78.553218610579989</v>
      </c>
      <c r="N130" s="126">
        <f t="shared" ca="1" si="5"/>
        <v>49.821995943204882</v>
      </c>
      <c r="O130" s="126">
        <f t="array" aca="1" ref="O130" ca="1">_xlfn.IFNA(RTD("wdf.rtq",,B130,"LastPrice","Yield_To_Maturity"),[1]!cb_anal_ytm(B130,$C$2))</f>
        <v>-0.72589999999999999</v>
      </c>
      <c r="P130" s="126">
        <f ca="1">[1]!cb_anal_straightbondvalue(B130,$B$2)</f>
        <v>97.680300000000003</v>
      </c>
      <c r="Q130" s="126">
        <f t="shared" ca="1" si="6"/>
        <v>20.484887945675851</v>
      </c>
      <c r="R130" s="126" t="str">
        <f ca="1">[1]!b_rate_latestcredit(B130)</f>
        <v>AA-</v>
      </c>
      <c r="S130" s="126">
        <f ca="1">[1]!cb_info_outstandingbalance(B130,$B$2)</f>
        <v>2.5066480000000002</v>
      </c>
      <c r="T130" s="126">
        <f ca="1">[1]!cb_info_issueamount(B130,100000000)</f>
        <v>5.6470659999999997</v>
      </c>
      <c r="U130" s="126">
        <f t="shared" ca="1" si="7"/>
        <v>44.38850192294548</v>
      </c>
      <c r="V130" s="230">
        <f ca="1">IF([1]!cb_anal_ldiluterate(B130,$B$2)=100,"-",[1]!cb_anal_ldiluterate(B130,$B$2))</f>
        <v>6.667429890967866</v>
      </c>
      <c r="W130" s="127" t="str">
        <f ca="1">[1]!cb_info_listeddate(B130)</f>
        <v>2018-08-14</v>
      </c>
      <c r="X130" s="127" t="str">
        <f ca="1">[1]!cb_info_carrydate(B130)</f>
        <v>2018-07-18</v>
      </c>
      <c r="Y130" s="125" t="str">
        <f ca="1">[1]!cb_clause_conversion_2_swapsharestartdate(B130)</f>
        <v>2019-01-24</v>
      </c>
      <c r="Z130" s="125" t="str">
        <f ca="1">[1]!cb_clause_putoption_conditionalputbackstartenddate(B130)</f>
        <v>2022-07-18</v>
      </c>
      <c r="AA130" s="230">
        <f ca="1">[1]!cb_info_maturitycallprice(B130)</f>
        <v>112</v>
      </c>
      <c r="AB130" s="230">
        <f ca="1">IF(ISNUMBER([1]!cb_info_conditionalputprice(B130)),[1]!cb_info_conditionalputprice(B130),"-")</f>
        <v>0</v>
      </c>
      <c r="AC130" s="230">
        <f ca="1">[1]!cb_info_interest(B130)</f>
        <v>0.5</v>
      </c>
      <c r="AD130" s="263" t="str">
        <f ca="1">IFERROR(couponlist([1]!cb_clause_interest(B130,"4")),"-")</f>
        <v>0.5%，0.8%，1.0%，1.5%，1.8%，2.0%</v>
      </c>
      <c r="AE130" s="129"/>
      <c r="AF130" s="129"/>
      <c r="AG130" s="129"/>
      <c r="AH130" s="129"/>
      <c r="AI130" s="129"/>
      <c r="AJ130" s="129"/>
      <c r="AK130" s="129"/>
      <c r="AL130" s="129"/>
      <c r="AM130" s="129"/>
      <c r="AN130" s="129"/>
      <c r="AO130" s="129"/>
      <c r="AP130" s="129"/>
      <c r="AQ130" s="129"/>
    </row>
    <row r="131" spans="1:43" s="191" customFormat="1" x14ac:dyDescent="0.35">
      <c r="A131" s="182" t="s">
        <v>0</v>
      </c>
      <c r="B131" s="182" t="s">
        <v>216</v>
      </c>
      <c r="C131" s="182" t="s">
        <v>217</v>
      </c>
      <c r="D131" s="235" t="str">
        <f ca="1">IF([1]!s_info_industry_sw(B131,1)=0,"-",[1]!s_info_industry_sw(B131,1))</f>
        <v>汽车</v>
      </c>
      <c r="E131" s="183" t="str">
        <f ca="1">[1]!cb_info_underlyingcode(B131)</f>
        <v>603089.SH</v>
      </c>
      <c r="F131" s="185">
        <f ca="1">RTD("wdf.rtq",,B131,"LastPrice","Dirty_Price")</f>
        <v>113.83000000000001</v>
      </c>
      <c r="G131" s="185">
        <f ca="1">RTD("wdf.rtq",,E131,"LastPrice")</f>
        <v>8.81</v>
      </c>
      <c r="H131" s="225">
        <f ca="1">RTD("wdf.rtq",,B131,"PctChg","RT_Price")/100</f>
        <v>9.0000000000000008E-4</v>
      </c>
      <c r="I131" s="225">
        <f ca="1">RTD("wdf.rtq",,E131,"PctChg")/100</f>
        <v>2.3E-3</v>
      </c>
      <c r="J131" s="186">
        <f ca="1">_xlfn.IFNA([1]!b_anal_ptmyear(B131,$B$2),"未发行或发行失败")</f>
        <v>4.3123287671232875</v>
      </c>
      <c r="K131" s="186">
        <f ca="1">RTD("wdf.rtq",,B131,"Amount","Dirty_Price")/100000000</f>
        <v>2.2496100000000002E-2</v>
      </c>
      <c r="L131" s="186">
        <f ca="1">[1]!cb_anal_convprice(B131,$B$2)</f>
        <v>10.08</v>
      </c>
      <c r="M131" s="186">
        <f t="shared" ca="1" si="4"/>
        <v>87.400793650793645</v>
      </c>
      <c r="N131" s="187">
        <f t="shared" ca="1" si="5"/>
        <v>30.239091940976181</v>
      </c>
      <c r="O131" s="187">
        <f t="array" aca="1" ref="O131" ca="1">_xlfn.IFNA(RTD("wdf.rtq",,B131,"LastPrice","Yield_To_Maturity"),[1]!cb_anal_ytm(B131,$C$2))</f>
        <v>0.85940000000000005</v>
      </c>
      <c r="P131" s="187">
        <f ca="1">[1]!cb_anal_straightbondvalue(B131,$B$2)</f>
        <v>83.153700000000001</v>
      </c>
      <c r="Q131" s="187">
        <f t="shared" ca="1" si="6"/>
        <v>36.891082417258673</v>
      </c>
      <c r="R131" s="187" t="str">
        <f ca="1">[1]!b_rate_latestcredit(B131)</f>
        <v>A+</v>
      </c>
      <c r="S131" s="187">
        <f ca="1">[1]!cb_info_outstandingbalance(B131,$B$2)</f>
        <v>1.4993000000000001</v>
      </c>
      <c r="T131" s="187">
        <f ca="1">[1]!cb_info_issueamount(B131,100000000)</f>
        <v>2.9</v>
      </c>
      <c r="U131" s="187">
        <f t="shared" ca="1" si="7"/>
        <v>51.7</v>
      </c>
      <c r="V131" s="240">
        <f ca="1">IF([1]!cb_anal_ldiluterate(B131,$B$2)=100,"-",[1]!cb_anal_ldiluterate(B131,$B$2))</f>
        <v>6.2661636215336731</v>
      </c>
      <c r="W131" s="188" t="str">
        <f ca="1">[1]!cb_info_listeddate(B131)</f>
        <v>2020-02-10</v>
      </c>
      <c r="X131" s="188" t="str">
        <f ca="1">[1]!cb_info_carrydate(B131)</f>
        <v>2019-12-31</v>
      </c>
      <c r="Y131" s="186" t="str">
        <f ca="1">[1]!cb_clause_conversion_2_swapsharestartdate(B131)</f>
        <v>2020-07-07</v>
      </c>
      <c r="Z131" s="186" t="str">
        <f ca="1">[1]!cb_clause_putoption_conditionalputbackstartenddate(B131)</f>
        <v>2023-12-31</v>
      </c>
      <c r="AA131" s="240">
        <f ca="1">[1]!cb_info_maturitycallprice(B131)</f>
        <v>112</v>
      </c>
      <c r="AB131" s="240">
        <f ca="1">IF(ISNUMBER([1]!cb_info_conditionalputprice(B131)),[1]!cb_info_conditionalputprice(B131),"-")</f>
        <v>0</v>
      </c>
      <c r="AC131" s="240">
        <f ca="1">[1]!cb_info_interest(B131)</f>
        <v>0.5</v>
      </c>
      <c r="AD131" s="262" t="str">
        <f ca="1">IFERROR(couponlist([1]!cb_clause_interest(B131,"4")),"-")</f>
        <v>0.5%，0.8%，1.2%，1.8%，2.2%，2.5%</v>
      </c>
      <c r="AE131" s="189"/>
      <c r="AF131" s="189"/>
      <c r="AG131" s="189"/>
      <c r="AH131" s="189"/>
      <c r="AI131" s="189"/>
      <c r="AJ131" s="189"/>
      <c r="AK131" s="189"/>
      <c r="AL131" s="189"/>
      <c r="AM131" s="189"/>
      <c r="AN131" s="189"/>
      <c r="AO131" s="189"/>
      <c r="AP131" s="189"/>
      <c r="AQ131" s="189"/>
    </row>
    <row r="132" spans="1:43" s="130" customFormat="1" x14ac:dyDescent="0.35">
      <c r="A132" s="121" t="s">
        <v>0</v>
      </c>
      <c r="B132" s="121" t="s">
        <v>152</v>
      </c>
      <c r="C132" s="121" t="s">
        <v>153</v>
      </c>
      <c r="D132" s="236" t="str">
        <f ca="1">IF([1]!s_info_industry_sw(B132,1)=0,"-",[1]!s_info_industry_sw(B132,1))</f>
        <v>汽车</v>
      </c>
      <c r="E132" s="122" t="str">
        <f ca="1">[1]!cb_info_underlyingcode(B132)</f>
        <v>603377.SH</v>
      </c>
      <c r="F132" s="124">
        <f ca="1">RTD("wdf.rtq",,B132,"LastPrice","Dirty_Price")</f>
        <v>125.4</v>
      </c>
      <c r="G132" s="124">
        <f ca="1">RTD("wdf.rtq",,E132,"LastPrice")</f>
        <v>8.3800000000000008</v>
      </c>
      <c r="H132" s="226">
        <f ca="1">RTD("wdf.rtq",,B132,"PctChg","RT_Price")/100</f>
        <v>2.1000000000000003E-3</v>
      </c>
      <c r="I132" s="226">
        <f ca="1">RTD("wdf.rtq",,E132,"PctChg")/100</f>
        <v>2.3200000000000002E-2</v>
      </c>
      <c r="J132" s="125">
        <f ca="1">_xlfn.IFNA([1]!b_anal_ptmyear(B132,$B$2),"未发行或发行失败")</f>
        <v>4.5835616438356164</v>
      </c>
      <c r="K132" s="125">
        <f ca="1">RTD("wdf.rtq",,B132,"Amount","Dirty_Price")/100000000</f>
        <v>6.5611939999999994E-2</v>
      </c>
      <c r="L132" s="125">
        <f ca="1">[1]!cb_anal_convprice(B132,$B$2)</f>
        <v>12.15</v>
      </c>
      <c r="M132" s="125">
        <f t="shared" ca="1" si="4"/>
        <v>68.97119341563787</v>
      </c>
      <c r="N132" s="126">
        <f t="shared" ca="1" si="5"/>
        <v>81.815035799522633</v>
      </c>
      <c r="O132" s="126">
        <f t="array" aca="1" ref="O132" ca="1">_xlfn.IFNA(RTD("wdf.rtq",,B132,"LastPrice","Yield_To_Maturity"),[1]!cb_anal_ytm(B132,$C$2))</f>
        <v>-2.2709000000000001</v>
      </c>
      <c r="P132" s="126">
        <f ca="1">[1]!cb_anal_straightbondvalue(B132,$B$2)</f>
        <v>93.791200000000003</v>
      </c>
      <c r="Q132" s="126">
        <f t="shared" ca="1" si="6"/>
        <v>33.701242760514845</v>
      </c>
      <c r="R132" s="126" t="str">
        <f ca="1">[1]!b_rate_latestcredit(B132)</f>
        <v>AA</v>
      </c>
      <c r="S132" s="126">
        <f ca="1">[1]!cb_info_outstandingbalance(B132,$B$2)</f>
        <v>0.98416999999999999</v>
      </c>
      <c r="T132" s="126">
        <f ca="1">[1]!cb_info_issueamount(B132,100000000)</f>
        <v>4.28</v>
      </c>
      <c r="U132" s="126">
        <f t="shared" ca="1" si="7"/>
        <v>22.994626168224297</v>
      </c>
      <c r="V132" s="230">
        <f ca="1">IF([1]!cb_anal_ldiluterate(B132,$B$2)=100,"-",[1]!cb_anal_ldiluterate(B132,$B$2))</f>
        <v>1.1007055553208061</v>
      </c>
      <c r="W132" s="127" t="str">
        <f ca="1">[1]!cb_info_listeddate(B132)</f>
        <v>2020-04-30</v>
      </c>
      <c r="X132" s="127" t="str">
        <f ca="1">[1]!cb_info_carrydate(B132)</f>
        <v>2020-04-09</v>
      </c>
      <c r="Y132" s="125" t="str">
        <f ca="1">[1]!cb_clause_conversion_2_swapsharestartdate(B132)</f>
        <v>2020-10-15</v>
      </c>
      <c r="Z132" s="125" t="str">
        <f ca="1">[1]!cb_clause_putoption_conditionalputbackstartenddate(B132)</f>
        <v>2024-04-09</v>
      </c>
      <c r="AA132" s="230">
        <f ca="1">[1]!cb_info_maturitycallprice(B132)</f>
        <v>108</v>
      </c>
      <c r="AB132" s="230">
        <f ca="1">IF(ISNUMBER([1]!cb_info_conditionalputprice(B132)),[1]!cb_info_conditionalputprice(B132),"-")</f>
        <v>0</v>
      </c>
      <c r="AC132" s="230">
        <f ca="1">[1]!cb_info_interest(B132)</f>
        <v>0.4</v>
      </c>
      <c r="AD132" s="263" t="str">
        <f ca="1">IFERROR(couponlist([1]!cb_clause_interest(B132,"4")),"-")</f>
        <v>0.4%，0.6%，1.0%，1.5%，2.0%，2.3%</v>
      </c>
      <c r="AE132" s="129"/>
      <c r="AF132" s="129"/>
      <c r="AG132" s="129"/>
      <c r="AH132" s="129"/>
      <c r="AI132" s="129"/>
      <c r="AJ132" s="129"/>
      <c r="AK132" s="129"/>
      <c r="AL132" s="129"/>
      <c r="AM132" s="129"/>
      <c r="AN132" s="129"/>
      <c r="AO132" s="129"/>
      <c r="AP132" s="129"/>
      <c r="AQ132" s="129"/>
    </row>
    <row r="133" spans="1:43" s="191" customFormat="1" x14ac:dyDescent="0.35">
      <c r="A133" s="182" t="s">
        <v>5</v>
      </c>
      <c r="B133" s="182" t="s">
        <v>364</v>
      </c>
      <c r="C133" s="182" t="s">
        <v>365</v>
      </c>
      <c r="D133" s="235" t="str">
        <f ca="1">IF([1]!s_info_industry_sw(B133,1)=0,"-",[1]!s_info_industry_sw(B133,1))</f>
        <v>汽车</v>
      </c>
      <c r="E133" s="183" t="str">
        <f ca="1">[1]!cb_info_underlyingcode(B133)</f>
        <v>002863.SZ</v>
      </c>
      <c r="F133" s="185">
        <f ca="1">RTD("wdf.rtq",,B133,"LastPrice","Dirty_Price")</f>
        <v>114</v>
      </c>
      <c r="G133" s="185">
        <f ca="1">RTD("wdf.rtq",,E133,"LastPrice")</f>
        <v>5.33</v>
      </c>
      <c r="H133" s="225">
        <f ca="1">RTD("wdf.rtq",,B133,"PctChg","RT_Price")/100</f>
        <v>1.1000000000000001E-3</v>
      </c>
      <c r="I133" s="225">
        <f ca="1">RTD("wdf.rtq",,E133,"PctChg")/100</f>
        <v>7.6E-3</v>
      </c>
      <c r="J133" s="186">
        <f ca="1">_xlfn.IFNA([1]!b_anal_ptmyear(B133,$B$2),"未发行或发行失败")</f>
        <v>3.473972602739726</v>
      </c>
      <c r="K133" s="186">
        <f ca="1">RTD("wdf.rtq",,B133,"Amount","Dirty_Price")/100000000</f>
        <v>1.7620400000000001E-2</v>
      </c>
      <c r="L133" s="186">
        <f ca="1">[1]!cb_anal_convprice(B133,$B$2)</f>
        <v>6.69</v>
      </c>
      <c r="M133" s="186">
        <f t="shared" ca="1" si="4"/>
        <v>79.671150971599403</v>
      </c>
      <c r="N133" s="187">
        <f t="shared" ca="1" si="5"/>
        <v>43.088180112570342</v>
      </c>
      <c r="O133" s="187">
        <f t="array" aca="1" ref="O133" ca="1">_xlfn.IFNA(RTD("wdf.rtq",,B133,"LastPrice","Yield_To_Maturity"),[1]!cb_anal_ytm(B133,$C$2))</f>
        <v>1.5724</v>
      </c>
      <c r="P133" s="187">
        <f ca="1">[1]!cb_anal_straightbondvalue(B133,$B$2)</f>
        <v>91.277000000000001</v>
      </c>
      <c r="Q133" s="187">
        <f t="shared" ca="1" si="6"/>
        <v>24.89455174907151</v>
      </c>
      <c r="R133" s="187" t="str">
        <f ca="1">[1]!b_rate_latestcredit(B133)</f>
        <v>A+</v>
      </c>
      <c r="S133" s="187">
        <f ca="1">[1]!cb_info_outstandingbalance(B133,$B$2)</f>
        <v>1.7227950000000001</v>
      </c>
      <c r="T133" s="187">
        <f ca="1">[1]!cb_info_issueamount(B133,100000000)</f>
        <v>3.68</v>
      </c>
      <c r="U133" s="187">
        <f t="shared" ca="1" si="7"/>
        <v>46.815081521739131</v>
      </c>
      <c r="V133" s="240">
        <f ca="1">IF([1]!cb_anal_ldiluterate(B133,$B$2)=100,"-",[1]!cb_anal_ldiluterate(B133,$B$2))</f>
        <v>4.9093351127747482</v>
      </c>
      <c r="W133" s="188" t="str">
        <f ca="1">[1]!cb_info_listeddate(B133)</f>
        <v>2019-03-22</v>
      </c>
      <c r="X133" s="188" t="str">
        <f ca="1">[1]!cb_info_carrydate(B133)</f>
        <v>2019-02-28</v>
      </c>
      <c r="Y133" s="186" t="str">
        <f ca="1">[1]!cb_clause_conversion_2_swapsharestartdate(B133)</f>
        <v>2019-09-06</v>
      </c>
      <c r="Z133" s="186" t="str">
        <f ca="1">[1]!cb_clause_putoption_conditionalputbackstartenddate(B133)</f>
        <v>2023-02-28</v>
      </c>
      <c r="AA133" s="240">
        <f ca="1">[1]!cb_info_maturitycallprice(B133)</f>
        <v>115</v>
      </c>
      <c r="AB133" s="240">
        <f ca="1">IF(ISNUMBER([1]!cb_info_conditionalputprice(B133)),[1]!cb_info_conditionalputprice(B133),"-")</f>
        <v>0</v>
      </c>
      <c r="AC133" s="240">
        <f ca="1">[1]!cb_info_interest(B133)</f>
        <v>0.6</v>
      </c>
      <c r="AD133" s="262" t="str">
        <f ca="1">IFERROR(couponlist([1]!cb_clause_interest(B133,"4")),"-")</f>
        <v>0.60%，0.80%，1.20%，1.80%，2.20%，2.50%</v>
      </c>
      <c r="AE133" s="189"/>
      <c r="AF133" s="189"/>
      <c r="AG133" s="189"/>
      <c r="AH133" s="189"/>
      <c r="AI133" s="189"/>
      <c r="AJ133" s="189"/>
      <c r="AK133" s="189"/>
      <c r="AL133" s="189"/>
      <c r="AM133" s="189"/>
      <c r="AN133" s="189"/>
      <c r="AO133" s="189"/>
      <c r="AP133" s="189"/>
      <c r="AQ133" s="189"/>
    </row>
    <row r="134" spans="1:43" s="130" customFormat="1" x14ac:dyDescent="0.35">
      <c r="A134" s="121" t="s">
        <v>0</v>
      </c>
      <c r="B134" s="121" t="s">
        <v>1695</v>
      </c>
      <c r="C134" s="121" t="s">
        <v>1696</v>
      </c>
      <c r="D134" s="236" t="str">
        <f ca="1">IF([1]!s_info_industry_sw(B134,1)=0,"-",[1]!s_info_industry_sw(B134,1))</f>
        <v>汽车</v>
      </c>
      <c r="E134" s="122" t="str">
        <f ca="1">[1]!cb_info_underlyingcode(B134)</f>
        <v>601633.SH</v>
      </c>
      <c r="F134" s="124">
        <f ca="1">RTD("wdf.rtq",,B134,"LastPrice","Dirty_Price")</f>
        <v>201.22</v>
      </c>
      <c r="G134" s="124">
        <f ca="1">RTD("wdf.rtq",,E134,"LastPrice")</f>
        <v>61.52</v>
      </c>
      <c r="H134" s="226">
        <f ca="1">RTD("wdf.rtq",,B134,"PctChg","RT_Price")/100</f>
        <v>-2.9000000000000002E-3</v>
      </c>
      <c r="I134" s="226">
        <f ca="1">RTD("wdf.rtq",,E134,"PctChg")/100</f>
        <v>-1.6800000000000002E-2</v>
      </c>
      <c r="J134" s="125">
        <f ca="1">_xlfn.IFNA([1]!b_anal_ptmyear(B134,$B$2),"未发行或发行失败")</f>
        <v>5.7534246575342465</v>
      </c>
      <c r="K134" s="125">
        <f ca="1">RTD("wdf.rtq",,B134,"Amount","Dirty_Price")/100000000</f>
        <v>0.48345344000000001</v>
      </c>
      <c r="L134" s="125">
        <f ca="1">[1]!cb_anal_convprice(B134,$B$2)</f>
        <v>38.39</v>
      </c>
      <c r="M134" s="125">
        <f t="shared" ca="1" si="4"/>
        <v>160.25006512112529</v>
      </c>
      <c r="N134" s="126">
        <f t="shared" ca="1" si="5"/>
        <v>25.566251625487652</v>
      </c>
      <c r="O134" s="126">
        <f t="array" aca="1" ref="O134" ca="1">_xlfn.IFNA(RTD("wdf.rtq",,B134,"LastPrice","Yield_To_Maturity"),[1]!cb_anal_ytm(B134,$C$2))</f>
        <v>-9.9907000000000004</v>
      </c>
      <c r="P134" s="126">
        <f ca="1">[1]!cb_anal_straightbondvalue(B134,$B$2)</f>
        <v>90.628299999999996</v>
      </c>
      <c r="Q134" s="126">
        <f t="shared" ca="1" si="6"/>
        <v>122.02777719542351</v>
      </c>
      <c r="R134" s="126" t="str">
        <f ca="1">[1]!b_rate_latestcredit(B134)</f>
        <v>AAA</v>
      </c>
      <c r="S134" s="126">
        <f ca="1">[1]!cb_info_outstandingbalance(B134,$B$2)</f>
        <v>35</v>
      </c>
      <c r="T134" s="126">
        <f ca="1">[1]!cb_info_issueamount(B134,100000000)</f>
        <v>35</v>
      </c>
      <c r="U134" s="126">
        <f t="shared" ca="1" si="7"/>
        <v>100</v>
      </c>
      <c r="V134" s="230">
        <f ca="1">IF([1]!cb_anal_ldiluterate(B134,$B$2)=100,"-",[1]!cb_anal_ldiluterate(B134,$B$2))</f>
        <v>1.4777548254922774</v>
      </c>
      <c r="W134" s="127" t="str">
        <f ca="1">[1]!cb_info_listeddate(B134)</f>
        <v>2021-07-08</v>
      </c>
      <c r="X134" s="127" t="str">
        <f ca="1">[1]!cb_info_carrydate(B134)</f>
        <v>2021-06-10</v>
      </c>
      <c r="Y134" s="125" t="str">
        <f ca="1">[1]!cb_clause_conversion_2_swapsharestartdate(B134)</f>
        <v>2021-12-17</v>
      </c>
      <c r="Z134" s="125" t="str">
        <f ca="1">[1]!cb_clause_putoption_conditionalputbackstartenddate(B134)</f>
        <v>2025-06-10</v>
      </c>
      <c r="AA134" s="230">
        <f ca="1">[1]!cb_info_maturitycallprice(B134)</f>
        <v>107</v>
      </c>
      <c r="AB134" s="230">
        <f ca="1">IF(ISNUMBER([1]!cb_info_conditionalputprice(B134)),[1]!cb_info_conditionalputprice(B134),"-")</f>
        <v>0</v>
      </c>
      <c r="AC134" s="230">
        <f ca="1">[1]!cb_info_interest(B134)</f>
        <v>0.2</v>
      </c>
      <c r="AD134" s="263" t="str">
        <f ca="1">IFERROR(couponlist([1]!cb_clause_interest(B134,"4")),"-")</f>
        <v>0.2%，0.4%，0.6%，0.8%，1.5%，2.0%</v>
      </c>
      <c r="AE134" s="129"/>
      <c r="AF134" s="129"/>
      <c r="AG134" s="129"/>
      <c r="AH134" s="129"/>
      <c r="AI134" s="129"/>
      <c r="AJ134" s="129"/>
      <c r="AK134" s="129"/>
      <c r="AL134" s="129"/>
      <c r="AM134" s="129"/>
      <c r="AN134" s="129"/>
      <c r="AO134" s="129"/>
      <c r="AP134" s="129"/>
      <c r="AQ134" s="129"/>
    </row>
    <row r="135" spans="1:43" s="191" customFormat="1" x14ac:dyDescent="0.35">
      <c r="A135" s="182" t="s">
        <v>0</v>
      </c>
      <c r="B135" s="182" t="s">
        <v>1707</v>
      </c>
      <c r="C135" s="182" t="s">
        <v>1708</v>
      </c>
      <c r="D135" s="235" t="str">
        <f ca="1">IF([1]!s_info_industry_sw(B135,1)=0,"-",[1]!s_info_industry_sw(B135,1))</f>
        <v>汽车</v>
      </c>
      <c r="E135" s="183" t="str">
        <f ca="1">[1]!cb_info_underlyingcode(B135)</f>
        <v>603596.SH</v>
      </c>
      <c r="F135" s="185">
        <f ca="1">RTD("wdf.rtq",,B135,"LastPrice","Dirty_Price")</f>
        <v>163.42000000000002</v>
      </c>
      <c r="G135" s="185">
        <f ca="1">RTD("wdf.rtq",,E135,"LastPrice")</f>
        <v>50.5</v>
      </c>
      <c r="H135" s="225">
        <f ca="1">RTD("wdf.rtq",,B135,"PctChg","RT_Price")/100</f>
        <v>7.8000000000000005E-3</v>
      </c>
      <c r="I135" s="225">
        <f ca="1">RTD("wdf.rtq",,E135,"PctChg")/100</f>
        <v>1.4100000000000001E-2</v>
      </c>
      <c r="J135" s="186">
        <f ca="1">_xlfn.IFNA([1]!b_anal_ptmyear(B135,$B$2),"未发行或发行失败")</f>
        <v>5.8054794520547945</v>
      </c>
      <c r="K135" s="186">
        <f ca="1">RTD("wdf.rtq",,B135,"Amount","Dirty_Price")/100000000</f>
        <v>0.60382460999999998</v>
      </c>
      <c r="L135" s="186">
        <f ca="1">[1]!cb_anal_convprice(B135,$B$2)</f>
        <v>36</v>
      </c>
      <c r="M135" s="186">
        <f t="shared" ref="M135:M198" ca="1" si="8">IFERROR(100*G135/L135,)</f>
        <v>140.27777777777777</v>
      </c>
      <c r="N135" s="187">
        <f t="shared" ref="N135:N198" ca="1" si="9">IF(F135=0,"-",100*F135/M135-100)</f>
        <v>16.497425742574279</v>
      </c>
      <c r="O135" s="187">
        <f t="array" aca="1" ref="O135" ca="1">_xlfn.IFNA(RTD("wdf.rtq",,B135,"LastPrice","Yield_To_Maturity"),[1]!cb_anal_ytm(B135,$C$2))</f>
        <v>-5.1059999999999999</v>
      </c>
      <c r="P135" s="187">
        <f ca="1">[1]!cb_anal_straightbondvalue(B135,$B$2)</f>
        <v>94.566800000000001</v>
      </c>
      <c r="Q135" s="187">
        <f t="shared" ref="Q135:Q198" ca="1" si="10">IF(F135=0,"-",100*F135/P135-100)</f>
        <v>72.8090619540896</v>
      </c>
      <c r="R135" s="187" t="str">
        <f ca="1">[1]!b_rate_latestcredit(B135)</f>
        <v>AA</v>
      </c>
      <c r="S135" s="187">
        <f ca="1">[1]!cb_info_outstandingbalance(B135,$B$2)</f>
        <v>9.02</v>
      </c>
      <c r="T135" s="187">
        <f ca="1">[1]!cb_info_issueamount(B135,100000000)</f>
        <v>9.02</v>
      </c>
      <c r="U135" s="187">
        <f t="shared" ref="U135:U198" ca="1" si="11">100*S135/T135</f>
        <v>100</v>
      </c>
      <c r="V135" s="240">
        <f ca="1">IF([1]!cb_anal_ldiluterate(B135,$B$2)=100,"-",[1]!cb_anal_ldiluterate(B135,$B$2))</f>
        <v>5.8041756088721783</v>
      </c>
      <c r="W135" s="188" t="str">
        <f ca="1">[1]!cb_info_listeddate(B135)</f>
        <v>2021-07-21</v>
      </c>
      <c r="X135" s="188" t="str">
        <f ca="1">[1]!cb_info_carrydate(B135)</f>
        <v>2021-06-29</v>
      </c>
      <c r="Y135" s="186" t="str">
        <f ca="1">[1]!cb_clause_conversion_2_swapsharestartdate(B135)</f>
        <v>2022-01-05</v>
      </c>
      <c r="Z135" s="186" t="str">
        <f ca="1">[1]!cb_clause_putoption_conditionalputbackstartenddate(B135)</f>
        <v>2025-06-29</v>
      </c>
      <c r="AA135" s="240">
        <f ca="1">[1]!cb_info_maturitycallprice(B135)</f>
        <v>116</v>
      </c>
      <c r="AB135" s="240">
        <f ca="1">IF(ISNUMBER([1]!cb_info_conditionalputprice(B135)),[1]!cb_info_conditionalputprice(B135),"-")</f>
        <v>0</v>
      </c>
      <c r="AC135" s="240">
        <f ca="1">[1]!cb_info_interest(B135)</f>
        <v>0.3</v>
      </c>
      <c r="AD135" s="262" t="str">
        <f ca="1">IFERROR(couponlist([1]!cb_clause_interest(B135,"4")),"-")</f>
        <v>0.30%，0.50%，1.00%，1.50%，1.80%，2.00%</v>
      </c>
      <c r="AE135" s="189"/>
      <c r="AF135" s="189"/>
      <c r="AG135" s="189"/>
      <c r="AH135" s="189"/>
      <c r="AI135" s="189"/>
      <c r="AJ135" s="189"/>
      <c r="AK135" s="189"/>
      <c r="AL135" s="189"/>
      <c r="AM135" s="189"/>
      <c r="AN135" s="189"/>
      <c r="AO135" s="189"/>
      <c r="AP135" s="189"/>
      <c r="AQ135" s="189"/>
    </row>
    <row r="136" spans="1:43" s="130" customFormat="1" x14ac:dyDescent="0.35">
      <c r="A136" s="121" t="s">
        <v>5</v>
      </c>
      <c r="B136" s="121" t="s">
        <v>1757</v>
      </c>
      <c r="C136" s="121" t="s">
        <v>1758</v>
      </c>
      <c r="D136" s="236" t="str">
        <f ca="1">IF([1]!s_info_industry_sw(B136,1)=0,"-",[1]!s_info_industry_sw(B136,1))</f>
        <v>汽车</v>
      </c>
      <c r="E136" s="122" t="str">
        <f ca="1">[1]!cb_info_underlyingcode(B136)</f>
        <v>002126.SZ</v>
      </c>
      <c r="F136" s="124">
        <f ca="1">RTD("wdf.rtq",,B136,"LastPrice","Dirty_Price")</f>
        <v>139.005</v>
      </c>
      <c r="G136" s="124">
        <f ca="1">RTD("wdf.rtq",,E136,"LastPrice")</f>
        <v>11.34</v>
      </c>
      <c r="H136" s="226">
        <f ca="1">RTD("wdf.rtq",,B136,"PctChg","RT_Price")/100</f>
        <v>-0.01</v>
      </c>
      <c r="I136" s="226">
        <f ca="1">RTD("wdf.rtq",,E136,"PctChg")/100</f>
        <v>-1.3100000000000001E-2</v>
      </c>
      <c r="J136" s="125">
        <f ca="1">_xlfn.IFNA([1]!b_anal_ptmyear(B136,$B$2),"未发行或发行失败")</f>
        <v>5.7452054794520553</v>
      </c>
      <c r="K136" s="125">
        <f ca="1">RTD("wdf.rtq",,B136,"Amount","Dirty_Price")/100000000</f>
        <v>9.6579970000000001E-2</v>
      </c>
      <c r="L136" s="125">
        <f ca="1">[1]!cb_anal_convprice(B136,$B$2)</f>
        <v>10.77</v>
      </c>
      <c r="M136" s="125">
        <f t="shared" ca="1" si="8"/>
        <v>105.29247910863511</v>
      </c>
      <c r="N136" s="126">
        <f t="shared" ca="1" si="9"/>
        <v>32.01797619047619</v>
      </c>
      <c r="O136" s="126">
        <f t="array" aca="1" ref="O136" ca="1">_xlfn.IFNA(RTD("wdf.rtq",,B136,"LastPrice","Yield_To_Maturity"),[1]!cb_anal_ytm(B136,$C$2))</f>
        <v>-3.2840000000000003</v>
      </c>
      <c r="P136" s="126">
        <f ca="1">[1]!cb_anal_straightbondvalue(B136,$B$2)</f>
        <v>90.189400000000006</v>
      </c>
      <c r="Q136" s="126">
        <f t="shared" ca="1" si="10"/>
        <v>54.125651129733626</v>
      </c>
      <c r="R136" s="126" t="str">
        <f ca="1">[1]!b_rate_latestcredit(B136)</f>
        <v>AA</v>
      </c>
      <c r="S136" s="126">
        <f ca="1">[1]!cb_info_outstandingbalance(B136,$B$2)</f>
        <v>7</v>
      </c>
      <c r="T136" s="126">
        <f ca="1">[1]!cb_info_issueamount(B136,100000000)</f>
        <v>7</v>
      </c>
      <c r="U136" s="126">
        <f t="shared" ca="1" si="11"/>
        <v>100</v>
      </c>
      <c r="V136" s="230">
        <f ca="1">IF([1]!cb_anal_ldiluterate(B136,$B$2)=100,"-",[1]!cb_anal_ldiluterate(B136,$B$2))</f>
        <v>7.8565783183938862</v>
      </c>
      <c r="W136" s="127" t="str">
        <f ca="1">[1]!cb_info_listeddate(B136)</f>
        <v>2021-07-09</v>
      </c>
      <c r="X136" s="127" t="str">
        <f ca="1">[1]!cb_info_carrydate(B136)</f>
        <v>2021-06-07</v>
      </c>
      <c r="Y136" s="125" t="str">
        <f ca="1">[1]!cb_clause_conversion_2_swapsharestartdate(B136)</f>
        <v>2021-12-13</v>
      </c>
      <c r="Z136" s="125" t="str">
        <f ca="1">[1]!cb_clause_putoption_conditionalputbackstartenddate(B136)</f>
        <v>2025-06-07</v>
      </c>
      <c r="AA136" s="230">
        <f ca="1">[1]!cb_info_maturitycallprice(B136)</f>
        <v>110</v>
      </c>
      <c r="AB136" s="230">
        <f ca="1">IF(ISNUMBER([1]!cb_info_conditionalputprice(B136)),[1]!cb_info_conditionalputprice(B136),"-")</f>
        <v>0</v>
      </c>
      <c r="AC136" s="230">
        <f ca="1">[1]!cb_info_interest(B136)</f>
        <v>0.3</v>
      </c>
      <c r="AD136" s="263" t="str">
        <f ca="1">IFERROR(couponlist([1]!cb_clause_interest(B136,"4")),"-")</f>
        <v>0.30%，0.50%，1.00%，1.50%，1.80%，2.00%</v>
      </c>
      <c r="AE136" s="129"/>
      <c r="AF136" s="129"/>
      <c r="AG136" s="129"/>
      <c r="AH136" s="129"/>
      <c r="AI136" s="129"/>
      <c r="AJ136" s="129"/>
      <c r="AK136" s="129"/>
      <c r="AL136" s="129"/>
      <c r="AM136" s="129"/>
      <c r="AN136" s="129"/>
      <c r="AO136" s="129"/>
      <c r="AP136" s="129"/>
      <c r="AQ136" s="129"/>
    </row>
    <row r="137" spans="1:43" s="191" customFormat="1" x14ac:dyDescent="0.35">
      <c r="A137" s="182" t="s">
        <v>5</v>
      </c>
      <c r="B137" s="182" t="s">
        <v>591</v>
      </c>
      <c r="C137" s="182" t="s">
        <v>592</v>
      </c>
      <c r="D137" s="235" t="str">
        <f ca="1">IF([1]!s_info_industry_sw(B137,1)=0,"-",[1]!s_info_industry_sw(B137,1))</f>
        <v>汽车</v>
      </c>
      <c r="E137" s="183" t="str">
        <f ca="1">[1]!cb_info_underlyingcode(B137)</f>
        <v>300580.SZ</v>
      </c>
      <c r="F137" s="185">
        <f ca="1">RTD("wdf.rtq",,B137,"LastPrice","Dirty_Price")</f>
        <v>119</v>
      </c>
      <c r="G137" s="185">
        <f ca="1">RTD("wdf.rtq",,E137,"LastPrice")</f>
        <v>21.22</v>
      </c>
      <c r="H137" s="225">
        <f ca="1">RTD("wdf.rtq",,B137,"PctChg","RT_Price")/100</f>
        <v>5.0000000000000001E-4</v>
      </c>
      <c r="I137" s="225">
        <f ca="1">RTD("wdf.rtq",,E137,"PctChg")/100</f>
        <v>-1.9900000000000001E-2</v>
      </c>
      <c r="J137" s="186">
        <f ca="1">_xlfn.IFNA([1]!b_anal_ptmyear(B137,$B$2),"未发行或发行失败")</f>
        <v>5.1506849315068495</v>
      </c>
      <c r="K137" s="186">
        <f ca="1">RTD("wdf.rtq",,B137,"Amount","Dirty_Price")/100000000</f>
        <v>1.2848149999999999E-2</v>
      </c>
      <c r="L137" s="186">
        <f ca="1">[1]!cb_anal_convprice(B137,$B$2)</f>
        <v>23.74</v>
      </c>
      <c r="M137" s="186">
        <f t="shared" ca="1" si="8"/>
        <v>89.385004212299918</v>
      </c>
      <c r="N137" s="187">
        <f t="shared" ca="1" si="9"/>
        <v>33.131950989632429</v>
      </c>
      <c r="O137" s="187">
        <f t="array" aca="1" ref="O137" ca="1">_xlfn.IFNA(RTD("wdf.rtq",,B137,"LastPrice","Yield_To_Maturity"),[1]!cb_anal_ytm(B137,$C$2))</f>
        <v>-0.59010000000000007</v>
      </c>
      <c r="P137" s="187">
        <f ca="1">[1]!cb_anal_straightbondvalue(B137,$B$2)</f>
        <v>83.3476</v>
      </c>
      <c r="Q137" s="187">
        <f t="shared" ca="1" si="10"/>
        <v>42.775556824671611</v>
      </c>
      <c r="R137" s="187" t="str">
        <f ca="1">[1]!b_rate_latestcredit(B137)</f>
        <v>AA-</v>
      </c>
      <c r="S137" s="187">
        <f ca="1">[1]!cb_info_outstandingbalance(B137,$B$2)</f>
        <v>5.9993530000000002</v>
      </c>
      <c r="T137" s="187">
        <f ca="1">[1]!cb_info_issueamount(B137,100000000)</f>
        <v>6</v>
      </c>
      <c r="U137" s="187">
        <f t="shared" ca="1" si="11"/>
        <v>99.989216666666664</v>
      </c>
      <c r="V137" s="240">
        <f ca="1">IF([1]!cb_anal_ldiluterate(B137,$B$2)=100,"-",[1]!cb_anal_ldiluterate(B137,$B$2))</f>
        <v>11.932892423090742</v>
      </c>
      <c r="W137" s="188" t="str">
        <f ca="1">[1]!cb_info_listeddate(B137)</f>
        <v>2020-11-23</v>
      </c>
      <c r="X137" s="188" t="str">
        <f ca="1">[1]!cb_info_carrydate(B137)</f>
        <v>2020-11-02</v>
      </c>
      <c r="Y137" s="186" t="str">
        <f ca="1">[1]!cb_clause_conversion_2_swapsharestartdate(B137)</f>
        <v>2021-05-06</v>
      </c>
      <c r="Z137" s="186" t="str">
        <f ca="1">[1]!cb_clause_putoption_conditionalputbackstartenddate(B137)</f>
        <v>2024-11-02</v>
      </c>
      <c r="AA137" s="240">
        <f ca="1">[1]!cb_info_maturitycallprice(B137)</f>
        <v>110</v>
      </c>
      <c r="AB137" s="240">
        <f ca="1">IF(ISNUMBER([1]!cb_info_conditionalputprice(B137)),[1]!cb_info_conditionalputprice(B137),"-")</f>
        <v>0</v>
      </c>
      <c r="AC137" s="240">
        <f ca="1">[1]!cb_info_interest(B137)</f>
        <v>0.4</v>
      </c>
      <c r="AD137" s="262" t="str">
        <f ca="1">IFERROR(couponlist([1]!cb_clause_interest(B137,"4")),"-")</f>
        <v>0.40%，0.60%，1.00%，1.50%，2.00%，2.50%</v>
      </c>
      <c r="AE137" s="189"/>
      <c r="AF137" s="189"/>
      <c r="AG137" s="189"/>
      <c r="AH137" s="189"/>
      <c r="AI137" s="189"/>
      <c r="AJ137" s="189"/>
      <c r="AK137" s="189"/>
      <c r="AL137" s="189"/>
      <c r="AM137" s="189"/>
      <c r="AN137" s="189"/>
      <c r="AO137" s="189"/>
      <c r="AP137" s="189"/>
      <c r="AQ137" s="189"/>
    </row>
    <row r="138" spans="1:43" s="130" customFormat="1" x14ac:dyDescent="0.35">
      <c r="A138" s="121" t="s">
        <v>5</v>
      </c>
      <c r="B138" s="121" t="s">
        <v>220</v>
      </c>
      <c r="C138" s="121" t="s">
        <v>221</v>
      </c>
      <c r="D138" s="236" t="str">
        <f ca="1">IF([1]!s_info_industry_sw(B138,1)=0,"-",[1]!s_info_industry_sw(B138,1))</f>
        <v>汽车</v>
      </c>
      <c r="E138" s="122" t="str">
        <f ca="1">[1]!cb_info_underlyingcode(B138)</f>
        <v>002510.SZ</v>
      </c>
      <c r="F138" s="124">
        <f ca="1">RTD("wdf.rtq",,B138,"LastPrice","Dirty_Price")</f>
        <v>122.87</v>
      </c>
      <c r="G138" s="124">
        <f ca="1">RTD("wdf.rtq",,E138,"LastPrice")</f>
        <v>4.5</v>
      </c>
      <c r="H138" s="226">
        <f ca="1">RTD("wdf.rtq",,B138,"PctChg","RT_Price")/100</f>
        <v>4.8000000000000004E-3</v>
      </c>
      <c r="I138" s="226">
        <f ca="1">RTD("wdf.rtq",,E138,"PctChg")/100</f>
        <v>1.3500000000000002E-2</v>
      </c>
      <c r="J138" s="125">
        <f ca="1">_xlfn.IFNA([1]!b_anal_ptmyear(B138,$B$2),"未发行或发行失败")</f>
        <v>4.3013698630136989</v>
      </c>
      <c r="K138" s="125">
        <f ca="1">RTD("wdf.rtq",,B138,"Amount","Dirty_Price")/100000000</f>
        <v>0.16698244000000001</v>
      </c>
      <c r="L138" s="125">
        <f ca="1">[1]!cb_anal_convprice(B138,$B$2)</f>
        <v>4.2300000000000004</v>
      </c>
      <c r="M138" s="125">
        <f t="shared" ca="1" si="8"/>
        <v>106.38297872340425</v>
      </c>
      <c r="N138" s="126">
        <f t="shared" ca="1" si="9"/>
        <v>15.497800000000012</v>
      </c>
      <c r="O138" s="126">
        <f t="array" aca="1" ref="O138" ca="1">_xlfn.IFNA(RTD("wdf.rtq",,B138,"LastPrice","Yield_To_Maturity"),[1]!cb_anal_ytm(B138,$C$2))</f>
        <v>-1.5788</v>
      </c>
      <c r="P138" s="126">
        <f ca="1">[1]!cb_anal_straightbondvalue(B138,$B$2)</f>
        <v>88.126199999999997</v>
      </c>
      <c r="Q138" s="126">
        <f t="shared" ca="1" si="10"/>
        <v>39.425051800713078</v>
      </c>
      <c r="R138" s="126" t="str">
        <f ca="1">[1]!b_rate_latestcredit(B138)</f>
        <v>AA-</v>
      </c>
      <c r="S138" s="126">
        <f ca="1">[1]!cb_info_outstandingbalance(B138,$B$2)</f>
        <v>3.1019519999999998</v>
      </c>
      <c r="T138" s="126">
        <f ca="1">[1]!cb_info_issueamount(B138,100000000)</f>
        <v>4.71</v>
      </c>
      <c r="U138" s="126">
        <f t="shared" ca="1" si="11"/>
        <v>65.858853503184719</v>
      </c>
      <c r="V138" s="230">
        <f ca="1">IF([1]!cb_anal_ldiluterate(B138,$B$2)=100,"-",[1]!cb_anal_ldiluterate(B138,$B$2))</f>
        <v>7.3048020085731498</v>
      </c>
      <c r="W138" s="127" t="str">
        <f ca="1">[1]!cb_info_listeddate(B138)</f>
        <v>2020-01-23</v>
      </c>
      <c r="X138" s="127" t="str">
        <f ca="1">[1]!cb_info_carrydate(B138)</f>
        <v>2019-12-27</v>
      </c>
      <c r="Y138" s="125" t="str">
        <f ca="1">[1]!cb_clause_conversion_2_swapsharestartdate(B138)</f>
        <v>2020-07-03</v>
      </c>
      <c r="Z138" s="125" t="str">
        <f ca="1">[1]!cb_clause_putoption_conditionalputbackstartenddate(B138)</f>
        <v>2023-12-27</v>
      </c>
      <c r="AA138" s="230">
        <f ca="1">[1]!cb_info_maturitycallprice(B138)</f>
        <v>110</v>
      </c>
      <c r="AB138" s="230">
        <f ca="1">IF(ISNUMBER([1]!cb_info_conditionalputprice(B138)),[1]!cb_info_conditionalputprice(B138),"-")</f>
        <v>0</v>
      </c>
      <c r="AC138" s="230">
        <f ca="1">[1]!cb_info_interest(B138)</f>
        <v>0.3</v>
      </c>
      <c r="AD138" s="263" t="str">
        <f ca="1">IFERROR(couponlist([1]!cb_clause_interest(B138,"4")),"-")</f>
        <v>0.3%，0.6%，1.0%，1.5%，1.8%，2.0%</v>
      </c>
      <c r="AE138" s="129"/>
      <c r="AF138" s="129"/>
      <c r="AG138" s="129"/>
      <c r="AH138" s="129"/>
      <c r="AI138" s="129"/>
      <c r="AJ138" s="129"/>
      <c r="AK138" s="129"/>
      <c r="AL138" s="129"/>
      <c r="AM138" s="129"/>
      <c r="AN138" s="129"/>
      <c r="AO138" s="129"/>
      <c r="AP138" s="129"/>
      <c r="AQ138" s="129"/>
    </row>
    <row r="139" spans="1:43" s="191" customFormat="1" x14ac:dyDescent="0.35">
      <c r="A139" s="182" t="s">
        <v>5</v>
      </c>
      <c r="B139" s="182" t="s">
        <v>178</v>
      </c>
      <c r="C139" s="182" t="s">
        <v>179</v>
      </c>
      <c r="D139" s="235" t="str">
        <f ca="1">IF([1]!s_info_industry_sw(B139,1)=0,"-",[1]!s_info_industry_sw(B139,1))</f>
        <v>汽车</v>
      </c>
      <c r="E139" s="183" t="str">
        <f ca="1">[1]!cb_info_underlyingcode(B139)</f>
        <v>300652.SZ</v>
      </c>
      <c r="F139" s="185">
        <f ca="1">RTD("wdf.rtq",,B139,"LastPrice","Dirty_Price")</f>
        <v>124.15</v>
      </c>
      <c r="G139" s="185">
        <f ca="1">RTD("wdf.rtq",,E139,"LastPrice")</f>
        <v>20.62</v>
      </c>
      <c r="H139" s="225">
        <f ca="1">RTD("wdf.rtq",,B139,"PctChg","RT_Price")/100</f>
        <v>-1.6000000000000001E-3</v>
      </c>
      <c r="I139" s="225">
        <f ca="1">RTD("wdf.rtq",,E139,"PctChg")/100</f>
        <v>-1.15E-2</v>
      </c>
      <c r="J139" s="186">
        <f ca="1">_xlfn.IFNA([1]!b_anal_ptmyear(B139,$B$2),"未发行或发行失败")</f>
        <v>4.506849315068493</v>
      </c>
      <c r="K139" s="186">
        <f ca="1">RTD("wdf.rtq",,B139,"Amount","Dirty_Price")/100000000</f>
        <v>7.0364860000000001E-2</v>
      </c>
      <c r="L139" s="186">
        <f ca="1">[1]!cb_anal_convprice(B139,$B$2)</f>
        <v>19.63</v>
      </c>
      <c r="M139" s="186">
        <f t="shared" ca="1" si="8"/>
        <v>105.04330106979114</v>
      </c>
      <c r="N139" s="187">
        <f t="shared" ca="1" si="9"/>
        <v>18.189354995150339</v>
      </c>
      <c r="O139" s="187">
        <f t="array" aca="1" ref="O139" ca="1">_xlfn.IFNA(RTD("wdf.rtq",,B139,"LastPrice","Yield_To_Maturity"),[1]!cb_anal_ytm(B139,$C$2))</f>
        <v>-0.97600000000000009</v>
      </c>
      <c r="P139" s="187">
        <f ca="1">[1]!cb_anal_straightbondvalue(B139,$B$2)</f>
        <v>82.2316</v>
      </c>
      <c r="Q139" s="187">
        <f t="shared" ca="1" si="10"/>
        <v>50.976023815662103</v>
      </c>
      <c r="R139" s="187" t="str">
        <f ca="1">[1]!b_rate_latestcredit(B139)</f>
        <v>A+</v>
      </c>
      <c r="S139" s="187">
        <f ca="1">[1]!cb_info_outstandingbalance(B139,$B$2)</f>
        <v>1.6608270000000001</v>
      </c>
      <c r="T139" s="187">
        <f ca="1">[1]!cb_info_issueamount(B139,100000000)</f>
        <v>2.8849999999999998</v>
      </c>
      <c r="U139" s="187">
        <f t="shared" ca="1" si="11"/>
        <v>57.567660311958413</v>
      </c>
      <c r="V139" s="240">
        <f ca="1">IF([1]!cb_anal_ldiluterate(B139,$B$2)=100,"-",[1]!cb_anal_ldiluterate(B139,$B$2))</f>
        <v>9.2002468051142046</v>
      </c>
      <c r="W139" s="188" t="str">
        <f ca="1">[1]!cb_info_listeddate(B139)</f>
        <v>2020-04-13</v>
      </c>
      <c r="X139" s="188" t="str">
        <f ca="1">[1]!cb_info_carrydate(B139)</f>
        <v>2020-03-12</v>
      </c>
      <c r="Y139" s="186" t="str">
        <f ca="1">[1]!cb_clause_conversion_2_swapsharestartdate(B139)</f>
        <v>2020-09-18</v>
      </c>
      <c r="Z139" s="186" t="str">
        <f ca="1">[1]!cb_clause_putoption_conditionalputbackstartenddate(B139)</f>
        <v>2024-03-12</v>
      </c>
      <c r="AA139" s="240">
        <f ca="1">[1]!cb_info_maturitycallprice(B139)</f>
        <v>113</v>
      </c>
      <c r="AB139" s="240">
        <f ca="1">IF(ISNUMBER([1]!cb_info_conditionalputprice(B139)),[1]!cb_info_conditionalputprice(B139),"-")</f>
        <v>0</v>
      </c>
      <c r="AC139" s="240">
        <f ca="1">[1]!cb_info_interest(B139)</f>
        <v>0.5</v>
      </c>
      <c r="AD139" s="262" t="str">
        <f ca="1">IFERROR(couponlist([1]!cb_clause_interest(B139,"4")),"-")</f>
        <v>0.5%，0.7%，1.2%，1.8%，2.2%，2.5%</v>
      </c>
      <c r="AE139" s="189"/>
      <c r="AF139" s="189"/>
      <c r="AG139" s="189"/>
      <c r="AH139" s="189"/>
      <c r="AI139" s="189"/>
      <c r="AJ139" s="189"/>
      <c r="AK139" s="189"/>
      <c r="AL139" s="189"/>
      <c r="AM139" s="189"/>
      <c r="AN139" s="189"/>
      <c r="AO139" s="189"/>
      <c r="AP139" s="189"/>
      <c r="AQ139" s="189"/>
    </row>
    <row r="140" spans="1:43" s="130" customFormat="1" x14ac:dyDescent="0.35">
      <c r="A140" s="121" t="s">
        <v>5</v>
      </c>
      <c r="B140" s="121" t="s">
        <v>384</v>
      </c>
      <c r="C140" s="121" t="s">
        <v>385</v>
      </c>
      <c r="D140" s="236" t="str">
        <f ca="1">IF([1]!s_info_industry_sw(B140,1)=0,"-",[1]!s_info_industry_sw(B140,1))</f>
        <v>汽车</v>
      </c>
      <c r="E140" s="122" t="str">
        <f ca="1">[1]!cb_info_underlyingcode(B140)</f>
        <v>002865.SZ</v>
      </c>
      <c r="F140" s="124">
        <f ca="1">RTD("wdf.rtq",,B140,"LastPrice","Dirty_Price")</f>
        <v>200.59800000000001</v>
      </c>
      <c r="G140" s="124">
        <f ca="1">RTD("wdf.rtq",,E140,"LastPrice")</f>
        <v>29.18</v>
      </c>
      <c r="H140" s="226">
        <f ca="1">RTD("wdf.rtq",,B140,"PctChg","RT_Price")/100</f>
        <v>-2.6200000000000001E-2</v>
      </c>
      <c r="I140" s="226">
        <f ca="1">RTD("wdf.rtq",,E140,"PctChg")/100</f>
        <v>-3.7900000000000003E-2</v>
      </c>
      <c r="J140" s="125">
        <f ca="1">_xlfn.IFNA([1]!b_anal_ptmyear(B140,$B$2),"未发行或发行失败")</f>
        <v>3.2547945205479452</v>
      </c>
      <c r="K140" s="125">
        <f ca="1">RTD("wdf.rtq",,B140,"Amount","Dirty_Price")/100000000</f>
        <v>0.96279256999999996</v>
      </c>
      <c r="L140" s="125">
        <f ca="1">[1]!cb_anal_convprice(B140,$B$2)</f>
        <v>14.8</v>
      </c>
      <c r="M140" s="125">
        <f t="shared" ca="1" si="8"/>
        <v>197.16216216216216</v>
      </c>
      <c r="N140" s="126">
        <f t="shared" ca="1" si="9"/>
        <v>1.7426456477039238</v>
      </c>
      <c r="O140" s="126">
        <f t="array" aca="1" ref="O140" ca="1">_xlfn.IFNA(RTD("wdf.rtq",,B140,"LastPrice","Yield_To_Maturity"),[1]!cb_anal_ytm(B140,$C$2))</f>
        <v>-14.260800000000001</v>
      </c>
      <c r="P140" s="126">
        <f ca="1">[1]!cb_anal_straightbondvalue(B140,$B$2)</f>
        <v>101.17700000000001</v>
      </c>
      <c r="Q140" s="126">
        <f t="shared" ca="1" si="10"/>
        <v>98.264427686134212</v>
      </c>
      <c r="R140" s="126" t="str">
        <f ca="1">[1]!b_rate_latestcredit(B140)</f>
        <v>AA-</v>
      </c>
      <c r="S140" s="126">
        <f ca="1">[1]!cb_info_outstandingbalance(B140,$B$2)</f>
        <v>1.3659619999999999</v>
      </c>
      <c r="T140" s="126">
        <f ca="1">[1]!cb_info_issueamount(B140,100000000)</f>
        <v>3.2</v>
      </c>
      <c r="U140" s="126">
        <f t="shared" ca="1" si="11"/>
        <v>42.686312499999993</v>
      </c>
      <c r="V140" s="230">
        <f ca="1">IF([1]!cb_anal_ldiluterate(B140,$B$2)=100,"-",[1]!cb_anal_ldiluterate(B140,$B$2))</f>
        <v>6.7786411493768215</v>
      </c>
      <c r="W140" s="127" t="str">
        <f ca="1">[1]!cb_info_listeddate(B140)</f>
        <v>2018-12-27</v>
      </c>
      <c r="X140" s="127" t="str">
        <f ca="1">[1]!cb_info_carrydate(B140)</f>
        <v>2018-12-10</v>
      </c>
      <c r="Y140" s="125" t="str">
        <f ca="1">[1]!cb_clause_conversion_2_swapsharestartdate(B140)</f>
        <v>2019-06-14</v>
      </c>
      <c r="Z140" s="125" t="str">
        <f ca="1">[1]!cb_clause_putoption_conditionalputbackstartenddate(B140)</f>
        <v>2022-12-10</v>
      </c>
      <c r="AA140" s="230">
        <f ca="1">[1]!cb_info_maturitycallprice(B140)</f>
        <v>118</v>
      </c>
      <c r="AB140" s="230">
        <f ca="1">IF(ISNUMBER([1]!cb_info_conditionalputprice(B140)),[1]!cb_info_conditionalputprice(B140),"-")</f>
        <v>0</v>
      </c>
      <c r="AC140" s="230">
        <f ca="1">[1]!cb_info_interest(B140)</f>
        <v>0.6</v>
      </c>
      <c r="AD140" s="263" t="str">
        <f ca="1">IFERROR(couponlist([1]!cb_clause_interest(B140,"4")),"-")</f>
        <v>0.6%，0.8%，1.2%，1.5%</v>
      </c>
      <c r="AE140" s="129"/>
      <c r="AF140" s="129"/>
      <c r="AG140" s="129"/>
      <c r="AH140" s="129"/>
      <c r="AI140" s="129"/>
      <c r="AJ140" s="129"/>
      <c r="AK140" s="129"/>
      <c r="AL140" s="129"/>
      <c r="AM140" s="129"/>
      <c r="AN140" s="129"/>
      <c r="AO140" s="129"/>
      <c r="AP140" s="129"/>
      <c r="AQ140" s="129"/>
    </row>
    <row r="141" spans="1:43" s="191" customFormat="1" x14ac:dyDescent="0.35">
      <c r="A141" s="182" t="s">
        <v>5</v>
      </c>
      <c r="B141" s="182" t="s">
        <v>114</v>
      </c>
      <c r="C141" s="182" t="s">
        <v>115</v>
      </c>
      <c r="D141" s="235" t="str">
        <f ca="1">IF([1]!s_info_industry_sw(B141,1)=0,"-",[1]!s_info_industry_sw(B141,1))</f>
        <v>农林牧渔</v>
      </c>
      <c r="E141" s="183" t="str">
        <f ca="1">[1]!cb_info_underlyingcode(B141)</f>
        <v>002157.SZ</v>
      </c>
      <c r="F141" s="185">
        <f ca="1">RTD("wdf.rtq",,B141,"LastPrice","Dirty_Price")</f>
        <v>106.15</v>
      </c>
      <c r="G141" s="185">
        <f ca="1">RTD("wdf.rtq",,E141,"LastPrice")</f>
        <v>8.9500000000000011</v>
      </c>
      <c r="H141" s="225">
        <f ca="1">RTD("wdf.rtq",,B141,"PctChg","RT_Price")/100</f>
        <v>-5.0000000000000001E-4</v>
      </c>
      <c r="I141" s="225">
        <f ca="1">RTD("wdf.rtq",,E141,"PctChg")/100</f>
        <v>1.1000000000000001E-3</v>
      </c>
      <c r="J141" s="186">
        <f ca="1">_xlfn.IFNA([1]!b_anal_ptmyear(B141,$B$2),"未发行或发行失败")</f>
        <v>4.7726027397260271</v>
      </c>
      <c r="K141" s="186">
        <f ca="1">RTD("wdf.rtq",,B141,"Amount","Dirty_Price")/100000000</f>
        <v>0.15599293</v>
      </c>
      <c r="L141" s="186">
        <f ca="1">[1]!cb_anal_convprice(B141,$B$2)</f>
        <v>14.76</v>
      </c>
      <c r="M141" s="186">
        <f t="shared" ca="1" si="8"/>
        <v>60.636856368563691</v>
      </c>
      <c r="N141" s="187">
        <f t="shared" ca="1" si="9"/>
        <v>75.05854748603349</v>
      </c>
      <c r="O141" s="187">
        <f t="array" aca="1" ref="O141" ca="1">_xlfn.IFNA(RTD("wdf.rtq",,B141,"LastPrice","Yield_To_Maturity"),[1]!cb_anal_ytm(B141,$C$2))</f>
        <v>1.7062000000000002</v>
      </c>
      <c r="P141" s="187">
        <f ca="1">[1]!cb_anal_straightbondvalue(B141,$B$2)</f>
        <v>97.290700000000001</v>
      </c>
      <c r="Q141" s="187">
        <f t="shared" ca="1" si="10"/>
        <v>9.106009104672907</v>
      </c>
      <c r="R141" s="187" t="str">
        <f ca="1">[1]!b_rate_latestcredit(B141)</f>
        <v>AA+</v>
      </c>
      <c r="S141" s="187">
        <f ca="1">[1]!cb_info_outstandingbalance(B141,$B$2)</f>
        <v>15.962579</v>
      </c>
      <c r="T141" s="187">
        <f ca="1">[1]!cb_info_issueamount(B141,100000000)</f>
        <v>16</v>
      </c>
      <c r="U141" s="187">
        <f t="shared" ca="1" si="11"/>
        <v>99.766118750000004</v>
      </c>
      <c r="V141" s="240">
        <f ca="1">IF([1]!cb_anal_ldiluterate(B141,$B$2)=100,"-",[1]!cb_anal_ldiluterate(B141,$B$2))</f>
        <v>4.4786623574638407</v>
      </c>
      <c r="W141" s="188" t="str">
        <f ca="1">[1]!cb_info_listeddate(B141)</f>
        <v>2020-07-15</v>
      </c>
      <c r="X141" s="188" t="str">
        <f ca="1">[1]!cb_info_carrydate(B141)</f>
        <v>2020-06-17</v>
      </c>
      <c r="Y141" s="186" t="str">
        <f ca="1">[1]!cb_clause_conversion_2_swapsharestartdate(B141)</f>
        <v>2020-12-23</v>
      </c>
      <c r="Z141" s="186" t="str">
        <f ca="1">[1]!cb_clause_putoption_conditionalputbackstartenddate(B141)</f>
        <v>2024-06-17</v>
      </c>
      <c r="AA141" s="240">
        <f ca="1">[1]!cb_info_maturitycallprice(B141)</f>
        <v>110</v>
      </c>
      <c r="AB141" s="240">
        <f ca="1">IF(ISNUMBER([1]!cb_info_conditionalputprice(B141)),[1]!cb_info_conditionalputprice(B141),"-")</f>
        <v>0</v>
      </c>
      <c r="AC141" s="240">
        <f ca="1">[1]!cb_info_interest(B141)</f>
        <v>0.4</v>
      </c>
      <c r="AD141" s="262" t="str">
        <f ca="1">IFERROR(couponlist([1]!cb_clause_interest(B141,"4")),"-")</f>
        <v>0.4%，0.6%，1.5%，1.8%</v>
      </c>
      <c r="AE141" s="189"/>
      <c r="AF141" s="189"/>
      <c r="AG141" s="189"/>
      <c r="AH141" s="189"/>
      <c r="AI141" s="189"/>
      <c r="AJ141" s="189"/>
      <c r="AK141" s="189"/>
      <c r="AL141" s="189"/>
      <c r="AM141" s="189"/>
      <c r="AN141" s="189"/>
      <c r="AO141" s="189"/>
      <c r="AP141" s="189"/>
      <c r="AQ141" s="189"/>
    </row>
    <row r="142" spans="1:43" s="130" customFormat="1" x14ac:dyDescent="0.35">
      <c r="A142" s="121" t="s">
        <v>5</v>
      </c>
      <c r="B142" s="121" t="s">
        <v>212</v>
      </c>
      <c r="C142" s="121" t="s">
        <v>213</v>
      </c>
      <c r="D142" s="236" t="str">
        <f ca="1">IF([1]!s_info_industry_sw(B142,1)=0,"-",[1]!s_info_industry_sw(B142,1))</f>
        <v>农林牧渔</v>
      </c>
      <c r="E142" s="122" t="str">
        <f ca="1">[1]!cb_info_underlyingcode(B142)</f>
        <v>000876.SZ</v>
      </c>
      <c r="F142" s="124">
        <f ca="1">RTD("wdf.rtq",,B142,"LastPrice","Dirty_Price")</f>
        <v>110.17800000000001</v>
      </c>
      <c r="G142" s="124">
        <f ca="1">RTD("wdf.rtq",,E142,"LastPrice")</f>
        <v>11.73</v>
      </c>
      <c r="H142" s="226">
        <f ca="1">RTD("wdf.rtq",,B142,"PctChg","RT_Price")/100</f>
        <v>5.3E-3</v>
      </c>
      <c r="I142" s="226">
        <f ca="1">RTD("wdf.rtq",,E142,"PctChg")/100</f>
        <v>-7.6E-3</v>
      </c>
      <c r="J142" s="125">
        <f ca="1">_xlfn.IFNA([1]!b_anal_ptmyear(B142,$B$2),"未发行或发行失败")</f>
        <v>4.3205479452054796</v>
      </c>
      <c r="K142" s="125">
        <f ca="1">RTD("wdf.rtq",,B142,"Amount","Dirty_Price")/100000000</f>
        <v>5.5004079999999997E-2</v>
      </c>
      <c r="L142" s="125">
        <f ca="1">[1]!cb_anal_convprice(B142,$B$2)</f>
        <v>19.75</v>
      </c>
      <c r="M142" s="125">
        <f t="shared" ca="1" si="8"/>
        <v>59.392405063291136</v>
      </c>
      <c r="N142" s="126">
        <f t="shared" ca="1" si="9"/>
        <v>85.508567774936097</v>
      </c>
      <c r="O142" s="126">
        <f t="array" aca="1" ref="O142" ca="1">_xlfn.IFNA(RTD("wdf.rtq",,B142,"LastPrice","Yield_To_Maturity"),[1]!cb_anal_ytm(B142,$C$2))</f>
        <v>-3.8100000000000002E-2</v>
      </c>
      <c r="P142" s="126">
        <f ca="1">[1]!cb_anal_straightbondvalue(B142,$B$2)</f>
        <v>95.786199999999994</v>
      </c>
      <c r="Q142" s="126">
        <f t="shared" ca="1" si="10"/>
        <v>15.02492008243361</v>
      </c>
      <c r="R142" s="126" t="str">
        <f ca="1">[1]!b_rate_latestcredit(B142)</f>
        <v>AAA</v>
      </c>
      <c r="S142" s="126">
        <f ca="1">[1]!cb_info_outstandingbalance(B142,$B$2)</f>
        <v>9.4987270000000006</v>
      </c>
      <c r="T142" s="126">
        <f ca="1">[1]!cb_info_issueamount(B142,100000000)</f>
        <v>40</v>
      </c>
      <c r="U142" s="126">
        <f t="shared" ca="1" si="11"/>
        <v>23.746817499999999</v>
      </c>
      <c r="V142" s="230">
        <f ca="1">IF([1]!cb_anal_ldiluterate(B142,$B$2)=100,"-",[1]!cb_anal_ldiluterate(B142,$B$2))</f>
        <v>1.0996879615783439</v>
      </c>
      <c r="W142" s="127" t="str">
        <f ca="1">[1]!cb_info_listeddate(B142)</f>
        <v>2020-02-04</v>
      </c>
      <c r="X142" s="127" t="str">
        <f ca="1">[1]!cb_info_carrydate(B142)</f>
        <v>2020-01-03</v>
      </c>
      <c r="Y142" s="125" t="str">
        <f ca="1">[1]!cb_clause_conversion_2_swapsharestartdate(B142)</f>
        <v>2020-07-09</v>
      </c>
      <c r="Z142" s="125" t="str">
        <f ca="1">[1]!cb_clause_putoption_conditionalputbackstartenddate(B142)</f>
        <v>2024-01-03</v>
      </c>
      <c r="AA142" s="230">
        <f ca="1">[1]!cb_info_maturitycallprice(B142)</f>
        <v>106</v>
      </c>
      <c r="AB142" s="230">
        <f ca="1">IF(ISNUMBER([1]!cb_info_conditionalputprice(B142)),[1]!cb_info_conditionalputprice(B142),"-")</f>
        <v>0</v>
      </c>
      <c r="AC142" s="230">
        <f ca="1">[1]!cb_info_interest(B142)</f>
        <v>0.2</v>
      </c>
      <c r="AD142" s="263" t="str">
        <f ca="1">IFERROR(couponlist([1]!cb_clause_interest(B142,"4")),"-")</f>
        <v>0.20%，0.40%，0.80%，1.20%，1.60%，2.00%</v>
      </c>
      <c r="AE142" s="129"/>
      <c r="AF142" s="129"/>
      <c r="AG142" s="129"/>
      <c r="AH142" s="129"/>
      <c r="AI142" s="129"/>
      <c r="AJ142" s="129"/>
      <c r="AK142" s="129"/>
      <c r="AL142" s="129"/>
      <c r="AM142" s="129"/>
      <c r="AN142" s="129"/>
      <c r="AO142" s="129"/>
      <c r="AP142" s="129"/>
      <c r="AQ142" s="129"/>
    </row>
    <row r="143" spans="1:43" s="191" customFormat="1" x14ac:dyDescent="0.35">
      <c r="A143" s="182" t="s">
        <v>5</v>
      </c>
      <c r="B143" s="182" t="s">
        <v>463</v>
      </c>
      <c r="C143" s="182" t="s">
        <v>464</v>
      </c>
      <c r="D143" s="235" t="str">
        <f ca="1">IF([1]!s_info_industry_sw(B143,1)=0,"-",[1]!s_info_industry_sw(B143,1))</f>
        <v>农林牧渔</v>
      </c>
      <c r="E143" s="183" t="str">
        <f ca="1">[1]!cb_info_underlyingcode(B143)</f>
        <v>002100.SZ</v>
      </c>
      <c r="F143" s="185">
        <f ca="1">RTD("wdf.rtq",,B143,"LastPrice","Dirty_Price")</f>
        <v>240.10600000000002</v>
      </c>
      <c r="G143" s="185">
        <f ca="1">RTD("wdf.rtq",,E143,"LastPrice")</f>
        <v>7.66</v>
      </c>
      <c r="H143" s="225">
        <f ca="1">RTD("wdf.rtq",,B143,"PctChg","RT_Price")/100</f>
        <v>5.1000000000000004E-3</v>
      </c>
      <c r="I143" s="225">
        <f ca="1">RTD("wdf.rtq",,E143,"PctChg")/100</f>
        <v>-3.9000000000000003E-3</v>
      </c>
      <c r="J143" s="186">
        <f ca="1">_xlfn.IFNA([1]!b_anal_ptmyear(B143,$B$2),"未发行或发行失败")</f>
        <v>2.2876712328767121</v>
      </c>
      <c r="K143" s="186">
        <f ca="1">RTD("wdf.rtq",,B143,"Amount","Dirty_Price")/100000000</f>
        <v>0.11959648000000001</v>
      </c>
      <c r="L143" s="186">
        <f ca="1">[1]!cb_anal_convprice(B143,$B$2)</f>
        <v>7.39</v>
      </c>
      <c r="M143" s="186">
        <f t="shared" ca="1" si="8"/>
        <v>103.65358592692829</v>
      </c>
      <c r="N143" s="187">
        <f t="shared" ca="1" si="9"/>
        <v>131.64273368146215</v>
      </c>
      <c r="O143" s="187">
        <f t="array" aca="1" ref="O143" ca="1">_xlfn.IFNA(RTD("wdf.rtq",,B143,"LastPrice","Yield_To_Maturity"),[1]!cb_anal_ytm(B143,$C$2))</f>
        <v>-28.899000000000001</v>
      </c>
      <c r="P143" s="187">
        <f ca="1">[1]!cb_anal_straightbondvalue(B143,$B$2)</f>
        <v>103.3036</v>
      </c>
      <c r="Q143" s="187">
        <f t="shared" ca="1" si="10"/>
        <v>132.42752430699414</v>
      </c>
      <c r="R143" s="187" t="str">
        <f ca="1">[1]!b_rate_latestcredit(B143)</f>
        <v>AA</v>
      </c>
      <c r="S143" s="187">
        <f ca="1">[1]!cb_info_outstandingbalance(B143,$B$2)</f>
        <v>0.88727900000000004</v>
      </c>
      <c r="T143" s="187">
        <f ca="1">[1]!cb_info_issueamount(B143,100000000)</f>
        <v>10</v>
      </c>
      <c r="U143" s="187">
        <f t="shared" ca="1" si="11"/>
        <v>8.8727900000000002</v>
      </c>
      <c r="V143" s="240">
        <f ca="1">IF([1]!cb_anal_ldiluterate(B143,$B$2)=100,"-",[1]!cb_anal_ldiluterate(B143,$B$2))</f>
        <v>1.1044908434618763</v>
      </c>
      <c r="W143" s="188" t="str">
        <f ca="1">[1]!cb_info_listeddate(B143)</f>
        <v>2018-01-29</v>
      </c>
      <c r="X143" s="188" t="str">
        <f ca="1">[1]!cb_info_carrydate(B143)</f>
        <v>2017-12-22</v>
      </c>
      <c r="Y143" s="186" t="str">
        <f ca="1">[1]!cb_clause_conversion_2_swapsharestartdate(B143)</f>
        <v>2018-06-28</v>
      </c>
      <c r="Z143" s="186" t="str">
        <f ca="1">[1]!cb_clause_putoption_conditionalputbackstartenddate(B143)</f>
        <v>2021-12-22</v>
      </c>
      <c r="AA143" s="240">
        <f ca="1">[1]!cb_info_maturitycallprice(B143)</f>
        <v>108</v>
      </c>
      <c r="AB143" s="240">
        <f ca="1">IF(ISNUMBER([1]!cb_info_conditionalputprice(B143)),[1]!cb_info_conditionalputprice(B143),"-")</f>
        <v>100.005</v>
      </c>
      <c r="AC143" s="240">
        <f ca="1">[1]!cb_info_interest(B143)</f>
        <v>0.3</v>
      </c>
      <c r="AD143" s="262" t="str">
        <f ca="1">IFERROR(couponlist([1]!cb_clause_interest(B143,"4")),"-")</f>
        <v>0.3%，0.5%，1.0%，1.5%，1.8%，2.0%</v>
      </c>
      <c r="AE143" s="189"/>
      <c r="AF143" s="189"/>
      <c r="AG143" s="189"/>
      <c r="AH143" s="189"/>
      <c r="AI143" s="189"/>
      <c r="AJ143" s="189"/>
      <c r="AK143" s="189"/>
      <c r="AL143" s="189"/>
      <c r="AM143" s="189"/>
      <c r="AN143" s="189"/>
      <c r="AO143" s="189"/>
      <c r="AP143" s="189"/>
      <c r="AQ143" s="189"/>
    </row>
    <row r="144" spans="1:43" s="130" customFormat="1" x14ac:dyDescent="0.35">
      <c r="A144" s="121" t="s">
        <v>5</v>
      </c>
      <c r="B144" s="121" t="s">
        <v>1287</v>
      </c>
      <c r="C144" s="121" t="s">
        <v>1288</v>
      </c>
      <c r="D144" s="236" t="str">
        <f ca="1">IF([1]!s_info_industry_sw(B144,1)=0,"-",[1]!s_info_industry_sw(B144,1))</f>
        <v>农林牧渔</v>
      </c>
      <c r="E144" s="122" t="str">
        <f ca="1">[1]!cb_info_underlyingcode(B144)</f>
        <v>300498.SZ</v>
      </c>
      <c r="F144" s="124">
        <f ca="1">RTD("wdf.rtq",,B144,"LastPrice","Dirty_Price")</f>
        <v>110.557</v>
      </c>
      <c r="G144" s="124">
        <f ca="1">RTD("wdf.rtq",,E144,"LastPrice")</f>
        <v>13.6</v>
      </c>
      <c r="H144" s="226">
        <f ca="1">RTD("wdf.rtq",,B144,"PctChg","RT_Price")/100</f>
        <v>-4.0000000000000002E-4</v>
      </c>
      <c r="I144" s="226">
        <f ca="1">RTD("wdf.rtq",,E144,"PctChg")/100</f>
        <v>-6.9999999999999988E-4</v>
      </c>
      <c r="J144" s="125">
        <f ca="1">_xlfn.IFNA([1]!b_anal_ptmyear(B144,$B$2),"未发行或发行失败")</f>
        <v>5.5534246575342463</v>
      </c>
      <c r="K144" s="125">
        <f ca="1">RTD("wdf.rtq",,B144,"Amount","Dirty_Price")/100000000</f>
        <v>0.31167995999999998</v>
      </c>
      <c r="L144" s="125">
        <f ca="1">[1]!cb_anal_convprice(B144,$B$2)</f>
        <v>17.62</v>
      </c>
      <c r="M144" s="125">
        <f t="shared" ca="1" si="8"/>
        <v>77.185017026106692</v>
      </c>
      <c r="N144" s="126">
        <f t="shared" ca="1" si="9"/>
        <v>43.236348529411771</v>
      </c>
      <c r="O144" s="126">
        <f t="array" aca="1" ref="O144" ca="1">_xlfn.IFNA(RTD("wdf.rtq",,B144,"LastPrice","Yield_To_Maturity"),[1]!cb_anal_ytm(B144,$C$2))</f>
        <v>0.40130000000000005</v>
      </c>
      <c r="P144" s="126">
        <f ca="1">[1]!cb_anal_straightbondvalue(B144,$B$2)</f>
        <v>93.581999999999994</v>
      </c>
      <c r="Q144" s="126">
        <f t="shared" ca="1" si="10"/>
        <v>18.139172063003585</v>
      </c>
      <c r="R144" s="126" t="str">
        <f ca="1">[1]!b_rate_latestcredit(B144)</f>
        <v>AAA</v>
      </c>
      <c r="S144" s="126">
        <f ca="1">[1]!cb_info_outstandingbalance(B144,$B$2)</f>
        <v>92.97</v>
      </c>
      <c r="T144" s="126">
        <f ca="1">[1]!cb_info_issueamount(B144,100000000)</f>
        <v>92.97</v>
      </c>
      <c r="U144" s="126">
        <f t="shared" ca="1" si="11"/>
        <v>100</v>
      </c>
      <c r="V144" s="230">
        <f ca="1">IF([1]!cb_anal_ldiluterate(B144,$B$2)=100,"-",[1]!cb_anal_ldiluterate(B144,$B$2))</f>
        <v>9.8497589509264856</v>
      </c>
      <c r="W144" s="127" t="str">
        <f ca="1">[1]!cb_info_listeddate(B144)</f>
        <v>2021-04-21</v>
      </c>
      <c r="X144" s="127" t="str">
        <f ca="1">[1]!cb_info_carrydate(B144)</f>
        <v>2021-03-29</v>
      </c>
      <c r="Y144" s="125" t="str">
        <f ca="1">[1]!cb_clause_conversion_2_swapsharestartdate(B144)</f>
        <v>2021-10-08</v>
      </c>
      <c r="Z144" s="125" t="str">
        <f ca="1">[1]!cb_clause_putoption_conditionalputbackstartenddate(B144)</f>
        <v>2025-03-29</v>
      </c>
      <c r="AA144" s="230">
        <f ca="1">[1]!cb_info_maturitycallprice(B144)</f>
        <v>108</v>
      </c>
      <c r="AB144" s="230">
        <f ca="1">IF(ISNUMBER([1]!cb_info_conditionalputprice(B144)),[1]!cb_info_conditionalputprice(B144),"-")</f>
        <v>0</v>
      </c>
      <c r="AC144" s="230">
        <f ca="1">[1]!cb_info_interest(B144)</f>
        <v>0.2</v>
      </c>
      <c r="AD144" s="263" t="str">
        <f ca="1">IFERROR(couponlist([1]!cb_clause_interest(B144,"4")),"-")</f>
        <v>0.20%，0.50%，1.00%，1.50%，1.80%，2.00%</v>
      </c>
      <c r="AE144" s="129"/>
      <c r="AF144" s="129"/>
      <c r="AG144" s="129"/>
      <c r="AH144" s="129"/>
      <c r="AI144" s="129"/>
      <c r="AJ144" s="129"/>
      <c r="AK144" s="129"/>
      <c r="AL144" s="129"/>
      <c r="AM144" s="129"/>
      <c r="AN144" s="129"/>
      <c r="AO144" s="129"/>
      <c r="AP144" s="129"/>
      <c r="AQ144" s="129"/>
    </row>
    <row r="145" spans="1:43" s="191" customFormat="1" x14ac:dyDescent="0.35">
      <c r="A145" s="182" t="s">
        <v>0</v>
      </c>
      <c r="B145" s="182" t="s">
        <v>198</v>
      </c>
      <c r="C145" s="182" t="s">
        <v>199</v>
      </c>
      <c r="D145" s="235" t="str">
        <f ca="1">IF([1]!s_info_industry_sw(B145,1)=0,"-",[1]!s_info_industry_sw(B145,1))</f>
        <v>农林牧渔</v>
      </c>
      <c r="E145" s="183" t="str">
        <f ca="1">[1]!cb_info_underlyingcode(B145)</f>
        <v>603336.SH</v>
      </c>
      <c r="F145" s="185">
        <f ca="1">RTD("wdf.rtq",,B145,"LastPrice","Dirty_Price")</f>
        <v>112.51</v>
      </c>
      <c r="G145" s="185">
        <f ca="1">RTD("wdf.rtq",,E145,"LastPrice")</f>
        <v>6.62</v>
      </c>
      <c r="H145" s="225">
        <f ca="1">RTD("wdf.rtq",,B145,"PctChg","RT_Price")/100</f>
        <v>-9.0000000000000008E-4</v>
      </c>
      <c r="I145" s="225">
        <f ca="1">RTD("wdf.rtq",,E145,"PctChg")/100</f>
        <v>-1.5E-3</v>
      </c>
      <c r="J145" s="186">
        <f ca="1">_xlfn.IFNA([1]!b_anal_ptmyear(B145,$B$2),"未发行或发行失败")</f>
        <v>4.4684931506849317</v>
      </c>
      <c r="K145" s="186">
        <f ca="1">RTD("wdf.rtq",,B145,"Amount","Dirty_Price")/100000000</f>
        <v>1.878109E-2</v>
      </c>
      <c r="L145" s="186">
        <f ca="1">[1]!cb_anal_convprice(B145,$B$2)</f>
        <v>7.64</v>
      </c>
      <c r="M145" s="186">
        <f t="shared" ca="1" si="8"/>
        <v>86.649214659685867</v>
      </c>
      <c r="N145" s="187">
        <f t="shared" ca="1" si="9"/>
        <v>29.84537764350452</v>
      </c>
      <c r="O145" s="187">
        <f t="array" aca="1" ref="O145" ca="1">_xlfn.IFNA(RTD("wdf.rtq",,B145,"LastPrice","Yield_To_Maturity"),[1]!cb_anal_ytm(B145,$C$2))</f>
        <v>1.0575000000000001</v>
      </c>
      <c r="P145" s="187">
        <f ca="1">[1]!cb_anal_straightbondvalue(B145,$B$2)</f>
        <v>89.283000000000001</v>
      </c>
      <c r="Q145" s="187">
        <f t="shared" ca="1" si="10"/>
        <v>26.015030856938054</v>
      </c>
      <c r="R145" s="187" t="str">
        <f ca="1">[1]!b_rate_latestcredit(B145)</f>
        <v>AA-</v>
      </c>
      <c r="S145" s="187">
        <f ca="1">[1]!cb_info_outstandingbalance(B145,$B$2)</f>
        <v>2.2532000000000001</v>
      </c>
      <c r="T145" s="187">
        <f ca="1">[1]!cb_info_issueamount(B145,100000000)</f>
        <v>3.32</v>
      </c>
      <c r="U145" s="187">
        <f t="shared" ca="1" si="11"/>
        <v>67.867469879518083</v>
      </c>
      <c r="V145" s="240">
        <f ca="1">IF([1]!cb_anal_ldiluterate(B145,$B$2)=100,"-",[1]!cb_anal_ldiluterate(B145,$B$2))</f>
        <v>6.2995193550052493</v>
      </c>
      <c r="W145" s="188" t="str">
        <f ca="1">[1]!cb_info_listeddate(B145)</f>
        <v>2020-03-16</v>
      </c>
      <c r="X145" s="188" t="str">
        <f ca="1">[1]!cb_info_carrydate(B145)</f>
        <v>2020-02-26</v>
      </c>
      <c r="Y145" s="186" t="str">
        <f ca="1">[1]!cb_clause_conversion_2_swapsharestartdate(B145)</f>
        <v>2020-09-03</v>
      </c>
      <c r="Z145" s="186" t="str">
        <f ca="1">[1]!cb_clause_putoption_conditionalputbackstartenddate(B145)</f>
        <v>2024-02-26</v>
      </c>
      <c r="AA145" s="240">
        <f ca="1">[1]!cb_info_maturitycallprice(B145)</f>
        <v>112</v>
      </c>
      <c r="AB145" s="240">
        <f ca="1">IF(ISNUMBER([1]!cb_info_conditionalputprice(B145)),[1]!cb_info_conditionalputprice(B145),"-")</f>
        <v>0</v>
      </c>
      <c r="AC145" s="240">
        <f ca="1">[1]!cb_info_interest(B145)</f>
        <v>0.4</v>
      </c>
      <c r="AD145" s="262" t="str">
        <f ca="1">IFERROR(couponlist([1]!cb_clause_interest(B145,"4")),"-")</f>
        <v>0.4%，0.8%，1.0%，1.5%，2.5%，3.0%</v>
      </c>
      <c r="AE145" s="189"/>
      <c r="AF145" s="189"/>
      <c r="AG145" s="189"/>
      <c r="AH145" s="189"/>
      <c r="AI145" s="189"/>
      <c r="AJ145" s="189"/>
      <c r="AK145" s="189"/>
      <c r="AL145" s="189"/>
      <c r="AM145" s="189"/>
      <c r="AN145" s="189"/>
      <c r="AO145" s="189"/>
      <c r="AP145" s="189"/>
      <c r="AQ145" s="189"/>
    </row>
    <row r="146" spans="1:43" s="130" customFormat="1" x14ac:dyDescent="0.35">
      <c r="A146" s="121" t="s">
        <v>5</v>
      </c>
      <c r="B146" s="121" t="s">
        <v>110</v>
      </c>
      <c r="C146" s="121" t="s">
        <v>111</v>
      </c>
      <c r="D146" s="236" t="str">
        <f ca="1">IF([1]!s_info_industry_sw(B146,1)=0,"-",[1]!s_info_industry_sw(B146,1))</f>
        <v>农林牧渔</v>
      </c>
      <c r="E146" s="122" t="str">
        <f ca="1">[1]!cb_info_underlyingcode(B146)</f>
        <v>300511.SZ</v>
      </c>
      <c r="F146" s="124">
        <f ca="1">RTD("wdf.rtq",,B146,"LastPrice","Dirty_Price")</f>
        <v>105.902</v>
      </c>
      <c r="G146" s="124">
        <f ca="1">RTD("wdf.rtq",,E146,"LastPrice")</f>
        <v>6.94</v>
      </c>
      <c r="H146" s="226">
        <f ca="1">RTD("wdf.rtq",,B146,"PctChg","RT_Price")/100</f>
        <v>1.1000000000000001E-3</v>
      </c>
      <c r="I146" s="226">
        <f ca="1">RTD("wdf.rtq",,E146,"PctChg")/100</f>
        <v>2.9000000000000002E-3</v>
      </c>
      <c r="J146" s="125">
        <f ca="1">_xlfn.IFNA([1]!b_anal_ptmyear(B146,$B$2),"未发行或发行失败")</f>
        <v>4.7917808219178077</v>
      </c>
      <c r="K146" s="125">
        <f ca="1">RTD("wdf.rtq",,B146,"Amount","Dirty_Price")/100000000</f>
        <v>2.978109E-2</v>
      </c>
      <c r="L146" s="125">
        <f ca="1">[1]!cb_anal_convprice(B146,$B$2)</f>
        <v>11.77</v>
      </c>
      <c r="M146" s="125">
        <f t="shared" ca="1" si="8"/>
        <v>58.963466440101953</v>
      </c>
      <c r="N146" s="126">
        <f t="shared" ca="1" si="9"/>
        <v>79.606129682997135</v>
      </c>
      <c r="O146" s="126">
        <f t="array" aca="1" ref="O146" ca="1">_xlfn.IFNA(RTD("wdf.rtq",,B146,"LastPrice","Yield_To_Maturity"),[1]!cb_anal_ytm(B146,$C$2))</f>
        <v>2.8250999999999999</v>
      </c>
      <c r="P146" s="126">
        <f ca="1">[1]!cb_anal_straightbondvalue(B146,$B$2)</f>
        <v>89.325100000000006</v>
      </c>
      <c r="Q146" s="126">
        <f t="shared" ca="1" si="10"/>
        <v>18.557941720748147</v>
      </c>
      <c r="R146" s="126" t="str">
        <f ca="1">[1]!b_rate_latestcredit(B146)</f>
        <v>AA-</v>
      </c>
      <c r="S146" s="126">
        <f ca="1">[1]!cb_info_outstandingbalance(B146,$B$2)</f>
        <v>5.8406560000000001</v>
      </c>
      <c r="T146" s="126">
        <f ca="1">[1]!cb_info_issueamount(B146,100000000)</f>
        <v>5.85</v>
      </c>
      <c r="U146" s="126">
        <f t="shared" ca="1" si="11"/>
        <v>99.840273504273512</v>
      </c>
      <c r="V146" s="230">
        <f ca="1">IF([1]!cb_anal_ldiluterate(B146,$B$2)=100,"-",[1]!cb_anal_ldiluterate(B146,$B$2))</f>
        <v>13.576802916015119</v>
      </c>
      <c r="W146" s="127" t="str">
        <f ca="1">[1]!cb_info_listeddate(B146)</f>
        <v>2020-07-24</v>
      </c>
      <c r="X146" s="127" t="str">
        <f ca="1">[1]!cb_info_carrydate(B146)</f>
        <v>2020-06-24</v>
      </c>
      <c r="Y146" s="125" t="str">
        <f ca="1">[1]!cb_clause_conversion_2_swapsharestartdate(B146)</f>
        <v>2021-01-04</v>
      </c>
      <c r="Z146" s="125" t="str">
        <f ca="1">[1]!cb_clause_putoption_conditionalputbackstartenddate(B146)</f>
        <v>2024-06-24</v>
      </c>
      <c r="AA146" s="230">
        <f ca="1">[1]!cb_info_maturitycallprice(B146)</f>
        <v>115</v>
      </c>
      <c r="AB146" s="230">
        <f ca="1">IF(ISNUMBER([1]!cb_info_conditionalputprice(B146)),[1]!cb_info_conditionalputprice(B146),"-")</f>
        <v>100.151</v>
      </c>
      <c r="AC146" s="230">
        <f ca="1">[1]!cb_info_interest(B146)</f>
        <v>0.4</v>
      </c>
      <c r="AD146" s="263" t="str">
        <f ca="1">IFERROR(couponlist([1]!cb_clause_interest(B146,"4")),"-")</f>
        <v>0.4%，0.7%，1.0%，1.5%，2.5%，3.0%</v>
      </c>
      <c r="AE146" s="129"/>
      <c r="AF146" s="129"/>
      <c r="AG146" s="129"/>
      <c r="AH146" s="129"/>
      <c r="AI146" s="129"/>
      <c r="AJ146" s="129"/>
      <c r="AK146" s="129"/>
      <c r="AL146" s="129"/>
      <c r="AM146" s="129"/>
      <c r="AN146" s="129"/>
      <c r="AO146" s="129"/>
      <c r="AP146" s="129"/>
      <c r="AQ146" s="129"/>
    </row>
    <row r="147" spans="1:43" s="191" customFormat="1" x14ac:dyDescent="0.35">
      <c r="A147" s="182" t="s">
        <v>5</v>
      </c>
      <c r="B147" s="182" t="s">
        <v>60</v>
      </c>
      <c r="C147" s="182" t="s">
        <v>61</v>
      </c>
      <c r="D147" s="235" t="str">
        <f ca="1">IF([1]!s_info_industry_sw(B147,1)=0,"-",[1]!s_info_industry_sw(B147,1))</f>
        <v>农林牧渔</v>
      </c>
      <c r="E147" s="183" t="str">
        <f ca="1">[1]!cb_info_underlyingcode(B147)</f>
        <v>300021.SZ</v>
      </c>
      <c r="F147" s="185">
        <f ca="1">RTD("wdf.rtq",,B147,"LastPrice","Dirty_Price")</f>
        <v>123</v>
      </c>
      <c r="G147" s="185">
        <f ca="1">RTD("wdf.rtq",,E147,"LastPrice")</f>
        <v>5.33</v>
      </c>
      <c r="H147" s="225">
        <f ca="1">RTD("wdf.rtq",,B147,"PctChg","RT_Price")/100</f>
        <v>0</v>
      </c>
      <c r="I147" s="225">
        <f ca="1">RTD("wdf.rtq",,E147,"PctChg")/100</f>
        <v>-1.9E-3</v>
      </c>
      <c r="J147" s="186">
        <f ca="1">_xlfn.IFNA([1]!b_anal_ptmyear(B147,$B$2),"未发行或发行失败")</f>
        <v>4.8849315068493153</v>
      </c>
      <c r="K147" s="186">
        <f ca="1">RTD("wdf.rtq",,B147,"Amount","Dirty_Price")/100000000</f>
        <v>2.6653E-2</v>
      </c>
      <c r="L147" s="186">
        <f ca="1">[1]!cb_anal_convprice(B147,$B$2)</f>
        <v>4.83</v>
      </c>
      <c r="M147" s="186">
        <f t="shared" ca="1" si="8"/>
        <v>110.351966873706</v>
      </c>
      <c r="N147" s="187">
        <f t="shared" ca="1" si="9"/>
        <v>11.461538461538467</v>
      </c>
      <c r="O147" s="187">
        <f t="array" aca="1" ref="O147" ca="1">_xlfn.IFNA(RTD("wdf.rtq",,B147,"LastPrice","Yield_To_Maturity"),[1]!cb_anal_ytm(B147,$C$2))</f>
        <v>0.5212</v>
      </c>
      <c r="P147" s="187">
        <f ca="1">[1]!cb_anal_straightbondvalue(B147,$B$2)</f>
        <v>92.703299999999999</v>
      </c>
      <c r="Q147" s="187">
        <f t="shared" ca="1" si="10"/>
        <v>32.681360857704107</v>
      </c>
      <c r="R147" s="187" t="str">
        <f ca="1">[1]!b_rate_latestcredit(B147)</f>
        <v>AA-</v>
      </c>
      <c r="S147" s="187">
        <f ca="1">[1]!cb_info_outstandingbalance(B147,$B$2)</f>
        <v>6.3463409999999998</v>
      </c>
      <c r="T147" s="187">
        <f ca="1">[1]!cb_info_issueamount(B147,100000000)</f>
        <v>6.38</v>
      </c>
      <c r="U147" s="187">
        <f t="shared" ca="1" si="11"/>
        <v>99.472429467084638</v>
      </c>
      <c r="V147" s="240">
        <f ca="1">IF([1]!cb_anal_ldiluterate(B147,$B$2)=100,"-",[1]!cb_anal_ldiluterate(B147,$B$2))</f>
        <v>17.053947839132295</v>
      </c>
      <c r="W147" s="188" t="str">
        <f ca="1">[1]!cb_info_listeddate(B147)</f>
        <v>2020-08-20</v>
      </c>
      <c r="X147" s="188" t="str">
        <f ca="1">[1]!cb_info_carrydate(B147)</f>
        <v>2020-07-28</v>
      </c>
      <c r="Y147" s="186" t="str">
        <f ca="1">[1]!cb_clause_conversion_2_swapsharestartdate(B147)</f>
        <v>2021-02-03</v>
      </c>
      <c r="Z147" s="186" t="str">
        <f ca="1">[1]!cb_clause_putoption_conditionalputbackstartenddate(B147)</f>
        <v>2025-07-28</v>
      </c>
      <c r="AA147" s="240">
        <f ca="1">[1]!cb_info_maturitycallprice(B147)</f>
        <v>120</v>
      </c>
      <c r="AB147" s="240">
        <f ca="1">IF(ISNUMBER([1]!cb_info_conditionalputprice(B147)),[1]!cb_info_conditionalputprice(B147),"-")</f>
        <v>0</v>
      </c>
      <c r="AC147" s="240">
        <f ca="1">[1]!cb_info_interest(B147)</f>
        <v>0.4</v>
      </c>
      <c r="AD147" s="262" t="str">
        <f ca="1">IFERROR(couponlist([1]!cb_clause_interest(B147,"4")),"-")</f>
        <v>0.4%，0.6%，1.2%，1.8%，2.5%，3.0%</v>
      </c>
      <c r="AE147" s="189"/>
      <c r="AF147" s="189"/>
      <c r="AG147" s="189"/>
      <c r="AH147" s="189"/>
      <c r="AI147" s="189"/>
      <c r="AJ147" s="189"/>
      <c r="AK147" s="189"/>
      <c r="AL147" s="189"/>
      <c r="AM147" s="189"/>
      <c r="AN147" s="189"/>
      <c r="AO147" s="189"/>
      <c r="AP147" s="189"/>
      <c r="AQ147" s="189"/>
    </row>
    <row r="148" spans="1:43" s="130" customFormat="1" x14ac:dyDescent="0.35">
      <c r="A148" s="121" t="s">
        <v>5</v>
      </c>
      <c r="B148" s="121" t="s">
        <v>1773</v>
      </c>
      <c r="C148" s="121" t="s">
        <v>1774</v>
      </c>
      <c r="D148" s="236" t="str">
        <f ca="1">IF([1]!s_info_industry_sw(B148,1)=0,"-",[1]!s_info_industry_sw(B148,1))</f>
        <v>农林牧渔</v>
      </c>
      <c r="E148" s="122" t="str">
        <f ca="1">[1]!cb_info_underlyingcode(B148)</f>
        <v>002714.SZ</v>
      </c>
      <c r="F148" s="124">
        <f ca="1">RTD("wdf.rtq",,B148,"LastPrice","Dirty_Price")</f>
        <v>0</v>
      </c>
      <c r="G148" s="124">
        <f ca="1">RTD("wdf.rtq",,E148,"LastPrice")</f>
        <v>45.94</v>
      </c>
      <c r="H148" s="226">
        <f ca="1">RTD("wdf.rtq",,B148,"PctChg","RT_Price")/100</f>
        <v>0</v>
      </c>
      <c r="I148" s="226">
        <f ca="1">RTD("wdf.rtq",,E148,"PctChg")/100</f>
        <v>-1.9200000000000002E-2</v>
      </c>
      <c r="J148" s="125">
        <f ca="1">_xlfn.IFNA([1]!b_anal_ptmyear(B148,$B$2),"未发行或发行失败")</f>
        <v>5.9369863013698634</v>
      </c>
      <c r="K148" s="125">
        <f ca="1">RTD("wdf.rtq",,B148,"Amount","Dirty_Price")/100000000</f>
        <v>0</v>
      </c>
      <c r="L148" s="125">
        <f ca="1">[1]!cb_anal_convprice(B148,$B$2)</f>
        <v>47.91</v>
      </c>
      <c r="M148" s="125">
        <f t="shared" ca="1" si="8"/>
        <v>95.88812356501775</v>
      </c>
      <c r="N148" s="126" t="str">
        <f t="shared" si="9"/>
        <v>-</v>
      </c>
      <c r="O148" s="126">
        <f t="array" aca="1" ref="O148" ca="1">_xlfn.IFNA(RTD("wdf.rtq",,B148,"LastPrice","Yield_To_Maturity"),[1]!cb_anal_ytm(B148,$C$2))</f>
        <v>0</v>
      </c>
      <c r="P148" s="126">
        <f ca="1">[1]!cb_anal_straightbondvalue(B148,$B$2)</f>
        <v>89.354299999999995</v>
      </c>
      <c r="Q148" s="126" t="str">
        <f t="shared" ca="1" si="10"/>
        <v>-</v>
      </c>
      <c r="R148" s="126" t="str">
        <f ca="1">[1]!b_rate_latestcredit(B148)</f>
        <v>AA+</v>
      </c>
      <c r="S148" s="126">
        <f ca="1">[1]!cb_info_outstandingbalance(B148,$B$2)</f>
        <v>95.5</v>
      </c>
      <c r="T148" s="126">
        <f ca="1">[1]!cb_info_issueamount(B148,100000000)</f>
        <v>95.5</v>
      </c>
      <c r="U148" s="126">
        <f t="shared" ca="1" si="11"/>
        <v>100</v>
      </c>
      <c r="V148" s="230">
        <f ca="1">IF([1]!cb_anal_ldiluterate(B148,$B$2)=100,"-",[1]!cb_anal_ldiluterate(B148,$B$2))</f>
        <v>5.3163462854500718</v>
      </c>
      <c r="W148" s="127">
        <f ca="1">[1]!cb_info_listeddate(B148)</f>
        <v>0</v>
      </c>
      <c r="X148" s="127" t="str">
        <f ca="1">[1]!cb_info_carrydate(B148)</f>
        <v>2021-08-16</v>
      </c>
      <c r="Y148" s="125" t="str">
        <f ca="1">[1]!cb_clause_conversion_2_swapsharestartdate(B148)</f>
        <v>2022-02-21</v>
      </c>
      <c r="Z148" s="125" t="str">
        <f ca="1">[1]!cb_clause_putoption_conditionalputbackstartenddate(B148)</f>
        <v>2025-08-16</v>
      </c>
      <c r="AA148" s="230">
        <f ca="1">[1]!cb_info_maturitycallprice(B148)</f>
        <v>107</v>
      </c>
      <c r="AB148" s="230">
        <f ca="1">IF(ISNUMBER([1]!cb_info_conditionalputprice(B148)),[1]!cb_info_conditionalputprice(B148),"-")</f>
        <v>0</v>
      </c>
      <c r="AC148" s="230">
        <f ca="1">[1]!cb_info_interest(B148)</f>
        <v>0.2</v>
      </c>
      <c r="AD148" s="263" t="str">
        <f ca="1">IFERROR(couponlist([1]!cb_clause_interest(B148,"4")),"-")</f>
        <v>0.20%，0.40%，0.80%，1.20%，1.50%，2.00%</v>
      </c>
      <c r="AE148" s="129"/>
      <c r="AF148" s="129"/>
      <c r="AG148" s="129"/>
      <c r="AH148" s="129"/>
      <c r="AI148" s="129"/>
      <c r="AJ148" s="129"/>
      <c r="AK148" s="129"/>
      <c r="AL148" s="129"/>
      <c r="AM148" s="129"/>
      <c r="AN148" s="129"/>
      <c r="AO148" s="129"/>
      <c r="AP148" s="129"/>
      <c r="AQ148" s="129"/>
    </row>
    <row r="149" spans="1:43" s="191" customFormat="1" x14ac:dyDescent="0.35">
      <c r="A149" s="182" t="s">
        <v>0</v>
      </c>
      <c r="B149" s="182" t="s">
        <v>900</v>
      </c>
      <c r="C149" s="182" t="s">
        <v>901</v>
      </c>
      <c r="D149" s="235" t="str">
        <f ca="1">IF([1]!s_info_industry_sw(B149,1)=0,"-",[1]!s_info_industry_sw(B149,1))</f>
        <v>农林牧渔</v>
      </c>
      <c r="E149" s="183" t="str">
        <f ca="1">[1]!cb_info_underlyingcode(B149)</f>
        <v>603363.SH</v>
      </c>
      <c r="F149" s="185">
        <f ca="1">RTD("wdf.rtq",,B149,"LastPrice","Dirty_Price")</f>
        <v>108.12</v>
      </c>
      <c r="G149" s="185">
        <f ca="1">RTD("wdf.rtq",,E149,"LastPrice")</f>
        <v>8.4700000000000006</v>
      </c>
      <c r="H149" s="225">
        <f ca="1">RTD("wdf.rtq",,B149,"PctChg","RT_Price")/100</f>
        <v>1.2999999999999999E-3</v>
      </c>
      <c r="I149" s="225">
        <f ca="1">RTD("wdf.rtq",,E149,"PctChg")/100</f>
        <v>-4.7000000000000002E-3</v>
      </c>
      <c r="J149" s="186">
        <f ca="1">_xlfn.IFNA([1]!b_anal_ptmyear(B149,$B$2),"未发行或发行失败")</f>
        <v>5.5013698630136982</v>
      </c>
      <c r="K149" s="186">
        <f ca="1">RTD("wdf.rtq",,B149,"Amount","Dirty_Price")/100000000</f>
        <v>1.9579019999999999E-2</v>
      </c>
      <c r="L149" s="186">
        <f ca="1">[1]!cb_anal_convprice(B149,$B$2)</f>
        <v>14.51</v>
      </c>
      <c r="M149" s="186">
        <f t="shared" ca="1" si="8"/>
        <v>58.373535492763622</v>
      </c>
      <c r="N149" s="187">
        <f t="shared" ca="1" si="9"/>
        <v>85.220920897284486</v>
      </c>
      <c r="O149" s="187">
        <f t="array" aca="1" ref="O149" ca="1">_xlfn.IFNA(RTD("wdf.rtq",,B149,"LastPrice","Yield_To_Maturity"),[1]!cb_anal_ytm(B149,$C$2))</f>
        <v>2.1196000000000002</v>
      </c>
      <c r="P149" s="187">
        <f ca="1">[1]!cb_anal_straightbondvalue(B149,$B$2)</f>
        <v>95.968900000000005</v>
      </c>
      <c r="Q149" s="187">
        <f t="shared" ca="1" si="10"/>
        <v>12.661497631003371</v>
      </c>
      <c r="R149" s="187" t="str">
        <f ca="1">[1]!b_rate_latestcredit(B149)</f>
        <v>AA</v>
      </c>
      <c r="S149" s="187">
        <f ca="1">[1]!cb_info_outstandingbalance(B149,$B$2)</f>
        <v>10</v>
      </c>
      <c r="T149" s="187">
        <f ca="1">[1]!cb_info_issueamount(B149,100000000)</f>
        <v>10</v>
      </c>
      <c r="U149" s="187">
        <f t="shared" ca="1" si="11"/>
        <v>100</v>
      </c>
      <c r="V149" s="240">
        <f ca="1">IF([1]!cb_anal_ldiluterate(B149,$B$2)=100,"-",[1]!cb_anal_ldiluterate(B149,$B$2))</f>
        <v>9.7719170562970898</v>
      </c>
      <c r="W149" s="188" t="str">
        <f ca="1">[1]!cb_info_listeddate(B149)</f>
        <v>2021-04-02</v>
      </c>
      <c r="X149" s="188" t="str">
        <f ca="1">[1]!cb_info_carrydate(B149)</f>
        <v>2021-03-10</v>
      </c>
      <c r="Y149" s="186" t="str">
        <f ca="1">[1]!cb_clause_conversion_2_swapsharestartdate(B149)</f>
        <v>2021-09-16</v>
      </c>
      <c r="Z149" s="186" t="str">
        <f ca="1">[1]!cb_clause_putoption_conditionalputbackstartenddate(B149)</f>
        <v>2025-03-10</v>
      </c>
      <c r="AA149" s="240">
        <f ca="1">[1]!cb_info_maturitycallprice(B149)</f>
        <v>116</v>
      </c>
      <c r="AB149" s="240">
        <f ca="1">IF(ISNUMBER([1]!cb_info_conditionalputprice(B149)),[1]!cb_info_conditionalputprice(B149),"-")</f>
        <v>0</v>
      </c>
      <c r="AC149" s="240">
        <f ca="1">[1]!cb_info_interest(B149)</f>
        <v>0.3</v>
      </c>
      <c r="AD149" s="262" t="str">
        <f ca="1">IFERROR(couponlist([1]!cb_clause_interest(B149,"4")),"-")</f>
        <v>0.30%，0.50%，1.00%，1.50%，1.80%，2.00%</v>
      </c>
      <c r="AE149" s="189"/>
      <c r="AF149" s="189"/>
      <c r="AG149" s="189"/>
      <c r="AH149" s="189"/>
      <c r="AI149" s="189"/>
      <c r="AJ149" s="189"/>
      <c r="AK149" s="189"/>
      <c r="AL149" s="189"/>
      <c r="AM149" s="189"/>
      <c r="AN149" s="189"/>
      <c r="AO149" s="189"/>
      <c r="AP149" s="189"/>
      <c r="AQ149" s="189"/>
    </row>
    <row r="150" spans="1:43" s="130" customFormat="1" x14ac:dyDescent="0.35">
      <c r="A150" s="121" t="s">
        <v>5</v>
      </c>
      <c r="B150" s="121" t="s">
        <v>443</v>
      </c>
      <c r="C150" s="121" t="s">
        <v>444</v>
      </c>
      <c r="D150" s="236" t="str">
        <f ca="1">IF([1]!s_info_industry_sw(B150,1)=0,"-",[1]!s_info_industry_sw(B150,1))</f>
        <v>农林牧渔</v>
      </c>
      <c r="E150" s="122" t="str">
        <f ca="1">[1]!cb_info_underlyingcode(B150)</f>
        <v>002548.SZ</v>
      </c>
      <c r="F150" s="124">
        <f ca="1">RTD("wdf.rtq",,B150,"LastPrice","Dirty_Price")</f>
        <v>118</v>
      </c>
      <c r="G150" s="124">
        <f ca="1">RTD("wdf.rtq",,E150,"LastPrice")</f>
        <v>5.3500000000000005</v>
      </c>
      <c r="H150" s="226">
        <f ca="1">RTD("wdf.rtq",,B150,"PctChg","RT_Price")/100</f>
        <v>-8.0000000000000004E-4</v>
      </c>
      <c r="I150" s="226">
        <f ca="1">RTD("wdf.rtq",,E150,"PctChg")/100</f>
        <v>9.4000000000000004E-3</v>
      </c>
      <c r="J150" s="125">
        <f ca="1">_xlfn.IFNA([1]!b_anal_ptmyear(B150,$B$2),"未发行或发行失败")</f>
        <v>2.4986301369863013</v>
      </c>
      <c r="K150" s="125">
        <f ca="1">RTD("wdf.rtq",,B150,"Amount","Dirty_Price")/100000000</f>
        <v>4.5824139999999999E-2</v>
      </c>
      <c r="L150" s="125">
        <f ca="1">[1]!cb_anal_convprice(B150,$B$2)</f>
        <v>6.93</v>
      </c>
      <c r="M150" s="125">
        <f t="shared" ca="1" si="8"/>
        <v>77.2005772005772</v>
      </c>
      <c r="N150" s="126">
        <f t="shared" ca="1" si="9"/>
        <v>52.848598130841111</v>
      </c>
      <c r="O150" s="126">
        <f t="array" aca="1" ref="O150" ca="1">_xlfn.IFNA(RTD("wdf.rtq",,B150,"LastPrice","Yield_To_Maturity"),[1]!cb_anal_ytm(B150,$C$2))</f>
        <v>-3.0706000000000002</v>
      </c>
      <c r="P150" s="126">
        <f ca="1">[1]!cb_anal_straightbondvalue(B150,$B$2)</f>
        <v>95.036500000000004</v>
      </c>
      <c r="Q150" s="126">
        <f t="shared" ca="1" si="10"/>
        <v>24.162821652733413</v>
      </c>
      <c r="R150" s="126" t="str">
        <f ca="1">[1]!b_rate_latestcredit(B150)</f>
        <v>AA-</v>
      </c>
      <c r="S150" s="126">
        <f ca="1">[1]!cb_info_outstandingbalance(B150,$B$2)</f>
        <v>1.4589669999999999</v>
      </c>
      <c r="T150" s="126">
        <f ca="1">[1]!cb_info_issueamount(B150,100000000)</f>
        <v>6.5</v>
      </c>
      <c r="U150" s="126">
        <f t="shared" ca="1" si="11"/>
        <v>22.445646153846152</v>
      </c>
      <c r="V150" s="230">
        <f ca="1">IF([1]!cb_anal_ldiluterate(B150,$B$2)=100,"-",[1]!cb_anal_ldiluterate(B150,$B$2))</f>
        <v>3.7647539015018952</v>
      </c>
      <c r="W150" s="127" t="str">
        <f ca="1">[1]!cb_info_listeddate(B150)</f>
        <v>2018-04-02</v>
      </c>
      <c r="X150" s="127" t="str">
        <f ca="1">[1]!cb_info_carrydate(B150)</f>
        <v>2018-03-09</v>
      </c>
      <c r="Y150" s="125" t="str">
        <f ca="1">[1]!cb_clause_conversion_2_swapsharestartdate(B150)</f>
        <v>2018-09-17</v>
      </c>
      <c r="Z150" s="125" t="str">
        <f ca="1">[1]!cb_clause_putoption_conditionalputbackstartenddate(B150)</f>
        <v>2022-03-09</v>
      </c>
      <c r="AA150" s="230">
        <f ca="1">[1]!cb_info_maturitycallprice(B150)</f>
        <v>106</v>
      </c>
      <c r="AB150" s="230">
        <f ca="1">IF(ISNUMBER([1]!cb_info_conditionalputprice(B150)),[1]!cb_info_conditionalputprice(B150),"-")</f>
        <v>0</v>
      </c>
      <c r="AC150" s="230">
        <f ca="1">[1]!cb_info_interest(B150)</f>
        <v>0.4</v>
      </c>
      <c r="AD150" s="263" t="str">
        <f ca="1">IFERROR(couponlist([1]!cb_clause_interest(B150,"4")),"-")</f>
        <v>0.4%，0.6%，1.0%，1.5%，1.8%，2.0%</v>
      </c>
      <c r="AE150" s="129"/>
      <c r="AF150" s="129"/>
      <c r="AG150" s="129"/>
      <c r="AH150" s="129"/>
      <c r="AI150" s="129"/>
      <c r="AJ150" s="129"/>
      <c r="AK150" s="129"/>
      <c r="AL150" s="129"/>
      <c r="AM150" s="129"/>
      <c r="AN150" s="129"/>
      <c r="AO150" s="129"/>
      <c r="AP150" s="129"/>
      <c r="AQ150" s="129"/>
    </row>
    <row r="151" spans="1:43" s="191" customFormat="1" x14ac:dyDescent="0.35">
      <c r="A151" s="182" t="s">
        <v>5</v>
      </c>
      <c r="B151" s="182" t="s">
        <v>467</v>
      </c>
      <c r="C151" s="182" t="s">
        <v>468</v>
      </c>
      <c r="D151" s="235" t="str">
        <f ca="1">IF([1]!s_info_industry_sw(B151,1)=0,"-",[1]!s_info_industry_sw(B151,1))</f>
        <v>农林牧渔</v>
      </c>
      <c r="E151" s="183" t="str">
        <f ca="1">[1]!cb_info_underlyingcode(B151)</f>
        <v>002772.SZ</v>
      </c>
      <c r="F151" s="185">
        <f ca="1">RTD("wdf.rtq",,B151,"LastPrice","Dirty_Price")</f>
        <v>120.82000000000001</v>
      </c>
      <c r="G151" s="185">
        <f ca="1">RTD("wdf.rtq",,E151,"LastPrice")</f>
        <v>12.02</v>
      </c>
      <c r="H151" s="225">
        <f ca="1">RTD("wdf.rtq",,B151,"PctChg","RT_Price")/100</f>
        <v>-3.8E-3</v>
      </c>
      <c r="I151" s="225">
        <f ca="1">RTD("wdf.rtq",,E151,"PctChg")/100</f>
        <v>-1.4800000000000001E-2</v>
      </c>
      <c r="J151" s="186">
        <f ca="1">_xlfn.IFNA([1]!b_anal_ptmyear(B151,$B$2),"未发行或发行失败")</f>
        <v>2.2630136986301368</v>
      </c>
      <c r="K151" s="186">
        <f ca="1">RTD("wdf.rtq",,B151,"Amount","Dirty_Price")/100000000</f>
        <v>0.27967795000000001</v>
      </c>
      <c r="L151" s="186">
        <f ca="1">[1]!cb_anal_convprice(B151,$B$2)</f>
        <v>11.36</v>
      </c>
      <c r="M151" s="186">
        <f t="shared" ca="1" si="8"/>
        <v>105.80985915492958</v>
      </c>
      <c r="N151" s="187">
        <f t="shared" ca="1" si="9"/>
        <v>14.185956738768709</v>
      </c>
      <c r="O151" s="187">
        <f t="array" aca="1" ref="O151" ca="1">_xlfn.IFNA(RTD("wdf.rtq",,B151,"LastPrice","Yield_To_Maturity"),[1]!cb_anal_ytm(B151,$C$2))</f>
        <v>-4.4122000000000003</v>
      </c>
      <c r="P151" s="187">
        <f ca="1">[1]!cb_anal_straightbondvalue(B151,$B$2)</f>
        <v>96.565799999999996</v>
      </c>
      <c r="Q151" s="187">
        <f t="shared" ca="1" si="10"/>
        <v>25.11675976380873</v>
      </c>
      <c r="R151" s="187" t="str">
        <f ca="1">[1]!b_rate_latestcredit(B151)</f>
        <v>AA-</v>
      </c>
      <c r="S151" s="187">
        <f ca="1">[1]!cb_info_outstandingbalance(B151,$B$2)</f>
        <v>4.0904069999999999</v>
      </c>
      <c r="T151" s="187">
        <f ca="1">[1]!cb_info_issueamount(B151,100000000)</f>
        <v>9.1999999999999993</v>
      </c>
      <c r="U151" s="187">
        <f t="shared" ca="1" si="11"/>
        <v>44.460945652173919</v>
      </c>
      <c r="V151" s="240">
        <f ca="1">IF([1]!cb_anal_ldiluterate(B151,$B$2)=100,"-",[1]!cb_anal_ldiluterate(B151,$B$2))</f>
        <v>13.35854350276135</v>
      </c>
      <c r="W151" s="188" t="str">
        <f ca="1">[1]!cb_info_listeddate(B151)</f>
        <v>2018-01-03</v>
      </c>
      <c r="X151" s="188" t="str">
        <f ca="1">[1]!cb_info_carrydate(B151)</f>
        <v>2017-12-13</v>
      </c>
      <c r="Y151" s="186" t="str">
        <f ca="1">[1]!cb_clause_conversion_2_swapsharestartdate(B151)</f>
        <v>2018-06-19</v>
      </c>
      <c r="Z151" s="186" t="str">
        <f ca="1">[1]!cb_clause_putoption_conditionalputbackstartenddate(B151)</f>
        <v>2021-12-13</v>
      </c>
      <c r="AA151" s="240">
        <f ca="1">[1]!cb_info_maturitycallprice(B151)</f>
        <v>106</v>
      </c>
      <c r="AB151" s="240">
        <f ca="1">IF(ISNUMBER([1]!cb_info_conditionalputprice(B151)),[1]!cb_info_conditionalputprice(B151),"-")</f>
        <v>0</v>
      </c>
      <c r="AC151" s="240">
        <f ca="1">[1]!cb_info_interest(B151)</f>
        <v>0.4</v>
      </c>
      <c r="AD151" s="262" t="str">
        <f ca="1">IFERROR(couponlist([1]!cb_clause_interest(B151,"4")),"-")</f>
        <v>0.4%，0.6%，1.0%，1.5%，1.8%，2.0%</v>
      </c>
      <c r="AE151" s="189"/>
      <c r="AF151" s="189"/>
      <c r="AG151" s="189"/>
      <c r="AH151" s="189"/>
      <c r="AI151" s="189"/>
      <c r="AJ151" s="189"/>
      <c r="AK151" s="189"/>
      <c r="AL151" s="189"/>
      <c r="AM151" s="189"/>
      <c r="AN151" s="189"/>
      <c r="AO151" s="189"/>
      <c r="AP151" s="189"/>
      <c r="AQ151" s="189"/>
    </row>
    <row r="152" spans="1:43" s="130" customFormat="1" x14ac:dyDescent="0.35">
      <c r="A152" s="121" t="s">
        <v>0</v>
      </c>
      <c r="B152" s="121" t="s">
        <v>549</v>
      </c>
      <c r="C152" s="121" t="s">
        <v>550</v>
      </c>
      <c r="D152" s="236" t="str">
        <f ca="1">IF([1]!s_info_industry_sw(B152,1)=0,"-",[1]!s_info_industry_sw(B152,1))</f>
        <v>交通运输</v>
      </c>
      <c r="E152" s="122" t="str">
        <f ca="1">[1]!cb_info_underlyingcode(B152)</f>
        <v>601006.SH</v>
      </c>
      <c r="F152" s="124">
        <f ca="1">RTD("wdf.rtq",,B152,"LastPrice","Dirty_Price")</f>
        <v>107.38000000000001</v>
      </c>
      <c r="G152" s="124">
        <f ca="1">RTD("wdf.rtq",,E152,"LastPrice")</f>
        <v>6.28</v>
      </c>
      <c r="H152" s="226">
        <f ca="1">RTD("wdf.rtq",,B152,"PctChg","RT_Price")/100</f>
        <v>5.8999999999999999E-3</v>
      </c>
      <c r="I152" s="226">
        <f ca="1">RTD("wdf.rtq",,E152,"PctChg")/100</f>
        <v>-3.2000000000000002E-3</v>
      </c>
      <c r="J152" s="125">
        <f ca="1">_xlfn.IFNA([1]!b_anal_ptmyear(B152,$B$2),"未发行或发行失败")</f>
        <v>5.2657534246575342</v>
      </c>
      <c r="K152" s="125">
        <f ca="1">RTD("wdf.rtq",,B152,"Amount","Dirty_Price")/100000000</f>
        <v>2.6330920799999999</v>
      </c>
      <c r="L152" s="125">
        <f ca="1">[1]!cb_anal_convprice(B152,$B$2)</f>
        <v>7.18</v>
      </c>
      <c r="M152" s="125">
        <f t="shared" ca="1" si="8"/>
        <v>87.46518105849583</v>
      </c>
      <c r="N152" s="126">
        <f t="shared" ca="1" si="9"/>
        <v>22.768853503184729</v>
      </c>
      <c r="O152" s="126">
        <f t="array" aca="1" ref="O152" ca="1">_xlfn.IFNA(RTD("wdf.rtq",,B152,"LastPrice","Yield_To_Maturity"),[1]!cb_anal_ytm(B152,$C$2))</f>
        <v>1.1840000000000002</v>
      </c>
      <c r="P152" s="126">
        <f ca="1">[1]!cb_anal_straightbondvalue(B152,$B$2)</f>
        <v>95.697599999999994</v>
      </c>
      <c r="Q152" s="126">
        <f t="shared" ca="1" si="10"/>
        <v>12.207620671782806</v>
      </c>
      <c r="R152" s="126" t="str">
        <f ca="1">[1]!b_rate_latestcredit(B152)</f>
        <v>AAA</v>
      </c>
      <c r="S152" s="126">
        <f ca="1">[1]!cb_info_outstandingbalance(B152,$B$2)</f>
        <v>319.99227000000002</v>
      </c>
      <c r="T152" s="126">
        <f ca="1">[1]!cb_info_issueamount(B152,100000000)</f>
        <v>320</v>
      </c>
      <c r="U152" s="126">
        <f t="shared" ca="1" si="11"/>
        <v>99.997584375000002</v>
      </c>
      <c r="V152" s="230">
        <f ca="1">IF([1]!cb_anal_ldiluterate(B152,$B$2)=100,"-",[1]!cb_anal_ldiluterate(B152,$B$2))</f>
        <v>23.063681480449358</v>
      </c>
      <c r="W152" s="127" t="str">
        <f ca="1">[1]!cb_info_listeddate(B152)</f>
        <v>2021-01-15</v>
      </c>
      <c r="X152" s="127" t="str">
        <f ca="1">[1]!cb_info_carrydate(B152)</f>
        <v>2020-12-14</v>
      </c>
      <c r="Y152" s="125" t="str">
        <f ca="1">[1]!cb_clause_conversion_2_swapsharestartdate(B152)</f>
        <v>2021-06-18</v>
      </c>
      <c r="Z152" s="125" t="str">
        <f ca="1">[1]!cb_clause_putoption_conditionalputbackstartenddate(B152)</f>
        <v>2024-12-14</v>
      </c>
      <c r="AA152" s="230">
        <f ca="1">[1]!cb_info_maturitycallprice(B152)</f>
        <v>108</v>
      </c>
      <c r="AB152" s="230">
        <f ca="1">IF(ISNUMBER([1]!cb_info_conditionalputprice(B152)),[1]!cb_info_conditionalputprice(B152),"-")</f>
        <v>0</v>
      </c>
      <c r="AC152" s="230">
        <f ca="1">[1]!cb_info_interest(B152)</f>
        <v>0.2</v>
      </c>
      <c r="AD152" s="263" t="str">
        <f ca="1">IFERROR(couponlist([1]!cb_clause_interest(B152,"4")),"-")</f>
        <v>0.20%，0.50%，1.00%，1.80%，2.60%，3.00%</v>
      </c>
      <c r="AE152" s="129"/>
      <c r="AF152" s="129"/>
      <c r="AG152" s="129"/>
      <c r="AH152" s="129"/>
      <c r="AI152" s="129"/>
      <c r="AJ152" s="129"/>
      <c r="AK152" s="129"/>
      <c r="AL152" s="129"/>
      <c r="AM152" s="129"/>
      <c r="AN152" s="129"/>
      <c r="AO152" s="129"/>
      <c r="AP152" s="129"/>
      <c r="AQ152" s="129"/>
    </row>
    <row r="153" spans="1:43" s="191" customFormat="1" x14ac:dyDescent="0.35">
      <c r="A153" s="182" t="s">
        <v>0</v>
      </c>
      <c r="B153" s="182" t="s">
        <v>539</v>
      </c>
      <c r="C153" s="182" t="s">
        <v>540</v>
      </c>
      <c r="D153" s="235" t="str">
        <f ca="1">IF([1]!s_info_industry_sw(B153,1)=0,"-",[1]!s_info_industry_sw(B153,1))</f>
        <v>交通运输</v>
      </c>
      <c r="E153" s="183" t="str">
        <f ca="1">[1]!cb_info_underlyingcode(B153)</f>
        <v>600029.SH</v>
      </c>
      <c r="F153" s="185">
        <f ca="1">RTD("wdf.rtq",,B153,"LastPrice","Dirty_Price")</f>
        <v>125.33000000000001</v>
      </c>
      <c r="G153" s="185">
        <f ca="1">RTD("wdf.rtq",,E153,"LastPrice")</f>
        <v>6.08</v>
      </c>
      <c r="H153" s="225">
        <f ca="1">RTD("wdf.rtq",,B153,"PctChg","RT_Price")/100</f>
        <v>6.5000000000000006E-3</v>
      </c>
      <c r="I153" s="225">
        <f ca="1">RTD("wdf.rtq",,E153,"PctChg")/100</f>
        <v>5.0000000000000001E-3</v>
      </c>
      <c r="J153" s="186">
        <f ca="1">_xlfn.IFNA([1]!b_anal_ptmyear(B153,$B$2),"未发行或发行失败")</f>
        <v>5.1013698630136988</v>
      </c>
      <c r="K153" s="186">
        <f ca="1">RTD("wdf.rtq",,B153,"Amount","Dirty_Price")/100000000</f>
        <v>0.31600129999999998</v>
      </c>
      <c r="L153" s="186">
        <f ca="1">[1]!cb_anal_convprice(B153,$B$2)</f>
        <v>6.24</v>
      </c>
      <c r="M153" s="186">
        <f t="shared" ca="1" si="8"/>
        <v>97.435897435897431</v>
      </c>
      <c r="N153" s="187">
        <f t="shared" ca="1" si="9"/>
        <v>28.628157894736859</v>
      </c>
      <c r="O153" s="187">
        <f t="array" aca="1" ref="O153" ca="1">_xlfn.IFNA(RTD("wdf.rtq",,B153,"LastPrice","Yield_To_Maturity"),[1]!cb_anal_ytm(B153,$C$2))</f>
        <v>-2.5577000000000001</v>
      </c>
      <c r="P153" s="187">
        <f ca="1">[1]!cb_anal_straightbondvalue(B153,$B$2)</f>
        <v>92.770099999999999</v>
      </c>
      <c r="Q153" s="187">
        <f t="shared" ca="1" si="10"/>
        <v>35.097407462102581</v>
      </c>
      <c r="R153" s="187" t="str">
        <f ca="1">[1]!b_rate_latestcredit(B153)</f>
        <v>AAA</v>
      </c>
      <c r="S153" s="187">
        <f ca="1">[1]!cb_info_outstandingbalance(B153,$B$2)</f>
        <v>58.967449999999999</v>
      </c>
      <c r="T153" s="187">
        <f ca="1">[1]!cb_info_issueamount(B153,100000000)</f>
        <v>160</v>
      </c>
      <c r="U153" s="187">
        <f t="shared" ca="1" si="11"/>
        <v>36.854656249999998</v>
      </c>
      <c r="V153" s="240">
        <f ca="1">IF([1]!cb_anal_ldiluterate(B153,$B$2)=100,"-",[1]!cb_anal_ldiluterate(B153,$B$2))</f>
        <v>8.8519437859307235</v>
      </c>
      <c r="W153" s="188" t="str">
        <f ca="1">[1]!cb_info_listeddate(B153)</f>
        <v>2020-11-03</v>
      </c>
      <c r="X153" s="188" t="str">
        <f ca="1">[1]!cb_info_carrydate(B153)</f>
        <v>2020-10-15</v>
      </c>
      <c r="Y153" s="186" t="str">
        <f ca="1">[1]!cb_clause_conversion_2_swapsharestartdate(B153)</f>
        <v>2021-04-21</v>
      </c>
      <c r="Z153" s="186" t="str">
        <f ca="1">[1]!cb_clause_putoption_conditionalputbackstartenddate(B153)</f>
        <v>2024-10-15</v>
      </c>
      <c r="AA153" s="240">
        <f ca="1">[1]!cb_info_maturitycallprice(B153)</f>
        <v>106.5</v>
      </c>
      <c r="AB153" s="240">
        <f ca="1">IF(ISNUMBER([1]!cb_info_conditionalputprice(B153)),[1]!cb_info_conditionalputprice(B153),"-")</f>
        <v>0</v>
      </c>
      <c r="AC153" s="240">
        <f ca="1">[1]!cb_info_interest(B153)</f>
        <v>0.2</v>
      </c>
      <c r="AD153" s="262" t="str">
        <f ca="1">IFERROR(couponlist([1]!cb_clause_interest(B153,"4")),"-")</f>
        <v>0.2%，0.4%，0.6%，0.8%，1.5%，2.0%</v>
      </c>
      <c r="AE153" s="189"/>
      <c r="AF153" s="189"/>
      <c r="AG153" s="189"/>
      <c r="AH153" s="189"/>
      <c r="AI153" s="189"/>
      <c r="AJ153" s="189"/>
      <c r="AK153" s="189"/>
      <c r="AL153" s="189"/>
      <c r="AM153" s="189"/>
      <c r="AN153" s="189"/>
      <c r="AO153" s="189"/>
      <c r="AP153" s="189"/>
      <c r="AQ153" s="189"/>
    </row>
    <row r="154" spans="1:43" s="130" customFormat="1" x14ac:dyDescent="0.35">
      <c r="A154" s="121" t="s">
        <v>5</v>
      </c>
      <c r="B154" s="121" t="s">
        <v>344</v>
      </c>
      <c r="C154" s="121" t="s">
        <v>345</v>
      </c>
      <c r="D154" s="236" t="str">
        <f ca="1">IF([1]!s_info_industry_sw(B154,1)=0,"-",[1]!s_info_industry_sw(B154,1))</f>
        <v>交通运输</v>
      </c>
      <c r="E154" s="122" t="str">
        <f ca="1">[1]!cb_info_underlyingcode(B154)</f>
        <v>001965.SZ</v>
      </c>
      <c r="F154" s="124">
        <f ca="1">RTD("wdf.rtq",,B154,"LastPrice","Dirty_Price")</f>
        <v>113.22200000000001</v>
      </c>
      <c r="G154" s="124">
        <f ca="1">RTD("wdf.rtq",,E154,"LastPrice")</f>
        <v>7.63</v>
      </c>
      <c r="H154" s="226">
        <f ca="1">RTD("wdf.rtq",,B154,"PctChg","RT_Price")/100</f>
        <v>1.54E-2</v>
      </c>
      <c r="I154" s="226">
        <f ca="1">RTD("wdf.rtq",,E154,"PctChg")/100</f>
        <v>5.3E-3</v>
      </c>
      <c r="J154" s="125">
        <f ca="1">_xlfn.IFNA([1]!b_anal_ptmyear(B154,$B$2),"未发行或发行失败")</f>
        <v>3.5342465753424657</v>
      </c>
      <c r="K154" s="125">
        <f ca="1">RTD("wdf.rtq",,B154,"Amount","Dirty_Price")/100000000</f>
        <v>0.28577358000000003</v>
      </c>
      <c r="L154" s="125">
        <f ca="1">[1]!cb_anal_convprice(B154,$B$2)</f>
        <v>8.6300000000000008</v>
      </c>
      <c r="M154" s="125">
        <f t="shared" ca="1" si="8"/>
        <v>88.41251448435689</v>
      </c>
      <c r="N154" s="126">
        <f t="shared" ca="1" si="9"/>
        <v>28.061056356487569</v>
      </c>
      <c r="O154" s="126">
        <f t="array" aca="1" ref="O154" ca="1">_xlfn.IFNA(RTD("wdf.rtq",,B154,"LastPrice","Yield_To_Maturity"),[1]!cb_anal_ytm(B154,$C$2))</f>
        <v>-1.3703000000000001</v>
      </c>
      <c r="P154" s="126">
        <f ca="1">[1]!cb_anal_straightbondvalue(B154,$B$2)</f>
        <v>96.694000000000003</v>
      </c>
      <c r="Q154" s="126">
        <f t="shared" ca="1" si="10"/>
        <v>17.093097813721641</v>
      </c>
      <c r="R154" s="126" t="str">
        <f ca="1">[1]!b_rate_latestcredit(B154)</f>
        <v>AAA</v>
      </c>
      <c r="S154" s="126">
        <f ca="1">[1]!cb_info_outstandingbalance(B154,$B$2)</f>
        <v>49.998342999999998</v>
      </c>
      <c r="T154" s="126">
        <f ca="1">[1]!cb_info_issueamount(B154,100000000)</f>
        <v>50</v>
      </c>
      <c r="U154" s="126">
        <f t="shared" ca="1" si="11"/>
        <v>99.996685999999997</v>
      </c>
      <c r="V154" s="230">
        <f ca="1">IF([1]!cb_anal_ldiluterate(B154,$B$2)=100,"-",[1]!cb_anal_ldiluterate(B154,$B$2))</f>
        <v>23.062051329127666</v>
      </c>
      <c r="W154" s="127" t="str">
        <f ca="1">[1]!cb_info_listeddate(B154)</f>
        <v>2019-04-30</v>
      </c>
      <c r="X154" s="127" t="str">
        <f ca="1">[1]!cb_info_carrydate(B154)</f>
        <v>2019-03-22</v>
      </c>
      <c r="Y154" s="125" t="str">
        <f ca="1">[1]!cb_clause_conversion_2_swapsharestartdate(B154)</f>
        <v>2019-09-30</v>
      </c>
      <c r="Z154" s="125" t="str">
        <f ca="1">[1]!cb_clause_putoption_conditionalputbackstartenddate(B154)</f>
        <v>2023-03-22</v>
      </c>
      <c r="AA154" s="230">
        <f ca="1">[1]!cb_info_maturitycallprice(B154)</f>
        <v>105</v>
      </c>
      <c r="AB154" s="230">
        <f ca="1">IF(ISNUMBER([1]!cb_info_conditionalputprice(B154)),[1]!cb_info_conditionalputprice(B154),"-")</f>
        <v>0</v>
      </c>
      <c r="AC154" s="230">
        <f ca="1">[1]!cb_info_interest(B154)</f>
        <v>0.1</v>
      </c>
      <c r="AD154" s="263" t="str">
        <f ca="1">IFERROR(couponlist([1]!cb_clause_interest(B154,"4")),"-")</f>
        <v>0.1%，0.3%，0.6%，0.8%，1.5%，2.0%</v>
      </c>
      <c r="AE154" s="129"/>
      <c r="AF154" s="129"/>
      <c r="AG154" s="129"/>
      <c r="AH154" s="129"/>
      <c r="AI154" s="129"/>
      <c r="AJ154" s="129"/>
      <c r="AK154" s="129"/>
      <c r="AL154" s="129"/>
      <c r="AM154" s="129"/>
      <c r="AN154" s="129"/>
      <c r="AO154" s="129"/>
      <c r="AP154" s="129"/>
      <c r="AQ154" s="129"/>
    </row>
    <row r="155" spans="1:43" s="191" customFormat="1" x14ac:dyDescent="0.35">
      <c r="A155" s="182" t="s">
        <v>0</v>
      </c>
      <c r="B155" s="182" t="s">
        <v>394</v>
      </c>
      <c r="C155" s="182" t="s">
        <v>395</v>
      </c>
      <c r="D155" s="235" t="str">
        <f ca="1">IF([1]!s_info_industry_sw(B155,1)=0,"-",[1]!s_info_industry_sw(B155,1))</f>
        <v>交通运输</v>
      </c>
      <c r="E155" s="183" t="str">
        <f ca="1">[1]!cb_info_underlyingcode(B155)</f>
        <v>603569.SH</v>
      </c>
      <c r="F155" s="185">
        <f ca="1">RTD("wdf.rtq",,B155,"LastPrice","Dirty_Price")</f>
        <v>107.85000000000001</v>
      </c>
      <c r="G155" s="185">
        <f ca="1">RTD("wdf.rtq",,E155,"LastPrice")</f>
        <v>7.03</v>
      </c>
      <c r="H155" s="225">
        <f ca="1">RTD("wdf.rtq",,B155,"PctChg","RT_Price")/100</f>
        <v>5.1999999999999998E-3</v>
      </c>
      <c r="I155" s="225">
        <f ca="1">RTD("wdf.rtq",,E155,"PctChg")/100</f>
        <v>1.0100000000000003E-2</v>
      </c>
      <c r="J155" s="186">
        <f ca="1">_xlfn.IFNA([1]!b_anal_ptmyear(B155,$B$2),"未发行或发行失败")</f>
        <v>3.1643835616438354</v>
      </c>
      <c r="K155" s="186">
        <f ca="1">RTD("wdf.rtq",,B155,"Amount","Dirty_Price")/100000000</f>
        <v>8.3081000000000006E-3</v>
      </c>
      <c r="L155" s="186">
        <f ca="1">[1]!cb_anal_convprice(B155,$B$2)</f>
        <v>11.04</v>
      </c>
      <c r="M155" s="186">
        <f t="shared" ca="1" si="8"/>
        <v>63.677536231884062</v>
      </c>
      <c r="N155" s="187">
        <f t="shared" ca="1" si="9"/>
        <v>69.368990042674255</v>
      </c>
      <c r="O155" s="187">
        <f t="array" aca="1" ref="O155" ca="1">_xlfn.IFNA(RTD("wdf.rtq",,B155,"LastPrice","Yield_To_Maturity"),[1]!cb_anal_ytm(B155,$C$2))</f>
        <v>3.3119000000000001</v>
      </c>
      <c r="P155" s="187">
        <f ca="1">[1]!cb_anal_straightbondvalue(B155,$B$2)</f>
        <v>106.1554</v>
      </c>
      <c r="Q155" s="187">
        <f t="shared" ca="1" si="10"/>
        <v>1.5963389521399733</v>
      </c>
      <c r="R155" s="187" t="str">
        <f ca="1">[1]!b_rate_latestcredit(B155)</f>
        <v>AA</v>
      </c>
      <c r="S155" s="187">
        <f ca="1">[1]!cb_info_outstandingbalance(B155,$B$2)</f>
        <v>6.9687599999999996</v>
      </c>
      <c r="T155" s="187">
        <f ca="1">[1]!cb_info_issueamount(B155,100000000)</f>
        <v>7</v>
      </c>
      <c r="U155" s="187">
        <f t="shared" ca="1" si="11"/>
        <v>99.553714285714278</v>
      </c>
      <c r="V155" s="240">
        <f ca="1">IF([1]!cb_anal_ldiluterate(B155,$B$2)=100,"-",[1]!cb_anal_ldiluterate(B155,$B$2))</f>
        <v>10.125637472692214</v>
      </c>
      <c r="W155" s="188" t="str">
        <f ca="1">[1]!cb_info_listeddate(B155)</f>
        <v>2018-11-30</v>
      </c>
      <c r="X155" s="188" t="str">
        <f ca="1">[1]!cb_info_carrydate(B155)</f>
        <v>2018-11-07</v>
      </c>
      <c r="Y155" s="186" t="str">
        <f ca="1">[1]!cb_clause_conversion_2_swapsharestartdate(B155)</f>
        <v>2019-05-13</v>
      </c>
      <c r="Z155" s="186" t="str">
        <f ca="1">[1]!cb_clause_putoption_conditionalputbackstartenddate(B155)</f>
        <v>2022-11-07</v>
      </c>
      <c r="AA155" s="240">
        <f ca="1">[1]!cb_info_maturitycallprice(B155)</f>
        <v>115</v>
      </c>
      <c r="AB155" s="240">
        <f ca="1">IF(ISNUMBER([1]!cb_info_conditionalputprice(B155)),[1]!cb_info_conditionalputprice(B155),"-")</f>
        <v>0</v>
      </c>
      <c r="AC155" s="240">
        <f ca="1">[1]!cb_info_interest(B155)</f>
        <v>0.5</v>
      </c>
      <c r="AD155" s="262" t="str">
        <f ca="1">IFERROR(couponlist([1]!cb_clause_interest(B155,"4")),"-")</f>
        <v>0.5%，0.8%，1.0%，1.5%，1.8%，2.0%</v>
      </c>
      <c r="AE155" s="189"/>
      <c r="AF155" s="189"/>
      <c r="AG155" s="189"/>
      <c r="AH155" s="189"/>
      <c r="AI155" s="189"/>
      <c r="AJ155" s="189"/>
      <c r="AK155" s="189"/>
      <c r="AL155" s="189"/>
      <c r="AM155" s="189"/>
      <c r="AN155" s="189"/>
      <c r="AO155" s="189"/>
      <c r="AP155" s="189"/>
      <c r="AQ155" s="189"/>
    </row>
    <row r="156" spans="1:43" s="130" customFormat="1" x14ac:dyDescent="0.35">
      <c r="A156" s="121" t="s">
        <v>0</v>
      </c>
      <c r="B156" s="121" t="s">
        <v>48</v>
      </c>
      <c r="C156" s="121" t="s">
        <v>49</v>
      </c>
      <c r="D156" s="236" t="str">
        <f ca="1">IF([1]!s_info_industry_sw(B156,1)=0,"-",[1]!s_info_industry_sw(B156,1))</f>
        <v>交通运输</v>
      </c>
      <c r="E156" s="122" t="str">
        <f ca="1">[1]!cb_info_underlyingcode(B156)</f>
        <v>603871.SH</v>
      </c>
      <c r="F156" s="124">
        <f ca="1">RTD("wdf.rtq",,B156,"LastPrice","Dirty_Price")</f>
        <v>119.76</v>
      </c>
      <c r="G156" s="124">
        <f ca="1">RTD("wdf.rtq",,E156,"LastPrice")</f>
        <v>18.16</v>
      </c>
      <c r="H156" s="226">
        <f ca="1">RTD("wdf.rtq",,B156,"PctChg","RT_Price")/100</f>
        <v>-1.2999999999999999E-3</v>
      </c>
      <c r="I156" s="226">
        <f ca="1">RTD("wdf.rtq",,E156,"PctChg")/100</f>
        <v>6.0999999999999995E-3</v>
      </c>
      <c r="J156" s="125">
        <f ca="1">_xlfn.IFNA([1]!b_anal_ptmyear(B156,$B$2),"未发行或发行失败")</f>
        <v>4.9068493150684933</v>
      </c>
      <c r="K156" s="125">
        <f ca="1">RTD("wdf.rtq",,B156,"Amount","Dirty_Price")/100000000</f>
        <v>2.439384E-2</v>
      </c>
      <c r="L156" s="125">
        <f ca="1">[1]!cb_anal_convprice(B156,$B$2)</f>
        <v>18.32</v>
      </c>
      <c r="M156" s="125">
        <f t="shared" ca="1" si="8"/>
        <v>99.126637554585145</v>
      </c>
      <c r="N156" s="126">
        <f t="shared" ca="1" si="9"/>
        <v>20.815154185022038</v>
      </c>
      <c r="O156" s="126">
        <f t="array" aca="1" ref="O156" ca="1">_xlfn.IFNA(RTD("wdf.rtq",,B156,"LastPrice","Yield_To_Maturity"),[1]!cb_anal_ytm(B156,$C$2))</f>
        <v>0.9929</v>
      </c>
      <c r="P156" s="126">
        <f ca="1">[1]!cb_anal_straightbondvalue(B156,$B$2)</f>
        <v>92.139899999999997</v>
      </c>
      <c r="Q156" s="126">
        <f t="shared" ca="1" si="10"/>
        <v>29.976264354530457</v>
      </c>
      <c r="R156" s="126" t="str">
        <f ca="1">[1]!b_rate_latestcredit(B156)</f>
        <v>AA-</v>
      </c>
      <c r="S156" s="126">
        <f ca="1">[1]!cb_info_outstandingbalance(B156,$B$2)</f>
        <v>7.1983699999999997</v>
      </c>
      <c r="T156" s="126">
        <f ca="1">[1]!cb_info_issueamount(B156,100000000)</f>
        <v>7.2</v>
      </c>
      <c r="U156" s="126">
        <f t="shared" ca="1" si="11"/>
        <v>99.977361111111108</v>
      </c>
      <c r="V156" s="230">
        <f ca="1">IF([1]!cb_anal_ldiluterate(B156,$B$2)=100,"-",[1]!cb_anal_ldiluterate(B156,$B$2))</f>
        <v>12.102571463258684</v>
      </c>
      <c r="W156" s="127" t="str">
        <f ca="1">[1]!cb_info_listeddate(B156)</f>
        <v>2020-09-07</v>
      </c>
      <c r="X156" s="127" t="str">
        <f ca="1">[1]!cb_info_carrydate(B156)</f>
        <v>2020-08-05</v>
      </c>
      <c r="Y156" s="125" t="str">
        <f ca="1">[1]!cb_clause_conversion_2_swapsharestartdate(B156)</f>
        <v>2021-02-18</v>
      </c>
      <c r="Z156" s="125" t="str">
        <f ca="1">[1]!cb_clause_putoption_conditionalputbackstartenddate(B156)</f>
        <v>2024-08-05</v>
      </c>
      <c r="AA156" s="230">
        <f ca="1">[1]!cb_info_maturitycallprice(B156)</f>
        <v>120</v>
      </c>
      <c r="AB156" s="230">
        <f ca="1">IF(ISNUMBER([1]!cb_info_conditionalputprice(B156)),[1]!cb_info_conditionalputprice(B156),"-")</f>
        <v>0</v>
      </c>
      <c r="AC156" s="230">
        <f ca="1">[1]!cb_info_interest(B156)</f>
        <v>0.4</v>
      </c>
      <c r="AD156" s="263" t="str">
        <f ca="1">IFERROR(couponlist([1]!cb_clause_interest(B156,"4")),"-")</f>
        <v>0.40%，0.60%，1.00%，1.50%，2.50%，3.00%</v>
      </c>
      <c r="AE156" s="129"/>
      <c r="AF156" s="129"/>
      <c r="AG156" s="129"/>
      <c r="AH156" s="129"/>
      <c r="AI156" s="129"/>
      <c r="AJ156" s="129"/>
      <c r="AK156" s="129"/>
      <c r="AL156" s="129"/>
      <c r="AM156" s="129"/>
      <c r="AN156" s="129"/>
      <c r="AO156" s="129"/>
      <c r="AP156" s="129"/>
      <c r="AQ156" s="129"/>
    </row>
    <row r="157" spans="1:43" s="191" customFormat="1" x14ac:dyDescent="0.35">
      <c r="A157" s="182" t="s">
        <v>5</v>
      </c>
      <c r="B157" s="182" t="s">
        <v>1761</v>
      </c>
      <c r="C157" s="182" t="s">
        <v>1762</v>
      </c>
      <c r="D157" s="235" t="str">
        <f ca="1">IF([1]!s_info_industry_sw(B157,1)=0,"-",[1]!s_info_industry_sw(B157,1))</f>
        <v>交通运输</v>
      </c>
      <c r="E157" s="183" t="str">
        <f ca="1">[1]!cb_info_underlyingcode(B157)</f>
        <v>000582.SZ</v>
      </c>
      <c r="F157" s="185">
        <f ca="1">RTD("wdf.rtq",,B157,"LastPrice","Dirty_Price")</f>
        <v>120.79</v>
      </c>
      <c r="G157" s="185">
        <f ca="1">RTD("wdf.rtq",,E157,"LastPrice")</f>
        <v>8.27</v>
      </c>
      <c r="H157" s="225">
        <f ca="1">RTD("wdf.rtq",,B157,"PctChg","RT_Price")/100</f>
        <v>2.4000000000000002E-3</v>
      </c>
      <c r="I157" s="225">
        <f ca="1">RTD("wdf.rtq",,E157,"PctChg")/100</f>
        <v>-1.2000000000000001E-3</v>
      </c>
      <c r="J157" s="186">
        <f ca="1">_xlfn.IFNA([1]!b_anal_ptmyear(B157,$B$2),"未发行或发行失败")</f>
        <v>5.8054794520547945</v>
      </c>
      <c r="K157" s="186">
        <f ca="1">RTD("wdf.rtq",,B157,"Amount","Dirty_Price")/100000000</f>
        <v>0.10166881</v>
      </c>
      <c r="L157" s="186">
        <f ca="1">[1]!cb_anal_convprice(B157,$B$2)</f>
        <v>8.35</v>
      </c>
      <c r="M157" s="186">
        <f t="shared" ca="1" si="8"/>
        <v>99.041916167664681</v>
      </c>
      <c r="N157" s="187">
        <f t="shared" ca="1" si="9"/>
        <v>21.958464328899623</v>
      </c>
      <c r="O157" s="187">
        <f t="array" aca="1" ref="O157" ca="1">_xlfn.IFNA(RTD("wdf.rtq",,B157,"LastPrice","Yield_To_Maturity"),[1]!cb_anal_ytm(B157,$C$2))</f>
        <v>-1.1605000000000001</v>
      </c>
      <c r="P157" s="187">
        <f ca="1">[1]!cb_anal_straightbondvalue(B157,$B$2)</f>
        <v>92.618799999999993</v>
      </c>
      <c r="Q157" s="187">
        <f t="shared" ca="1" si="10"/>
        <v>30.416286974134863</v>
      </c>
      <c r="R157" s="187" t="str">
        <f ca="1">[1]!b_rate_latestcredit(B157)</f>
        <v>AAA</v>
      </c>
      <c r="S157" s="187">
        <f ca="1">[1]!cb_info_outstandingbalance(B157,$B$2)</f>
        <v>30</v>
      </c>
      <c r="T157" s="187">
        <f ca="1">[1]!cb_info_issueamount(B157,100000000)</f>
        <v>30</v>
      </c>
      <c r="U157" s="187">
        <f t="shared" ca="1" si="11"/>
        <v>100</v>
      </c>
      <c r="V157" s="240">
        <f ca="1">IF([1]!cb_anal_ldiluterate(B157,$B$2)=100,"-",[1]!cb_anal_ldiluterate(B157,$B$2))</f>
        <v>22.094671158194878</v>
      </c>
      <c r="W157" s="188" t="str">
        <f ca="1">[1]!cb_info_listeddate(B157)</f>
        <v>2021-07-23</v>
      </c>
      <c r="X157" s="188" t="str">
        <f ca="1">[1]!cb_info_carrydate(B157)</f>
        <v>2021-06-29</v>
      </c>
      <c r="Y157" s="186" t="str">
        <f ca="1">[1]!cb_clause_conversion_2_swapsharestartdate(B157)</f>
        <v>2022-01-05</v>
      </c>
      <c r="Z157" s="186" t="str">
        <f ca="1">[1]!cb_clause_putoption_conditionalputbackstartenddate(B157)</f>
        <v>2025-06-29</v>
      </c>
      <c r="AA157" s="240">
        <f ca="1">[1]!cb_info_maturitycallprice(B157)</f>
        <v>108</v>
      </c>
      <c r="AB157" s="240">
        <f ca="1">IF(ISNUMBER([1]!cb_info_conditionalputprice(B157)),[1]!cb_info_conditionalputprice(B157),"-")</f>
        <v>0</v>
      </c>
      <c r="AC157" s="240">
        <f ca="1">[1]!cb_info_interest(B157)</f>
        <v>0.2</v>
      </c>
      <c r="AD157" s="262" t="str">
        <f ca="1">IFERROR(couponlist([1]!cb_clause_interest(B157,"4")),"-")</f>
        <v>0.20%，0.50%，1.00%，1.50%，1.80%，2.00%</v>
      </c>
      <c r="AE157" s="189"/>
      <c r="AF157" s="189"/>
      <c r="AG157" s="189"/>
      <c r="AH157" s="189"/>
      <c r="AI157" s="189"/>
      <c r="AJ157" s="189"/>
      <c r="AK157" s="189"/>
      <c r="AL157" s="189"/>
      <c r="AM157" s="189"/>
      <c r="AN157" s="189"/>
      <c r="AO157" s="189"/>
      <c r="AP157" s="189"/>
      <c r="AQ157" s="189"/>
    </row>
    <row r="158" spans="1:43" s="130" customFormat="1" x14ac:dyDescent="0.35">
      <c r="A158" s="121" t="s">
        <v>5</v>
      </c>
      <c r="B158" s="121" t="s">
        <v>84</v>
      </c>
      <c r="C158" s="121" t="s">
        <v>85</v>
      </c>
      <c r="D158" s="236" t="str">
        <f ca="1">IF([1]!s_info_industry_sw(B158,1)=0,"-",[1]!s_info_industry_sw(B158,1))</f>
        <v>交通运输</v>
      </c>
      <c r="E158" s="122" t="str">
        <f ca="1">[1]!cb_info_underlyingcode(B158)</f>
        <v>002930.SZ</v>
      </c>
      <c r="F158" s="124">
        <f ca="1">RTD("wdf.rtq",,B158,"LastPrice","Dirty_Price")</f>
        <v>119.52300000000001</v>
      </c>
      <c r="G158" s="124">
        <f ca="1">RTD("wdf.rtq",,E158,"LastPrice")</f>
        <v>17.88</v>
      </c>
      <c r="H158" s="226">
        <f ca="1">RTD("wdf.rtq",,B158,"PctChg","RT_Price")/100</f>
        <v>1.72E-2</v>
      </c>
      <c r="I158" s="226">
        <f ca="1">RTD("wdf.rtq",,E158,"PctChg")/100</f>
        <v>4.99E-2</v>
      </c>
      <c r="J158" s="125">
        <f ca="1">_xlfn.IFNA([1]!b_anal_ptmyear(B158,$B$2),"未发行或发行失败")</f>
        <v>4.8547945205479452</v>
      </c>
      <c r="K158" s="125">
        <f ca="1">RTD("wdf.rtq",,B158,"Amount","Dirty_Price")/100000000</f>
        <v>8.0810320000000005E-2</v>
      </c>
      <c r="L158" s="125">
        <f ca="1">[1]!cb_anal_convprice(B158,$B$2)</f>
        <v>19.920000000000002</v>
      </c>
      <c r="M158" s="125">
        <f t="shared" ca="1" si="8"/>
        <v>89.759036144578303</v>
      </c>
      <c r="N158" s="126">
        <f t="shared" ca="1" si="9"/>
        <v>33.159852348993326</v>
      </c>
      <c r="O158" s="126">
        <f t="array" aca="1" ref="O158" ca="1">_xlfn.IFNA(RTD("wdf.rtq",,B158,"LastPrice","Yield_To_Maturity"),[1]!cb_anal_ytm(B158,$C$2))</f>
        <v>-1.1890000000000001</v>
      </c>
      <c r="P158" s="126">
        <f ca="1">[1]!cb_anal_straightbondvalue(B158,$B$2)</f>
        <v>83.123999999999995</v>
      </c>
      <c r="Q158" s="126">
        <f t="shared" ca="1" si="10"/>
        <v>43.788797459217562</v>
      </c>
      <c r="R158" s="126" t="str">
        <f ca="1">[1]!b_rate_latestcredit(B158)</f>
        <v>AA-</v>
      </c>
      <c r="S158" s="126">
        <f ca="1">[1]!cb_info_outstandingbalance(B158,$B$2)</f>
        <v>6.6989809999999999</v>
      </c>
      <c r="T158" s="126">
        <f ca="1">[1]!cb_info_issueamount(B158,100000000)</f>
        <v>6.7</v>
      </c>
      <c r="U158" s="126">
        <f t="shared" ca="1" si="11"/>
        <v>99.984791044776117</v>
      </c>
      <c r="V158" s="230">
        <f ca="1">IF([1]!cb_anal_ldiluterate(B158,$B$2)=100,"-",[1]!cb_anal_ldiluterate(B158,$B$2))</f>
        <v>7.2700768509669178</v>
      </c>
      <c r="W158" s="127" t="str">
        <f ca="1">[1]!cb_info_listeddate(B158)</f>
        <v>2020-08-07</v>
      </c>
      <c r="X158" s="127" t="str">
        <f ca="1">[1]!cb_info_carrydate(B158)</f>
        <v>2020-07-17</v>
      </c>
      <c r="Y158" s="125" t="str">
        <f ca="1">[1]!cb_clause_conversion_2_swapsharestartdate(B158)</f>
        <v>2021-01-25</v>
      </c>
      <c r="Z158" s="125" t="str">
        <f ca="1">[1]!cb_clause_putoption_conditionalputbackstartenddate(B158)</f>
        <v>2024-07-17</v>
      </c>
      <c r="AA158" s="230">
        <f ca="1">[1]!cb_info_maturitycallprice(B158)</f>
        <v>108</v>
      </c>
      <c r="AB158" s="230">
        <f ca="1">IF(ISNUMBER([1]!cb_info_conditionalputprice(B158)),[1]!cb_info_conditionalputprice(B158),"-")</f>
        <v>0</v>
      </c>
      <c r="AC158" s="230">
        <f ca="1">[1]!cb_info_interest(B158)</f>
        <v>0.4</v>
      </c>
      <c r="AD158" s="263" t="str">
        <f ca="1">IFERROR(couponlist([1]!cb_clause_interest(B158,"4")),"-")</f>
        <v>0.4%，0.6%，1.0%，1.5%，1.8%，2.0%</v>
      </c>
      <c r="AE158" s="129"/>
      <c r="AF158" s="129"/>
      <c r="AG158" s="129"/>
      <c r="AH158" s="129"/>
      <c r="AI158" s="129"/>
      <c r="AJ158" s="129"/>
      <c r="AK158" s="129"/>
      <c r="AL158" s="129"/>
      <c r="AM158" s="129"/>
      <c r="AN158" s="129"/>
      <c r="AO158" s="129"/>
      <c r="AP158" s="129"/>
      <c r="AQ158" s="129"/>
    </row>
    <row r="159" spans="1:43" s="191" customFormat="1" x14ac:dyDescent="0.35">
      <c r="A159" s="182" t="s">
        <v>5</v>
      </c>
      <c r="B159" s="182" t="s">
        <v>927</v>
      </c>
      <c r="C159" s="182" t="s">
        <v>928</v>
      </c>
      <c r="D159" s="235" t="str">
        <f ca="1">IF([1]!s_info_industry_sw(B159,1)=0,"-",[1]!s_info_industry_sw(B159,1))</f>
        <v>建筑装饰</v>
      </c>
      <c r="E159" s="183" t="str">
        <f ca="1">[1]!cb_info_underlyingcode(B159)</f>
        <v>000928.SZ</v>
      </c>
      <c r="F159" s="185">
        <f ca="1">RTD("wdf.rtq",,B159,"LastPrice","Dirty_Price")</f>
        <v>192.74100000000001</v>
      </c>
      <c r="G159" s="185">
        <f ca="1">RTD("wdf.rtq",,E159,"LastPrice")</f>
        <v>11.47</v>
      </c>
      <c r="H159" s="225">
        <f ca="1">RTD("wdf.rtq",,B159,"PctChg","RT_Price")/100</f>
        <v>-1.29E-2</v>
      </c>
      <c r="I159" s="225">
        <f ca="1">RTD("wdf.rtq",,E159,"PctChg")/100</f>
        <v>-1.8800000000000001E-2</v>
      </c>
      <c r="J159" s="186">
        <f ca="1">_xlfn.IFNA([1]!b_anal_ptmyear(B159,$B$2),"未发行或发行失败")</f>
        <v>5.5260273972602736</v>
      </c>
      <c r="K159" s="186">
        <f ca="1">RTD("wdf.rtq",,B159,"Amount","Dirty_Price")/100000000</f>
        <v>2.1314997099999999</v>
      </c>
      <c r="L159" s="186">
        <f ca="1">[1]!cb_anal_convprice(B159,$B$2)</f>
        <v>5.89</v>
      </c>
      <c r="M159" s="186">
        <f t="shared" ca="1" si="8"/>
        <v>194.73684210526318</v>
      </c>
      <c r="N159" s="187">
        <f t="shared" ca="1" si="9"/>
        <v>-1.0248918918918974</v>
      </c>
      <c r="O159" s="187">
        <f t="array" aca="1" ref="O159" ca="1">_xlfn.IFNA(RTD("wdf.rtq",,B159,"LastPrice","Yield_To_Maturity"),[1]!cb_anal_ytm(B159,$C$2))</f>
        <v>-8.6715</v>
      </c>
      <c r="P159" s="187">
        <f ca="1">[1]!cb_anal_straightbondvalue(B159,$B$2)</f>
        <v>96.26</v>
      </c>
      <c r="Q159" s="187">
        <f t="shared" ca="1" si="10"/>
        <v>100.22958653646376</v>
      </c>
      <c r="R159" s="187" t="str">
        <f ca="1">[1]!b_rate_latestcredit(B159)</f>
        <v>AA+</v>
      </c>
      <c r="S159" s="187">
        <f ca="1">[1]!cb_info_outstandingbalance(B159,$B$2)</f>
        <v>9.6</v>
      </c>
      <c r="T159" s="187">
        <f ca="1">[1]!cb_info_issueamount(B159,100000000)</f>
        <v>9.6</v>
      </c>
      <c r="U159" s="187">
        <f t="shared" ca="1" si="11"/>
        <v>100</v>
      </c>
      <c r="V159" s="240">
        <f ca="1">IF([1]!cb_anal_ldiluterate(B159,$B$2)=100,"-",[1]!cb_anal_ldiluterate(B159,$B$2))</f>
        <v>11.481109861529632</v>
      </c>
      <c r="W159" s="188" t="str">
        <f ca="1">[1]!cb_info_listeddate(B159)</f>
        <v>2021-04-23</v>
      </c>
      <c r="X159" s="188" t="str">
        <f ca="1">[1]!cb_info_carrydate(B159)</f>
        <v>2021-03-19</v>
      </c>
      <c r="Y159" s="186" t="str">
        <f ca="1">[1]!cb_clause_conversion_2_swapsharestartdate(B159)</f>
        <v>2021-09-27</v>
      </c>
      <c r="Z159" s="186" t="str">
        <f ca="1">[1]!cb_clause_putoption_conditionalputbackstartenddate(B159)</f>
        <v>2025-03-19</v>
      </c>
      <c r="AA159" s="240">
        <f ca="1">[1]!cb_info_maturitycallprice(B159)</f>
        <v>113</v>
      </c>
      <c r="AB159" s="240">
        <f ca="1">IF(ISNUMBER([1]!cb_info_conditionalputprice(B159)),[1]!cb_info_conditionalputprice(B159),"-")</f>
        <v>0</v>
      </c>
      <c r="AC159" s="240">
        <f ca="1">[1]!cb_info_interest(B159)</f>
        <v>0.2</v>
      </c>
      <c r="AD159" s="262" t="str">
        <f ca="1">IFERROR(couponlist([1]!cb_clause_interest(B159,"4")),"-")</f>
        <v>0.20%，0.40%，0.60%，1.50%，1.80%，2.00%</v>
      </c>
      <c r="AE159" s="189"/>
      <c r="AF159" s="189"/>
      <c r="AG159" s="189"/>
      <c r="AH159" s="189"/>
      <c r="AI159" s="189"/>
      <c r="AJ159" s="189"/>
      <c r="AK159" s="189"/>
      <c r="AL159" s="189"/>
      <c r="AM159" s="189"/>
      <c r="AN159" s="189"/>
      <c r="AO159" s="189"/>
      <c r="AP159" s="189"/>
      <c r="AQ159" s="189"/>
    </row>
    <row r="160" spans="1:43" s="130" customFormat="1" x14ac:dyDescent="0.35">
      <c r="A160" s="121" t="s">
        <v>5</v>
      </c>
      <c r="B160" s="121" t="s">
        <v>36</v>
      </c>
      <c r="C160" s="121" t="s">
        <v>37</v>
      </c>
      <c r="D160" s="236" t="str">
        <f ca="1">IF([1]!s_info_industry_sw(B160,1)=0,"-",[1]!s_info_industry_sw(B160,1))</f>
        <v>建筑装饰</v>
      </c>
      <c r="E160" s="122" t="str">
        <f ca="1">[1]!cb_info_underlyingcode(B160)</f>
        <v>002775.SZ</v>
      </c>
      <c r="F160" s="124">
        <f ca="1">RTD("wdf.rtq",,B160,"LastPrice","Dirty_Price")</f>
        <v>105.38300000000001</v>
      </c>
      <c r="G160" s="124">
        <f ca="1">RTD("wdf.rtq",,E160,"LastPrice")</f>
        <v>4.26</v>
      </c>
      <c r="H160" s="226">
        <f ca="1">RTD("wdf.rtq",,B160,"PctChg","RT_Price")/100</f>
        <v>1.3800000000000002E-2</v>
      </c>
      <c r="I160" s="226">
        <f ca="1">RTD("wdf.rtq",,E160,"PctChg")/100</f>
        <v>1.43E-2</v>
      </c>
      <c r="J160" s="125">
        <f ca="1">_xlfn.IFNA([1]!b_anal_ptmyear(B160,$B$2),"未发行或发行失败")</f>
        <v>4.9479452054794519</v>
      </c>
      <c r="K160" s="125">
        <f ca="1">RTD("wdf.rtq",,B160,"Amount","Dirty_Price")/100000000</f>
        <v>0.24406839</v>
      </c>
      <c r="L160" s="125">
        <f ca="1">[1]!cb_anal_convprice(B160,$B$2)</f>
        <v>4.88</v>
      </c>
      <c r="M160" s="125">
        <f t="shared" ca="1" si="8"/>
        <v>87.295081967213122</v>
      </c>
      <c r="N160" s="126">
        <f t="shared" ca="1" si="9"/>
        <v>20.720431924882632</v>
      </c>
      <c r="O160" s="126">
        <f t="array" aca="1" ref="O160" ca="1">_xlfn.IFNA(RTD("wdf.rtq",,B160,"LastPrice","Yield_To_Maturity"),[1]!cb_anal_ytm(B160,$C$2))</f>
        <v>2.8566000000000003</v>
      </c>
      <c r="P160" s="126">
        <f ca="1">[1]!cb_anal_straightbondvalue(B160,$B$2)</f>
        <v>88.386399999999995</v>
      </c>
      <c r="Q160" s="126">
        <f t="shared" ca="1" si="10"/>
        <v>19.229881520233903</v>
      </c>
      <c r="R160" s="126" t="str">
        <f ca="1">[1]!b_rate_latestcredit(B160)</f>
        <v>AA-</v>
      </c>
      <c r="S160" s="126">
        <f ca="1">[1]!cb_info_outstandingbalance(B160,$B$2)</f>
        <v>9.4979610000000001</v>
      </c>
      <c r="T160" s="126">
        <f ca="1">[1]!cb_info_issueamount(B160,100000000)</f>
        <v>9.5</v>
      </c>
      <c r="U160" s="126">
        <f t="shared" ca="1" si="11"/>
        <v>99.978536842105271</v>
      </c>
      <c r="V160" s="230">
        <f ca="1">IF([1]!cb_anal_ldiluterate(B160,$B$2)=100,"-",[1]!cb_anal_ldiluterate(B160,$B$2))</f>
        <v>30.376688632430753</v>
      </c>
      <c r="W160" s="127" t="str">
        <f ca="1">[1]!cb_info_listeddate(B160)</f>
        <v>2020-09-11</v>
      </c>
      <c r="X160" s="127" t="str">
        <f ca="1">[1]!cb_info_carrydate(B160)</f>
        <v>2020-08-20</v>
      </c>
      <c r="Y160" s="125" t="str">
        <f ca="1">[1]!cb_clause_conversion_2_swapsharestartdate(B160)</f>
        <v>2021-03-01</v>
      </c>
      <c r="Z160" s="125" t="str">
        <f ca="1">[1]!cb_clause_putoption_conditionalputbackstartenddate(B160)</f>
        <v>2024-08-20</v>
      </c>
      <c r="AA160" s="230">
        <f ca="1">[1]!cb_info_maturitycallprice(B160)</f>
        <v>115</v>
      </c>
      <c r="AB160" s="230">
        <f ca="1">IF(ISNUMBER([1]!cb_info_conditionalputprice(B160)),[1]!cb_info_conditionalputprice(B160),"-")</f>
        <v>0</v>
      </c>
      <c r="AC160" s="230">
        <f ca="1">[1]!cb_info_interest(B160)</f>
        <v>0.5</v>
      </c>
      <c r="AD160" s="263" t="str">
        <f ca="1">IFERROR(couponlist([1]!cb_clause_interest(B160,"4")),"-")</f>
        <v>0.5%，0.8%，1.0%，1.5%，2.5%，3.5%</v>
      </c>
      <c r="AE160" s="129"/>
      <c r="AF160" s="129"/>
      <c r="AG160" s="129"/>
      <c r="AH160" s="129"/>
      <c r="AI160" s="129"/>
      <c r="AJ160" s="129"/>
      <c r="AK160" s="129"/>
      <c r="AL160" s="129"/>
      <c r="AM160" s="129"/>
      <c r="AN160" s="129"/>
      <c r="AO160" s="129"/>
      <c r="AP160" s="129"/>
      <c r="AQ160" s="129"/>
    </row>
    <row r="161" spans="1:43" s="191" customFormat="1" x14ac:dyDescent="0.35">
      <c r="A161" s="182" t="s">
        <v>0</v>
      </c>
      <c r="B161" s="182" t="s">
        <v>96</v>
      </c>
      <c r="C161" s="182" t="s">
        <v>97</v>
      </c>
      <c r="D161" s="235" t="str">
        <f ca="1">IF([1]!s_info_industry_sw(B161,1)=0,"-",[1]!s_info_industry_sw(B161,1))</f>
        <v>建筑装饰</v>
      </c>
      <c r="E161" s="183" t="str">
        <f ca="1">[1]!cb_info_underlyingcode(B161)</f>
        <v>601789.SH</v>
      </c>
      <c r="F161" s="185">
        <f ca="1">RTD("wdf.rtq",,B161,"LastPrice","Dirty_Price")</f>
        <v>110.88000000000001</v>
      </c>
      <c r="G161" s="185">
        <f ca="1">RTD("wdf.rtq",,E161,"LastPrice")</f>
        <v>4.04</v>
      </c>
      <c r="H161" s="225">
        <f ca="1">RTD("wdf.rtq",,B161,"PctChg","RT_Price")/100</f>
        <v>5.5000000000000005E-3</v>
      </c>
      <c r="I161" s="225">
        <f ca="1">RTD("wdf.rtq",,E161,"PctChg")/100</f>
        <v>2.0200000000000006E-2</v>
      </c>
      <c r="J161" s="186">
        <f ca="1">_xlfn.IFNA([1]!b_anal_ptmyear(B161,$B$2),"未发行或发行失败")</f>
        <v>4.8246575342465752</v>
      </c>
      <c r="K161" s="186">
        <f ca="1">RTD("wdf.rtq",,B161,"Amount","Dirty_Price")/100000000</f>
        <v>6.9499409999999998E-2</v>
      </c>
      <c r="L161" s="186">
        <f ca="1">[1]!cb_anal_convprice(B161,$B$2)</f>
        <v>4.76</v>
      </c>
      <c r="M161" s="186">
        <f t="shared" ca="1" si="8"/>
        <v>84.87394957983193</v>
      </c>
      <c r="N161" s="187">
        <f t="shared" ca="1" si="9"/>
        <v>30.640792079207955</v>
      </c>
      <c r="O161" s="187">
        <f t="array" aca="1" ref="O161" ca="1">_xlfn.IFNA(RTD("wdf.rtq",,B161,"LastPrice","Yield_To_Maturity"),[1]!cb_anal_ytm(B161,$C$2))</f>
        <v>1.1226</v>
      </c>
      <c r="P161" s="187">
        <f ca="1">[1]!cb_anal_straightbondvalue(B161,$B$2)</f>
        <v>95.764399999999995</v>
      </c>
      <c r="Q161" s="187">
        <f t="shared" ca="1" si="10"/>
        <v>15.784153610318683</v>
      </c>
      <c r="R161" s="187" t="str">
        <f ca="1">[1]!b_rate_latestcredit(B161)</f>
        <v>AA</v>
      </c>
      <c r="S161" s="187">
        <f ca="1">[1]!cb_info_outstandingbalance(B161,$B$2)</f>
        <v>5.3994600000000004</v>
      </c>
      <c r="T161" s="187">
        <f ca="1">[1]!cb_info_issueamount(B161,100000000)</f>
        <v>5.4</v>
      </c>
      <c r="U161" s="187">
        <f t="shared" ca="1" si="11"/>
        <v>99.99</v>
      </c>
      <c r="V161" s="240">
        <f ca="1">IF([1]!cb_anal_ldiluterate(B161,$B$2)=100,"-",[1]!cb_anal_ldiluterate(B161,$B$2))</f>
        <v>10.411424012845011</v>
      </c>
      <c r="W161" s="188" t="str">
        <f ca="1">[1]!cb_info_listeddate(B161)</f>
        <v>2020-08-06</v>
      </c>
      <c r="X161" s="188" t="str">
        <f ca="1">[1]!cb_info_carrydate(B161)</f>
        <v>2020-07-06</v>
      </c>
      <c r="Y161" s="186" t="str">
        <f ca="1">[1]!cb_clause_conversion_2_swapsharestartdate(B161)</f>
        <v>2021-01-11</v>
      </c>
      <c r="Z161" s="186" t="str">
        <f ca="1">[1]!cb_clause_putoption_conditionalputbackstartenddate(B161)</f>
        <v>2024-07-06</v>
      </c>
      <c r="AA161" s="240">
        <f ca="1">[1]!cb_info_maturitycallprice(B161)</f>
        <v>112</v>
      </c>
      <c r="AB161" s="240">
        <f ca="1">IF(ISNUMBER([1]!cb_info_conditionalputprice(B161)),[1]!cb_info_conditionalputprice(B161),"-")</f>
        <v>0</v>
      </c>
      <c r="AC161" s="240">
        <f ca="1">[1]!cb_info_interest(B161)</f>
        <v>0.4</v>
      </c>
      <c r="AD161" s="262" t="str">
        <f ca="1">IFERROR(couponlist([1]!cb_clause_interest(B161,"4")),"-")</f>
        <v>0.4%，0.6%，1.0%，1.5%，1.8%，2.0%</v>
      </c>
      <c r="AE161" s="189"/>
      <c r="AF161" s="189"/>
      <c r="AG161" s="189"/>
      <c r="AH161" s="189"/>
      <c r="AI161" s="189"/>
      <c r="AJ161" s="189"/>
      <c r="AK161" s="189"/>
      <c r="AL161" s="189"/>
      <c r="AM161" s="189"/>
      <c r="AN161" s="189"/>
      <c r="AO161" s="189"/>
      <c r="AP161" s="189"/>
      <c r="AQ161" s="189"/>
    </row>
    <row r="162" spans="1:43" s="130" customFormat="1" x14ac:dyDescent="0.35">
      <c r="A162" s="121" t="s">
        <v>0</v>
      </c>
      <c r="B162" s="121" t="s">
        <v>58</v>
      </c>
      <c r="C162" s="121" t="s">
        <v>59</v>
      </c>
      <c r="D162" s="236" t="str">
        <f ca="1">IF([1]!s_info_industry_sw(B162,1)=0,"-",[1]!s_info_industry_sw(B162,1))</f>
        <v>建筑装饰</v>
      </c>
      <c r="E162" s="122" t="str">
        <f ca="1">[1]!cb_info_underlyingcode(B162)</f>
        <v>603887.SH</v>
      </c>
      <c r="F162" s="124">
        <f ca="1">RTD("wdf.rtq",,B162,"LastPrice","Dirty_Price")</f>
        <v>99.63000000000001</v>
      </c>
      <c r="G162" s="124">
        <f ca="1">RTD("wdf.rtq",,E162,"LastPrice")</f>
        <v>8.68</v>
      </c>
      <c r="H162" s="226">
        <f ca="1">RTD("wdf.rtq",,B162,"PctChg","RT_Price")/100</f>
        <v>1.1600000000000001E-2</v>
      </c>
      <c r="I162" s="226">
        <f ca="1">RTD("wdf.rtq",,E162,"PctChg")/100</f>
        <v>1.2000000000000001E-3</v>
      </c>
      <c r="J162" s="125">
        <f ca="1">_xlfn.IFNA([1]!b_anal_ptmyear(B162,$B$2),"未发行或发行失败")</f>
        <v>4.8849315068493153</v>
      </c>
      <c r="K162" s="125">
        <f ca="1">RTD("wdf.rtq",,B162,"Amount","Dirty_Price")/100000000</f>
        <v>0.14252772999999999</v>
      </c>
      <c r="L162" s="125">
        <f ca="1">[1]!cb_anal_convprice(B162,$B$2)</f>
        <v>24.26</v>
      </c>
      <c r="M162" s="125">
        <f t="shared" ca="1" si="8"/>
        <v>35.779060181368507</v>
      </c>
      <c r="N162" s="126">
        <f t="shared" ca="1" si="9"/>
        <v>178.45896313364062</v>
      </c>
      <c r="O162" s="126">
        <f t="array" aca="1" ref="O162" ca="1">_xlfn.IFNA(RTD("wdf.rtq",,B162,"LastPrice","Yield_To_Maturity"),[1]!cb_anal_ytm(B162,$C$2))</f>
        <v>2.6828000000000003</v>
      </c>
      <c r="P162" s="126">
        <f ca="1">[1]!cb_anal_straightbondvalue(B162,$B$2)</f>
        <v>83.120500000000007</v>
      </c>
      <c r="Q162" s="126">
        <f t="shared" ca="1" si="10"/>
        <v>19.862127874591721</v>
      </c>
      <c r="R162" s="126" t="str">
        <f ca="1">[1]!b_rate_latestcredit(B162)</f>
        <v>AA-</v>
      </c>
      <c r="S162" s="126">
        <f ca="1">[1]!cb_info_outstandingbalance(B162,$B$2)</f>
        <v>11.997669999999999</v>
      </c>
      <c r="T162" s="126">
        <f ca="1">[1]!cb_info_issueamount(B162,100000000)</f>
        <v>12</v>
      </c>
      <c r="U162" s="126">
        <f t="shared" ca="1" si="11"/>
        <v>99.980583333333314</v>
      </c>
      <c r="V162" s="230">
        <f ca="1">IF([1]!cb_anal_ldiluterate(B162,$B$2)=100,"-",[1]!cb_anal_ldiluterate(B162,$B$2))</f>
        <v>12.259539275205587</v>
      </c>
      <c r="W162" s="127" t="str">
        <f ca="1">[1]!cb_info_listeddate(B162)</f>
        <v>2020-08-20</v>
      </c>
      <c r="X162" s="127" t="str">
        <f ca="1">[1]!cb_info_carrydate(B162)</f>
        <v>2020-07-28</v>
      </c>
      <c r="Y162" s="125" t="str">
        <f ca="1">[1]!cb_clause_conversion_2_swapsharestartdate(B162)</f>
        <v>2021-02-04</v>
      </c>
      <c r="Z162" s="125" t="str">
        <f ca="1">[1]!cb_clause_putoption_conditionalputbackstartenddate(B162)</f>
        <v>2024-07-28</v>
      </c>
      <c r="AA162" s="230">
        <f ca="1">[1]!cb_info_maturitycallprice(B162)</f>
        <v>108</v>
      </c>
      <c r="AB162" s="230">
        <f ca="1">IF(ISNUMBER([1]!cb_info_conditionalputprice(B162)),[1]!cb_info_conditionalputprice(B162),"-")</f>
        <v>0</v>
      </c>
      <c r="AC162" s="230">
        <f ca="1">[1]!cb_info_interest(B162)</f>
        <v>0.4</v>
      </c>
      <c r="AD162" s="263" t="str">
        <f ca="1">IFERROR(couponlist([1]!cb_clause_interest(B162,"4")),"-")</f>
        <v>0.4%，0.6%，1.0%，1.5%，2.0%，3.0%</v>
      </c>
      <c r="AE162" s="129"/>
      <c r="AF162" s="129"/>
      <c r="AG162" s="129"/>
      <c r="AH162" s="129"/>
      <c r="AI162" s="129"/>
      <c r="AJ162" s="129"/>
      <c r="AK162" s="129"/>
      <c r="AL162" s="129"/>
      <c r="AM162" s="129"/>
      <c r="AN162" s="129"/>
      <c r="AO162" s="129"/>
      <c r="AP162" s="129"/>
      <c r="AQ162" s="129"/>
    </row>
    <row r="163" spans="1:43" s="191" customFormat="1" x14ac:dyDescent="0.35">
      <c r="A163" s="182" t="s">
        <v>0</v>
      </c>
      <c r="B163" s="182" t="s">
        <v>74</v>
      </c>
      <c r="C163" s="182" t="s">
        <v>75</v>
      </c>
      <c r="D163" s="235" t="str">
        <f ca="1">IF([1]!s_info_industry_sw(B163,1)=0,"-",[1]!s_info_industry_sw(B163,1))</f>
        <v>建筑装饰</v>
      </c>
      <c r="E163" s="183" t="str">
        <f ca="1">[1]!cb_info_underlyingcode(B163)</f>
        <v>603007.SH</v>
      </c>
      <c r="F163" s="185">
        <f ca="1">RTD("wdf.rtq",,B163,"LastPrice","Dirty_Price")</f>
        <v>96.08</v>
      </c>
      <c r="G163" s="185">
        <f ca="1">RTD("wdf.rtq",,E163,"LastPrice")</f>
        <v>3.4</v>
      </c>
      <c r="H163" s="225">
        <f ca="1">RTD("wdf.rtq",,B163,"PctChg","RT_Price")/100</f>
        <v>1.6900000000000002E-2</v>
      </c>
      <c r="I163" s="225">
        <f ca="1">RTD("wdf.rtq",,E163,"PctChg")/100</f>
        <v>3.3399999999999999E-2</v>
      </c>
      <c r="J163" s="186">
        <f ca="1">_xlfn.IFNA([1]!b_anal_ptmyear(B163,$B$2),"未发行或发行失败")</f>
        <v>4.8657534246575338</v>
      </c>
      <c r="K163" s="186">
        <f ca="1">RTD("wdf.rtq",,B163,"Amount","Dirty_Price")/100000000</f>
        <v>0.10373219</v>
      </c>
      <c r="L163" s="186">
        <f ca="1">[1]!cb_anal_convprice(B163,$B$2)</f>
        <v>6.92</v>
      </c>
      <c r="M163" s="186">
        <f t="shared" ca="1" si="8"/>
        <v>49.132947976878611</v>
      </c>
      <c r="N163" s="187">
        <f t="shared" ca="1" si="9"/>
        <v>95.551058823529416</v>
      </c>
      <c r="O163" s="187">
        <f t="array" aca="1" ref="O163" ca="1">_xlfn.IFNA(RTD("wdf.rtq",,B163,"LastPrice","Yield_To_Maturity"),[1]!cb_anal_ytm(B163,$C$2))</f>
        <v>5.6417000000000002</v>
      </c>
      <c r="P163" s="187">
        <f ca="1">[1]!cb_anal_straightbondvalue(B163,$B$2)</f>
        <v>62.485500000000002</v>
      </c>
      <c r="Q163" s="187">
        <f t="shared" ca="1" si="10"/>
        <v>53.763673172175942</v>
      </c>
      <c r="R163" s="187" t="str">
        <f ca="1">[1]!b_rate_latestcredit(B163)</f>
        <v>BBB+</v>
      </c>
      <c r="S163" s="187">
        <f ca="1">[1]!cb_info_outstandingbalance(B163,$B$2)</f>
        <v>3.2990599999999999</v>
      </c>
      <c r="T163" s="187">
        <f ca="1">[1]!cb_info_issueamount(B163,100000000)</f>
        <v>3.3</v>
      </c>
      <c r="U163" s="187">
        <f t="shared" ca="1" si="11"/>
        <v>99.971515151515163</v>
      </c>
      <c r="V163" s="240">
        <f ca="1">IF([1]!cb_anal_ldiluterate(B163,$B$2)=100,"-",[1]!cb_anal_ldiluterate(B163,$B$2))</f>
        <v>12.511287618940878</v>
      </c>
      <c r="W163" s="188" t="str">
        <f ca="1">[1]!cb_info_listeddate(B163)</f>
        <v>2020-08-18</v>
      </c>
      <c r="X163" s="188" t="str">
        <f ca="1">[1]!cb_info_carrydate(B163)</f>
        <v>2020-07-21</v>
      </c>
      <c r="Y163" s="186" t="str">
        <f ca="1">[1]!cb_clause_conversion_2_swapsharestartdate(B163)</f>
        <v>2021-01-27</v>
      </c>
      <c r="Z163" s="186" t="str">
        <f ca="1">[1]!cb_clause_putoption_conditionalputbackstartenddate(B163)</f>
        <v>2024-07-21</v>
      </c>
      <c r="AA163" s="240">
        <f ca="1">[1]!cb_info_maturitycallprice(B163)</f>
        <v>119</v>
      </c>
      <c r="AB163" s="240">
        <f ca="1">IF(ISNUMBER([1]!cb_info_conditionalputprice(B163)),[1]!cb_info_conditionalputprice(B163),"-")</f>
        <v>0</v>
      </c>
      <c r="AC163" s="240">
        <f ca="1">[1]!cb_info_interest(B163)</f>
        <v>0.5</v>
      </c>
      <c r="AD163" s="262" t="str">
        <f ca="1">IFERROR(couponlist([1]!cb_clause_interest(B163,"4")),"-")</f>
        <v>0.5%，0.8%，1.0%，1.5%，2.5%，3.0%</v>
      </c>
      <c r="AE163" s="189"/>
      <c r="AF163" s="189"/>
      <c r="AG163" s="189"/>
      <c r="AH163" s="189"/>
      <c r="AI163" s="189"/>
      <c r="AJ163" s="189"/>
      <c r="AK163" s="189"/>
      <c r="AL163" s="189"/>
      <c r="AM163" s="189"/>
      <c r="AN163" s="189"/>
      <c r="AO163" s="189"/>
      <c r="AP163" s="189"/>
      <c r="AQ163" s="189"/>
    </row>
    <row r="164" spans="1:43" s="130" customFormat="1" x14ac:dyDescent="0.35">
      <c r="A164" s="121" t="s">
        <v>5</v>
      </c>
      <c r="B164" s="121" t="s">
        <v>642</v>
      </c>
      <c r="C164" s="121" t="s">
        <v>643</v>
      </c>
      <c r="D164" s="236" t="str">
        <f ca="1">IF([1]!s_info_industry_sw(B164,1)=0,"-",[1]!s_info_industry_sw(B164,1))</f>
        <v>建筑装饰</v>
      </c>
      <c r="E164" s="122" t="str">
        <f ca="1">[1]!cb_info_underlyingcode(B164)</f>
        <v>002541.SZ</v>
      </c>
      <c r="F164" s="124">
        <f ca="1">RTD("wdf.rtq",,B164,"LastPrice","Dirty_Price")</f>
        <v>137.58000000000001</v>
      </c>
      <c r="G164" s="124">
        <f ca="1">RTD("wdf.rtq",,E164,"LastPrice")</f>
        <v>51.26</v>
      </c>
      <c r="H164" s="226">
        <f ca="1">RTD("wdf.rtq",,B164,"PctChg","RT_Price")/100</f>
        <v>-1.0200000000000001E-2</v>
      </c>
      <c r="I164" s="226">
        <f ca="1">RTD("wdf.rtq",,E164,"PctChg")/100</f>
        <v>-1.04E-2</v>
      </c>
      <c r="J164" s="125">
        <f ca="1">_xlfn.IFNA([1]!b_anal_ptmyear(B164,$B$2),"未发行或发行失败")</f>
        <v>5.0849315068493155</v>
      </c>
      <c r="K164" s="125">
        <f ca="1">RTD("wdf.rtq",,B164,"Amount","Dirty_Price")/100000000</f>
        <v>8.5348140000000003E-2</v>
      </c>
      <c r="L164" s="125">
        <f ca="1">[1]!cb_anal_convprice(B164,$B$2)</f>
        <v>43.51</v>
      </c>
      <c r="M164" s="125">
        <f t="shared" ca="1" si="8"/>
        <v>117.81199724201333</v>
      </c>
      <c r="N164" s="126">
        <f t="shared" ca="1" si="9"/>
        <v>16.77927818962155</v>
      </c>
      <c r="O164" s="126">
        <f t="array" aca="1" ref="O164" ca="1">_xlfn.IFNA(RTD("wdf.rtq",,B164,"LastPrice","Yield_To_Maturity"),[1]!cb_anal_ytm(B164,$C$2))</f>
        <v>-3.5111000000000003</v>
      </c>
      <c r="P164" s="126">
        <f ca="1">[1]!cb_anal_straightbondvalue(B164,$B$2)</f>
        <v>93.089100000000002</v>
      </c>
      <c r="Q164" s="126">
        <f t="shared" ca="1" si="10"/>
        <v>47.79388779137409</v>
      </c>
      <c r="R164" s="126" t="str">
        <f ca="1">[1]!b_rate_latestcredit(B164)</f>
        <v>AA</v>
      </c>
      <c r="S164" s="126">
        <f ca="1">[1]!cb_info_outstandingbalance(B164,$B$2)</f>
        <v>15.728483000000001</v>
      </c>
      <c r="T164" s="126">
        <f ca="1">[1]!cb_info_issueamount(B164,100000000)</f>
        <v>18.8</v>
      </c>
      <c r="U164" s="126">
        <f t="shared" ca="1" si="11"/>
        <v>83.662143617021286</v>
      </c>
      <c r="V164" s="230">
        <f ca="1">IF([1]!cb_anal_ldiluterate(B164,$B$2)=100,"-",[1]!cb_anal_ldiluterate(B164,$B$2))</f>
        <v>8.7789634989241012</v>
      </c>
      <c r="W164" s="127" t="str">
        <f ca="1">[1]!cb_info_listeddate(B164)</f>
        <v>2020-11-02</v>
      </c>
      <c r="X164" s="127" t="str">
        <f ca="1">[1]!cb_info_carrydate(B164)</f>
        <v>2020-10-09</v>
      </c>
      <c r="Y164" s="125" t="str">
        <f ca="1">[1]!cb_clause_conversion_2_swapsharestartdate(B164)</f>
        <v>2021-04-15</v>
      </c>
      <c r="Z164" s="125" t="str">
        <f ca="1">[1]!cb_clause_putoption_conditionalputbackstartenddate(B164)</f>
        <v>2024-10-09</v>
      </c>
      <c r="AA164" s="230">
        <f ca="1">[1]!cb_info_maturitycallprice(B164)</f>
        <v>110</v>
      </c>
      <c r="AB164" s="230">
        <f ca="1">IF(ISNUMBER([1]!cb_info_conditionalputprice(B164)),[1]!cb_info_conditionalputprice(B164),"-")</f>
        <v>0</v>
      </c>
      <c r="AC164" s="230">
        <f ca="1">[1]!cb_info_interest(B164)</f>
        <v>0.3</v>
      </c>
      <c r="AD164" s="263" t="str">
        <f ca="1">IFERROR(couponlist([1]!cb_clause_interest(B164,"4")),"-")</f>
        <v>0.30%，0.50%，1.00%，1.50%，1.80%，2.00%</v>
      </c>
      <c r="AE164" s="129"/>
      <c r="AF164" s="129"/>
      <c r="AG164" s="129"/>
      <c r="AH164" s="129"/>
      <c r="AI164" s="129"/>
      <c r="AJ164" s="129"/>
      <c r="AK164" s="129"/>
      <c r="AL164" s="129"/>
      <c r="AM164" s="129"/>
      <c r="AN164" s="129"/>
      <c r="AO164" s="129"/>
      <c r="AP164" s="129"/>
      <c r="AQ164" s="129"/>
    </row>
    <row r="165" spans="1:43" s="191" customFormat="1" x14ac:dyDescent="0.35">
      <c r="A165" s="182" t="s">
        <v>5</v>
      </c>
      <c r="B165" s="182" t="s">
        <v>439</v>
      </c>
      <c r="C165" s="182" t="s">
        <v>440</v>
      </c>
      <c r="D165" s="235" t="str">
        <f ca="1">IF([1]!s_info_industry_sw(B165,1)=0,"-",[1]!s_info_industry_sw(B165,1))</f>
        <v>建筑装饰</v>
      </c>
      <c r="E165" s="183" t="str">
        <f ca="1">[1]!cb_info_underlyingcode(B165)</f>
        <v>002542.SZ</v>
      </c>
      <c r="F165" s="185">
        <f ca="1">RTD("wdf.rtq",,B165,"LastPrice","Dirty_Price")</f>
        <v>116.27500000000001</v>
      </c>
      <c r="G165" s="185">
        <f ca="1">RTD("wdf.rtq",,E165,"LastPrice")</f>
        <v>3.06</v>
      </c>
      <c r="H165" s="225">
        <f ca="1">RTD("wdf.rtq",,B165,"PctChg","RT_Price")/100</f>
        <v>4.1000000000000003E-3</v>
      </c>
      <c r="I165" s="225">
        <f ca="1">RTD("wdf.rtq",,E165,"PctChg")/100</f>
        <v>9.9000000000000008E-3</v>
      </c>
      <c r="J165" s="186">
        <f ca="1">_xlfn.IFNA([1]!b_anal_ptmyear(B165,$B$2),"未发行或发行失败")</f>
        <v>2.515068493150685</v>
      </c>
      <c r="K165" s="186">
        <f ca="1">RTD("wdf.rtq",,B165,"Amount","Dirty_Price")/100000000</f>
        <v>8.1433160000000004E-2</v>
      </c>
      <c r="L165" s="186">
        <f ca="1">[1]!cb_anal_convprice(B165,$B$2)</f>
        <v>3.1</v>
      </c>
      <c r="M165" s="186">
        <f t="shared" ca="1" si="8"/>
        <v>98.709677419354833</v>
      </c>
      <c r="N165" s="187">
        <f t="shared" ca="1" si="9"/>
        <v>17.794934640522882</v>
      </c>
      <c r="O165" s="187">
        <f t="array" aca="1" ref="O165" ca="1">_xlfn.IFNA(RTD("wdf.rtq",,B165,"LastPrice","Yield_To_Maturity"),[1]!cb_anal_ytm(B165,$C$2))</f>
        <v>-1.7530000000000001</v>
      </c>
      <c r="P165" s="187">
        <f ca="1">[1]!cb_anal_straightbondvalue(B165,$B$2)</f>
        <v>102.24760000000001</v>
      </c>
      <c r="Q165" s="187">
        <f t="shared" ca="1" si="10"/>
        <v>13.719050618303015</v>
      </c>
      <c r="R165" s="187" t="str">
        <f ca="1">[1]!b_rate_latestcredit(B165)</f>
        <v>AA</v>
      </c>
      <c r="S165" s="187">
        <f ca="1">[1]!cb_info_outstandingbalance(B165,$B$2)</f>
        <v>6.0282840000000002</v>
      </c>
      <c r="T165" s="187">
        <f ca="1">[1]!cb_info_issueamount(B165,100000000)</f>
        <v>6.0366</v>
      </c>
      <c r="U165" s="187">
        <f t="shared" ca="1" si="11"/>
        <v>99.862240333962831</v>
      </c>
      <c r="V165" s="240">
        <f ca="1">IF([1]!cb_anal_ldiluterate(B165,$B$2)=100,"-",[1]!cb_anal_ldiluterate(B165,$B$2))</f>
        <v>11.818621808386615</v>
      </c>
      <c r="W165" s="188" t="str">
        <f ca="1">[1]!cb_info_listeddate(B165)</f>
        <v>2018-04-25</v>
      </c>
      <c r="X165" s="188" t="str">
        <f ca="1">[1]!cb_info_carrydate(B165)</f>
        <v>2018-03-15</v>
      </c>
      <c r="Y165" s="186" t="str">
        <f ca="1">[1]!cb_clause_conversion_2_swapsharestartdate(B165)</f>
        <v>2018-09-21</v>
      </c>
      <c r="Z165" s="186" t="str">
        <f ca="1">[1]!cb_clause_putoption_conditionalputbackstartenddate(B165)</f>
        <v>2022-03-15</v>
      </c>
      <c r="AA165" s="240">
        <f ca="1">[1]!cb_info_maturitycallprice(B165)</f>
        <v>108</v>
      </c>
      <c r="AB165" s="240">
        <f ca="1">IF(ISNUMBER([1]!cb_info_conditionalputprice(B165)),[1]!cb_info_conditionalputprice(B165),"-")</f>
        <v>0</v>
      </c>
      <c r="AC165" s="240">
        <f ca="1">[1]!cb_info_interest(B165)</f>
        <v>0.3</v>
      </c>
      <c r="AD165" s="262" t="str">
        <f ca="1">IFERROR(couponlist([1]!cb_clause_interest(B165,"4")),"-")</f>
        <v>0.3%，0.5%，1.0%，1.5%，1.8%，2.0%</v>
      </c>
      <c r="AE165" s="189"/>
      <c r="AF165" s="189"/>
      <c r="AG165" s="189"/>
      <c r="AH165" s="189"/>
      <c r="AI165" s="189"/>
      <c r="AJ165" s="189"/>
      <c r="AK165" s="189"/>
      <c r="AL165" s="189"/>
      <c r="AM165" s="189"/>
      <c r="AN165" s="189"/>
      <c r="AO165" s="189"/>
      <c r="AP165" s="189"/>
      <c r="AQ165" s="189"/>
    </row>
    <row r="166" spans="1:43" s="130" customFormat="1" x14ac:dyDescent="0.35">
      <c r="A166" s="121" t="s">
        <v>0</v>
      </c>
      <c r="B166" s="121" t="s">
        <v>8</v>
      </c>
      <c r="C166" s="121" t="s">
        <v>9</v>
      </c>
      <c r="D166" s="236" t="str">
        <f ca="1">IF([1]!s_info_industry_sw(B166,1)=0,"-",[1]!s_info_industry_sw(B166,1))</f>
        <v>建筑装饰</v>
      </c>
      <c r="E166" s="122" t="str">
        <f ca="1">[1]!cb_info_underlyingcode(B166)</f>
        <v>603030.SH</v>
      </c>
      <c r="F166" s="124">
        <f ca="1">RTD("wdf.rtq",,B166,"LastPrice","Dirty_Price")</f>
        <v>104.88000000000001</v>
      </c>
      <c r="G166" s="124">
        <f ca="1">RTD("wdf.rtq",,E166,"LastPrice")</f>
        <v>3.8200000000000003</v>
      </c>
      <c r="H166" s="226">
        <f ca="1">RTD("wdf.rtq",,B166,"PctChg","RT_Price")/100</f>
        <v>2.5999999999999999E-3</v>
      </c>
      <c r="I166" s="226">
        <f ca="1">RTD("wdf.rtq",,E166,"PctChg")/100</f>
        <v>7.9000000000000008E-3</v>
      </c>
      <c r="J166" s="125">
        <f ca="1">_xlfn.IFNA([1]!b_anal_ptmyear(B166,$B$2),"未发行或发行失败")</f>
        <v>4.6136986301369864</v>
      </c>
      <c r="K166" s="125">
        <f ca="1">RTD("wdf.rtq",,B166,"Amount","Dirty_Price")/100000000</f>
        <v>1.825601E-2</v>
      </c>
      <c r="L166" s="125">
        <f ca="1">[1]!cb_anal_convprice(B166,$B$2)</f>
        <v>5.4</v>
      </c>
      <c r="M166" s="125">
        <f t="shared" ca="1" si="8"/>
        <v>70.740740740740733</v>
      </c>
      <c r="N166" s="126">
        <f t="shared" ca="1" si="9"/>
        <v>48.259685863874381</v>
      </c>
      <c r="O166" s="126">
        <f t="array" aca="1" ref="O166" ca="1">_xlfn.IFNA(RTD("wdf.rtq",,B166,"LastPrice","Yield_To_Maturity"),[1]!cb_anal_ytm(B166,$C$2))</f>
        <v>2.6202000000000001</v>
      </c>
      <c r="P166" s="126">
        <f ca="1">[1]!cb_anal_straightbondvalue(B166,$B$2)</f>
        <v>97.622200000000007</v>
      </c>
      <c r="Q166" s="126">
        <f t="shared" ca="1" si="10"/>
        <v>7.4345794296789194</v>
      </c>
      <c r="R166" s="126" t="str">
        <f ca="1">[1]!b_rate_latestcredit(B166)</f>
        <v>AA</v>
      </c>
      <c r="S166" s="126">
        <f ca="1">[1]!cb_info_outstandingbalance(B166,$B$2)</f>
        <v>3.8391999999999999</v>
      </c>
      <c r="T166" s="126">
        <f ca="1">[1]!cb_info_issueamount(B166,100000000)</f>
        <v>3.84</v>
      </c>
      <c r="U166" s="126">
        <f t="shared" ca="1" si="11"/>
        <v>99.979166666666671</v>
      </c>
      <c r="V166" s="230">
        <f ca="1">IF([1]!cb_anal_ldiluterate(B166,$B$2)=100,"-",[1]!cb_anal_ldiluterate(B166,$B$2))</f>
        <v>11.670201394371714</v>
      </c>
      <c r="W166" s="127" t="str">
        <f ca="1">[1]!cb_info_listeddate(B166)</f>
        <v>2020-05-19</v>
      </c>
      <c r="X166" s="127" t="str">
        <f ca="1">[1]!cb_info_carrydate(B166)</f>
        <v>2020-04-20</v>
      </c>
      <c r="Y166" s="125" t="str">
        <f ca="1">[1]!cb_clause_conversion_2_swapsharestartdate(B166)</f>
        <v>2020-10-26</v>
      </c>
      <c r="Z166" s="125" t="str">
        <f ca="1">[1]!cb_clause_putoption_conditionalputbackstartenddate(B166)</f>
        <v>2024-04-20</v>
      </c>
      <c r="AA166" s="230">
        <f ca="1">[1]!cb_info_maturitycallprice(B166)</f>
        <v>113</v>
      </c>
      <c r="AB166" s="230">
        <f ca="1">IF(ISNUMBER([1]!cb_info_conditionalputprice(B166)),[1]!cb_info_conditionalputprice(B166),"-")</f>
        <v>0</v>
      </c>
      <c r="AC166" s="230">
        <f ca="1">[1]!cb_info_interest(B166)</f>
        <v>0.4</v>
      </c>
      <c r="AD166" s="263" t="str">
        <f ca="1">IFERROR(couponlist([1]!cb_clause_interest(B166,"4")),"-")</f>
        <v>0.4%，0.6%，1.0%，1.5%，1.8%，2.0%</v>
      </c>
      <c r="AE166" s="129"/>
      <c r="AF166" s="129"/>
      <c r="AG166" s="129"/>
      <c r="AH166" s="129"/>
      <c r="AI166" s="129"/>
      <c r="AJ166" s="129"/>
      <c r="AK166" s="129"/>
      <c r="AL166" s="129"/>
      <c r="AM166" s="129"/>
      <c r="AN166" s="129"/>
      <c r="AO166" s="129"/>
      <c r="AP166" s="129"/>
      <c r="AQ166" s="129"/>
    </row>
    <row r="167" spans="1:43" s="191" customFormat="1" x14ac:dyDescent="0.35">
      <c r="A167" s="182" t="s">
        <v>5</v>
      </c>
      <c r="B167" s="182" t="s">
        <v>403</v>
      </c>
      <c r="C167" s="182" t="s">
        <v>404</v>
      </c>
      <c r="D167" s="235" t="str">
        <f ca="1">IF([1]!s_info_industry_sw(B167,1)=0,"-",[1]!s_info_industry_sw(B167,1))</f>
        <v>建筑装饰</v>
      </c>
      <c r="E167" s="183" t="str">
        <f ca="1">[1]!cb_info_underlyingcode(B167)</f>
        <v>002717.SZ</v>
      </c>
      <c r="F167" s="185">
        <f ca="1">RTD("wdf.rtq",,B167,"LastPrice","Dirty_Price")</f>
        <v>101.88300000000001</v>
      </c>
      <c r="G167" s="185">
        <f ca="1">RTD("wdf.rtq",,E167,"LastPrice")</f>
        <v>3.16</v>
      </c>
      <c r="H167" s="225">
        <f ca="1">RTD("wdf.rtq",,B167,"PctChg","RT_Price")/100</f>
        <v>5.8000000000000005E-3</v>
      </c>
      <c r="I167" s="225">
        <f ca="1">RTD("wdf.rtq",,E167,"PctChg")/100</f>
        <v>1.2800000000000001E-2</v>
      </c>
      <c r="J167" s="186">
        <f ca="1">_xlfn.IFNA([1]!b_anal_ptmyear(B167,$B$2),"未发行或发行失败")</f>
        <v>2.9315068493150687</v>
      </c>
      <c r="K167" s="186">
        <f ca="1">RTD("wdf.rtq",,B167,"Amount","Dirty_Price")/100000000</f>
        <v>0.11597601</v>
      </c>
      <c r="L167" s="186">
        <f ca="1">[1]!cb_anal_convprice(B167,$B$2)</f>
        <v>5.91</v>
      </c>
      <c r="M167" s="186">
        <f t="shared" ca="1" si="8"/>
        <v>53.468697123519455</v>
      </c>
      <c r="N167" s="187">
        <f t="shared" ca="1" si="9"/>
        <v>90.547003164556997</v>
      </c>
      <c r="O167" s="187">
        <f t="array" aca="1" ref="O167" ca="1">_xlfn.IFNA(RTD("wdf.rtq",,B167,"LastPrice","Yield_To_Maturity"),[1]!cb_anal_ytm(B167,$C$2))</f>
        <v>2.7876000000000003</v>
      </c>
      <c r="P167" s="187">
        <f ca="1">[1]!cb_anal_straightbondvalue(B167,$B$2)</f>
        <v>93.050899999999999</v>
      </c>
      <c r="Q167" s="187">
        <f t="shared" ca="1" si="10"/>
        <v>9.4916868079728545</v>
      </c>
      <c r="R167" s="187" t="str">
        <f ca="1">[1]!b_rate_latestcredit(B167)</f>
        <v>AA-</v>
      </c>
      <c r="S167" s="187">
        <f ca="1">[1]!cb_info_outstandingbalance(B167,$B$2)</f>
        <v>6.5915499999999998</v>
      </c>
      <c r="T167" s="187">
        <f ca="1">[1]!cb_info_issueamount(B167,100000000)</f>
        <v>6.6</v>
      </c>
      <c r="U167" s="187">
        <f t="shared" ca="1" si="11"/>
        <v>99.8719696969697</v>
      </c>
      <c r="V167" s="240">
        <f ca="1">IF([1]!cb_anal_ldiluterate(B167,$B$2)=100,"-",[1]!cb_anal_ldiluterate(B167,$B$2))</f>
        <v>9.0166027749579332</v>
      </c>
      <c r="W167" s="188" t="str">
        <f ca="1">[1]!cb_info_listeddate(B167)</f>
        <v>2018-09-04</v>
      </c>
      <c r="X167" s="188" t="str">
        <f ca="1">[1]!cb_info_carrydate(B167)</f>
        <v>2018-08-14</v>
      </c>
      <c r="Y167" s="186" t="str">
        <f ca="1">[1]!cb_clause_conversion_2_swapsharestartdate(B167)</f>
        <v>2019-02-20</v>
      </c>
      <c r="Z167" s="186" t="str">
        <f ca="1">[1]!cb_clause_putoption_conditionalputbackstartenddate(B167)</f>
        <v>2022-08-14</v>
      </c>
      <c r="AA167" s="240">
        <f ca="1">[1]!cb_info_maturitycallprice(B167)</f>
        <v>107</v>
      </c>
      <c r="AB167" s="240">
        <f ca="1">IF(ISNUMBER([1]!cb_info_conditionalputprice(B167)),[1]!cb_info_conditionalputprice(B167),"-")</f>
        <v>0</v>
      </c>
      <c r="AC167" s="240">
        <f ca="1">[1]!cb_info_interest(B167)</f>
        <v>0.3</v>
      </c>
      <c r="AD167" s="262" t="str">
        <f ca="1">IFERROR(couponlist([1]!cb_clause_interest(B167,"4")),"-")</f>
        <v>0.3%，0.5%，1.0%，1.5%，1.8%，2.0%</v>
      </c>
      <c r="AE167" s="189"/>
      <c r="AF167" s="189"/>
      <c r="AG167" s="189"/>
      <c r="AH167" s="189"/>
      <c r="AI167" s="189"/>
      <c r="AJ167" s="189"/>
      <c r="AK167" s="189"/>
      <c r="AL167" s="189"/>
      <c r="AM167" s="189"/>
      <c r="AN167" s="189"/>
      <c r="AO167" s="189"/>
      <c r="AP167" s="189"/>
      <c r="AQ167" s="189"/>
    </row>
    <row r="168" spans="1:43" s="130" customFormat="1" x14ac:dyDescent="0.35">
      <c r="A168" s="121" t="s">
        <v>5</v>
      </c>
      <c r="B168" s="121" t="s">
        <v>6</v>
      </c>
      <c r="C168" s="121" t="s">
        <v>7</v>
      </c>
      <c r="D168" s="236" t="str">
        <f ca="1">IF([1]!s_info_industry_sw(B168,1)=0,"-",[1]!s_info_industry_sw(B168,1))</f>
        <v>建筑装饰</v>
      </c>
      <c r="E168" s="122" t="str">
        <f ca="1">[1]!cb_info_underlyingcode(B168)</f>
        <v>002061.SZ</v>
      </c>
      <c r="F168" s="124">
        <f ca="1">RTD("wdf.rtq",,B168,"LastPrice","Dirty_Price")</f>
        <v>121.852</v>
      </c>
      <c r="G168" s="124">
        <f ca="1">RTD("wdf.rtq",,E168,"LastPrice")</f>
        <v>5.54</v>
      </c>
      <c r="H168" s="226">
        <f ca="1">RTD("wdf.rtq",,B168,"PctChg","RT_Price")/100</f>
        <v>-2.1000000000000003E-3</v>
      </c>
      <c r="I168" s="226">
        <f ca="1">RTD("wdf.rtq",,E168,"PctChg")/100</f>
        <v>3.6000000000000003E-3</v>
      </c>
      <c r="J168" s="125">
        <f ca="1">_xlfn.IFNA([1]!b_anal_ptmyear(B168,$B$2),"未发行或发行失败")</f>
        <v>4.6191780821917812</v>
      </c>
      <c r="K168" s="125">
        <f ca="1">RTD("wdf.rtq",,B168,"Amount","Dirty_Price")/100000000</f>
        <v>0.16887004999999999</v>
      </c>
      <c r="L168" s="125">
        <f ca="1">[1]!cb_anal_convprice(B168,$B$2)</f>
        <v>5.24</v>
      </c>
      <c r="M168" s="125">
        <f t="shared" ca="1" si="8"/>
        <v>105.72519083969465</v>
      </c>
      <c r="N168" s="126">
        <f t="shared" ca="1" si="9"/>
        <v>15.253516245487376</v>
      </c>
      <c r="O168" s="126">
        <f t="array" aca="1" ref="O168" ca="1">_xlfn.IFNA(RTD("wdf.rtq",,B168,"LastPrice","Yield_To_Maturity"),[1]!cb_anal_ytm(B168,$C$2))</f>
        <v>-1.2879</v>
      </c>
      <c r="P168" s="126">
        <f ca="1">[1]!cb_anal_straightbondvalue(B168,$B$2)</f>
        <v>97.966499999999996</v>
      </c>
      <c r="Q168" s="126">
        <f t="shared" ca="1" si="10"/>
        <v>24.381293605467192</v>
      </c>
      <c r="R168" s="126" t="str">
        <f ca="1">[1]!b_rate_latestcredit(B168)</f>
        <v>AA+</v>
      </c>
      <c r="S168" s="126">
        <f ca="1">[1]!cb_info_outstandingbalance(B168,$B$2)</f>
        <v>24.9968</v>
      </c>
      <c r="T168" s="126">
        <f ca="1">[1]!cb_info_issueamount(B168,100000000)</f>
        <v>25</v>
      </c>
      <c r="U168" s="126">
        <f t="shared" ca="1" si="11"/>
        <v>99.987199999999987</v>
      </c>
      <c r="V168" s="230">
        <f ca="1">IF([1]!cb_anal_ldiluterate(B168,$B$2)=100,"-",[1]!cb_anal_ldiluterate(B168,$B$2))</f>
        <v>25.747833338741525</v>
      </c>
      <c r="W168" s="127" t="str">
        <f ca="1">[1]!cb_info_listeddate(B168)</f>
        <v>2020-05-22</v>
      </c>
      <c r="X168" s="127" t="str">
        <f ca="1">[1]!cb_info_carrydate(B168)</f>
        <v>2020-04-22</v>
      </c>
      <c r="Y168" s="125" t="str">
        <f ca="1">[1]!cb_clause_conversion_2_swapsharestartdate(B168)</f>
        <v>2020-10-28</v>
      </c>
      <c r="Z168" s="125" t="str">
        <f ca="1">[1]!cb_clause_putoption_conditionalputbackstartenddate(B168)</f>
        <v>2024-04-22</v>
      </c>
      <c r="AA168" s="230">
        <f ca="1">[1]!cb_info_maturitycallprice(B168)</f>
        <v>110</v>
      </c>
      <c r="AB168" s="230">
        <f ca="1">IF(ISNUMBER([1]!cb_info_conditionalputprice(B168)),[1]!cb_info_conditionalputprice(B168),"-")</f>
        <v>0</v>
      </c>
      <c r="AC168" s="230">
        <f ca="1">[1]!cb_info_interest(B168)</f>
        <v>0.4</v>
      </c>
      <c r="AD168" s="263" t="str">
        <f ca="1">IFERROR(couponlist([1]!cb_clause_interest(B168,"4")),"-")</f>
        <v>0.40%，0.60%，1.00%，1.50%，1.80%，2.00%</v>
      </c>
      <c r="AE168" s="129"/>
      <c r="AF168" s="129"/>
      <c r="AG168" s="129"/>
      <c r="AH168" s="129"/>
      <c r="AI168" s="129"/>
      <c r="AJ168" s="129"/>
      <c r="AK168" s="129"/>
      <c r="AL168" s="129"/>
      <c r="AM168" s="129"/>
      <c r="AN168" s="129"/>
      <c r="AO168" s="129"/>
      <c r="AP168" s="129"/>
      <c r="AQ168" s="129"/>
    </row>
    <row r="169" spans="1:43" s="191" customFormat="1" x14ac:dyDescent="0.35">
      <c r="A169" s="182" t="s">
        <v>5</v>
      </c>
      <c r="B169" s="182" t="s">
        <v>20</v>
      </c>
      <c r="C169" s="182" t="s">
        <v>21</v>
      </c>
      <c r="D169" s="235" t="str">
        <f ca="1">IF([1]!s_info_industry_sw(B169,1)=0,"-",[1]!s_info_industry_sw(B169,1))</f>
        <v>建筑装饰</v>
      </c>
      <c r="E169" s="183" t="str">
        <f ca="1">[1]!cb_info_underlyingcode(B169)</f>
        <v>002941.SZ</v>
      </c>
      <c r="F169" s="185">
        <f ca="1">RTD("wdf.rtq",,B169,"LastPrice","Dirty_Price")</f>
        <v>109</v>
      </c>
      <c r="G169" s="185">
        <f ca="1">RTD("wdf.rtq",,E169,"LastPrice")</f>
        <v>13.23</v>
      </c>
      <c r="H169" s="225">
        <f ca="1">RTD("wdf.rtq",,B169,"PctChg","RT_Price")/100</f>
        <v>0</v>
      </c>
      <c r="I169" s="225">
        <f ca="1">RTD("wdf.rtq",,E169,"PctChg")/100</f>
        <v>-3.3600000000000005E-2</v>
      </c>
      <c r="J169" s="186">
        <f ca="1">_xlfn.IFNA([1]!b_anal_ptmyear(B169,$B$2),"未发行或发行失败")</f>
        <v>5.0191780821917806</v>
      </c>
      <c r="K169" s="186">
        <f ca="1">RTD("wdf.rtq",,B169,"Amount","Dirty_Price")/100000000</f>
        <v>0.38158589999999998</v>
      </c>
      <c r="L169" s="186">
        <f ca="1">[1]!cb_anal_convprice(B169,$B$2)</f>
        <v>18.53</v>
      </c>
      <c r="M169" s="186">
        <f t="shared" ca="1" si="8"/>
        <v>71.397733405288719</v>
      </c>
      <c r="N169" s="187">
        <f t="shared" ca="1" si="9"/>
        <v>52.665910808767961</v>
      </c>
      <c r="O169" s="187">
        <f t="array" aca="1" ref="O169" ca="1">_xlfn.IFNA(RTD("wdf.rtq",,B169,"LastPrice","Yield_To_Maturity"),[1]!cb_anal_ytm(B169,$C$2))</f>
        <v>1.5050000000000001</v>
      </c>
      <c r="P169" s="187">
        <f ca="1">[1]!cb_anal_straightbondvalue(B169,$B$2)</f>
        <v>95.228399999999993</v>
      </c>
      <c r="Q169" s="187">
        <f t="shared" ca="1" si="10"/>
        <v>14.461652196193583</v>
      </c>
      <c r="R169" s="187" t="str">
        <f ca="1">[1]!b_rate_latestcredit(B169)</f>
        <v>AA</v>
      </c>
      <c r="S169" s="187">
        <f ca="1">[1]!cb_info_outstandingbalance(B169,$B$2)</f>
        <v>8.4942329999999995</v>
      </c>
      <c r="T169" s="187">
        <f ca="1">[1]!cb_info_issueamount(B169,100000000)</f>
        <v>8.5</v>
      </c>
      <c r="U169" s="187">
        <f t="shared" ca="1" si="11"/>
        <v>99.932152941176469</v>
      </c>
      <c r="V169" s="240">
        <f ca="1">IF([1]!cb_anal_ldiluterate(B169,$B$2)=100,"-",[1]!cb_anal_ldiluterate(B169,$B$2))</f>
        <v>19.221790947014998</v>
      </c>
      <c r="W169" s="188" t="str">
        <f ca="1">[1]!cb_info_listeddate(B169)</f>
        <v>2020-10-16</v>
      </c>
      <c r="X169" s="188" t="str">
        <f ca="1">[1]!cb_info_carrydate(B169)</f>
        <v>2020-09-15</v>
      </c>
      <c r="Y169" s="186" t="str">
        <f ca="1">[1]!cb_clause_conversion_2_swapsharestartdate(B169)</f>
        <v>2021-03-22</v>
      </c>
      <c r="Z169" s="186" t="str">
        <f ca="1">[1]!cb_clause_putoption_conditionalputbackstartenddate(B169)</f>
        <v>2024-09-15</v>
      </c>
      <c r="AA169" s="240">
        <f ca="1">[1]!cb_info_maturitycallprice(B169)</f>
        <v>112</v>
      </c>
      <c r="AB169" s="240">
        <f ca="1">IF(ISNUMBER([1]!cb_info_conditionalputprice(B169)),[1]!cb_info_conditionalputprice(B169),"-")</f>
        <v>0</v>
      </c>
      <c r="AC169" s="240">
        <f ca="1">[1]!cb_info_interest(B169)</f>
        <v>0.4</v>
      </c>
      <c r="AD169" s="262" t="str">
        <f ca="1">IFERROR(couponlist([1]!cb_clause_interest(B169,"4")),"-")</f>
        <v>0.4%，0.6%，1.0%，1.5%，1.8%，2.0%</v>
      </c>
      <c r="AE169" s="189"/>
      <c r="AF169" s="189"/>
      <c r="AG169" s="189"/>
      <c r="AH169" s="189"/>
      <c r="AI169" s="189"/>
      <c r="AJ169" s="189"/>
      <c r="AK169" s="189"/>
      <c r="AL169" s="189"/>
      <c r="AM169" s="189"/>
      <c r="AN169" s="189"/>
      <c r="AO169" s="189"/>
      <c r="AP169" s="189"/>
      <c r="AQ169" s="189"/>
    </row>
    <row r="170" spans="1:43" s="130" customFormat="1" x14ac:dyDescent="0.35">
      <c r="A170" s="121" t="s">
        <v>5</v>
      </c>
      <c r="B170" s="121" t="s">
        <v>511</v>
      </c>
      <c r="C170" s="121" t="s">
        <v>512</v>
      </c>
      <c r="D170" s="236" t="str">
        <f ca="1">IF([1]!s_info_industry_sw(B170,1)=0,"-",[1]!s_info_industry_sw(B170,1))</f>
        <v>建筑装饰</v>
      </c>
      <c r="E170" s="122" t="str">
        <f ca="1">[1]!cb_info_underlyingcode(B170)</f>
        <v>002325.SZ</v>
      </c>
      <c r="F170" s="124">
        <f ca="1">RTD("wdf.rtq",,B170,"LastPrice","Dirty_Price")</f>
        <v>112.92</v>
      </c>
      <c r="G170" s="124">
        <f ca="1">RTD("wdf.rtq",,E170,"LastPrice")</f>
        <v>2.54</v>
      </c>
      <c r="H170" s="226">
        <f ca="1">RTD("wdf.rtq",,B170,"PctChg","RT_Price")/100</f>
        <v>6.9000000000000008E-3</v>
      </c>
      <c r="I170" s="226">
        <f ca="1">RTD("wdf.rtq",,E170,"PctChg")/100</f>
        <v>4.0000000000000001E-3</v>
      </c>
      <c r="J170" s="125">
        <f ca="1">_xlfn.IFNA([1]!b_anal_ptmyear(B170,$B$2),"未发行或发行失败")</f>
        <v>0.88767123287671235</v>
      </c>
      <c r="K170" s="125">
        <f ca="1">RTD("wdf.rtq",,B170,"Amount","Dirty_Price")/100000000</f>
        <v>0.35936743999999998</v>
      </c>
      <c r="L170" s="125">
        <f ca="1">[1]!cb_anal_convprice(B170,$B$2)</f>
        <v>2.3199999999999998</v>
      </c>
      <c r="M170" s="125">
        <f t="shared" ca="1" si="8"/>
        <v>109.48275862068967</v>
      </c>
      <c r="N170" s="126">
        <f t="shared" ca="1" si="9"/>
        <v>3.1395275590551108</v>
      </c>
      <c r="O170" s="126">
        <f t="array" aca="1" ref="O170" ca="1">_xlfn.IFNA(RTD("wdf.rtq",,B170,"LastPrice","Yield_To_Maturity"),[1]!cb_anal_ytm(B170,$C$2))</f>
        <v>-4.9084000000000003</v>
      </c>
      <c r="P170" s="126">
        <f ca="1">[1]!cb_anal_straightbondvalue(B170,$B$2)</f>
        <v>97.791499999999999</v>
      </c>
      <c r="Q170" s="126">
        <f t="shared" ca="1" si="10"/>
        <v>15.470158449353988</v>
      </c>
      <c r="R170" s="126" t="str">
        <f ca="1">[1]!b_rate_latestcredit(B170)</f>
        <v>A-</v>
      </c>
      <c r="S170" s="126">
        <f ca="1">[1]!cb_info_outstandingbalance(B170,$B$2)</f>
        <v>11.533046000000001</v>
      </c>
      <c r="T170" s="126">
        <f ca="1">[1]!cb_info_issueamount(B170,100000000)</f>
        <v>12</v>
      </c>
      <c r="U170" s="126">
        <f t="shared" ca="1" si="11"/>
        <v>96.10871666666668</v>
      </c>
      <c r="V170" s="230">
        <f ca="1">IF([1]!cb_anal_ldiluterate(B170,$B$2)=100,"-",[1]!cb_anal_ldiluterate(B170,$B$2))</f>
        <v>34.041607459292798</v>
      </c>
      <c r="W170" s="127" t="str">
        <f ca="1">[1]!cb_info_listeddate(B170)</f>
        <v>2016-08-23</v>
      </c>
      <c r="X170" s="127" t="str">
        <f ca="1">[1]!cb_info_carrydate(B170)</f>
        <v>2016-07-29</v>
      </c>
      <c r="Y170" s="125" t="str">
        <f ca="1">[1]!cb_clause_conversion_2_swapsharestartdate(B170)</f>
        <v>2017-02-06</v>
      </c>
      <c r="Z170" s="125" t="str">
        <f ca="1">[1]!cb_clause_putoption_conditionalputbackstartenddate(B170)</f>
        <v>2020-07-29</v>
      </c>
      <c r="AA170" s="230">
        <f ca="1">[1]!cb_info_maturitycallprice(B170)</f>
        <v>108</v>
      </c>
      <c r="AB170" s="230">
        <f ca="1">IF(ISNUMBER([1]!cb_info_conditionalputprice(B170)),[1]!cb_info_conditionalputprice(B170),"-")</f>
        <v>0</v>
      </c>
      <c r="AC170" s="230">
        <f ca="1">[1]!cb_info_interest(B170)</f>
        <v>0.4</v>
      </c>
      <c r="AD170" s="263" t="str">
        <f ca="1">IFERROR(couponlist([1]!cb_clause_interest(B170,"4")),"-")</f>
        <v>0.4%，0.6%，1.5%，1.8%</v>
      </c>
      <c r="AE170" s="129"/>
      <c r="AF170" s="129"/>
      <c r="AG170" s="129"/>
      <c r="AH170" s="129"/>
      <c r="AI170" s="129"/>
      <c r="AJ170" s="129"/>
      <c r="AK170" s="129"/>
      <c r="AL170" s="129"/>
      <c r="AM170" s="129"/>
      <c r="AN170" s="129"/>
      <c r="AO170" s="129"/>
      <c r="AP170" s="129"/>
      <c r="AQ170" s="129"/>
    </row>
    <row r="171" spans="1:43" s="191" customFormat="1" x14ac:dyDescent="0.35">
      <c r="A171" s="182" t="s">
        <v>5</v>
      </c>
      <c r="B171" s="182" t="s">
        <v>465</v>
      </c>
      <c r="C171" s="182" t="s">
        <v>466</v>
      </c>
      <c r="D171" s="235" t="str">
        <f ca="1">IF([1]!s_info_industry_sw(B171,1)=0,"-",[1]!s_info_industry_sw(B171,1))</f>
        <v>建筑装饰</v>
      </c>
      <c r="E171" s="183" t="str">
        <f ca="1">[1]!cb_info_underlyingcode(B171)</f>
        <v>300197.SZ</v>
      </c>
      <c r="F171" s="185">
        <f ca="1">RTD("wdf.rtq",,B171,"LastPrice","Dirty_Price")</f>
        <v>107.20700000000001</v>
      </c>
      <c r="G171" s="185">
        <f ca="1">RTD("wdf.rtq",,E171,"LastPrice")</f>
        <v>3</v>
      </c>
      <c r="H171" s="225">
        <f ca="1">RTD("wdf.rtq",,B171,"PctChg","RT_Price")/100</f>
        <v>1E-3</v>
      </c>
      <c r="I171" s="225">
        <f ca="1">RTD("wdf.rtq",,E171,"PctChg")/100</f>
        <v>1.6900000000000002E-2</v>
      </c>
      <c r="J171" s="186">
        <f ca="1">_xlfn.IFNA([1]!b_anal_ptmyear(B171,$B$2),"未发行或发行失败")</f>
        <v>2.2767123287671232</v>
      </c>
      <c r="K171" s="186">
        <f ca="1">RTD("wdf.rtq",,B171,"Amount","Dirty_Price")/100000000</f>
        <v>5.603031E-2</v>
      </c>
      <c r="L171" s="186">
        <f ca="1">[1]!cb_anal_convprice(B171,$B$2)</f>
        <v>3.82</v>
      </c>
      <c r="M171" s="186">
        <f t="shared" ca="1" si="8"/>
        <v>78.534031413612567</v>
      </c>
      <c r="N171" s="187">
        <f t="shared" ca="1" si="9"/>
        <v>36.51024666666666</v>
      </c>
      <c r="O171" s="187">
        <f t="array" aca="1" ref="O171" ca="1">_xlfn.IFNA(RTD("wdf.rtq",,B171,"LastPrice","Yield_To_Maturity"),[1]!cb_anal_ytm(B171,$C$2))</f>
        <v>0.66100000000000003</v>
      </c>
      <c r="P171" s="187">
        <f ca="1">[1]!cb_anal_straightbondvalue(B171,$B$2)</f>
        <v>100.9999</v>
      </c>
      <c r="Q171" s="187">
        <f t="shared" ca="1" si="10"/>
        <v>6.1456496491580737</v>
      </c>
      <c r="R171" s="187" t="str">
        <f ca="1">[1]!b_rate_latestcredit(B171)</f>
        <v>AA</v>
      </c>
      <c r="S171" s="187">
        <f ca="1">[1]!cb_info_outstandingbalance(B171,$B$2)</f>
        <v>8.0317629999999998</v>
      </c>
      <c r="T171" s="187">
        <f ca="1">[1]!cb_info_issueamount(B171,100000000)</f>
        <v>11</v>
      </c>
      <c r="U171" s="187">
        <f t="shared" ca="1" si="11"/>
        <v>73.016027272727271</v>
      </c>
      <c r="V171" s="240">
        <f ca="1">IF([1]!cb_anal_ldiluterate(B171,$B$2)=100,"-",[1]!cb_anal_ldiluterate(B171,$B$2))</f>
        <v>10.583539333130599</v>
      </c>
      <c r="W171" s="188" t="str">
        <f ca="1">[1]!cb_info_listeddate(B171)</f>
        <v>2018-01-26</v>
      </c>
      <c r="X171" s="188" t="str">
        <f ca="1">[1]!cb_info_carrydate(B171)</f>
        <v>2017-12-18</v>
      </c>
      <c r="Y171" s="186" t="str">
        <f ca="1">[1]!cb_clause_conversion_2_swapsharestartdate(B171)</f>
        <v>2018-06-22</v>
      </c>
      <c r="Z171" s="186" t="str">
        <f ca="1">[1]!cb_clause_putoption_conditionalputbackstartenddate(B171)</f>
        <v>2021-12-18</v>
      </c>
      <c r="AA171" s="240">
        <f ca="1">[1]!cb_info_maturitycallprice(B171)</f>
        <v>106</v>
      </c>
      <c r="AB171" s="240">
        <f ca="1">IF(ISNUMBER([1]!cb_info_conditionalputprice(B171)),[1]!cb_info_conditionalputprice(B171),"-")</f>
        <v>0</v>
      </c>
      <c r="AC171" s="240">
        <f ca="1">[1]!cb_info_interest(B171)</f>
        <v>0.3</v>
      </c>
      <c r="AD171" s="262" t="str">
        <f ca="1">IFERROR(couponlist([1]!cb_clause_interest(B171,"4")),"-")</f>
        <v>0.3%，0.5%，1.0%，1.3%，1.5%，1.8%</v>
      </c>
      <c r="AE171" s="189"/>
      <c r="AF171" s="189"/>
      <c r="AG171" s="189"/>
      <c r="AH171" s="189"/>
      <c r="AI171" s="189"/>
      <c r="AJ171" s="189"/>
      <c r="AK171" s="189"/>
      <c r="AL171" s="189"/>
      <c r="AM171" s="189"/>
      <c r="AN171" s="189"/>
      <c r="AO171" s="189"/>
      <c r="AP171" s="189"/>
      <c r="AQ171" s="189"/>
    </row>
    <row r="172" spans="1:43" s="130" customFormat="1" x14ac:dyDescent="0.35">
      <c r="A172" s="121" t="s">
        <v>0</v>
      </c>
      <c r="B172" s="121" t="s">
        <v>232</v>
      </c>
      <c r="C172" s="121" t="s">
        <v>233</v>
      </c>
      <c r="D172" s="236" t="str">
        <f ca="1">IF([1]!s_info_industry_sw(B172,1)=0,"-",[1]!s_info_industry_sw(B172,1))</f>
        <v>建筑装饰</v>
      </c>
      <c r="E172" s="122" t="str">
        <f ca="1">[1]!cb_info_underlyingcode(B172)</f>
        <v>600939.SH</v>
      </c>
      <c r="F172" s="124">
        <f ca="1">RTD("wdf.rtq",,B172,"LastPrice","Dirty_Price")</f>
        <v>108.27000000000001</v>
      </c>
      <c r="G172" s="124">
        <f ca="1">RTD("wdf.rtq",,E172,"LastPrice")</f>
        <v>3.65</v>
      </c>
      <c r="H172" s="226">
        <f ca="1">RTD("wdf.rtq",,B172,"PctChg","RT_Price")/100</f>
        <v>2.5000000000000001E-3</v>
      </c>
      <c r="I172" s="226">
        <f ca="1">RTD("wdf.rtq",,E172,"PctChg")/100</f>
        <v>1.11E-2</v>
      </c>
      <c r="J172" s="125">
        <f ca="1">_xlfn.IFNA([1]!b_anal_ptmyear(B172,$B$2),"未发行或发行失败")</f>
        <v>4.2821917808219174</v>
      </c>
      <c r="K172" s="125">
        <f ca="1">RTD("wdf.rtq",,B172,"Amount","Dirty_Price")/100000000</f>
        <v>2.891639E-2</v>
      </c>
      <c r="L172" s="125">
        <f ca="1">[1]!cb_anal_convprice(B172,$B$2)</f>
        <v>4.53</v>
      </c>
      <c r="M172" s="125">
        <f t="shared" ca="1" si="8"/>
        <v>80.57395143487858</v>
      </c>
      <c r="N172" s="126">
        <f t="shared" ca="1" si="9"/>
        <v>34.373452054794541</v>
      </c>
      <c r="O172" s="126">
        <f t="array" aca="1" ref="O172" ca="1">_xlfn.IFNA(RTD("wdf.rtq",,B172,"LastPrice","Yield_To_Maturity"),[1]!cb_anal_ytm(B172,$C$2))</f>
        <v>2.4540000000000002</v>
      </c>
      <c r="P172" s="126">
        <f ca="1">[1]!cb_anal_straightbondvalue(B172,$B$2)</f>
        <v>103.685</v>
      </c>
      <c r="Q172" s="126">
        <f t="shared" ca="1" si="10"/>
        <v>4.4220475478613253</v>
      </c>
      <c r="R172" s="126" t="str">
        <f ca="1">[1]!b_rate_latestcredit(B172)</f>
        <v>AA+</v>
      </c>
      <c r="S172" s="126">
        <f ca="1">[1]!cb_info_outstandingbalance(B172,$B$2)</f>
        <v>16.598130000000001</v>
      </c>
      <c r="T172" s="126">
        <f ca="1">[1]!cb_info_issueamount(B172,100000000)</f>
        <v>16.600000000000001</v>
      </c>
      <c r="U172" s="126">
        <f t="shared" ca="1" si="11"/>
        <v>99.988734939759027</v>
      </c>
      <c r="V172" s="230">
        <f ca="1">IF([1]!cb_anal_ldiluterate(B172,$B$2)=100,"-",[1]!cb_anal_ldiluterate(B172,$B$2))</f>
        <v>16.800420394416342</v>
      </c>
      <c r="W172" s="127" t="str">
        <f ca="1">[1]!cb_info_listeddate(B172)</f>
        <v>2020-01-16</v>
      </c>
      <c r="X172" s="127" t="str">
        <f ca="1">[1]!cb_info_carrydate(B172)</f>
        <v>2019-12-20</v>
      </c>
      <c r="Y172" s="125" t="str">
        <f ca="1">[1]!cb_clause_conversion_2_swapsharestartdate(B172)</f>
        <v>2020-06-29</v>
      </c>
      <c r="Z172" s="125" t="str">
        <f ca="1">[1]!cb_clause_putoption_conditionalputbackstartenddate(B172)</f>
        <v>2023-12-20</v>
      </c>
      <c r="AA172" s="230">
        <f ca="1">[1]!cb_info_maturitycallprice(B172)</f>
        <v>113</v>
      </c>
      <c r="AB172" s="230">
        <f ca="1">IF(ISNUMBER([1]!cb_info_conditionalputprice(B172)),[1]!cb_info_conditionalputprice(B172),"-")</f>
        <v>0</v>
      </c>
      <c r="AC172" s="230">
        <f ca="1">[1]!cb_info_interest(B172)</f>
        <v>0.4</v>
      </c>
      <c r="AD172" s="263" t="str">
        <f ca="1">IFERROR(couponlist([1]!cb_clause_interest(B172,"4")),"-")</f>
        <v>0.40%，0.60%，1.00%，2.00%，3.20%，3.60%</v>
      </c>
      <c r="AE172" s="129"/>
      <c r="AF172" s="129"/>
      <c r="AG172" s="129"/>
      <c r="AH172" s="129"/>
      <c r="AI172" s="129"/>
      <c r="AJ172" s="129"/>
      <c r="AK172" s="129"/>
      <c r="AL172" s="129"/>
      <c r="AM172" s="129"/>
      <c r="AN172" s="129"/>
      <c r="AO172" s="129"/>
      <c r="AP172" s="129"/>
      <c r="AQ172" s="129"/>
    </row>
    <row r="173" spans="1:43" s="191" customFormat="1" x14ac:dyDescent="0.35">
      <c r="A173" s="182" t="s">
        <v>5</v>
      </c>
      <c r="B173" s="182" t="s">
        <v>56</v>
      </c>
      <c r="C173" s="182" t="s">
        <v>57</v>
      </c>
      <c r="D173" s="235" t="str">
        <f ca="1">IF([1]!s_info_industry_sw(B173,1)=0,"-",[1]!s_info_industry_sw(B173,1))</f>
        <v>建筑装饰</v>
      </c>
      <c r="E173" s="183" t="str">
        <f ca="1">[1]!cb_info_underlyingcode(B173)</f>
        <v>002949.SZ</v>
      </c>
      <c r="F173" s="185">
        <f ca="1">RTD("wdf.rtq",,B173,"LastPrice","Dirty_Price")</f>
        <v>107.113</v>
      </c>
      <c r="G173" s="185">
        <f ca="1">RTD("wdf.rtq",,E173,"LastPrice")</f>
        <v>16.78</v>
      </c>
      <c r="H173" s="225">
        <f ca="1">RTD("wdf.rtq",,B173,"PctChg","RT_Price")/100</f>
        <v>-2.5999999999999999E-3</v>
      </c>
      <c r="I173" s="225">
        <f ca="1">RTD("wdf.rtq",,E173,"PctChg")/100</f>
        <v>-4.2000000000000006E-3</v>
      </c>
      <c r="J173" s="186">
        <f ca="1">_xlfn.IFNA([1]!b_anal_ptmyear(B173,$B$2),"未发行或发行失败")</f>
        <v>4.8904109589041092</v>
      </c>
      <c r="K173" s="186">
        <f ca="1">RTD("wdf.rtq",,B173,"Amount","Dirty_Price")/100000000</f>
        <v>1.5332760000000001E-2</v>
      </c>
      <c r="L173" s="186">
        <f ca="1">[1]!cb_anal_convprice(B173,$B$2)</f>
        <v>25.39</v>
      </c>
      <c r="M173" s="186">
        <f t="shared" ca="1" si="8"/>
        <v>66.089011421819606</v>
      </c>
      <c r="N173" s="187">
        <f t="shared" ca="1" si="9"/>
        <v>62.073842073897509</v>
      </c>
      <c r="O173" s="187">
        <f t="array" aca="1" ref="O173" ca="1">_xlfn.IFNA(RTD("wdf.rtq",,B173,"LastPrice","Yield_To_Maturity"),[1]!cb_anal_ytm(B173,$C$2))</f>
        <v>2.0550999999999999</v>
      </c>
      <c r="P173" s="187">
        <f ca="1">[1]!cb_anal_straightbondvalue(B173,$B$2)</f>
        <v>86.738500000000002</v>
      </c>
      <c r="Q173" s="187">
        <f t="shared" ca="1" si="10"/>
        <v>23.489569222432934</v>
      </c>
      <c r="R173" s="187" t="str">
        <f ca="1">[1]!b_rate_latestcredit(B173)</f>
        <v>AA-</v>
      </c>
      <c r="S173" s="187">
        <f ca="1">[1]!cb_info_outstandingbalance(B173,$B$2)</f>
        <v>4.4986990000000002</v>
      </c>
      <c r="T173" s="187">
        <f ca="1">[1]!cb_info_issueamount(B173,100000000)</f>
        <v>4.5</v>
      </c>
      <c r="U173" s="187">
        <f t="shared" ca="1" si="11"/>
        <v>99.9710888888889</v>
      </c>
      <c r="V173" s="240">
        <f ca="1">IF([1]!cb_anal_ldiluterate(B173,$B$2)=100,"-",[1]!cb_anal_ldiluterate(B173,$B$2))</f>
        <v>15.931033060593199</v>
      </c>
      <c r="W173" s="188" t="str">
        <f ca="1">[1]!cb_info_listeddate(B173)</f>
        <v>2020-08-21</v>
      </c>
      <c r="X173" s="188" t="str">
        <f ca="1">[1]!cb_info_carrydate(B173)</f>
        <v>2020-07-30</v>
      </c>
      <c r="Y173" s="186" t="str">
        <f ca="1">[1]!cb_clause_conversion_2_swapsharestartdate(B173)</f>
        <v>2021-02-05</v>
      </c>
      <c r="Z173" s="186" t="str">
        <f ca="1">[1]!cb_clause_putoption_conditionalputbackstartenddate(B173)</f>
        <v>2024-07-30</v>
      </c>
      <c r="AA173" s="240">
        <f ca="1">[1]!cb_info_maturitycallprice(B173)</f>
        <v>113</v>
      </c>
      <c r="AB173" s="240">
        <f ca="1">IF(ISNUMBER([1]!cb_info_conditionalputprice(B173)),[1]!cb_info_conditionalputprice(B173),"-")</f>
        <v>0</v>
      </c>
      <c r="AC173" s="240">
        <f ca="1">[1]!cb_info_interest(B173)</f>
        <v>0.4</v>
      </c>
      <c r="AD173" s="262" t="str">
        <f ca="1">IFERROR(couponlist([1]!cb_clause_interest(B173,"4")),"-")</f>
        <v>0.4%，0.6%，1.0%，1.5%，2.0%，3.0%</v>
      </c>
      <c r="AE173" s="189"/>
      <c r="AF173" s="189"/>
      <c r="AG173" s="189"/>
      <c r="AH173" s="189"/>
      <c r="AI173" s="189"/>
      <c r="AJ173" s="189"/>
      <c r="AK173" s="189"/>
      <c r="AL173" s="189"/>
      <c r="AM173" s="189"/>
      <c r="AN173" s="189"/>
      <c r="AO173" s="189"/>
      <c r="AP173" s="189"/>
      <c r="AQ173" s="189"/>
    </row>
    <row r="174" spans="1:43" s="130" customFormat="1" x14ac:dyDescent="0.35">
      <c r="A174" s="121" t="s">
        <v>5</v>
      </c>
      <c r="B174" s="121" t="s">
        <v>266</v>
      </c>
      <c r="C174" s="121" t="s">
        <v>267</v>
      </c>
      <c r="D174" s="236" t="str">
        <f ca="1">IF([1]!s_info_industry_sw(B174,1)=0,"-",[1]!s_info_industry_sw(B174,1))</f>
        <v>建筑装饰</v>
      </c>
      <c r="E174" s="122" t="str">
        <f ca="1">[1]!cb_info_underlyingcode(B174)</f>
        <v>000065.SZ</v>
      </c>
      <c r="F174" s="124">
        <f ca="1">RTD("wdf.rtq",,B174,"LastPrice","Dirty_Price")</f>
        <v>120.605</v>
      </c>
      <c r="G174" s="124">
        <f ca="1">RTD("wdf.rtq",,E174,"LastPrice")</f>
        <v>8.52</v>
      </c>
      <c r="H174" s="226">
        <f ca="1">RTD("wdf.rtq",,B174,"PctChg","RT_Price")/100</f>
        <v>5.0000000000000001E-3</v>
      </c>
      <c r="I174" s="226">
        <f ca="1">RTD("wdf.rtq",,E174,"PctChg")/100</f>
        <v>8.3000000000000001E-3</v>
      </c>
      <c r="J174" s="125">
        <f ca="1">_xlfn.IFNA([1]!b_anal_ptmyear(B174,$B$2),"未发行或发行失败")</f>
        <v>4.1260273972602741</v>
      </c>
      <c r="K174" s="125">
        <f ca="1">RTD("wdf.rtq",,B174,"Amount","Dirty_Price")/100000000</f>
        <v>0.16979031999999999</v>
      </c>
      <c r="L174" s="125">
        <f ca="1">[1]!cb_anal_convprice(B174,$B$2)</f>
        <v>8.65</v>
      </c>
      <c r="M174" s="125">
        <f t="shared" ca="1" si="8"/>
        <v>98.497109826589593</v>
      </c>
      <c r="N174" s="126">
        <f t="shared" ca="1" si="9"/>
        <v>22.445217136150234</v>
      </c>
      <c r="O174" s="126">
        <f t="array" aca="1" ref="O174" ca="1">_xlfn.IFNA(RTD("wdf.rtq",,B174,"LastPrice","Yield_To_Maturity"),[1]!cb_anal_ytm(B174,$C$2))</f>
        <v>-1.1521000000000001</v>
      </c>
      <c r="P174" s="126">
        <f ca="1">[1]!cb_anal_straightbondvalue(B174,$B$2)</f>
        <v>100.28959999999999</v>
      </c>
      <c r="Q174" s="126">
        <f t="shared" ca="1" si="10"/>
        <v>20.256736491121714</v>
      </c>
      <c r="R174" s="126" t="str">
        <f ca="1">[1]!b_rate_latestcredit(B174)</f>
        <v>AA+</v>
      </c>
      <c r="S174" s="126">
        <f ca="1">[1]!cb_info_outstandingbalance(B174,$B$2)</f>
        <v>5.3469360000000004</v>
      </c>
      <c r="T174" s="126">
        <f ca="1">[1]!cb_info_issueamount(B174,100000000)</f>
        <v>5.7820999999999998</v>
      </c>
      <c r="U174" s="126">
        <f t="shared" ca="1" si="11"/>
        <v>92.473945452344324</v>
      </c>
      <c r="V174" s="230">
        <f ca="1">IF([1]!cb_anal_ldiluterate(B174,$B$2)=100,"-",[1]!cb_anal_ldiluterate(B174,$B$2))</f>
        <v>8.3551089531160709</v>
      </c>
      <c r="W174" s="127" t="str">
        <f ca="1">[1]!cb_info_listeddate(B174)</f>
        <v>2019-11-21</v>
      </c>
      <c r="X174" s="127" t="str">
        <f ca="1">[1]!cb_info_carrydate(B174)</f>
        <v>2019-10-24</v>
      </c>
      <c r="Y174" s="125" t="str">
        <f ca="1">[1]!cb_clause_conversion_2_swapsharestartdate(B174)</f>
        <v>2020-04-30</v>
      </c>
      <c r="Z174" s="125" t="str">
        <f ca="1">[1]!cb_clause_putoption_conditionalputbackstartenddate(B174)</f>
        <v>2023-10-24</v>
      </c>
      <c r="AA174" s="230">
        <f ca="1">[1]!cb_info_maturitycallprice(B174)</f>
        <v>110</v>
      </c>
      <c r="AB174" s="230">
        <f ca="1">IF(ISNUMBER([1]!cb_info_conditionalputprice(B174)),[1]!cb_info_conditionalputprice(B174),"-")</f>
        <v>100.43300000000001</v>
      </c>
      <c r="AC174" s="230">
        <f ca="1">[1]!cb_info_interest(B174)</f>
        <v>0.5</v>
      </c>
      <c r="AD174" s="263" t="str">
        <f ca="1">IFERROR(couponlist([1]!cb_clause_interest(B174,"4")),"-")</f>
        <v>0.50%，0.80%，1.00%，1.50%，1.80%，2.00%</v>
      </c>
      <c r="AE174" s="129"/>
      <c r="AF174" s="129"/>
      <c r="AG174" s="129"/>
      <c r="AH174" s="129"/>
      <c r="AI174" s="129"/>
      <c r="AJ174" s="129"/>
      <c r="AK174" s="129"/>
      <c r="AL174" s="129"/>
      <c r="AM174" s="129"/>
      <c r="AN174" s="129"/>
      <c r="AO174" s="129"/>
      <c r="AP174" s="129"/>
      <c r="AQ174" s="129"/>
    </row>
    <row r="175" spans="1:43" s="191" customFormat="1" x14ac:dyDescent="0.35">
      <c r="A175" s="182" t="s">
        <v>0</v>
      </c>
      <c r="B175" s="182" t="s">
        <v>1685</v>
      </c>
      <c r="C175" s="182" t="s">
        <v>1686</v>
      </c>
      <c r="D175" s="235" t="str">
        <f ca="1">IF([1]!s_info_industry_sw(B175,1)=0,"-",[1]!s_info_industry_sw(B175,1))</f>
        <v>建筑装饰</v>
      </c>
      <c r="E175" s="183" t="str">
        <f ca="1">[1]!cb_info_underlyingcode(B175)</f>
        <v>600133.SH</v>
      </c>
      <c r="F175" s="185">
        <f ca="1">RTD("wdf.rtq",,B175,"LastPrice","Dirty_Price")</f>
        <v>114.33000000000001</v>
      </c>
      <c r="G175" s="185">
        <f ca="1">RTD("wdf.rtq",,E175,"LastPrice")</f>
        <v>5.99</v>
      </c>
      <c r="H175" s="225">
        <f ca="1">RTD("wdf.rtq",,B175,"PctChg","RT_Price")/100</f>
        <v>5.3E-3</v>
      </c>
      <c r="I175" s="225">
        <f ca="1">RTD("wdf.rtq",,E175,"PctChg")/100</f>
        <v>1.3500000000000002E-2</v>
      </c>
      <c r="J175" s="186">
        <f ca="1">_xlfn.IFNA([1]!b_anal_ptmyear(B175,$B$2),"未发行或发行失败")</f>
        <v>5.5917808219178085</v>
      </c>
      <c r="K175" s="186">
        <f ca="1">RTD("wdf.rtq",,B175,"Amount","Dirty_Price")/100000000</f>
        <v>8.2456509999999997E-2</v>
      </c>
      <c r="L175" s="186">
        <f ca="1">[1]!cb_anal_convprice(B175,$B$2)</f>
        <v>6.05</v>
      </c>
      <c r="M175" s="186">
        <f t="shared" ca="1" si="8"/>
        <v>99.008264462809919</v>
      </c>
      <c r="N175" s="187">
        <f t="shared" ca="1" si="9"/>
        <v>15.475208681135243</v>
      </c>
      <c r="O175" s="187">
        <f t="array" aca="1" ref="O175" ca="1">_xlfn.IFNA(RTD("wdf.rtq",,B175,"LastPrice","Yield_To_Maturity"),[1]!cb_anal_ytm(B175,$C$2))</f>
        <v>0.12230000000000001</v>
      </c>
      <c r="P175" s="187">
        <f ca="1">[1]!cb_anal_straightbondvalue(B175,$B$2)</f>
        <v>90.835300000000004</v>
      </c>
      <c r="Q175" s="187">
        <f t="shared" ca="1" si="10"/>
        <v>25.865164754231017</v>
      </c>
      <c r="R175" s="187" t="str">
        <f ca="1">[1]!b_rate_latestcredit(B175)</f>
        <v>AA</v>
      </c>
      <c r="S175" s="187">
        <f ca="1">[1]!cb_info_outstandingbalance(B175,$B$2)</f>
        <v>15.5</v>
      </c>
      <c r="T175" s="187">
        <f ca="1">[1]!cb_info_issueamount(B175,100000000)</f>
        <v>15.5</v>
      </c>
      <c r="U175" s="187">
        <f t="shared" ca="1" si="11"/>
        <v>100</v>
      </c>
      <c r="V175" s="240">
        <f ca="1">IF([1]!cb_anal_ldiluterate(B175,$B$2)=100,"-",[1]!cb_anal_ldiluterate(B175,$B$2))</f>
        <v>24.824184325285419</v>
      </c>
      <c r="W175" s="188" t="str">
        <f ca="1">[1]!cb_info_listeddate(B175)</f>
        <v>2021-05-12</v>
      </c>
      <c r="X175" s="188" t="str">
        <f ca="1">[1]!cb_info_carrydate(B175)</f>
        <v>2021-04-12</v>
      </c>
      <c r="Y175" s="186" t="str">
        <f ca="1">[1]!cb_clause_conversion_2_swapsharestartdate(B175)</f>
        <v>2021-10-16</v>
      </c>
      <c r="Z175" s="186" t="str">
        <f ca="1">[1]!cb_clause_putoption_conditionalputbackstartenddate(B175)</f>
        <v>2025-04-12</v>
      </c>
      <c r="AA175" s="240">
        <f ca="1">[1]!cb_info_maturitycallprice(B175)</f>
        <v>110</v>
      </c>
      <c r="AB175" s="240">
        <f ca="1">IF(ISNUMBER([1]!cb_info_conditionalputprice(B175)),[1]!cb_info_conditionalputprice(B175),"-")</f>
        <v>0</v>
      </c>
      <c r="AC175" s="240">
        <f ca="1">[1]!cb_info_interest(B175)</f>
        <v>0.3</v>
      </c>
      <c r="AD175" s="262" t="str">
        <f ca="1">IFERROR(couponlist([1]!cb_clause_interest(B175,"4")),"-")</f>
        <v>0.30%，0.50%，1.00%，1.50%，1.80%，2.00%</v>
      </c>
      <c r="AE175" s="189"/>
      <c r="AF175" s="189"/>
      <c r="AG175" s="189"/>
      <c r="AH175" s="189"/>
      <c r="AI175" s="189"/>
      <c r="AJ175" s="189"/>
      <c r="AK175" s="189"/>
      <c r="AL175" s="189"/>
      <c r="AM175" s="189"/>
      <c r="AN175" s="189"/>
      <c r="AO175" s="189"/>
      <c r="AP175" s="189"/>
      <c r="AQ175" s="189"/>
    </row>
    <row r="176" spans="1:43" s="130" customFormat="1" x14ac:dyDescent="0.35">
      <c r="A176" s="121" t="s">
        <v>5</v>
      </c>
      <c r="B176" s="121" t="s">
        <v>1749</v>
      </c>
      <c r="C176" s="121" t="s">
        <v>1750</v>
      </c>
      <c r="D176" s="236" t="str">
        <f ca="1">IF([1]!s_info_industry_sw(B176,1)=0,"-",[1]!s_info_industry_sw(B176,1))</f>
        <v>建筑装饰</v>
      </c>
      <c r="E176" s="122" t="str">
        <f ca="1">[1]!cb_info_underlyingcode(B176)</f>
        <v>002822.SZ</v>
      </c>
      <c r="F176" s="124">
        <f ca="1">RTD("wdf.rtq",,B176,"LastPrice","Dirty_Price")</f>
        <v>115.9</v>
      </c>
      <c r="G176" s="124">
        <f ca="1">RTD("wdf.rtq",,E176,"LastPrice")</f>
        <v>5.64</v>
      </c>
      <c r="H176" s="226">
        <f ca="1">RTD("wdf.rtq",,B176,"PctChg","RT_Price")/100</f>
        <v>-8.5000000000000006E-3</v>
      </c>
      <c r="I176" s="226">
        <f ca="1">RTD("wdf.rtq",,E176,"PctChg")/100</f>
        <v>-3.5000000000000005E-3</v>
      </c>
      <c r="J176" s="125">
        <f ca="1">_xlfn.IFNA([1]!b_anal_ptmyear(B176,$B$2),"未发行或发行失败")</f>
        <v>5.602739726027397</v>
      </c>
      <c r="K176" s="125">
        <f ca="1">RTD("wdf.rtq",,B176,"Amount","Dirty_Price")/100000000</f>
        <v>5.3664580000000003E-2</v>
      </c>
      <c r="L176" s="125">
        <f ca="1">[1]!cb_anal_convprice(B176,$B$2)</f>
        <v>6.28</v>
      </c>
      <c r="M176" s="125">
        <f t="shared" ca="1" si="8"/>
        <v>89.808917197452232</v>
      </c>
      <c r="N176" s="126">
        <f t="shared" ca="1" si="9"/>
        <v>29.051773049645391</v>
      </c>
      <c r="O176" s="126">
        <f t="array" aca="1" ref="O176" ca="1">_xlfn.IFNA(RTD("wdf.rtq",,B176,"LastPrice","Yield_To_Maturity"),[1]!cb_anal_ytm(B176,$C$2))</f>
        <v>0.18730000000000002</v>
      </c>
      <c r="P176" s="126">
        <f ca="1">[1]!cb_anal_straightbondvalue(B176,$B$2)</f>
        <v>92.361999999999995</v>
      </c>
      <c r="Q176" s="126">
        <f t="shared" ca="1" si="10"/>
        <v>25.484506615274682</v>
      </c>
      <c r="R176" s="126" t="str">
        <f ca="1">[1]!b_rate_latestcredit(B176)</f>
        <v>AA</v>
      </c>
      <c r="S176" s="126">
        <f ca="1">[1]!cb_info_outstandingbalance(B176,$B$2)</f>
        <v>11.6</v>
      </c>
      <c r="T176" s="126">
        <f ca="1">[1]!cb_info_issueamount(B176,100000000)</f>
        <v>11.6</v>
      </c>
      <c r="U176" s="126">
        <f t="shared" ca="1" si="11"/>
        <v>100</v>
      </c>
      <c r="V176" s="230">
        <f ca="1">IF([1]!cb_anal_ldiluterate(B176,$B$2)=100,"-",[1]!cb_anal_ldiluterate(B176,$B$2))</f>
        <v>22.355231591390901</v>
      </c>
      <c r="W176" s="127" t="str">
        <f ca="1">[1]!cb_info_listeddate(B176)</f>
        <v>2021-05-24</v>
      </c>
      <c r="X176" s="127" t="str">
        <f ca="1">[1]!cb_info_carrydate(B176)</f>
        <v>2021-04-16</v>
      </c>
      <c r="Y176" s="125" t="str">
        <f ca="1">[1]!cb_clause_conversion_2_swapsharestartdate(B176)</f>
        <v>2021-10-22</v>
      </c>
      <c r="Z176" s="125" t="str">
        <f ca="1">[1]!cb_clause_putoption_conditionalputbackstartenddate(B176)</f>
        <v>2025-04-16</v>
      </c>
      <c r="AA176" s="230">
        <f ca="1">[1]!cb_info_maturitycallprice(B176)</f>
        <v>112</v>
      </c>
      <c r="AB176" s="230">
        <f ca="1">IF(ISNUMBER([1]!cb_info_conditionalputprice(B176)),[1]!cb_info_conditionalputprice(B176),"-")</f>
        <v>0</v>
      </c>
      <c r="AC176" s="230">
        <f ca="1">[1]!cb_info_interest(B176)</f>
        <v>0.3</v>
      </c>
      <c r="AD176" s="263" t="str">
        <f ca="1">IFERROR(couponlist([1]!cb_clause_interest(B176,"4")),"-")</f>
        <v>0.30%，0.50%，1.00%，1.50%，1.80%，2.00%</v>
      </c>
      <c r="AE176" s="129"/>
      <c r="AF176" s="129"/>
      <c r="AG176" s="129"/>
      <c r="AH176" s="129"/>
      <c r="AI176" s="129"/>
      <c r="AJ176" s="129"/>
      <c r="AK176" s="129"/>
      <c r="AL176" s="129"/>
      <c r="AM176" s="129"/>
      <c r="AN176" s="129"/>
      <c r="AO176" s="129"/>
      <c r="AP176" s="129"/>
      <c r="AQ176" s="129"/>
    </row>
    <row r="177" spans="1:43" s="191" customFormat="1" x14ac:dyDescent="0.35">
      <c r="A177" s="182" t="s">
        <v>5</v>
      </c>
      <c r="B177" s="182" t="s">
        <v>316</v>
      </c>
      <c r="C177" s="182" t="s">
        <v>317</v>
      </c>
      <c r="D177" s="235" t="str">
        <f ca="1">IF([1]!s_info_industry_sw(B177,1)=0,"-",[1]!s_info_industry_sw(B177,1))</f>
        <v>建筑装饰</v>
      </c>
      <c r="E177" s="183" t="str">
        <f ca="1">[1]!cb_info_underlyingcode(B177)</f>
        <v>002811.SZ</v>
      </c>
      <c r="F177" s="185">
        <f ca="1">RTD("wdf.rtq",,B177,"LastPrice","Dirty_Price")</f>
        <v>108.93</v>
      </c>
      <c r="G177" s="185">
        <f ca="1">RTD("wdf.rtq",,E177,"LastPrice")</f>
        <v>8.18</v>
      </c>
      <c r="H177" s="225">
        <f ca="1">RTD("wdf.rtq",,B177,"PctChg","RT_Price")/100</f>
        <v>5.0000000000000001E-4</v>
      </c>
      <c r="I177" s="225">
        <f ca="1">RTD("wdf.rtq",,E177,"PctChg")/100</f>
        <v>0</v>
      </c>
      <c r="J177" s="186">
        <f ca="1">_xlfn.IFNA([1]!b_anal_ptmyear(B177,$B$2),"未发行或发行失败")</f>
        <v>3.6054794520547944</v>
      </c>
      <c r="K177" s="186">
        <f ca="1">RTD("wdf.rtq",,B177,"Amount","Dirty_Price")/100000000</f>
        <v>2.387007E-2</v>
      </c>
      <c r="L177" s="186">
        <f ca="1">[1]!cb_anal_convprice(B177,$B$2)</f>
        <v>9.27</v>
      </c>
      <c r="M177" s="186">
        <f t="shared" ca="1" si="8"/>
        <v>88.241639697950376</v>
      </c>
      <c r="N177" s="187">
        <f t="shared" ca="1" si="9"/>
        <v>23.44512224938876</v>
      </c>
      <c r="O177" s="187">
        <f t="array" aca="1" ref="O177" ca="1">_xlfn.IFNA(RTD("wdf.rtq",,B177,"LastPrice","Yield_To_Maturity"),[1]!cb_anal_ytm(B177,$C$2))</f>
        <v>1.9709000000000001</v>
      </c>
      <c r="P177" s="187">
        <f ca="1">[1]!cb_anal_straightbondvalue(B177,$B$2)</f>
        <v>93.927700000000002</v>
      </c>
      <c r="Q177" s="187">
        <f t="shared" ca="1" si="10"/>
        <v>15.97217860120071</v>
      </c>
      <c r="R177" s="187" t="str">
        <f ca="1">[1]!b_rate_latestcredit(B177)</f>
        <v>AA-</v>
      </c>
      <c r="S177" s="187">
        <f ca="1">[1]!cb_info_outstandingbalance(B177,$B$2)</f>
        <v>4.7977150000000002</v>
      </c>
      <c r="T177" s="187">
        <f ca="1">[1]!cb_info_issueamount(B177,100000000)</f>
        <v>4.8</v>
      </c>
      <c r="U177" s="187">
        <f t="shared" ca="1" si="11"/>
        <v>99.952395833333341</v>
      </c>
      <c r="V177" s="240">
        <f ca="1">IF([1]!cb_anal_ldiluterate(B177,$B$2)=100,"-",[1]!cb_anal_ldiluterate(B177,$B$2))</f>
        <v>17.526392353008102</v>
      </c>
      <c r="W177" s="188" t="str">
        <f ca="1">[1]!cb_info_listeddate(B177)</f>
        <v>2019-05-14</v>
      </c>
      <c r="X177" s="188" t="str">
        <f ca="1">[1]!cb_info_carrydate(B177)</f>
        <v>2019-04-17</v>
      </c>
      <c r="Y177" s="186" t="str">
        <f ca="1">[1]!cb_clause_conversion_2_swapsharestartdate(B177)</f>
        <v>2019-10-23</v>
      </c>
      <c r="Z177" s="186" t="str">
        <f ca="1">[1]!cb_clause_putoption_conditionalputbackstartenddate(B177)</f>
        <v>2023-04-17</v>
      </c>
      <c r="AA177" s="240">
        <f ca="1">[1]!cb_info_maturitycallprice(B177)</f>
        <v>112</v>
      </c>
      <c r="AB177" s="240">
        <f ca="1">IF(ISNUMBER([1]!cb_info_conditionalputprice(B177)),[1]!cb_info_conditionalputprice(B177),"-")</f>
        <v>100.366</v>
      </c>
      <c r="AC177" s="240">
        <f ca="1">[1]!cb_info_interest(B177)</f>
        <v>0.5</v>
      </c>
      <c r="AD177" s="262" t="str">
        <f ca="1">IFERROR(couponlist([1]!cb_clause_interest(B177,"4")),"-")</f>
        <v>0.5%，0.8%，1.2%，1.5%，2.0%，3.0%</v>
      </c>
      <c r="AE177" s="189"/>
      <c r="AF177" s="189"/>
      <c r="AG177" s="189"/>
      <c r="AH177" s="189"/>
      <c r="AI177" s="189"/>
      <c r="AJ177" s="189"/>
      <c r="AK177" s="189"/>
      <c r="AL177" s="189"/>
      <c r="AM177" s="189"/>
      <c r="AN177" s="189"/>
      <c r="AO177" s="189"/>
      <c r="AP177" s="189"/>
      <c r="AQ177" s="189"/>
    </row>
    <row r="178" spans="1:43" s="130" customFormat="1" x14ac:dyDescent="0.35">
      <c r="A178" s="121" t="s">
        <v>0</v>
      </c>
      <c r="B178" s="121" t="s">
        <v>342</v>
      </c>
      <c r="C178" s="121" t="s">
        <v>343</v>
      </c>
      <c r="D178" s="236" t="str">
        <f ca="1">IF([1]!s_info_industry_sw(B178,1)=0,"-",[1]!s_info_industry_sw(B178,1))</f>
        <v>建筑装饰</v>
      </c>
      <c r="E178" s="122" t="str">
        <f ca="1">[1]!cb_info_underlyingcode(B178)</f>
        <v>603081.SH</v>
      </c>
      <c r="F178" s="124">
        <f ca="1">RTD("wdf.rtq",,B178,"LastPrice","Dirty_Price")</f>
        <v>111.01</v>
      </c>
      <c r="G178" s="124">
        <f ca="1">RTD("wdf.rtq",,E178,"LastPrice")</f>
        <v>12.86</v>
      </c>
      <c r="H178" s="226">
        <f ca="1">RTD("wdf.rtq",,B178,"PctChg","RT_Price")/100</f>
        <v>1.9E-3</v>
      </c>
      <c r="I178" s="226">
        <f ca="1">RTD("wdf.rtq",,E178,"PctChg")/100</f>
        <v>9.4000000000000004E-3</v>
      </c>
      <c r="J178" s="125">
        <f ca="1">_xlfn.IFNA([1]!b_anal_ptmyear(B178,$B$2),"未发行或发行失败")</f>
        <v>3.547945205479452</v>
      </c>
      <c r="K178" s="125">
        <f ca="1">RTD("wdf.rtq",,B178,"Amount","Dirty_Price")/100000000</f>
        <v>3.6020870000000003E-2</v>
      </c>
      <c r="L178" s="125">
        <f ca="1">[1]!cb_anal_convprice(B178,$B$2)</f>
        <v>16.489999999999998</v>
      </c>
      <c r="M178" s="125">
        <f t="shared" ca="1" si="8"/>
        <v>77.986658580958164</v>
      </c>
      <c r="N178" s="126">
        <f t="shared" ca="1" si="9"/>
        <v>42.34486003110419</v>
      </c>
      <c r="O178" s="126">
        <f t="array" aca="1" ref="O178" ca="1">_xlfn.IFNA(RTD("wdf.rtq",,B178,"LastPrice","Yield_To_Maturity"),[1]!cb_anal_ytm(B178,$C$2))</f>
        <v>2.5100000000000002</v>
      </c>
      <c r="P178" s="126">
        <f ca="1">[1]!cb_anal_straightbondvalue(B178,$B$2)</f>
        <v>105.5958</v>
      </c>
      <c r="Q178" s="126">
        <f t="shared" ca="1" si="10"/>
        <v>5.1272872595311583</v>
      </c>
      <c r="R178" s="126" t="str">
        <f ca="1">[1]!b_rate_latestcredit(B178)</f>
        <v>AA</v>
      </c>
      <c r="S178" s="126">
        <f ca="1">[1]!cb_info_outstandingbalance(B178,$B$2)</f>
        <v>6.2977400000000001</v>
      </c>
      <c r="T178" s="126">
        <f ca="1">[1]!cb_info_issueamount(B178,100000000)</f>
        <v>6.3</v>
      </c>
      <c r="U178" s="126">
        <f t="shared" ca="1" si="11"/>
        <v>99.964126984126992</v>
      </c>
      <c r="V178" s="230">
        <f ca="1">IF([1]!cb_anal_ldiluterate(B178,$B$2)=100,"-",[1]!cb_anal_ldiluterate(B178,$B$2))</f>
        <v>8.6797540801147868</v>
      </c>
      <c r="W178" s="127" t="str">
        <f ca="1">[1]!cb_info_listeddate(B178)</f>
        <v>2019-04-18</v>
      </c>
      <c r="X178" s="127" t="str">
        <f ca="1">[1]!cb_info_carrydate(B178)</f>
        <v>2019-03-27</v>
      </c>
      <c r="Y178" s="125" t="str">
        <f ca="1">[1]!cb_clause_conversion_2_swapsharestartdate(B178)</f>
        <v>2019-10-08</v>
      </c>
      <c r="Z178" s="125" t="str">
        <f ca="1">[1]!cb_clause_putoption_conditionalputbackstartenddate(B178)</f>
        <v>2023-03-27</v>
      </c>
      <c r="AA178" s="230">
        <f ca="1">[1]!cb_info_maturitycallprice(B178)</f>
        <v>116</v>
      </c>
      <c r="AB178" s="230">
        <f ca="1">IF(ISNUMBER([1]!cb_info_conditionalputprice(B178)),[1]!cb_info_conditionalputprice(B178),"-")</f>
        <v>0</v>
      </c>
      <c r="AC178" s="230">
        <f ca="1">[1]!cb_info_interest(B178)</f>
        <v>0.4</v>
      </c>
      <c r="AD178" s="263" t="str">
        <f ca="1">IFERROR(couponlist([1]!cb_clause_interest(B178,"4")),"-")</f>
        <v>0.4%，0.6%，1.0%，1.5%，2.5%，3.0%</v>
      </c>
      <c r="AE178" s="129"/>
      <c r="AF178" s="129"/>
      <c r="AG178" s="129"/>
      <c r="AH178" s="129"/>
      <c r="AI178" s="129"/>
      <c r="AJ178" s="129"/>
      <c r="AK178" s="129"/>
      <c r="AL178" s="129"/>
      <c r="AM178" s="129"/>
      <c r="AN178" s="129"/>
      <c r="AO178" s="129"/>
      <c r="AP178" s="129"/>
      <c r="AQ178" s="129"/>
    </row>
    <row r="179" spans="1:43" s="191" customFormat="1" x14ac:dyDescent="0.35">
      <c r="A179" s="182" t="s">
        <v>0</v>
      </c>
      <c r="B179" s="182" t="s">
        <v>328</v>
      </c>
      <c r="C179" s="182" t="s">
        <v>329</v>
      </c>
      <c r="D179" s="235" t="str">
        <f ca="1">IF([1]!s_info_industry_sw(B179,1)=0,"-",[1]!s_info_industry_sw(B179,1))</f>
        <v>建筑装饰</v>
      </c>
      <c r="E179" s="183" t="str">
        <f ca="1">[1]!cb_info_underlyingcode(B179)</f>
        <v>601611.SH</v>
      </c>
      <c r="F179" s="185">
        <f ca="1">RTD("wdf.rtq",,B179,"LastPrice","Dirty_Price")</f>
        <v>122.96000000000001</v>
      </c>
      <c r="G179" s="185">
        <f ca="1">RTD("wdf.rtq",,E179,"LastPrice")</f>
        <v>9.69</v>
      </c>
      <c r="H179" s="225">
        <f ca="1">RTD("wdf.rtq",,B179,"PctChg","RT_Price")/100</f>
        <v>3.0700000000000002E-2</v>
      </c>
      <c r="I179" s="225">
        <f ca="1">RTD("wdf.rtq",,E179,"PctChg")/100</f>
        <v>6.9500000000000006E-2</v>
      </c>
      <c r="J179" s="186">
        <f ca="1">_xlfn.IFNA([1]!b_anal_ptmyear(B179,$B$2),"未发行或发行失败")</f>
        <v>3.580821917808219</v>
      </c>
      <c r="K179" s="186">
        <f ca="1">RTD("wdf.rtq",,B179,"Amount","Dirty_Price")/100000000</f>
        <v>1.22216192</v>
      </c>
      <c r="L179" s="186">
        <f ca="1">[1]!cb_anal_convprice(B179,$B$2)</f>
        <v>9.6999999999999993</v>
      </c>
      <c r="M179" s="186">
        <f t="shared" ca="1" si="8"/>
        <v>99.896907216494853</v>
      </c>
      <c r="N179" s="187">
        <f t="shared" ca="1" si="9"/>
        <v>23.086893704850354</v>
      </c>
      <c r="O179" s="187">
        <f t="array" aca="1" ref="O179" ca="1">_xlfn.IFNA(RTD("wdf.rtq",,B179,"LastPrice","Yield_To_Maturity"),[1]!cb_anal_ytm(B179,$C$2))</f>
        <v>-3.2977000000000003</v>
      </c>
      <c r="P179" s="187">
        <f ca="1">[1]!cb_anal_straightbondvalue(B179,$B$2)</f>
        <v>97.843800000000002</v>
      </c>
      <c r="Q179" s="187">
        <f t="shared" ca="1" si="10"/>
        <v>25.669689852601792</v>
      </c>
      <c r="R179" s="187" t="str">
        <f ca="1">[1]!b_rate_latestcredit(B179)</f>
        <v>AAA</v>
      </c>
      <c r="S179" s="187">
        <f ca="1">[1]!cb_info_outstandingbalance(B179,$B$2)</f>
        <v>29.9602</v>
      </c>
      <c r="T179" s="187">
        <f ca="1">[1]!cb_info_issueamount(B179,100000000)</f>
        <v>29.962499999999999</v>
      </c>
      <c r="U179" s="187">
        <f t="shared" ca="1" si="11"/>
        <v>99.992323738005851</v>
      </c>
      <c r="V179" s="240">
        <f ca="1">IF([1]!cb_anal_ldiluterate(B179,$B$2)=100,"-",[1]!cb_anal_ldiluterate(B179,$B$2))</f>
        <v>10.527635044222382</v>
      </c>
      <c r="W179" s="188" t="str">
        <f ca="1">[1]!cb_info_listeddate(B179)</f>
        <v>2019-04-26</v>
      </c>
      <c r="X179" s="188" t="str">
        <f ca="1">[1]!cb_info_carrydate(B179)</f>
        <v>2019-04-08</v>
      </c>
      <c r="Y179" s="186" t="str">
        <f ca="1">[1]!cb_clause_conversion_2_swapsharestartdate(B179)</f>
        <v>2019-10-14</v>
      </c>
      <c r="Z179" s="186" t="str">
        <f ca="1">[1]!cb_clause_putoption_conditionalputbackstartenddate(B179)</f>
        <v>2023-04-08</v>
      </c>
      <c r="AA179" s="240">
        <f ca="1">[1]!cb_info_maturitycallprice(B179)</f>
        <v>105</v>
      </c>
      <c r="AB179" s="240">
        <f ca="1">IF(ISNUMBER([1]!cb_info_conditionalputprice(B179)),[1]!cb_info_conditionalputprice(B179),"-")</f>
        <v>0</v>
      </c>
      <c r="AC179" s="240">
        <f ca="1">[1]!cb_info_interest(B179)</f>
        <v>0.2</v>
      </c>
      <c r="AD179" s="262" t="str">
        <f ca="1">IFERROR(couponlist([1]!cb_clause_interest(B179,"4")),"-")</f>
        <v>0.2%，0.4%，1.0%，1.5%，1.8%，2.0%</v>
      </c>
      <c r="AE179" s="189"/>
      <c r="AF179" s="189"/>
      <c r="AG179" s="189"/>
      <c r="AH179" s="189"/>
      <c r="AI179" s="189"/>
      <c r="AJ179" s="189"/>
      <c r="AK179" s="189"/>
      <c r="AL179" s="189"/>
      <c r="AM179" s="189"/>
      <c r="AN179" s="189"/>
      <c r="AO179" s="189"/>
      <c r="AP179" s="189"/>
      <c r="AQ179" s="189"/>
    </row>
    <row r="180" spans="1:43" s="130" customFormat="1" x14ac:dyDescent="0.35">
      <c r="A180" s="121" t="s">
        <v>5</v>
      </c>
      <c r="B180" s="121" t="s">
        <v>601</v>
      </c>
      <c r="C180" s="121" t="s">
        <v>602</v>
      </c>
      <c r="D180" s="236" t="str">
        <f ca="1">IF([1]!s_info_industry_sw(B180,1)=0,"-",[1]!s_info_industry_sw(B180,1))</f>
        <v>建筑装饰</v>
      </c>
      <c r="E180" s="122" t="str">
        <f ca="1">[1]!cb_info_underlyingcode(B180)</f>
        <v>300517.SZ</v>
      </c>
      <c r="F180" s="124">
        <f ca="1">RTD("wdf.rtq",,B180,"LastPrice","Dirty_Price")</f>
        <v>125.435</v>
      </c>
      <c r="G180" s="124">
        <f ca="1">RTD("wdf.rtq",,E180,"LastPrice")</f>
        <v>13.1</v>
      </c>
      <c r="H180" s="226">
        <f ca="1">RTD("wdf.rtq",,B180,"PctChg","RT_Price")/100</f>
        <v>-2.9000000000000002E-3</v>
      </c>
      <c r="I180" s="226">
        <f ca="1">RTD("wdf.rtq",,E180,"PctChg")/100</f>
        <v>-2.3E-3</v>
      </c>
      <c r="J180" s="125">
        <f ca="1">_xlfn.IFNA([1]!b_anal_ptmyear(B180,$B$2),"未发行或发行失败")</f>
        <v>5.2328767123287667</v>
      </c>
      <c r="K180" s="125">
        <f ca="1">RTD("wdf.rtq",,B180,"Amount","Dirty_Price")/100000000</f>
        <v>5.6562010000000003E-2</v>
      </c>
      <c r="L180" s="125">
        <f ca="1">[1]!cb_anal_convprice(B180,$B$2)</f>
        <v>11.58</v>
      </c>
      <c r="M180" s="125">
        <f t="shared" ca="1" si="8"/>
        <v>113.12607944732297</v>
      </c>
      <c r="N180" s="126">
        <f t="shared" ca="1" si="9"/>
        <v>10.880709923664128</v>
      </c>
      <c r="O180" s="126">
        <f t="array" aca="1" ref="O180" ca="1">_xlfn.IFNA(RTD("wdf.rtq",,B180,"LastPrice","Yield_To_Maturity"),[1]!cb_anal_ytm(B180,$C$2))</f>
        <v>0.16550000000000001</v>
      </c>
      <c r="P180" s="126">
        <f ca="1">[1]!cb_anal_straightbondvalue(B180,$B$2)</f>
        <v>81.938199999999995</v>
      </c>
      <c r="Q180" s="126">
        <f t="shared" ca="1" si="10"/>
        <v>53.084885926222455</v>
      </c>
      <c r="R180" s="126" t="str">
        <f ca="1">[1]!b_rate_latestcredit(B180)</f>
        <v>A+</v>
      </c>
      <c r="S180" s="126">
        <f ca="1">[1]!cb_info_outstandingbalance(B180,$B$2)</f>
        <v>2.4369329999999998</v>
      </c>
      <c r="T180" s="126">
        <f ca="1">[1]!cb_info_issueamount(B180,100000000)</f>
        <v>2.4500000000000002</v>
      </c>
      <c r="U180" s="126">
        <f t="shared" ca="1" si="11"/>
        <v>99.466653061224463</v>
      </c>
      <c r="V180" s="230">
        <f ca="1">IF([1]!cb_anal_ldiluterate(B180,$B$2)=100,"-",[1]!cb_anal_ldiluterate(B180,$B$2))</f>
        <v>15.799879537744985</v>
      </c>
      <c r="W180" s="127" t="str">
        <f ca="1">[1]!cb_info_listeddate(B180)</f>
        <v>2020-12-22</v>
      </c>
      <c r="X180" s="127" t="str">
        <f ca="1">[1]!cb_info_carrydate(B180)</f>
        <v>2020-12-02</v>
      </c>
      <c r="Y180" s="125" t="str">
        <f ca="1">[1]!cb_clause_conversion_2_swapsharestartdate(B180)</f>
        <v>2021-06-08</v>
      </c>
      <c r="Z180" s="125" t="str">
        <f ca="1">[1]!cb_clause_putoption_conditionalputbackstartenddate(B180)</f>
        <v>2024-12-02</v>
      </c>
      <c r="AA180" s="230">
        <f ca="1">[1]!cb_info_maturitycallprice(B180)</f>
        <v>120</v>
      </c>
      <c r="AB180" s="230">
        <f ca="1">IF(ISNUMBER([1]!cb_info_conditionalputprice(B180)),[1]!cb_info_conditionalputprice(B180),"-")</f>
        <v>0</v>
      </c>
      <c r="AC180" s="230">
        <f ca="1">[1]!cb_info_interest(B180)</f>
        <v>0.5</v>
      </c>
      <c r="AD180" s="263" t="str">
        <f ca="1">IFERROR(couponlist([1]!cb_clause_interest(B180,"4")),"-")</f>
        <v>0.5%，0.8%，1.2%，1.8%，2.2%，2.8%</v>
      </c>
      <c r="AE180" s="129"/>
      <c r="AF180" s="129"/>
      <c r="AG180" s="129"/>
      <c r="AH180" s="129"/>
      <c r="AI180" s="129"/>
      <c r="AJ180" s="129"/>
      <c r="AK180" s="129"/>
      <c r="AL180" s="129"/>
      <c r="AM180" s="129"/>
      <c r="AN180" s="129"/>
      <c r="AO180" s="129"/>
      <c r="AP180" s="129"/>
      <c r="AQ180" s="129"/>
    </row>
    <row r="181" spans="1:43" s="191" customFormat="1" x14ac:dyDescent="0.35">
      <c r="A181" s="182" t="s">
        <v>0</v>
      </c>
      <c r="B181" s="182" t="s">
        <v>262</v>
      </c>
      <c r="C181" s="182" t="s">
        <v>263</v>
      </c>
      <c r="D181" s="235" t="str">
        <f ca="1">IF([1]!s_info_industry_sw(B181,1)=0,"-",[1]!s_info_industry_sw(B181,1))</f>
        <v>建筑材料</v>
      </c>
      <c r="E181" s="183" t="str">
        <f ca="1">[1]!cb_info_underlyingcode(B181)</f>
        <v>600326.SH</v>
      </c>
      <c r="F181" s="185">
        <f ca="1">RTD("wdf.rtq",,B181,"LastPrice","Dirty_Price")</f>
        <v>126.08000000000001</v>
      </c>
      <c r="G181" s="185">
        <f ca="1">RTD("wdf.rtq",,E181,"LastPrice")</f>
        <v>7.0200000000000005</v>
      </c>
      <c r="H181" s="225">
        <f ca="1">RTD("wdf.rtq",,B181,"PctChg","RT_Price")/100</f>
        <v>2.7400000000000001E-2</v>
      </c>
      <c r="I181" s="225">
        <f ca="1">RTD("wdf.rtq",,E181,"PctChg")/100</f>
        <v>2.18E-2</v>
      </c>
      <c r="J181" s="186">
        <f ca="1">_xlfn.IFNA([1]!b_anal_ptmyear(B181,$B$2),"未发行或发行失败")</f>
        <v>4.1369863013698627</v>
      </c>
      <c r="K181" s="186">
        <f ca="1">RTD("wdf.rtq",,B181,"Amount","Dirty_Price")/100000000</f>
        <v>0.17395121999999999</v>
      </c>
      <c r="L181" s="186">
        <f ca="1">[1]!cb_anal_convprice(B181,$B$2)</f>
        <v>7.08</v>
      </c>
      <c r="M181" s="186">
        <f t="shared" ca="1" si="8"/>
        <v>99.152542372881356</v>
      </c>
      <c r="N181" s="187">
        <f t="shared" ca="1" si="9"/>
        <v>27.157606837606849</v>
      </c>
      <c r="O181" s="187">
        <f t="array" aca="1" ref="O181" ca="1">_xlfn.IFNA(RTD("wdf.rtq",,B181,"LastPrice","Yield_To_Maturity"),[1]!cb_anal_ytm(B181,$C$2))</f>
        <v>-2.2662</v>
      </c>
      <c r="P181" s="187">
        <f ca="1">[1]!cb_anal_straightbondvalue(B181,$B$2)</f>
        <v>97.574200000000005</v>
      </c>
      <c r="Q181" s="187">
        <f t="shared" ca="1" si="10"/>
        <v>29.214484976561437</v>
      </c>
      <c r="R181" s="187" t="str">
        <f ca="1">[1]!b_rate_latestcredit(B181)</f>
        <v>AA</v>
      </c>
      <c r="S181" s="187">
        <f ca="1">[1]!cb_info_outstandingbalance(B181,$B$2)</f>
        <v>7.0639900000000004</v>
      </c>
      <c r="T181" s="187">
        <f ca="1">[1]!cb_info_issueamount(B181,100000000)</f>
        <v>10.86988</v>
      </c>
      <c r="U181" s="187">
        <f t="shared" ca="1" si="11"/>
        <v>64.986825981519573</v>
      </c>
      <c r="V181" s="240">
        <f ca="1">IF([1]!cb_anal_ldiluterate(B181,$B$2)=100,"-",[1]!cb_anal_ldiluterate(B181,$B$2))</f>
        <v>9.7979957710726246</v>
      </c>
      <c r="W181" s="188" t="str">
        <f ca="1">[1]!cb_info_listeddate(B181)</f>
        <v>2019-11-28</v>
      </c>
      <c r="X181" s="188" t="str">
        <f ca="1">[1]!cb_info_carrydate(B181)</f>
        <v>2019-10-28</v>
      </c>
      <c r="Y181" s="186" t="str">
        <f ca="1">[1]!cb_clause_conversion_2_swapsharestartdate(B181)</f>
        <v>2020-05-06</v>
      </c>
      <c r="Z181" s="186" t="str">
        <f ca="1">[1]!cb_clause_putoption_conditionalputbackstartenddate(B181)</f>
        <v>2023-10-28</v>
      </c>
      <c r="AA181" s="240">
        <f ca="1">[1]!cb_info_maturitycallprice(B181)</f>
        <v>110</v>
      </c>
      <c r="AB181" s="240">
        <f ca="1">IF(ISNUMBER([1]!cb_info_conditionalputprice(B181)),[1]!cb_info_conditionalputprice(B181),"-")</f>
        <v>0</v>
      </c>
      <c r="AC181" s="240">
        <f ca="1">[1]!cb_info_interest(B181)</f>
        <v>0.4</v>
      </c>
      <c r="AD181" s="262" t="str">
        <f ca="1">IFERROR(couponlist([1]!cb_clause_interest(B181,"4")),"-")</f>
        <v>0.4%，0.6%，1.0%，1.5%，1.8%，2.0%</v>
      </c>
      <c r="AE181" s="189"/>
      <c r="AF181" s="189"/>
      <c r="AG181" s="189"/>
      <c r="AH181" s="189"/>
      <c r="AI181" s="189"/>
      <c r="AJ181" s="189"/>
      <c r="AK181" s="189"/>
      <c r="AL181" s="189"/>
      <c r="AM181" s="189"/>
      <c r="AN181" s="189"/>
      <c r="AO181" s="189"/>
      <c r="AP181" s="189"/>
      <c r="AQ181" s="189"/>
    </row>
    <row r="182" spans="1:43" s="130" customFormat="1" x14ac:dyDescent="0.35">
      <c r="A182" s="121" t="s">
        <v>5</v>
      </c>
      <c r="B182" s="121" t="s">
        <v>134</v>
      </c>
      <c r="C182" s="121" t="s">
        <v>135</v>
      </c>
      <c r="D182" s="236" t="str">
        <f ca="1">IF([1]!s_info_industry_sw(B182,1)=0,"-",[1]!s_info_industry_sw(B182,1))</f>
        <v>建筑材料</v>
      </c>
      <c r="E182" s="122" t="str">
        <f ca="1">[1]!cb_info_underlyingcode(B182)</f>
        <v>000789.SZ</v>
      </c>
      <c r="F182" s="124">
        <f ca="1">RTD("wdf.rtq",,B182,"LastPrice","Dirty_Price")</f>
        <v>127.5</v>
      </c>
      <c r="G182" s="124">
        <f ca="1">RTD("wdf.rtq",,E182,"LastPrice")</f>
        <v>12.88</v>
      </c>
      <c r="H182" s="226">
        <f ca="1">RTD("wdf.rtq",,B182,"PctChg","RT_Price")/100</f>
        <v>1.9900000000000001E-2</v>
      </c>
      <c r="I182" s="226">
        <f ca="1">RTD("wdf.rtq",,E182,"PctChg")/100</f>
        <v>0</v>
      </c>
      <c r="J182" s="125">
        <f ca="1">_xlfn.IFNA([1]!b_anal_ptmyear(B182,$B$2),"未发行或发行失败")</f>
        <v>4.7342465753424658</v>
      </c>
      <c r="K182" s="125">
        <f ca="1">RTD("wdf.rtq",,B182,"Amount","Dirty_Price")/100000000</f>
        <v>0.1703857</v>
      </c>
      <c r="L182" s="125">
        <f ca="1">[1]!cb_anal_convprice(B182,$B$2)</f>
        <v>13.46</v>
      </c>
      <c r="M182" s="125">
        <f t="shared" ca="1" si="8"/>
        <v>95.690936106983642</v>
      </c>
      <c r="N182" s="126">
        <f t="shared" ca="1" si="9"/>
        <v>33.24145962732922</v>
      </c>
      <c r="O182" s="126">
        <f t="array" aca="1" ref="O182" ca="1">_xlfn.IFNA(RTD("wdf.rtq",,B182,"LastPrice","Yield_To_Maturity"),[1]!cb_anal_ytm(B182,$C$2))</f>
        <v>-1.6513</v>
      </c>
      <c r="P182" s="126">
        <f ca="1">[1]!cb_anal_straightbondvalue(B182,$B$2)</f>
        <v>100.1135</v>
      </c>
      <c r="Q182" s="126">
        <f t="shared" ca="1" si="10"/>
        <v>27.355451562476588</v>
      </c>
      <c r="R182" s="126" t="str">
        <f ca="1">[1]!b_rate_latestcredit(B182)</f>
        <v>AA+</v>
      </c>
      <c r="S182" s="126">
        <f ca="1">[1]!cb_info_outstandingbalance(B182,$B$2)</f>
        <v>9.9961120000000001</v>
      </c>
      <c r="T182" s="126">
        <f ca="1">[1]!cb_info_issueamount(B182,100000000)</f>
        <v>10</v>
      </c>
      <c r="U182" s="126">
        <f t="shared" ca="1" si="11"/>
        <v>99.961120000000008</v>
      </c>
      <c r="V182" s="230">
        <f ca="1">IF([1]!cb_anal_ldiluterate(B182,$B$2)=100,"-",[1]!cb_anal_ldiluterate(B182,$B$2))</f>
        <v>8.5203759463917379</v>
      </c>
      <c r="W182" s="127" t="str">
        <f ca="1">[1]!cb_info_listeddate(B182)</f>
        <v>2020-07-02</v>
      </c>
      <c r="X182" s="127" t="str">
        <f ca="1">[1]!cb_info_carrydate(B182)</f>
        <v>2020-06-03</v>
      </c>
      <c r="Y182" s="125" t="str">
        <f ca="1">[1]!cb_clause_conversion_2_swapsharestartdate(B182)</f>
        <v>2020-12-09</v>
      </c>
      <c r="Z182" s="125" t="str">
        <f ca="1">[1]!cb_clause_putoption_conditionalputbackstartenddate(B182)</f>
        <v>2024-06-03</v>
      </c>
      <c r="AA182" s="230">
        <f ca="1">[1]!cb_info_maturitycallprice(B182)</f>
        <v>113</v>
      </c>
      <c r="AB182" s="230">
        <f ca="1">IF(ISNUMBER([1]!cb_info_conditionalputprice(B182)),[1]!cb_info_conditionalputprice(B182),"-")</f>
        <v>0</v>
      </c>
      <c r="AC182" s="230">
        <f ca="1">[1]!cb_info_interest(B182)</f>
        <v>0.4</v>
      </c>
      <c r="AD182" s="263" t="str">
        <f ca="1">IFERROR(couponlist([1]!cb_clause_interest(B182,"4")),"-")</f>
        <v>0.4%，0.6%，0.9%，1.5%，2.0%，2.3%</v>
      </c>
      <c r="AE182" s="129"/>
      <c r="AF182" s="129"/>
      <c r="AG182" s="129"/>
      <c r="AH182" s="129"/>
      <c r="AI182" s="129"/>
      <c r="AJ182" s="129"/>
      <c r="AK182" s="129"/>
      <c r="AL182" s="129"/>
      <c r="AM182" s="129"/>
      <c r="AN182" s="129"/>
      <c r="AO182" s="129"/>
      <c r="AP182" s="129"/>
      <c r="AQ182" s="129"/>
    </row>
    <row r="183" spans="1:43" s="191" customFormat="1" x14ac:dyDescent="0.35">
      <c r="A183" s="182" t="s">
        <v>5</v>
      </c>
      <c r="B183" s="182" t="s">
        <v>632</v>
      </c>
      <c r="C183" s="182" t="s">
        <v>633</v>
      </c>
      <c r="D183" s="235" t="str">
        <f ca="1">IF([1]!s_info_industry_sw(B183,1)=0,"-",[1]!s_info_industry_sw(B183,1))</f>
        <v>建筑材料</v>
      </c>
      <c r="E183" s="183" t="str">
        <f ca="1">[1]!cb_info_underlyingcode(B183)</f>
        <v>000401.SZ</v>
      </c>
      <c r="F183" s="185">
        <f ca="1">RTD("wdf.rtq",,B183,"LastPrice","Dirty_Price")</f>
        <v>122.99000000000001</v>
      </c>
      <c r="G183" s="185">
        <f ca="1">RTD("wdf.rtq",,E183,"LastPrice")</f>
        <v>13.67</v>
      </c>
      <c r="H183" s="225">
        <f ca="1">RTD("wdf.rtq",,B183,"PctChg","RT_Price")/100</f>
        <v>1.66E-2</v>
      </c>
      <c r="I183" s="225">
        <f ca="1">RTD("wdf.rtq",,E183,"PctChg")/100</f>
        <v>1.03E-2</v>
      </c>
      <c r="J183" s="186">
        <f ca="1">_xlfn.IFNA([1]!b_anal_ptmyear(B183,$B$2),"未发行或发行失败")</f>
        <v>5.1589041095890416</v>
      </c>
      <c r="K183" s="186">
        <f ca="1">RTD("wdf.rtq",,B183,"Amount","Dirty_Price")/100000000</f>
        <v>0.22079672</v>
      </c>
      <c r="L183" s="186">
        <f ca="1">[1]!cb_anal_convprice(B183,$B$2)</f>
        <v>15.28</v>
      </c>
      <c r="M183" s="186">
        <f t="shared" ca="1" si="8"/>
        <v>89.463350785340324</v>
      </c>
      <c r="N183" s="187">
        <f t="shared" ca="1" si="9"/>
        <v>37.475288953913662</v>
      </c>
      <c r="O183" s="187">
        <f t="array" aca="1" ref="O183" ca="1">_xlfn.IFNA(RTD("wdf.rtq",,B183,"LastPrice","Yield_To_Maturity"),[1]!cb_anal_ytm(B183,$C$2))</f>
        <v>-2.1556999999999999</v>
      </c>
      <c r="P183" s="187">
        <f ca="1">[1]!cb_anal_straightbondvalue(B183,$B$2)</f>
        <v>92.650400000000005</v>
      </c>
      <c r="Q183" s="187">
        <f t="shared" ca="1" si="10"/>
        <v>32.746323815115744</v>
      </c>
      <c r="R183" s="187" t="str">
        <f ca="1">[1]!b_rate_latestcredit(B183)</f>
        <v>AAA</v>
      </c>
      <c r="S183" s="187">
        <f ca="1">[1]!cb_info_outstandingbalance(B183,$B$2)</f>
        <v>17.764955</v>
      </c>
      <c r="T183" s="187">
        <f ca="1">[1]!cb_info_issueamount(B183,100000000)</f>
        <v>28.2</v>
      </c>
      <c r="U183" s="187">
        <f t="shared" ca="1" si="11"/>
        <v>62.996294326241134</v>
      </c>
      <c r="V183" s="240">
        <f ca="1">IF([1]!cb_anal_ldiluterate(B183,$B$2)=100,"-",[1]!cb_anal_ldiluterate(B183,$B$2))</f>
        <v>7.6007541503417864</v>
      </c>
      <c r="W183" s="188" t="str">
        <f ca="1">[1]!cb_info_listeddate(B183)</f>
        <v>2020-12-02</v>
      </c>
      <c r="X183" s="188" t="str">
        <f ca="1">[1]!cb_info_carrydate(B183)</f>
        <v>2020-11-05</v>
      </c>
      <c r="Y183" s="186" t="str">
        <f ca="1">[1]!cb_clause_conversion_2_swapsharestartdate(B183)</f>
        <v>2021-05-11</v>
      </c>
      <c r="Z183" s="186" t="str">
        <f ca="1">[1]!cb_clause_putoption_conditionalputbackstartenddate(B183)</f>
        <v>2024-11-05</v>
      </c>
      <c r="AA183" s="240">
        <f ca="1">[1]!cb_info_maturitycallprice(B183)</f>
        <v>106</v>
      </c>
      <c r="AB183" s="240">
        <f ca="1">IF(ISNUMBER([1]!cb_info_conditionalputprice(B183)),[1]!cb_info_conditionalputprice(B183),"-")</f>
        <v>0</v>
      </c>
      <c r="AC183" s="240">
        <f ca="1">[1]!cb_info_interest(B183)</f>
        <v>0.2</v>
      </c>
      <c r="AD183" s="262" t="str">
        <f ca="1">IFERROR(couponlist([1]!cb_clause_interest(B183,"4")),"-")</f>
        <v>0.20%，0.40%，0.80%，1.20%，1.50%，2.00%</v>
      </c>
      <c r="AE183" s="189"/>
      <c r="AF183" s="189"/>
      <c r="AG183" s="189"/>
      <c r="AH183" s="189"/>
      <c r="AI183" s="189"/>
      <c r="AJ183" s="189"/>
      <c r="AK183" s="189"/>
      <c r="AL183" s="189"/>
      <c r="AM183" s="189"/>
      <c r="AN183" s="189"/>
      <c r="AO183" s="189"/>
      <c r="AP183" s="189"/>
      <c r="AQ183" s="189"/>
    </row>
    <row r="184" spans="1:43" s="130" customFormat="1" x14ac:dyDescent="0.35">
      <c r="A184" s="121" t="s">
        <v>0</v>
      </c>
      <c r="B184" s="121" t="s">
        <v>1691</v>
      </c>
      <c r="C184" s="121" t="s">
        <v>1692</v>
      </c>
      <c r="D184" s="236" t="str">
        <f ca="1">IF([1]!s_info_industry_sw(B184,1)=0,"-",[1]!s_info_industry_sw(B184,1))</f>
        <v>建筑材料</v>
      </c>
      <c r="E184" s="122" t="str">
        <f ca="1">[1]!cb_info_underlyingcode(B184)</f>
        <v>601636.SH</v>
      </c>
      <c r="F184" s="124">
        <f ca="1">RTD("wdf.rtq",,B184,"LastPrice","Dirty_Price")</f>
        <v>218.89000000000001</v>
      </c>
      <c r="G184" s="124">
        <f ca="1">RTD("wdf.rtq",,E184,"LastPrice")</f>
        <v>25.43</v>
      </c>
      <c r="H184" s="226">
        <f ca="1">RTD("wdf.rtq",,B184,"PctChg","RT_Price")/100</f>
        <v>-5.0000000000000001E-4</v>
      </c>
      <c r="I184" s="226">
        <f ca="1">RTD("wdf.rtq",,E184,"PctChg")/100</f>
        <v>-2.7900000000000001E-2</v>
      </c>
      <c r="J184" s="125">
        <f ca="1">_xlfn.IFNA([1]!b_anal_ptmyear(B184,$B$2),"未发行或发行失败")</f>
        <v>5.5835616438356164</v>
      </c>
      <c r="K184" s="125">
        <f ca="1">RTD("wdf.rtq",,B184,"Amount","Dirty_Price")/100000000</f>
        <v>0.91585941999999998</v>
      </c>
      <c r="L184" s="125">
        <f ca="1">[1]!cb_anal_convprice(B184,$B$2)</f>
        <v>12.8</v>
      </c>
      <c r="M184" s="125">
        <f t="shared" ca="1" si="8"/>
        <v>198.671875</v>
      </c>
      <c r="N184" s="126">
        <f t="shared" ca="1" si="9"/>
        <v>10.176641761698775</v>
      </c>
      <c r="O184" s="126">
        <f t="array" aca="1" ref="O184" ca="1">_xlfn.IFNA(RTD("wdf.rtq",,B184,"LastPrice","Yield_To_Maturity"),[1]!cb_anal_ytm(B184,$C$2))</f>
        <v>-11.1434</v>
      </c>
      <c r="P184" s="126">
        <f ca="1">[1]!cb_anal_straightbondvalue(B184,$B$2)</f>
        <v>93.093100000000007</v>
      </c>
      <c r="Q184" s="126">
        <f t="shared" ca="1" si="10"/>
        <v>135.1302083613071</v>
      </c>
      <c r="R184" s="126" t="str">
        <f ca="1">[1]!b_rate_latestcredit(B184)</f>
        <v>AA+</v>
      </c>
      <c r="S184" s="126">
        <f ca="1">[1]!cb_info_outstandingbalance(B184,$B$2)</f>
        <v>15</v>
      </c>
      <c r="T184" s="126">
        <f ca="1">[1]!cb_info_issueamount(B184,100000000)</f>
        <v>15</v>
      </c>
      <c r="U184" s="126">
        <f t="shared" ca="1" si="11"/>
        <v>100</v>
      </c>
      <c r="V184" s="230">
        <f ca="1">IF([1]!cb_anal_ldiluterate(B184,$B$2)=100,"-",[1]!cb_anal_ldiluterate(B184,$B$2))</f>
        <v>4.1801852892834823</v>
      </c>
      <c r="W184" s="127" t="str">
        <f ca="1">[1]!cb_info_listeddate(B184)</f>
        <v>2021-05-07</v>
      </c>
      <c r="X184" s="127" t="str">
        <f ca="1">[1]!cb_info_carrydate(B184)</f>
        <v>2021-04-09</v>
      </c>
      <c r="Y184" s="125" t="str">
        <f ca="1">[1]!cb_clause_conversion_2_swapsharestartdate(B184)</f>
        <v>2021-10-15</v>
      </c>
      <c r="Z184" s="125" t="str">
        <f ca="1">[1]!cb_clause_putoption_conditionalputbackstartenddate(B184)</f>
        <v>2025-04-09</v>
      </c>
      <c r="AA184" s="230">
        <f ca="1">[1]!cb_info_maturitycallprice(B184)</f>
        <v>110</v>
      </c>
      <c r="AB184" s="230">
        <f ca="1">IF(ISNUMBER([1]!cb_info_conditionalputprice(B184)),[1]!cb_info_conditionalputprice(B184),"-")</f>
        <v>0</v>
      </c>
      <c r="AC184" s="230">
        <f ca="1">[1]!cb_info_interest(B184)</f>
        <v>0.2</v>
      </c>
      <c r="AD184" s="263" t="str">
        <f ca="1">IFERROR(couponlist([1]!cb_clause_interest(B184,"4")),"-")</f>
        <v>0.20%，0.40%，0.60%，1.00%，1.80%，2.00%</v>
      </c>
      <c r="AE184" s="129"/>
      <c r="AF184" s="129"/>
      <c r="AG184" s="129"/>
      <c r="AH184" s="129"/>
      <c r="AI184" s="129"/>
      <c r="AJ184" s="129"/>
      <c r="AK184" s="129"/>
      <c r="AL184" s="129"/>
      <c r="AM184" s="129"/>
      <c r="AN184" s="129"/>
      <c r="AO184" s="129"/>
      <c r="AP184" s="129"/>
      <c r="AQ184" s="129"/>
    </row>
    <row r="185" spans="1:43" s="191" customFormat="1" x14ac:dyDescent="0.35">
      <c r="A185" s="182" t="s">
        <v>5</v>
      </c>
      <c r="B185" s="182" t="s">
        <v>1753</v>
      </c>
      <c r="C185" s="182" t="s">
        <v>1754</v>
      </c>
      <c r="D185" s="235" t="str">
        <f ca="1">IF([1]!s_info_industry_sw(B185,1)=0,"-",[1]!s_info_industry_sw(B185,1))</f>
        <v>建筑材料</v>
      </c>
      <c r="E185" s="183" t="str">
        <f ca="1">[1]!cb_info_underlyingcode(B185)</f>
        <v>002225.SZ</v>
      </c>
      <c r="F185" s="185">
        <f ca="1">RTD("wdf.rtq",,B185,"LastPrice","Dirty_Price")</f>
        <v>130.01400000000001</v>
      </c>
      <c r="G185" s="185">
        <f ca="1">RTD("wdf.rtq",,E185,"LastPrice")</f>
        <v>5.09</v>
      </c>
      <c r="H185" s="225">
        <f ca="1">RTD("wdf.rtq",,B185,"PctChg","RT_Price")/100</f>
        <v>-1.1000000000000001E-3</v>
      </c>
      <c r="I185" s="225">
        <f ca="1">RTD("wdf.rtq",,E185,"PctChg")/100</f>
        <v>7.9000000000000008E-3</v>
      </c>
      <c r="J185" s="186">
        <f ca="1">_xlfn.IFNA([1]!b_anal_ptmyear(B185,$B$2),"未发行或发行失败")</f>
        <v>4.7123287671232879</v>
      </c>
      <c r="K185" s="186">
        <f ca="1">RTD("wdf.rtq",,B185,"Amount","Dirty_Price")/100000000</f>
        <v>0.17036794999999999</v>
      </c>
      <c r="L185" s="186">
        <f ca="1">[1]!cb_anal_convprice(B185,$B$2)</f>
        <v>4.43</v>
      </c>
      <c r="M185" s="186">
        <f t="shared" ca="1" si="8"/>
        <v>114.89841986455983</v>
      </c>
      <c r="N185" s="187">
        <f t="shared" ca="1" si="9"/>
        <v>13.155603143418475</v>
      </c>
      <c r="O185" s="187">
        <f t="array" aca="1" ref="O185" ca="1">_xlfn.IFNA(RTD("wdf.rtq",,B185,"LastPrice","Yield_To_Maturity"),[1]!cb_anal_ytm(B185,$C$2))</f>
        <v>-2.6756000000000002</v>
      </c>
      <c r="P185" s="187">
        <f ca="1">[1]!cb_anal_straightbondvalue(B185,$B$2)</f>
        <v>94.528099999999995</v>
      </c>
      <c r="Q185" s="187">
        <f t="shared" ca="1" si="10"/>
        <v>37.54005422726155</v>
      </c>
      <c r="R185" s="187" t="str">
        <f ca="1">[1]!b_rate_latestcredit(B185)</f>
        <v>AA</v>
      </c>
      <c r="S185" s="187">
        <f ca="1">[1]!cb_info_outstandingbalance(B185,$B$2)</f>
        <v>6.263903</v>
      </c>
      <c r="T185" s="187">
        <f ca="1">[1]!cb_info_issueamount(B185,100000000)</f>
        <v>6.263903</v>
      </c>
      <c r="U185" s="187">
        <f t="shared" ca="1" si="11"/>
        <v>100</v>
      </c>
      <c r="V185" s="240">
        <f ca="1">IF([1]!cb_anal_ldiluterate(B185,$B$2)=100,"-",[1]!cb_anal_ldiluterate(B185,$B$2))</f>
        <v>14.816818740157487</v>
      </c>
      <c r="W185" s="188" t="str">
        <f ca="1">[1]!cb_info_listeddate(B185)</f>
        <v>2021-06-18</v>
      </c>
      <c r="X185" s="188" t="str">
        <f ca="1">[1]!cb_info_carrydate(B185)</f>
        <v>2021-05-26</v>
      </c>
      <c r="Y185" s="186" t="str">
        <f ca="1">[1]!cb_clause_conversion_2_swapsharestartdate(B185)</f>
        <v>2021-12-01</v>
      </c>
      <c r="Z185" s="186" t="str">
        <f ca="1">[1]!cb_clause_putoption_conditionalputbackstartenddate(B185)</f>
        <v>2024-05-26</v>
      </c>
      <c r="AA185" s="240">
        <f ca="1">[1]!cb_info_maturitycallprice(B185)</f>
        <v>108.8</v>
      </c>
      <c r="AB185" s="240">
        <f ca="1">IF(ISNUMBER([1]!cb_info_conditionalputprice(B185)),[1]!cb_info_conditionalputprice(B185),"-")</f>
        <v>0</v>
      </c>
      <c r="AC185" s="240">
        <f ca="1">[1]!cb_info_interest(B185)</f>
        <v>0.6</v>
      </c>
      <c r="AD185" s="262" t="str">
        <f ca="1">IFERROR(couponlist([1]!cb_clause_interest(B185,"4")),"-")</f>
        <v>0.6%，0.8%，1.5%，3.0%，3.8%</v>
      </c>
      <c r="AE185" s="189"/>
      <c r="AF185" s="189"/>
      <c r="AG185" s="189"/>
      <c r="AH185" s="189"/>
      <c r="AI185" s="189"/>
      <c r="AJ185" s="189"/>
      <c r="AK185" s="189"/>
      <c r="AL185" s="189"/>
      <c r="AM185" s="189"/>
      <c r="AN185" s="189"/>
      <c r="AO185" s="189"/>
      <c r="AP185" s="189"/>
      <c r="AQ185" s="189"/>
    </row>
    <row r="186" spans="1:43" s="130" customFormat="1" x14ac:dyDescent="0.35">
      <c r="A186" s="121" t="s">
        <v>5</v>
      </c>
      <c r="B186" s="121" t="s">
        <v>1771</v>
      </c>
      <c r="C186" s="121" t="s">
        <v>1772</v>
      </c>
      <c r="D186" s="236" t="str">
        <f ca="1">IF([1]!s_info_industry_sw(B186,1)=0,"-",[1]!s_info_industry_sw(B186,1))</f>
        <v>建筑材料</v>
      </c>
      <c r="E186" s="122" t="str">
        <f ca="1">[1]!cb_info_underlyingcode(B186)</f>
        <v>002918.SZ</v>
      </c>
      <c r="F186" s="124">
        <f ca="1">RTD("wdf.rtq",,B186,"LastPrice","Dirty_Price")</f>
        <v>0</v>
      </c>
      <c r="G186" s="124">
        <f ca="1">RTD("wdf.rtq",,E186,"LastPrice")</f>
        <v>29.04</v>
      </c>
      <c r="H186" s="226">
        <f ca="1">RTD("wdf.rtq",,B186,"PctChg","RT_Price")/100</f>
        <v>0</v>
      </c>
      <c r="I186" s="226">
        <f ca="1">RTD("wdf.rtq",,E186,"PctChg")/100</f>
        <v>1.43E-2</v>
      </c>
      <c r="J186" s="125">
        <f ca="1">_xlfn.IFNA([1]!b_anal_ptmyear(B186,$B$2),"未发行或发行失败")</f>
        <v>5.9369863013698634</v>
      </c>
      <c r="K186" s="125">
        <f ca="1">RTD("wdf.rtq",,B186,"Amount","Dirty_Price")/100000000</f>
        <v>0</v>
      </c>
      <c r="L186" s="125">
        <f ca="1">[1]!cb_anal_convprice(B186,$B$2)</f>
        <v>27.2</v>
      </c>
      <c r="M186" s="125">
        <f t="shared" ca="1" si="8"/>
        <v>106.76470588235294</v>
      </c>
      <c r="N186" s="126" t="str">
        <f t="shared" si="9"/>
        <v>-</v>
      </c>
      <c r="O186" s="126">
        <f t="array" aca="1" ref="O186" ca="1">_xlfn.IFNA(RTD("wdf.rtq",,B186,"LastPrice","Yield_To_Maturity"),[1]!cb_anal_ytm(B186,$C$2))</f>
        <v>0</v>
      </c>
      <c r="P186" s="126">
        <f ca="1">[1]!cb_anal_straightbondvalue(B186,$B$2)</f>
        <v>90.885499999999993</v>
      </c>
      <c r="Q186" s="126" t="str">
        <f t="shared" ca="1" si="10"/>
        <v>-</v>
      </c>
      <c r="R186" s="126" t="str">
        <f ca="1">[1]!b_rate_latestcredit(B186)</f>
        <v>AA</v>
      </c>
      <c r="S186" s="126">
        <f ca="1">[1]!cb_info_outstandingbalance(B186,$B$2)</f>
        <v>11.689299999999999</v>
      </c>
      <c r="T186" s="126">
        <f ca="1">[1]!cb_info_issueamount(B186,100000000)</f>
        <v>11.689299999999999</v>
      </c>
      <c r="U186" s="126">
        <f t="shared" ca="1" si="11"/>
        <v>99.999999999999986</v>
      </c>
      <c r="V186" s="230">
        <f ca="1">IF([1]!cb_anal_ldiluterate(B186,$B$2)=100,"-",[1]!cb_anal_ldiluterate(B186,$B$2))</f>
        <v>16.712187933201637</v>
      </c>
      <c r="W186" s="127">
        <f ca="1">[1]!cb_info_listeddate(B186)</f>
        <v>0</v>
      </c>
      <c r="X186" s="127" t="str">
        <f ca="1">[1]!cb_info_carrydate(B186)</f>
        <v>2021-08-16</v>
      </c>
      <c r="Y186" s="125" t="str">
        <f ca="1">[1]!cb_clause_conversion_2_swapsharestartdate(B186)</f>
        <v>2022-02-21</v>
      </c>
      <c r="Z186" s="125" t="str">
        <f ca="1">[1]!cb_clause_putoption_conditionalputbackstartenddate(B186)</f>
        <v>2025-08-16</v>
      </c>
      <c r="AA186" s="230">
        <f ca="1">[1]!cb_info_maturitycallprice(B186)</f>
        <v>112</v>
      </c>
      <c r="AB186" s="230">
        <f ca="1">IF(ISNUMBER([1]!cb_info_conditionalputprice(B186)),[1]!cb_info_conditionalputprice(B186),"-")</f>
        <v>0</v>
      </c>
      <c r="AC186" s="230">
        <f ca="1">[1]!cb_info_interest(B186)</f>
        <v>0.3</v>
      </c>
      <c r="AD186" s="263" t="str">
        <f ca="1">IFERROR(couponlist([1]!cb_clause_interest(B186,"4")),"-")</f>
        <v>0.30%，0.50%，1.00%，1.50%，1.80%，2.00%</v>
      </c>
      <c r="AE186" s="129"/>
      <c r="AF186" s="129"/>
      <c r="AG186" s="129"/>
      <c r="AH186" s="129"/>
      <c r="AI186" s="129"/>
      <c r="AJ186" s="129"/>
      <c r="AK186" s="129"/>
      <c r="AL186" s="129"/>
      <c r="AM186" s="129"/>
      <c r="AN186" s="129"/>
      <c r="AO186" s="129"/>
      <c r="AP186" s="129"/>
      <c r="AQ186" s="129"/>
    </row>
    <row r="187" spans="1:43" s="191" customFormat="1" x14ac:dyDescent="0.35">
      <c r="A187" s="182" t="s">
        <v>5</v>
      </c>
      <c r="B187" s="182" t="s">
        <v>200</v>
      </c>
      <c r="C187" s="182" t="s">
        <v>201</v>
      </c>
      <c r="D187" s="235" t="str">
        <f ca="1">IF([1]!s_info_industry_sw(B187,1)=0,"-",[1]!s_info_industry_sw(B187,1))</f>
        <v>家用电器</v>
      </c>
      <c r="E187" s="183" t="str">
        <f ca="1">[1]!cb_info_underlyingcode(B187)</f>
        <v>002614.SZ</v>
      </c>
      <c r="F187" s="185">
        <f ca="1">RTD("wdf.rtq",,B187,"LastPrice","Dirty_Price")</f>
        <v>169.41200000000001</v>
      </c>
      <c r="G187" s="185">
        <f ca="1">RTD("wdf.rtq",,E187,"LastPrice")</f>
        <v>15.14</v>
      </c>
      <c r="H187" s="225">
        <f ca="1">RTD("wdf.rtq",,B187,"PctChg","RT_Price")/100</f>
        <v>-7.5000000000000015E-3</v>
      </c>
      <c r="I187" s="225">
        <f ca="1">RTD("wdf.rtq",,E187,"PctChg")/100</f>
        <v>2E-3</v>
      </c>
      <c r="J187" s="186">
        <f ca="1">_xlfn.IFNA([1]!b_anal_ptmyear(B187,$B$2),"未发行或发行失败")</f>
        <v>4.4657534246575343</v>
      </c>
      <c r="K187" s="186">
        <f ca="1">RTD("wdf.rtq",,B187,"Amount","Dirty_Price")/100000000</f>
        <v>0.15112771</v>
      </c>
      <c r="L187" s="186">
        <f ca="1">[1]!cb_anal_convprice(B187,$B$2)</f>
        <v>10.39</v>
      </c>
      <c r="M187" s="186">
        <f t="shared" ca="1" si="8"/>
        <v>145.71703561116456</v>
      </c>
      <c r="N187" s="187">
        <f t="shared" ca="1" si="9"/>
        <v>16.260943196829615</v>
      </c>
      <c r="O187" s="187">
        <f t="array" aca="1" ref="O187" ca="1">_xlfn.IFNA(RTD("wdf.rtq",,B187,"LastPrice","Yield_To_Maturity"),[1]!cb_anal_ytm(B187,$C$2))</f>
        <v>-8.4718999999999998</v>
      </c>
      <c r="P187" s="187">
        <f ca="1">[1]!cb_anal_straightbondvalue(B187,$B$2)</f>
        <v>95.830600000000004</v>
      </c>
      <c r="Q187" s="187">
        <f t="shared" ca="1" si="10"/>
        <v>76.782781282805274</v>
      </c>
      <c r="R187" s="187" t="str">
        <f ca="1">[1]!b_rate_latestcredit(B187)</f>
        <v>AA</v>
      </c>
      <c r="S187" s="187">
        <f ca="1">[1]!cb_info_outstandingbalance(B187,$B$2)</f>
        <v>4.5963539999999998</v>
      </c>
      <c r="T187" s="187">
        <f ca="1">[1]!cb_info_issueamount(B187,100000000)</f>
        <v>12</v>
      </c>
      <c r="U187" s="187">
        <f t="shared" ca="1" si="11"/>
        <v>38.302950000000003</v>
      </c>
      <c r="V187" s="240">
        <f ca="1">IF([1]!cb_anal_ldiluterate(B187,$B$2)=100,"-",[1]!cb_anal_ldiluterate(B187,$B$2))</f>
        <v>8.9879214093873792</v>
      </c>
      <c r="W187" s="188" t="str">
        <f ca="1">[1]!cb_info_listeddate(B187)</f>
        <v>2020-03-18</v>
      </c>
      <c r="X187" s="188" t="str">
        <f ca="1">[1]!cb_info_carrydate(B187)</f>
        <v>2020-02-25</v>
      </c>
      <c r="Y187" s="186" t="str">
        <f ca="1">[1]!cb_clause_conversion_2_swapsharestartdate(B187)</f>
        <v>2020-09-02</v>
      </c>
      <c r="Z187" s="186" t="str">
        <f ca="1">[1]!cb_clause_putoption_conditionalputbackstartenddate(B187)</f>
        <v>2024-02-25</v>
      </c>
      <c r="AA187" s="240">
        <f ca="1">[1]!cb_info_maturitycallprice(B187)</f>
        <v>110</v>
      </c>
      <c r="AB187" s="240">
        <f ca="1">IF(ISNUMBER([1]!cb_info_conditionalputprice(B187)),[1]!cb_info_conditionalputprice(B187),"-")</f>
        <v>0</v>
      </c>
      <c r="AC187" s="240">
        <f ca="1">[1]!cb_info_interest(B187)</f>
        <v>0.4</v>
      </c>
      <c r="AD187" s="262" t="str">
        <f ca="1">IFERROR(couponlist([1]!cb_clause_interest(B187,"4")),"-")</f>
        <v>0.40%，0.60%，1.00%，1.50%，1.80%，2.00%</v>
      </c>
      <c r="AE187" s="189"/>
      <c r="AF187" s="189"/>
      <c r="AG187" s="189"/>
      <c r="AH187" s="189"/>
      <c r="AI187" s="189"/>
      <c r="AJ187" s="189"/>
      <c r="AK187" s="189"/>
      <c r="AL187" s="189"/>
      <c r="AM187" s="189"/>
      <c r="AN187" s="189"/>
      <c r="AO187" s="189"/>
      <c r="AP187" s="189"/>
      <c r="AQ187" s="189"/>
    </row>
    <row r="188" spans="1:43" s="130" customFormat="1" x14ac:dyDescent="0.35">
      <c r="A188" s="121" t="s">
        <v>0</v>
      </c>
      <c r="B188" s="121" t="s">
        <v>314</v>
      </c>
      <c r="C188" s="121" t="s">
        <v>315</v>
      </c>
      <c r="D188" s="236" t="str">
        <f ca="1">IF([1]!s_info_industry_sw(B188,1)=0,"-",[1]!s_info_industry_sw(B188,1))</f>
        <v>家用电器</v>
      </c>
      <c r="E188" s="122" t="str">
        <f ca="1">[1]!cb_info_underlyingcode(B188)</f>
        <v>603578.SH</v>
      </c>
      <c r="F188" s="124">
        <f ca="1">RTD("wdf.rtq",,B188,"LastPrice","Dirty_Price")</f>
        <v>129.24</v>
      </c>
      <c r="G188" s="124">
        <f ca="1">RTD("wdf.rtq",,E188,"LastPrice")</f>
        <v>16.100000000000001</v>
      </c>
      <c r="H188" s="226">
        <f ca="1">RTD("wdf.rtq",,B188,"PctChg","RT_Price")/100</f>
        <v>-1.04E-2</v>
      </c>
      <c r="I188" s="226">
        <f ca="1">RTD("wdf.rtq",,E188,"PctChg")/100</f>
        <v>-1.6500000000000001E-2</v>
      </c>
      <c r="J188" s="125">
        <f ca="1">_xlfn.IFNA([1]!b_anal_ptmyear(B188,$B$2),"未发行或发行失败")</f>
        <v>3.7260273972602738</v>
      </c>
      <c r="K188" s="125">
        <f ca="1">RTD("wdf.rtq",,B188,"Amount","Dirty_Price")/100000000</f>
        <v>6.4262169999999993E-2</v>
      </c>
      <c r="L188" s="125">
        <f ca="1">[1]!cb_anal_convprice(B188,$B$2)</f>
        <v>13.76</v>
      </c>
      <c r="M188" s="125">
        <f t="shared" ca="1" si="8"/>
        <v>117.00581395348838</v>
      </c>
      <c r="N188" s="126">
        <f t="shared" ca="1" si="9"/>
        <v>10.456049689440988</v>
      </c>
      <c r="O188" s="126">
        <f t="array" aca="1" ref="O188" ca="1">_xlfn.IFNA(RTD("wdf.rtq",,B188,"LastPrice","Yield_To_Maturity"),[1]!cb_anal_ytm(B188,$C$2))</f>
        <v>-3.3006000000000002</v>
      </c>
      <c r="P188" s="126">
        <f ca="1">[1]!cb_anal_straightbondvalue(B188,$B$2)</f>
        <v>98.953599999999994</v>
      </c>
      <c r="Q188" s="126">
        <f t="shared" ca="1" si="10"/>
        <v>30.606668175791498</v>
      </c>
      <c r="R188" s="126" t="str">
        <f ca="1">[1]!b_rate_latestcredit(B188)</f>
        <v>AA</v>
      </c>
      <c r="S188" s="126">
        <f ca="1">[1]!cb_info_outstandingbalance(B188,$B$2)</f>
        <v>1.4878800000000001</v>
      </c>
      <c r="T188" s="126">
        <f ca="1">[1]!cb_info_issueamount(B188,100000000)</f>
        <v>1.9156500000000001</v>
      </c>
      <c r="U188" s="126">
        <f t="shared" ca="1" si="11"/>
        <v>77.669720460418134</v>
      </c>
      <c r="V188" s="230">
        <f ca="1">IF([1]!cb_anal_ldiluterate(B188,$B$2)=100,"-",[1]!cb_anal_ldiluterate(B188,$B$2))</f>
        <v>7.7897118573348827</v>
      </c>
      <c r="W188" s="127" t="str">
        <f ca="1">[1]!cb_info_listeddate(B188)</f>
        <v>2019-06-24</v>
      </c>
      <c r="X188" s="127" t="str">
        <f ca="1">[1]!cb_info_carrydate(B188)</f>
        <v>2019-05-31</v>
      </c>
      <c r="Y188" s="125" t="str">
        <f ca="1">[1]!cb_clause_conversion_2_swapsharestartdate(B188)</f>
        <v>2019-12-06</v>
      </c>
      <c r="Z188" s="125" t="str">
        <f ca="1">[1]!cb_clause_putoption_conditionalputbackstartenddate(B188)</f>
        <v>2023-05-31</v>
      </c>
      <c r="AA188" s="230">
        <f ca="1">[1]!cb_info_maturitycallprice(B188)</f>
        <v>110</v>
      </c>
      <c r="AB188" s="230">
        <f ca="1">IF(ISNUMBER([1]!cb_info_conditionalputprice(B188)),[1]!cb_info_conditionalputprice(B188),"-")</f>
        <v>0</v>
      </c>
      <c r="AC188" s="230">
        <f ca="1">[1]!cb_info_interest(B188)</f>
        <v>0.4</v>
      </c>
      <c r="AD188" s="263" t="str">
        <f ca="1">IFERROR(couponlist([1]!cb_clause_interest(B188,"4")),"-")</f>
        <v>0.4%，0.5%，1.5%，1.8%</v>
      </c>
      <c r="AE188" s="129"/>
      <c r="AF188" s="129"/>
      <c r="AG188" s="129"/>
      <c r="AH188" s="129"/>
      <c r="AI188" s="129"/>
      <c r="AJ188" s="129"/>
      <c r="AK188" s="129"/>
      <c r="AL188" s="129"/>
      <c r="AM188" s="129"/>
      <c r="AN188" s="129"/>
      <c r="AO188" s="129"/>
      <c r="AP188" s="129"/>
      <c r="AQ188" s="129"/>
    </row>
    <row r="189" spans="1:43" s="191" customFormat="1" x14ac:dyDescent="0.35">
      <c r="A189" s="182" t="s">
        <v>5</v>
      </c>
      <c r="B189" s="182" t="s">
        <v>208</v>
      </c>
      <c r="C189" s="182" t="s">
        <v>209</v>
      </c>
      <c r="D189" s="235" t="str">
        <f ca="1">IF([1]!s_info_industry_sw(B189,1)=0,"-",[1]!s_info_industry_sw(B189,1))</f>
        <v>家用电器</v>
      </c>
      <c r="E189" s="183" t="str">
        <f ca="1">[1]!cb_info_underlyingcode(B189)</f>
        <v>002860.SZ</v>
      </c>
      <c r="F189" s="185">
        <f ca="1">RTD("wdf.rtq",,B189,"LastPrice","Dirty_Price")</f>
        <v>147.40200000000002</v>
      </c>
      <c r="G189" s="185">
        <f ca="1">RTD("wdf.rtq",,E189,"LastPrice")</f>
        <v>19.32</v>
      </c>
      <c r="H189" s="225">
        <f ca="1">RTD("wdf.rtq",,B189,"PctChg","RT_Price")/100</f>
        <v>4.1000000000000003E-3</v>
      </c>
      <c r="I189" s="225">
        <f ca="1">RTD("wdf.rtq",,E189,"PctChg")/100</f>
        <v>6.8000000000000005E-3</v>
      </c>
      <c r="J189" s="186">
        <f ca="1">_xlfn.IFNA([1]!b_anal_ptmyear(B189,$B$2),"未发行或发行失败")</f>
        <v>4.3561643835616435</v>
      </c>
      <c r="K189" s="186">
        <f ca="1">RTD("wdf.rtq",,B189,"Amount","Dirty_Price")/100000000</f>
        <v>0.20851365999999999</v>
      </c>
      <c r="L189" s="186">
        <f ca="1">[1]!cb_anal_convprice(B189,$B$2)</f>
        <v>13.8</v>
      </c>
      <c r="M189" s="186">
        <f t="shared" ca="1" si="8"/>
        <v>140</v>
      </c>
      <c r="N189" s="187">
        <f t="shared" ca="1" si="9"/>
        <v>5.287142857142868</v>
      </c>
      <c r="O189" s="187">
        <f t="array" aca="1" ref="O189" ca="1">_xlfn.IFNA(RTD("wdf.rtq",,B189,"LastPrice","Yield_To_Maturity"),[1]!cb_anal_ytm(B189,$C$2))</f>
        <v>-4.5274000000000001</v>
      </c>
      <c r="P189" s="187">
        <f ca="1">[1]!cb_anal_straightbondvalue(B189,$B$2)</f>
        <v>84.822999999999993</v>
      </c>
      <c r="Q189" s="187">
        <f t="shared" ca="1" si="10"/>
        <v>73.775980571307343</v>
      </c>
      <c r="R189" s="187" t="str">
        <f ca="1">[1]!b_rate_latestcredit(B189)</f>
        <v>A+</v>
      </c>
      <c r="S189" s="187">
        <f ca="1">[1]!cb_info_outstandingbalance(B189,$B$2)</f>
        <v>2.1854990000000001</v>
      </c>
      <c r="T189" s="187">
        <f ca="1">[1]!cb_info_issueamount(B189,100000000)</f>
        <v>2.8</v>
      </c>
      <c r="U189" s="187">
        <f t="shared" ca="1" si="11"/>
        <v>78.053535714285715</v>
      </c>
      <c r="V189" s="240">
        <f ca="1">IF([1]!cb_anal_ldiluterate(B189,$B$2)=100,"-",[1]!cb_anal_ldiluterate(B189,$B$2))</f>
        <v>11.106290662016958</v>
      </c>
      <c r="W189" s="188" t="str">
        <f ca="1">[1]!cb_info_listeddate(B189)</f>
        <v>2020-02-19</v>
      </c>
      <c r="X189" s="188" t="str">
        <f ca="1">[1]!cb_info_carrydate(B189)</f>
        <v>2020-01-16</v>
      </c>
      <c r="Y189" s="186" t="str">
        <f ca="1">[1]!cb_clause_conversion_2_swapsharestartdate(B189)</f>
        <v>2020-07-22</v>
      </c>
      <c r="Z189" s="186" t="str">
        <f ca="1">[1]!cb_clause_putoption_conditionalputbackstartenddate(B189)</f>
        <v>2024-01-16</v>
      </c>
      <c r="AA189" s="240">
        <f ca="1">[1]!cb_info_maturitycallprice(B189)</f>
        <v>115</v>
      </c>
      <c r="AB189" s="240">
        <f ca="1">IF(ISNUMBER([1]!cb_info_conditionalputprice(B189)),[1]!cb_info_conditionalputprice(B189),"-")</f>
        <v>0</v>
      </c>
      <c r="AC189" s="240">
        <f ca="1">[1]!cb_info_interest(B189)</f>
        <v>0.5</v>
      </c>
      <c r="AD189" s="262" t="str">
        <f ca="1">IFERROR(couponlist([1]!cb_clause_interest(B189,"4")),"-")</f>
        <v>0.5%，0.7%，1.2%，1.8%，2.3%，2.6%</v>
      </c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</row>
    <row r="190" spans="1:43" s="130" customFormat="1" x14ac:dyDescent="0.35">
      <c r="A190" s="121" t="s">
        <v>0</v>
      </c>
      <c r="B190" s="121" t="s">
        <v>557</v>
      </c>
      <c r="C190" s="121" t="s">
        <v>558</v>
      </c>
      <c r="D190" s="236" t="str">
        <f ca="1">IF([1]!s_info_industry_sw(B190,1)=0,"-",[1]!s_info_industry_sw(B190,1))</f>
        <v>家用电器</v>
      </c>
      <c r="E190" s="122" t="str">
        <f ca="1">[1]!cb_info_underlyingcode(B190)</f>
        <v>603579.SH</v>
      </c>
      <c r="F190" s="124">
        <f ca="1">RTD("wdf.rtq",,B190,"LastPrice","Dirty_Price")</f>
        <v>119.18</v>
      </c>
      <c r="G190" s="124">
        <f ca="1">RTD("wdf.rtq",,E190,"LastPrice")</f>
        <v>30.5</v>
      </c>
      <c r="H190" s="226">
        <f ca="1">RTD("wdf.rtq",,B190,"PctChg","RT_Price")/100</f>
        <v>1.7000000000000001E-3</v>
      </c>
      <c r="I190" s="226">
        <f ca="1">RTD("wdf.rtq",,E190,"PctChg")/100</f>
        <v>3.6000000000000003E-3</v>
      </c>
      <c r="J190" s="125">
        <f ca="1">_xlfn.IFNA([1]!b_anal_ptmyear(B190,$B$2),"未发行或发行失败")</f>
        <v>5.1424657534246574</v>
      </c>
      <c r="K190" s="125">
        <f ca="1">RTD("wdf.rtq",,B190,"Amount","Dirty_Price")/100000000</f>
        <v>1.8094590000000001E-2</v>
      </c>
      <c r="L190" s="125">
        <f ca="1">[1]!cb_anal_convprice(B190,$B$2)</f>
        <v>32.83</v>
      </c>
      <c r="M190" s="125">
        <f t="shared" ca="1" si="8"/>
        <v>92.902832774901015</v>
      </c>
      <c r="N190" s="126">
        <f t="shared" ca="1" si="9"/>
        <v>28.284570491803265</v>
      </c>
      <c r="O190" s="126">
        <f t="array" aca="1" ref="O190" ca="1">_xlfn.IFNA(RTD("wdf.rtq",,B190,"LastPrice","Yield_To_Maturity"),[1]!cb_anal_ytm(B190,$C$2))</f>
        <v>0.33480000000000004</v>
      </c>
      <c r="P190" s="126">
        <f ca="1">[1]!cb_anal_straightbondvalue(B190,$B$2)</f>
        <v>87.616699999999994</v>
      </c>
      <c r="Q190" s="126">
        <f t="shared" ca="1" si="10"/>
        <v>36.024296737950664</v>
      </c>
      <c r="R190" s="126" t="str">
        <f ca="1">[1]!b_rate_latestcredit(B190)</f>
        <v>AA-</v>
      </c>
      <c r="S190" s="126">
        <f ca="1">[1]!cb_info_outstandingbalance(B190,$B$2)</f>
        <v>5.9989400000000002</v>
      </c>
      <c r="T190" s="126">
        <f ca="1">[1]!cb_info_issueamount(B190,100000000)</f>
        <v>6</v>
      </c>
      <c r="U190" s="126">
        <f t="shared" ca="1" si="11"/>
        <v>99.98233333333333</v>
      </c>
      <c r="V190" s="230">
        <f ca="1">IF([1]!cb_anal_ldiluterate(B190,$B$2)=100,"-",[1]!cb_anal_ldiluterate(B190,$B$2))</f>
        <v>11.546392391193177</v>
      </c>
      <c r="W190" s="127" t="str">
        <f ca="1">[1]!cb_info_listeddate(B190)</f>
        <v>2020-11-20</v>
      </c>
      <c r="X190" s="127" t="str">
        <f ca="1">[1]!cb_info_carrydate(B190)</f>
        <v>2020-10-30</v>
      </c>
      <c r="Y190" s="125" t="str">
        <f ca="1">[1]!cb_clause_conversion_2_swapsharestartdate(B190)</f>
        <v>2021-05-06</v>
      </c>
      <c r="Z190" s="125" t="str">
        <f ca="1">[1]!cb_clause_putoption_conditionalputbackstartenddate(B190)</f>
        <v>2024-10-30</v>
      </c>
      <c r="AA190" s="230">
        <f ca="1">[1]!cb_info_maturitycallprice(B190)</f>
        <v>115</v>
      </c>
      <c r="AB190" s="230">
        <f ca="1">IF(ISNUMBER([1]!cb_info_conditionalputprice(B190)),[1]!cb_info_conditionalputprice(B190),"-")</f>
        <v>0</v>
      </c>
      <c r="AC190" s="230">
        <f ca="1">[1]!cb_info_interest(B190)</f>
        <v>0.5</v>
      </c>
      <c r="AD190" s="263" t="str">
        <f ca="1">IFERROR(couponlist([1]!cb_clause_interest(B190,"4")),"-")</f>
        <v>0.50%，0.70%，1.00%，1.50%，2.50%，3.00%</v>
      </c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</row>
    <row r="191" spans="1:43" s="191" customFormat="1" x14ac:dyDescent="0.35">
      <c r="A191" s="182" t="s">
        <v>5</v>
      </c>
      <c r="B191" s="182" t="s">
        <v>322</v>
      </c>
      <c r="C191" s="182" t="s">
        <v>323</v>
      </c>
      <c r="D191" s="235" t="str">
        <f ca="1">IF([1]!s_info_industry_sw(B191,1)=0,"-",[1]!s_info_industry_sw(B191,1))</f>
        <v>家用电器</v>
      </c>
      <c r="E191" s="183" t="str">
        <f ca="1">[1]!cb_info_underlyingcode(B191)</f>
        <v>000810.SZ</v>
      </c>
      <c r="F191" s="185">
        <f ca="1">RTD("wdf.rtq",,B191,"LastPrice","Dirty_Price")</f>
        <v>109.327</v>
      </c>
      <c r="G191" s="185">
        <f ca="1">RTD("wdf.rtq",,E191,"LastPrice")</f>
        <v>8.18</v>
      </c>
      <c r="H191" s="225">
        <f ca="1">RTD("wdf.rtq",,B191,"PctChg","RT_Price")/100</f>
        <v>0</v>
      </c>
      <c r="I191" s="225">
        <f ca="1">RTD("wdf.rtq",,E191,"PctChg")/100</f>
        <v>8.6E-3</v>
      </c>
      <c r="J191" s="186">
        <f ca="1">_xlfn.IFNA([1]!b_anal_ptmyear(B191,$B$2),"未发行或发行失败")</f>
        <v>3.6</v>
      </c>
      <c r="K191" s="186">
        <f ca="1">RTD("wdf.rtq",,B191,"Amount","Dirty_Price")/100000000</f>
        <v>4.718257E-2</v>
      </c>
      <c r="L191" s="186">
        <f ca="1">[1]!cb_anal_convprice(B191,$B$2)</f>
        <v>11.29</v>
      </c>
      <c r="M191" s="186">
        <f t="shared" ca="1" si="8"/>
        <v>72.453498671390619</v>
      </c>
      <c r="N191" s="187">
        <f t="shared" ca="1" si="9"/>
        <v>50.892644254278736</v>
      </c>
      <c r="O191" s="187">
        <f t="array" aca="1" ref="O191" ca="1">_xlfn.IFNA(RTD("wdf.rtq",,B191,"LastPrice","Yield_To_Maturity"),[1]!cb_anal_ytm(B191,$C$2))</f>
        <v>2.0129000000000001</v>
      </c>
      <c r="P191" s="187">
        <f ca="1">[1]!cb_anal_straightbondvalue(B191,$B$2)</f>
        <v>102.1379</v>
      </c>
      <c r="Q191" s="187">
        <f t="shared" ca="1" si="10"/>
        <v>7.0386213149085819</v>
      </c>
      <c r="R191" s="187" t="str">
        <f ca="1">[1]!b_rate_latestcredit(B191)</f>
        <v>AA</v>
      </c>
      <c r="S191" s="187">
        <f ca="1">[1]!cb_info_outstandingbalance(B191,$B$2)</f>
        <v>9.7792720000000006</v>
      </c>
      <c r="T191" s="187">
        <f ca="1">[1]!cb_info_issueamount(B191,100000000)</f>
        <v>10.4</v>
      </c>
      <c r="U191" s="187">
        <f t="shared" ca="1" si="11"/>
        <v>94.031461538461542</v>
      </c>
      <c r="V191" s="240">
        <f ca="1">IF([1]!cb_anal_ldiluterate(B191,$B$2)=100,"-",[1]!cb_anal_ldiluterate(B191,$B$2))</f>
        <v>7.7930858038524162</v>
      </c>
      <c r="W191" s="188" t="str">
        <f ca="1">[1]!cb_info_listeddate(B191)</f>
        <v>2019-05-16</v>
      </c>
      <c r="X191" s="188" t="str">
        <f ca="1">[1]!cb_info_carrydate(B191)</f>
        <v>2019-04-15</v>
      </c>
      <c r="Y191" s="186" t="str">
        <f ca="1">[1]!cb_clause_conversion_2_swapsharestartdate(B191)</f>
        <v>2019-10-21</v>
      </c>
      <c r="Z191" s="186" t="str">
        <f ca="1">[1]!cb_clause_putoption_conditionalputbackstartenddate(B191)</f>
        <v>2023-04-15</v>
      </c>
      <c r="AA191" s="240">
        <f ca="1">[1]!cb_info_maturitycallprice(B191)</f>
        <v>113</v>
      </c>
      <c r="AB191" s="240">
        <f ca="1">IF(ISNUMBER([1]!cb_info_conditionalputprice(B191)),[1]!cb_info_conditionalputprice(B191),"-")</f>
        <v>0</v>
      </c>
      <c r="AC191" s="240">
        <f ca="1">[1]!cb_info_interest(B191)</f>
        <v>0.4</v>
      </c>
      <c r="AD191" s="262" t="str">
        <f ca="1">IFERROR(couponlist([1]!cb_clause_interest(B191,"4")),"-")</f>
        <v>0.40%，0.60%，1.00%，1.50%，1.80%，2.00%</v>
      </c>
      <c r="AE191" s="189"/>
      <c r="AF191" s="189"/>
      <c r="AG191" s="189"/>
      <c r="AH191" s="189"/>
      <c r="AI191" s="189"/>
      <c r="AJ191" s="189"/>
      <c r="AK191" s="189"/>
      <c r="AL191" s="189"/>
      <c r="AM191" s="189"/>
      <c r="AN191" s="189"/>
      <c r="AO191" s="189"/>
      <c r="AP191" s="189"/>
      <c r="AQ191" s="189"/>
    </row>
    <row r="192" spans="1:43" s="130" customFormat="1" x14ac:dyDescent="0.35">
      <c r="A192" s="121" t="s">
        <v>5</v>
      </c>
      <c r="B192" s="121" t="s">
        <v>1755</v>
      </c>
      <c r="C192" s="121" t="s">
        <v>1756</v>
      </c>
      <c r="D192" s="236" t="str">
        <f ca="1">IF([1]!s_info_industry_sw(B192,1)=0,"-",[1]!s_info_industry_sw(B192,1))</f>
        <v>家用电器</v>
      </c>
      <c r="E192" s="122" t="str">
        <f ca="1">[1]!cb_info_underlyingcode(B192)</f>
        <v>002050.SZ</v>
      </c>
      <c r="F192" s="124">
        <f ca="1">RTD("wdf.rtq",,B192,"LastPrice","Dirty_Price")</f>
        <v>146.68</v>
      </c>
      <c r="G192" s="124">
        <f ca="1">RTD("wdf.rtq",,E192,"LastPrice")</f>
        <v>26.37</v>
      </c>
      <c r="H192" s="226">
        <f ca="1">RTD("wdf.rtq",,B192,"PctChg","RT_Price")/100</f>
        <v>-4.0000000000000002E-4</v>
      </c>
      <c r="I192" s="226">
        <f ca="1">RTD("wdf.rtq",,E192,"PctChg")/100</f>
        <v>-8.6E-3</v>
      </c>
      <c r="J192" s="125">
        <f ca="1">_xlfn.IFNA([1]!b_anal_ptmyear(B192,$B$2),"未发行或发行失败")</f>
        <v>5.7287671232876711</v>
      </c>
      <c r="K192" s="125">
        <f ca="1">RTD("wdf.rtq",,B192,"Amount","Dirty_Price")/100000000</f>
        <v>8.7492790000000001E-2</v>
      </c>
      <c r="L192" s="125">
        <f ca="1">[1]!cb_anal_convprice(B192,$B$2)</f>
        <v>21.55</v>
      </c>
      <c r="M192" s="125">
        <f t="shared" ca="1" si="8"/>
        <v>122.36658932714617</v>
      </c>
      <c r="N192" s="126">
        <f t="shared" ca="1" si="9"/>
        <v>19.869321198331434</v>
      </c>
      <c r="O192" s="126">
        <f t="array" aca="1" ref="O192" ca="1">_xlfn.IFNA(RTD("wdf.rtq",,B192,"LastPrice","Yield_To_Maturity"),[1]!cb_anal_ytm(B192,$C$2))</f>
        <v>-4.2869000000000002</v>
      </c>
      <c r="P192" s="126">
        <f ca="1">[1]!cb_anal_straightbondvalue(B192,$B$2)</f>
        <v>92.962299999999999</v>
      </c>
      <c r="Q192" s="126">
        <f t="shared" ca="1" si="10"/>
        <v>57.784392167577607</v>
      </c>
      <c r="R192" s="126" t="str">
        <f ca="1">[1]!b_rate_latestcredit(B192)</f>
        <v>AA+</v>
      </c>
      <c r="S192" s="126">
        <f ca="1">[1]!cb_info_outstandingbalance(B192,$B$2)</f>
        <v>30</v>
      </c>
      <c r="T192" s="126">
        <f ca="1">[1]!cb_info_issueamount(B192,100000000)</f>
        <v>30</v>
      </c>
      <c r="U192" s="126">
        <f t="shared" ca="1" si="11"/>
        <v>100</v>
      </c>
      <c r="V192" s="230">
        <f ca="1">IF([1]!cb_anal_ldiluterate(B192,$B$2)=100,"-",[1]!cb_anal_ldiluterate(B192,$B$2))</f>
        <v>3.7891194714360386</v>
      </c>
      <c r="W192" s="127" t="str">
        <f ca="1">[1]!cb_info_listeddate(B192)</f>
        <v>2021-06-30</v>
      </c>
      <c r="X192" s="127" t="str">
        <f ca="1">[1]!cb_info_carrydate(B192)</f>
        <v>2021-06-01</v>
      </c>
      <c r="Y192" s="125" t="str">
        <f ca="1">[1]!cb_clause_conversion_2_swapsharestartdate(B192)</f>
        <v>2021-12-07</v>
      </c>
      <c r="Z192" s="125" t="str">
        <f ca="1">[1]!cb_clause_putoption_conditionalputbackstartenddate(B192)</f>
        <v>2025-06-01</v>
      </c>
      <c r="AA192" s="230">
        <f ca="1">[1]!cb_info_maturitycallprice(B192)</f>
        <v>110</v>
      </c>
      <c r="AB192" s="230">
        <f ca="1">IF(ISNUMBER([1]!cb_info_conditionalputprice(B192)),[1]!cb_info_conditionalputprice(B192),"-")</f>
        <v>0</v>
      </c>
      <c r="AC192" s="230">
        <f ca="1">[1]!cb_info_interest(B192)</f>
        <v>0.2</v>
      </c>
      <c r="AD192" s="263" t="str">
        <f ca="1">IFERROR(couponlist([1]!cb_clause_interest(B192,"4")),"-")</f>
        <v>0.2%，0.4%，0.6%，1.5%，1.8%，2.0%</v>
      </c>
      <c r="AE192" s="129"/>
      <c r="AF192" s="129"/>
      <c r="AG192" s="129"/>
      <c r="AH192" s="129"/>
      <c r="AI192" s="129"/>
      <c r="AJ192" s="129"/>
      <c r="AK192" s="129"/>
      <c r="AL192" s="129"/>
      <c r="AM192" s="129"/>
      <c r="AN192" s="129"/>
      <c r="AO192" s="129"/>
      <c r="AP192" s="129"/>
      <c r="AQ192" s="129"/>
    </row>
    <row r="193" spans="1:43" s="191" customFormat="1" x14ac:dyDescent="0.35">
      <c r="A193" s="182" t="s">
        <v>0</v>
      </c>
      <c r="B193" s="182" t="s">
        <v>380</v>
      </c>
      <c r="C193" s="182" t="s">
        <v>381</v>
      </c>
      <c r="D193" s="235" t="str">
        <f ca="1">IF([1]!s_info_industry_sw(B193,1)=0,"-",[1]!s_info_industry_sw(B193,1))</f>
        <v>家用电器</v>
      </c>
      <c r="E193" s="183" t="str">
        <f ca="1">[1]!cb_info_underlyingcode(B193)</f>
        <v>603677.SH</v>
      </c>
      <c r="F193" s="185">
        <f ca="1">RTD("wdf.rtq",,B193,"LastPrice","Dirty_Price")</f>
        <v>116.18</v>
      </c>
      <c r="G193" s="185">
        <f ca="1">RTD("wdf.rtq",,E193,"LastPrice")</f>
        <v>12.59</v>
      </c>
      <c r="H193" s="225">
        <f ca="1">RTD("wdf.rtq",,B193,"PctChg","RT_Price")/100</f>
        <v>-6.2000000000000006E-3</v>
      </c>
      <c r="I193" s="225">
        <f ca="1">RTD("wdf.rtq",,E193,"PctChg")/100</f>
        <v>-1.6000000000000001E-3</v>
      </c>
      <c r="J193" s="186">
        <f ca="1">_xlfn.IFNA([1]!b_anal_ptmyear(B193,$B$2),"未发行或发行失败")</f>
        <v>3.2657534246575342</v>
      </c>
      <c r="K193" s="186">
        <f ca="1">RTD("wdf.rtq",,B193,"Amount","Dirty_Price")/100000000</f>
        <v>2.351644E-2</v>
      </c>
      <c r="L193" s="186">
        <f ca="1">[1]!cb_anal_convprice(B193,$B$2)</f>
        <v>13.98</v>
      </c>
      <c r="M193" s="186">
        <f t="shared" ca="1" si="8"/>
        <v>90.057224606580832</v>
      </c>
      <c r="N193" s="187">
        <f t="shared" ca="1" si="9"/>
        <v>29.006862589356643</v>
      </c>
      <c r="O193" s="187">
        <f t="array" aca="1" ref="O193" ca="1">_xlfn.IFNA(RTD("wdf.rtq",,B193,"LastPrice","Yield_To_Maturity"),[1]!cb_anal_ytm(B193,$C$2))</f>
        <v>0.3004</v>
      </c>
      <c r="P193" s="187">
        <f ca="1">[1]!cb_anal_straightbondvalue(B193,$B$2)</f>
        <v>96.636499999999998</v>
      </c>
      <c r="Q193" s="187">
        <f t="shared" ca="1" si="10"/>
        <v>20.223724990039997</v>
      </c>
      <c r="R193" s="187" t="str">
        <f ca="1">[1]!b_rate_latestcredit(B193)</f>
        <v>AA-</v>
      </c>
      <c r="S193" s="187">
        <f ca="1">[1]!cb_info_outstandingbalance(B193,$B$2)</f>
        <v>3.2980800000000001</v>
      </c>
      <c r="T193" s="187">
        <f ca="1">[1]!cb_info_issueamount(B193,100000000)</f>
        <v>3.3</v>
      </c>
      <c r="U193" s="187">
        <f t="shared" ca="1" si="11"/>
        <v>99.941818181818178</v>
      </c>
      <c r="V193" s="240">
        <f ca="1">IF([1]!cb_anal_ldiluterate(B193,$B$2)=100,"-",[1]!cb_anal_ldiluterate(B193,$B$2))</f>
        <v>10.936032816909929</v>
      </c>
      <c r="W193" s="188" t="str">
        <f ca="1">[1]!cb_info_listeddate(B193)</f>
        <v>2019-01-07</v>
      </c>
      <c r="X193" s="188" t="str">
        <f ca="1">[1]!cb_info_carrydate(B193)</f>
        <v>2018-12-14</v>
      </c>
      <c r="Y193" s="186" t="str">
        <f ca="1">[1]!cb_clause_conversion_2_swapsharestartdate(B193)</f>
        <v>2019-06-21</v>
      </c>
      <c r="Z193" s="186" t="str">
        <f ca="1">[1]!cb_clause_putoption_conditionalputbackstartenddate(B193)</f>
        <v>2022-12-14</v>
      </c>
      <c r="AA193" s="240">
        <f ca="1">[1]!cb_info_maturitycallprice(B193)</f>
        <v>113</v>
      </c>
      <c r="AB193" s="240">
        <f ca="1">IF(ISNUMBER([1]!cb_info_conditionalputprice(B193)),[1]!cb_info_conditionalputprice(B193),"-")</f>
        <v>0</v>
      </c>
      <c r="AC193" s="240">
        <f ca="1">[1]!cb_info_interest(B193)</f>
        <v>0.4</v>
      </c>
      <c r="AD193" s="262" t="str">
        <f ca="1">IFERROR(couponlist([1]!cb_clause_interest(B193,"4")),"-")</f>
        <v>0.4%，0.6%，1.0%，1.5%，1.8%，2.0%</v>
      </c>
      <c r="AE193" s="189"/>
      <c r="AF193" s="189"/>
      <c r="AG193" s="189"/>
      <c r="AH193" s="189"/>
      <c r="AI193" s="189"/>
      <c r="AJ193" s="189"/>
      <c r="AK193" s="189"/>
      <c r="AL193" s="189"/>
      <c r="AM193" s="189"/>
      <c r="AN193" s="189"/>
      <c r="AO193" s="189"/>
      <c r="AP193" s="189"/>
      <c r="AQ193" s="189"/>
    </row>
    <row r="194" spans="1:43" s="130" customFormat="1" x14ac:dyDescent="0.35">
      <c r="A194" s="121" t="s">
        <v>5</v>
      </c>
      <c r="B194" s="121" t="s">
        <v>607</v>
      </c>
      <c r="C194" s="121" t="s">
        <v>608</v>
      </c>
      <c r="D194" s="236" t="str">
        <f ca="1">IF([1]!s_info_industry_sw(B194,1)=0,"-",[1]!s_info_industry_sw(B194,1))</f>
        <v>计算机</v>
      </c>
      <c r="E194" s="122" t="str">
        <f ca="1">[1]!cb_info_underlyingcode(B194)</f>
        <v>300682.SZ</v>
      </c>
      <c r="F194" s="124">
        <f ca="1">RTD("wdf.rtq",,B194,"LastPrice","Dirty_Price")</f>
        <v>139.94499999999999</v>
      </c>
      <c r="G194" s="124">
        <f ca="1">RTD("wdf.rtq",,E194,"LastPrice")</f>
        <v>20.11</v>
      </c>
      <c r="H194" s="226">
        <f ca="1">RTD("wdf.rtq",,B194,"PctChg","RT_Price")/100</f>
        <v>-4.0000000000000002E-4</v>
      </c>
      <c r="I194" s="226">
        <f ca="1">RTD("wdf.rtq",,E194,"PctChg")/100</f>
        <v>-1E-3</v>
      </c>
      <c r="J194" s="125">
        <f ca="1">_xlfn.IFNA([1]!b_anal_ptmyear(B194,$B$2),"未发行或发行失败")</f>
        <v>5.2520547945205482</v>
      </c>
      <c r="K194" s="125">
        <f ca="1">RTD("wdf.rtq",,B194,"Amount","Dirty_Price")/100000000</f>
        <v>0.46199695000000002</v>
      </c>
      <c r="L194" s="125">
        <f ca="1">[1]!cb_anal_convprice(B194,$B$2)</f>
        <v>15.45</v>
      </c>
      <c r="M194" s="125">
        <f t="shared" ca="1" si="8"/>
        <v>130.16181229773463</v>
      </c>
      <c r="N194" s="126">
        <f t="shared" ca="1" si="9"/>
        <v>7.516173545499754</v>
      </c>
      <c r="O194" s="126">
        <f t="array" aca="1" ref="O194" ca="1">_xlfn.IFNA(RTD("wdf.rtq",,B194,"LastPrice","Yield_To_Maturity"),[1]!cb_anal_ytm(B194,$C$2))</f>
        <v>-3.7178</v>
      </c>
      <c r="P194" s="126">
        <f ca="1">[1]!cb_anal_straightbondvalue(B194,$B$2)</f>
        <v>92.315600000000003</v>
      </c>
      <c r="Q194" s="126">
        <f t="shared" ca="1" si="10"/>
        <v>51.594096772376503</v>
      </c>
      <c r="R194" s="126" t="str">
        <f ca="1">[1]!b_rate_latestcredit(B194)</f>
        <v>AA</v>
      </c>
      <c r="S194" s="126">
        <f ca="1">[1]!cb_info_outstandingbalance(B194,$B$2)</f>
        <v>7.99817</v>
      </c>
      <c r="T194" s="126">
        <f ca="1">[1]!cb_info_issueamount(B194,100000000)</f>
        <v>8</v>
      </c>
      <c r="U194" s="126">
        <f t="shared" ca="1" si="11"/>
        <v>99.977125000000001</v>
      </c>
      <c r="V194" s="230">
        <f ca="1">IF([1]!cb_anal_ldiluterate(B194,$B$2)=100,"-",[1]!cb_anal_ldiluterate(B194,$B$2))</f>
        <v>6.8125567710765704</v>
      </c>
      <c r="W194" s="127" t="str">
        <f ca="1">[1]!cb_info_listeddate(B194)</f>
        <v>2021-01-06</v>
      </c>
      <c r="X194" s="127" t="str">
        <f ca="1">[1]!cb_info_carrydate(B194)</f>
        <v>2020-12-09</v>
      </c>
      <c r="Y194" s="125" t="str">
        <f ca="1">[1]!cb_clause_conversion_2_swapsharestartdate(B194)</f>
        <v>2021-06-15</v>
      </c>
      <c r="Z194" s="125" t="str">
        <f ca="1">[1]!cb_clause_putoption_conditionalputbackstartenddate(B194)</f>
        <v>2024-12-09</v>
      </c>
      <c r="AA194" s="230">
        <f ca="1">[1]!cb_info_maturitycallprice(B194)</f>
        <v>110</v>
      </c>
      <c r="AB194" s="230">
        <f ca="1">IF(ISNUMBER([1]!cb_info_conditionalputprice(B194)),[1]!cb_info_conditionalputprice(B194),"-")</f>
        <v>0</v>
      </c>
      <c r="AC194" s="230">
        <f ca="1">[1]!cb_info_interest(B194)</f>
        <v>0.3</v>
      </c>
      <c r="AD194" s="263" t="str">
        <f ca="1">IFERROR(couponlist([1]!cb_clause_interest(B194,"4")),"-")</f>
        <v>0.30%，0.50%，1.00%，1.50%，1.80%，2.00%</v>
      </c>
      <c r="AE194" s="129"/>
      <c r="AF194" s="129"/>
      <c r="AG194" s="129"/>
      <c r="AH194" s="129"/>
      <c r="AI194" s="129"/>
      <c r="AJ194" s="129"/>
      <c r="AK194" s="129"/>
      <c r="AL194" s="129"/>
      <c r="AM194" s="129"/>
      <c r="AN194" s="129"/>
      <c r="AO194" s="129"/>
      <c r="AP194" s="129"/>
      <c r="AQ194" s="129"/>
    </row>
    <row r="195" spans="1:43" s="191" customFormat="1" x14ac:dyDescent="0.35">
      <c r="A195" s="182" t="s">
        <v>5</v>
      </c>
      <c r="B195" s="182" t="s">
        <v>846</v>
      </c>
      <c r="C195" s="182" t="s">
        <v>847</v>
      </c>
      <c r="D195" s="235" t="str">
        <f ca="1">IF([1]!s_info_industry_sw(B195,1)=0,"-",[1]!s_info_industry_sw(B195,1))</f>
        <v>计算机</v>
      </c>
      <c r="E195" s="183" t="str">
        <f ca="1">[1]!cb_info_underlyingcode(B195)</f>
        <v>300078.SZ</v>
      </c>
      <c r="F195" s="185">
        <f ca="1">RTD("wdf.rtq",,B195,"LastPrice","Dirty_Price")</f>
        <v>110.104</v>
      </c>
      <c r="G195" s="185">
        <f ca="1">RTD("wdf.rtq",,E195,"LastPrice")</f>
        <v>6.8</v>
      </c>
      <c r="H195" s="225">
        <f ca="1">RTD("wdf.rtq",,B195,"PctChg","RT_Price")/100</f>
        <v>7.8000000000000005E-3</v>
      </c>
      <c r="I195" s="225">
        <f ca="1">RTD("wdf.rtq",,E195,"PctChg")/100</f>
        <v>1.34E-2</v>
      </c>
      <c r="J195" s="186">
        <f ca="1">_xlfn.IFNA([1]!b_anal_ptmyear(B195,$B$2),"未发行或发行失败")</f>
        <v>5.3835616438356162</v>
      </c>
      <c r="K195" s="186">
        <f ca="1">RTD("wdf.rtq",,B195,"Amount","Dirty_Price")/100000000</f>
        <v>6.7466730000000003E-2</v>
      </c>
      <c r="L195" s="186">
        <f ca="1">[1]!cb_anal_convprice(B195,$B$2)</f>
        <v>8.26</v>
      </c>
      <c r="M195" s="186">
        <f t="shared" ca="1" si="8"/>
        <v>82.324455205811134</v>
      </c>
      <c r="N195" s="187">
        <f t="shared" ca="1" si="9"/>
        <v>33.743976470588251</v>
      </c>
      <c r="O195" s="187">
        <f t="array" aca="1" ref="O195" ca="1">_xlfn.IFNA(RTD("wdf.rtq",,B195,"LastPrice","Yield_To_Maturity"),[1]!cb_anal_ytm(B195,$C$2))</f>
        <v>2.2783000000000002</v>
      </c>
      <c r="P195" s="187">
        <f ca="1">[1]!cb_anal_straightbondvalue(B195,$B$2)</f>
        <v>87.997</v>
      </c>
      <c r="Q195" s="187">
        <f t="shared" ca="1" si="10"/>
        <v>25.122447356159867</v>
      </c>
      <c r="R195" s="187" t="str">
        <f ca="1">[1]!b_rate_latestcredit(B195)</f>
        <v>AA-</v>
      </c>
      <c r="S195" s="187">
        <f ca="1">[1]!cb_info_outstandingbalance(B195,$B$2)</f>
        <v>8.1697240000000004</v>
      </c>
      <c r="T195" s="187">
        <f ca="1">[1]!cb_info_issueamount(B195,100000000)</f>
        <v>8.17</v>
      </c>
      <c r="U195" s="187">
        <f t="shared" ca="1" si="11"/>
        <v>99.996621787025703</v>
      </c>
      <c r="V195" s="240">
        <f ca="1">IF([1]!cb_anal_ldiluterate(B195,$B$2)=100,"-",[1]!cb_anal_ldiluterate(B195,$B$2))</f>
        <v>10.576059193691162</v>
      </c>
      <c r="W195" s="188" t="str">
        <f ca="1">[1]!cb_info_listeddate(B195)</f>
        <v>2021-03-01</v>
      </c>
      <c r="X195" s="188" t="str">
        <f ca="1">[1]!cb_info_carrydate(B195)</f>
        <v>2021-01-26</v>
      </c>
      <c r="Y195" s="186" t="str">
        <f ca="1">[1]!cb_clause_conversion_2_swapsharestartdate(B195)</f>
        <v>2021-08-02</v>
      </c>
      <c r="Z195" s="186" t="str">
        <f ca="1">[1]!cb_clause_putoption_conditionalputbackstartenddate(B195)</f>
        <v>2025-01-26</v>
      </c>
      <c r="AA195" s="240">
        <f ca="1">[1]!cb_info_maturitycallprice(B195)</f>
        <v>118</v>
      </c>
      <c r="AB195" s="240">
        <f ca="1">IF(ISNUMBER([1]!cb_info_conditionalputprice(B195)),[1]!cb_info_conditionalputprice(B195),"-")</f>
        <v>0</v>
      </c>
      <c r="AC195" s="240">
        <f ca="1">[1]!cb_info_interest(B195)</f>
        <v>0.4</v>
      </c>
      <c r="AD195" s="262" t="str">
        <f ca="1">IFERROR(couponlist([1]!cb_clause_interest(B195,"4")),"-")</f>
        <v>0.40%，0.60%，1.00%，1.50%，2.50%，3.00%</v>
      </c>
      <c r="AE195" s="189"/>
      <c r="AF195" s="189"/>
      <c r="AG195" s="189"/>
      <c r="AH195" s="189"/>
      <c r="AI195" s="189"/>
      <c r="AJ195" s="189"/>
      <c r="AK195" s="189"/>
      <c r="AL195" s="189"/>
      <c r="AM195" s="189"/>
      <c r="AN195" s="189"/>
      <c r="AO195" s="189"/>
      <c r="AP195" s="189"/>
      <c r="AQ195" s="189"/>
    </row>
    <row r="196" spans="1:43" s="130" customFormat="1" x14ac:dyDescent="0.35">
      <c r="A196" s="121" t="s">
        <v>5</v>
      </c>
      <c r="B196" s="121" t="s">
        <v>270</v>
      </c>
      <c r="C196" s="121" t="s">
        <v>271</v>
      </c>
      <c r="D196" s="236" t="str">
        <f ca="1">IF([1]!s_info_industry_sw(B196,1)=0,"-",[1]!s_info_industry_sw(B196,1))</f>
        <v>计算机</v>
      </c>
      <c r="E196" s="122" t="str">
        <f ca="1">[1]!cb_info_underlyingcode(B196)</f>
        <v>002368.SZ</v>
      </c>
      <c r="F196" s="124">
        <f ca="1">RTD("wdf.rtq",,B196,"LastPrice","Dirty_Price")</f>
        <v>132.38900000000001</v>
      </c>
      <c r="G196" s="124">
        <f ca="1">RTD("wdf.rtq",,E196,"LastPrice")</f>
        <v>24.830000000000002</v>
      </c>
      <c r="H196" s="226">
        <f ca="1">RTD("wdf.rtq",,B196,"PctChg","RT_Price")/100</f>
        <v>-1.0500000000000001E-2</v>
      </c>
      <c r="I196" s="226">
        <f ca="1">RTD("wdf.rtq",,E196,"PctChg")/100</f>
        <v>-2.5500000000000002E-2</v>
      </c>
      <c r="J196" s="125">
        <f ca="1">_xlfn.IFNA([1]!b_anal_ptmyear(B196,$B$2),"未发行或发行失败")</f>
        <v>4.117808219178082</v>
      </c>
      <c r="K196" s="125">
        <f ca="1">RTD("wdf.rtq",,B196,"Amount","Dirty_Price")/100000000</f>
        <v>0.20642273</v>
      </c>
      <c r="L196" s="125">
        <f ca="1">[1]!cb_anal_convprice(B196,$B$2)</f>
        <v>22.21</v>
      </c>
      <c r="M196" s="125">
        <f t="shared" ca="1" si="8"/>
        <v>111.79648806843764</v>
      </c>
      <c r="N196" s="126">
        <f t="shared" ca="1" si="9"/>
        <v>18.419641159887249</v>
      </c>
      <c r="O196" s="126">
        <f t="array" aca="1" ref="O196" ca="1">_xlfn.IFNA(RTD("wdf.rtq",,B196,"LastPrice","Yield_To_Maturity"),[1]!cb_anal_ytm(B196,$C$2))</f>
        <v>-3.0375000000000001</v>
      </c>
      <c r="P196" s="126">
        <f ca="1">[1]!cb_anal_straightbondvalue(B196,$B$2)</f>
        <v>99.341800000000006</v>
      </c>
      <c r="Q196" s="126">
        <f t="shared" ca="1" si="10"/>
        <v>33.266157850975134</v>
      </c>
      <c r="R196" s="126" t="str">
        <f ca="1">[1]!b_rate_latestcredit(B196)</f>
        <v>AA</v>
      </c>
      <c r="S196" s="126">
        <f ca="1">[1]!cb_info_outstandingbalance(B196,$B$2)</f>
        <v>9.6009670000000007</v>
      </c>
      <c r="T196" s="126">
        <f ca="1">[1]!cb_info_issueamount(B196,100000000)</f>
        <v>10</v>
      </c>
      <c r="U196" s="126">
        <f t="shared" ca="1" si="11"/>
        <v>96.00967</v>
      </c>
      <c r="V196" s="230">
        <f ca="1">IF([1]!cb_anal_ldiluterate(B196,$B$2)=100,"-",[1]!cb_anal_ldiluterate(B196,$B$2))</f>
        <v>6.9808697696950475</v>
      </c>
      <c r="W196" s="127" t="str">
        <f ca="1">[1]!cb_info_listeddate(B196)</f>
        <v>2019-11-08</v>
      </c>
      <c r="X196" s="127" t="str">
        <f ca="1">[1]!cb_info_carrydate(B196)</f>
        <v>2019-10-21</v>
      </c>
      <c r="Y196" s="125" t="str">
        <f ca="1">[1]!cb_clause_conversion_2_swapsharestartdate(B196)</f>
        <v>2020-04-27</v>
      </c>
      <c r="Z196" s="125" t="str">
        <f ca="1">[1]!cb_clause_putoption_conditionalputbackstartenddate(B196)</f>
        <v>2023-10-21</v>
      </c>
      <c r="AA196" s="230">
        <f ca="1">[1]!cb_info_maturitycallprice(B196)</f>
        <v>112</v>
      </c>
      <c r="AB196" s="230">
        <f ca="1">IF(ISNUMBER([1]!cb_info_conditionalputprice(B196)),[1]!cb_info_conditionalputprice(B196),"-")</f>
        <v>0</v>
      </c>
      <c r="AC196" s="230">
        <f ca="1">[1]!cb_info_interest(B196)</f>
        <v>0.4</v>
      </c>
      <c r="AD196" s="263" t="str">
        <f ca="1">IFERROR(couponlist([1]!cb_clause_interest(B196,"4")),"-")</f>
        <v>0.40%，0.60%，1.00%，1.50%，1.80%，2.00%</v>
      </c>
      <c r="AE196" s="129"/>
      <c r="AF196" s="129"/>
      <c r="AG196" s="129"/>
      <c r="AH196" s="129"/>
      <c r="AI196" s="129"/>
      <c r="AJ196" s="129"/>
      <c r="AK196" s="129"/>
      <c r="AL196" s="129"/>
      <c r="AM196" s="129"/>
      <c r="AN196" s="129"/>
      <c r="AO196" s="129"/>
      <c r="AP196" s="129"/>
      <c r="AQ196" s="129"/>
    </row>
    <row r="197" spans="1:43" s="191" customFormat="1" x14ac:dyDescent="0.35">
      <c r="A197" s="182" t="s">
        <v>0</v>
      </c>
      <c r="B197" s="182" t="s">
        <v>184</v>
      </c>
      <c r="C197" s="182" t="s">
        <v>185</v>
      </c>
      <c r="D197" s="235" t="str">
        <f ca="1">IF([1]!s_info_industry_sw(B197,1)=0,"-",[1]!s_info_industry_sw(B197,1))</f>
        <v>计算机</v>
      </c>
      <c r="E197" s="183" t="str">
        <f ca="1">[1]!cb_info_underlyingcode(B197)</f>
        <v>603660.SH</v>
      </c>
      <c r="F197" s="185">
        <f ca="1">RTD("wdf.rtq",,B197,"LastPrice","Dirty_Price")</f>
        <v>103.78</v>
      </c>
      <c r="G197" s="185">
        <f ca="1">RTD("wdf.rtq",,E197,"LastPrice")</f>
        <v>6.8500000000000005</v>
      </c>
      <c r="H197" s="225">
        <f ca="1">RTD("wdf.rtq",,B197,"PctChg","RT_Price")/100</f>
        <v>7.8000000000000005E-3</v>
      </c>
      <c r="I197" s="225">
        <f ca="1">RTD("wdf.rtq",,E197,"PctChg")/100</f>
        <v>1.5E-3</v>
      </c>
      <c r="J197" s="186">
        <f ca="1">_xlfn.IFNA([1]!b_anal_ptmyear(B197,$B$2),"未发行或发行失败")</f>
        <v>4.4986301369863018</v>
      </c>
      <c r="K197" s="186">
        <f ca="1">RTD("wdf.rtq",,B197,"Amount","Dirty_Price")/100000000</f>
        <v>3.1867100000000002E-2</v>
      </c>
      <c r="L197" s="186">
        <f ca="1">[1]!cb_anal_convprice(B197,$B$2)</f>
        <v>14.8</v>
      </c>
      <c r="M197" s="186">
        <f t="shared" ca="1" si="8"/>
        <v>46.283783783783782</v>
      </c>
      <c r="N197" s="187">
        <f t="shared" ca="1" si="9"/>
        <v>124.22540145985403</v>
      </c>
      <c r="O197" s="187">
        <f t="array" aca="1" ref="O197" ca="1">_xlfn.IFNA(RTD("wdf.rtq",,B197,"LastPrice","Yield_To_Maturity"),[1]!cb_anal_ytm(B197,$C$2))</f>
        <v>3.4131</v>
      </c>
      <c r="P197" s="187">
        <f ca="1">[1]!cb_anal_straightbondvalue(B197,$B$2)</f>
        <v>90.961799999999997</v>
      </c>
      <c r="Q197" s="187">
        <f t="shared" ca="1" si="10"/>
        <v>14.091849545633451</v>
      </c>
      <c r="R197" s="187" t="str">
        <f ca="1">[1]!b_rate_latestcredit(B197)</f>
        <v>AA-</v>
      </c>
      <c r="S197" s="187">
        <f ca="1">[1]!cb_info_outstandingbalance(B197,$B$2)</f>
        <v>5.1570499999999999</v>
      </c>
      <c r="T197" s="187">
        <f ca="1">[1]!cb_info_issueamount(B197,100000000)</f>
        <v>5.16</v>
      </c>
      <c r="U197" s="187">
        <f t="shared" ca="1" si="11"/>
        <v>99.94282945736434</v>
      </c>
      <c r="V197" s="240">
        <f ca="1">IF([1]!cb_anal_ldiluterate(B197,$B$2)=100,"-",[1]!cb_anal_ldiluterate(B197,$B$2))</f>
        <v>6.5886352018999474</v>
      </c>
      <c r="W197" s="188" t="str">
        <f ca="1">[1]!cb_info_listeddate(B197)</f>
        <v>2020-04-08</v>
      </c>
      <c r="X197" s="188" t="str">
        <f ca="1">[1]!cb_info_carrydate(B197)</f>
        <v>2020-03-09</v>
      </c>
      <c r="Y197" s="186" t="str">
        <f ca="1">[1]!cb_clause_conversion_2_swapsharestartdate(B197)</f>
        <v>2020-09-14</v>
      </c>
      <c r="Z197" s="186" t="str">
        <f ca="1">[1]!cb_clause_putoption_conditionalputbackstartenddate(B197)</f>
        <v>2024-03-09</v>
      </c>
      <c r="AA197" s="240">
        <f ca="1">[1]!cb_info_maturitycallprice(B197)</f>
        <v>115</v>
      </c>
      <c r="AB197" s="240">
        <f ca="1">IF(ISNUMBER([1]!cb_info_conditionalputprice(B197)),[1]!cb_info_conditionalputprice(B197),"-")</f>
        <v>0</v>
      </c>
      <c r="AC197" s="240">
        <f ca="1">[1]!cb_info_interest(B197)</f>
        <v>0.4</v>
      </c>
      <c r="AD197" s="262" t="str">
        <f ca="1">IFERROR(couponlist([1]!cb_clause_interest(B197,"4")),"-")</f>
        <v>0.4%，0.8%，1.5%</v>
      </c>
      <c r="AE197" s="189"/>
      <c r="AF197" s="189"/>
      <c r="AG197" s="189"/>
      <c r="AH197" s="189"/>
      <c r="AI197" s="189"/>
      <c r="AJ197" s="189"/>
      <c r="AK197" s="189"/>
      <c r="AL197" s="189"/>
      <c r="AM197" s="189"/>
      <c r="AN197" s="189"/>
      <c r="AO197" s="189"/>
      <c r="AP197" s="189"/>
      <c r="AQ197" s="189"/>
    </row>
    <row r="198" spans="1:43" s="130" customFormat="1" x14ac:dyDescent="0.35">
      <c r="A198" s="121" t="s">
        <v>5</v>
      </c>
      <c r="B198" s="121" t="s">
        <v>491</v>
      </c>
      <c r="C198" s="121" t="s">
        <v>492</v>
      </c>
      <c r="D198" s="236" t="str">
        <f ca="1">IF([1]!s_info_industry_sw(B198,1)=0,"-",[1]!s_info_industry_sw(B198,1))</f>
        <v>计算机</v>
      </c>
      <c r="E198" s="122" t="str">
        <f ca="1">[1]!cb_info_underlyingcode(B198)</f>
        <v>002279.SZ</v>
      </c>
      <c r="F198" s="124">
        <f ca="1">RTD("wdf.rtq",,B198,"LastPrice","Dirty_Price")</f>
        <v>104.155</v>
      </c>
      <c r="G198" s="124">
        <f ca="1">RTD("wdf.rtq",,E198,"LastPrice")</f>
        <v>4.8500000000000005</v>
      </c>
      <c r="H198" s="226">
        <f ca="1">RTD("wdf.rtq",,B198,"PctChg","RT_Price")/100</f>
        <v>5.1999999999999998E-3</v>
      </c>
      <c r="I198" s="226">
        <f ca="1">RTD("wdf.rtq",,E198,"PctChg")/100</f>
        <v>6.2000000000000006E-3</v>
      </c>
      <c r="J198" s="125">
        <f ca="1">_xlfn.IFNA([1]!b_anal_ptmyear(B198,$B$2),"未发行或发行失败")</f>
        <v>1.7479452054794522</v>
      </c>
      <c r="K198" s="125">
        <f ca="1">RTD("wdf.rtq",,B198,"Amount","Dirty_Price")/100000000</f>
        <v>0.13209535</v>
      </c>
      <c r="L198" s="125">
        <f ca="1">[1]!cb_anal_convprice(B198,$B$2)</f>
        <v>6.97</v>
      </c>
      <c r="M198" s="125">
        <f t="shared" ca="1" si="8"/>
        <v>69.58393113342899</v>
      </c>
      <c r="N198" s="126">
        <f t="shared" ca="1" si="9"/>
        <v>49.682546391752567</v>
      </c>
      <c r="O198" s="126">
        <f t="array" aca="1" ref="O198" ca="1">_xlfn.IFNA(RTD("wdf.rtq",,B198,"LastPrice","Yield_To_Maturity"),[1]!cb_anal_ytm(B198,$C$2))</f>
        <v>2.9279999999999999</v>
      </c>
      <c r="P198" s="126">
        <f ca="1">[1]!cb_anal_straightbondvalue(B198,$B$2)</f>
        <v>96.253100000000003</v>
      </c>
      <c r="Q198" s="126">
        <f t="shared" ca="1" si="10"/>
        <v>8.2095018238373569</v>
      </c>
      <c r="R198" s="126" t="str">
        <f ca="1">[1]!b_rate_latestcredit(B198)</f>
        <v>A+</v>
      </c>
      <c r="S198" s="126">
        <f ca="1">[1]!cb_info_outstandingbalance(B198,$B$2)</f>
        <v>7.7953400000000004</v>
      </c>
      <c r="T198" s="126">
        <f ca="1">[1]!cb_info_issueamount(B198,100000000)</f>
        <v>7.8</v>
      </c>
      <c r="U198" s="126">
        <f t="shared" ca="1" si="11"/>
        <v>99.94025641025641</v>
      </c>
      <c r="V198" s="230">
        <f ca="1">IF([1]!cb_anal_ldiluterate(B198,$B$2)=100,"-",[1]!cb_anal_ldiluterate(B198,$B$2))</f>
        <v>14.846321963396807</v>
      </c>
      <c r="W198" s="127" t="str">
        <f ca="1">[1]!cb_info_listeddate(B198)</f>
        <v>2017-06-27</v>
      </c>
      <c r="X198" s="127" t="str">
        <f ca="1">[1]!cb_info_carrydate(B198)</f>
        <v>2017-06-08</v>
      </c>
      <c r="Y198" s="125" t="str">
        <f ca="1">[1]!cb_clause_conversion_2_swapsharestartdate(B198)</f>
        <v>2017-12-15</v>
      </c>
      <c r="Z198" s="125" t="str">
        <f ca="1">[1]!cb_clause_putoption_conditionalputbackstartenddate(B198)</f>
        <v>2021-06-08</v>
      </c>
      <c r="AA198" s="230">
        <f ca="1">[1]!cb_info_maturitycallprice(B198)</f>
        <v>108</v>
      </c>
      <c r="AB198" s="230">
        <f ca="1">IF(ISNUMBER([1]!cb_info_conditionalputprice(B198)),[1]!cb_info_conditionalputprice(B198),"-")</f>
        <v>100.386</v>
      </c>
      <c r="AC198" s="230">
        <f ca="1">[1]!cb_info_interest(B198)</f>
        <v>0.3</v>
      </c>
      <c r="AD198" s="263" t="str">
        <f ca="1">IFERROR(couponlist([1]!cb_clause_interest(B198,"4")),"-")</f>
        <v>0.3%，0.5%，1.0%，1.3%，1.5%，1.8%</v>
      </c>
      <c r="AE198" s="129"/>
      <c r="AF198" s="129"/>
      <c r="AG198" s="129"/>
      <c r="AH198" s="129"/>
      <c r="AI198" s="129"/>
      <c r="AJ198" s="129"/>
      <c r="AK198" s="129"/>
      <c r="AL198" s="129"/>
      <c r="AM198" s="129"/>
      <c r="AN198" s="129"/>
      <c r="AO198" s="129"/>
      <c r="AP198" s="129"/>
      <c r="AQ198" s="129"/>
    </row>
    <row r="199" spans="1:43" s="191" customFormat="1" x14ac:dyDescent="0.35">
      <c r="A199" s="182" t="s">
        <v>5</v>
      </c>
      <c r="B199" s="182" t="s">
        <v>405</v>
      </c>
      <c r="C199" s="182" t="s">
        <v>406</v>
      </c>
      <c r="D199" s="235" t="str">
        <f ca="1">IF([1]!s_info_industry_sw(B199,1)=0,"-",[1]!s_info_industry_sw(B199,1))</f>
        <v>计算机</v>
      </c>
      <c r="E199" s="183" t="str">
        <f ca="1">[1]!cb_info_underlyingcode(B199)</f>
        <v>300297.SZ</v>
      </c>
      <c r="F199" s="185">
        <f ca="1">RTD("wdf.rtq",,B199,"LastPrice","Dirty_Price")</f>
        <v>201.804</v>
      </c>
      <c r="G199" s="185">
        <f ca="1">RTD("wdf.rtq",,E199,"LastPrice")</f>
        <v>3.44</v>
      </c>
      <c r="H199" s="225">
        <f ca="1">RTD("wdf.rtq",,B199,"PctChg","RT_Price")/100</f>
        <v>1.5E-3</v>
      </c>
      <c r="I199" s="225">
        <f ca="1">RTD("wdf.rtq",,E199,"PctChg")/100</f>
        <v>1.18E-2</v>
      </c>
      <c r="J199" s="186">
        <f ca="1">_xlfn.IFNA([1]!b_anal_ptmyear(B199,$B$2),"未发行或发行失败")</f>
        <v>2.9287671232876713</v>
      </c>
      <c r="K199" s="186">
        <f ca="1">RTD("wdf.rtq",,B199,"Amount","Dirty_Price")/100000000</f>
        <v>0.58770248999999997</v>
      </c>
      <c r="L199" s="186">
        <f ca="1">[1]!cb_anal_convprice(B199,$B$2)</f>
        <v>5.79</v>
      </c>
      <c r="M199" s="186">
        <f t="shared" ref="M199:M262" ca="1" si="12">IFERROR(100*G199/L199,)</f>
        <v>59.412780656303973</v>
      </c>
      <c r="N199" s="187">
        <f t="shared" ref="N199:N262" ca="1" si="13">IF(F199=0,"-",100*F199/M199-100)</f>
        <v>239.66429069767446</v>
      </c>
      <c r="O199" s="187">
        <f t="array" aca="1" ref="O199" ca="1">_xlfn.IFNA(RTD("wdf.rtq",,B199,"LastPrice","Yield_To_Maturity"),[1]!cb_anal_ytm(B199,$C$2))</f>
        <v>-18.597899999999999</v>
      </c>
      <c r="P199" s="187">
        <f ca="1">[1]!cb_anal_straightbondvalue(B199,$B$2)</f>
        <v>100.2381</v>
      </c>
      <c r="Q199" s="187">
        <f t="shared" ref="Q199:Q262" ca="1" si="14">IF(F199=0,"-",100*F199/P199-100)</f>
        <v>101.32464601783155</v>
      </c>
      <c r="R199" s="187" t="str">
        <f ca="1">[1]!b_rate_latestcredit(B199)</f>
        <v>BBB-</v>
      </c>
      <c r="S199" s="187">
        <f ca="1">[1]!cb_info_outstandingbalance(B199,$B$2)</f>
        <v>1.0018640000000001</v>
      </c>
      <c r="T199" s="187">
        <f ca="1">[1]!cb_info_issueamount(B199,100000000)</f>
        <v>5.38</v>
      </c>
      <c r="U199" s="187">
        <f t="shared" ref="U199:U262" ca="1" si="15">100*S199/T199</f>
        <v>18.622007434944241</v>
      </c>
      <c r="V199" s="240">
        <f ca="1">IF([1]!cb_anal_ldiluterate(B199,$B$2)=100,"-",[1]!cb_anal_ldiluterate(B199,$B$2))</f>
        <v>1.6637955890170451</v>
      </c>
      <c r="W199" s="188" t="str">
        <f ca="1">[1]!cb_info_listeddate(B199)</f>
        <v>2018-09-13</v>
      </c>
      <c r="X199" s="188" t="str">
        <f ca="1">[1]!cb_info_carrydate(B199)</f>
        <v>2018-08-13</v>
      </c>
      <c r="Y199" s="186" t="str">
        <f ca="1">[1]!cb_clause_conversion_2_swapsharestartdate(B199)</f>
        <v>2019-02-18</v>
      </c>
      <c r="Z199" s="186" t="str">
        <f ca="1">[1]!cb_clause_putoption_conditionalputbackstartenddate(B199)</f>
        <v>2022-08-13</v>
      </c>
      <c r="AA199" s="240">
        <f ca="1">[1]!cb_info_maturitycallprice(B199)</f>
        <v>108</v>
      </c>
      <c r="AB199" s="240">
        <f ca="1">IF(ISNUMBER([1]!cb_info_conditionalputprice(B199)),[1]!cb_info_conditionalputprice(B199),"-")</f>
        <v>0</v>
      </c>
      <c r="AC199" s="240">
        <f ca="1">[1]!cb_info_interest(B199)</f>
        <v>0.4</v>
      </c>
      <c r="AD199" s="262" t="str">
        <f ca="1">IFERROR(couponlist([1]!cb_clause_interest(B199,"4")),"-")</f>
        <v>0.4%，0.6%，1.0%，1.5%，1.8%，2.0%</v>
      </c>
      <c r="AE199" s="189"/>
      <c r="AF199" s="189"/>
      <c r="AG199" s="189"/>
      <c r="AH199" s="189"/>
      <c r="AI199" s="189"/>
      <c r="AJ199" s="189"/>
      <c r="AK199" s="189"/>
      <c r="AL199" s="189"/>
      <c r="AM199" s="189"/>
      <c r="AN199" s="189"/>
      <c r="AO199" s="189"/>
      <c r="AP199" s="189"/>
      <c r="AQ199" s="189"/>
    </row>
    <row r="200" spans="1:43" s="130" customFormat="1" x14ac:dyDescent="0.35">
      <c r="A200" s="121" t="s">
        <v>5</v>
      </c>
      <c r="B200" s="121" t="s">
        <v>908</v>
      </c>
      <c r="C200" s="121" t="s">
        <v>909</v>
      </c>
      <c r="D200" s="236" t="str">
        <f ca="1">IF([1]!s_info_industry_sw(B200,1)=0,"-",[1]!s_info_industry_sw(B200,1))</f>
        <v>计算机</v>
      </c>
      <c r="E200" s="122" t="str">
        <f ca="1">[1]!cb_info_underlyingcode(B200)</f>
        <v>300253.SZ</v>
      </c>
      <c r="F200" s="124">
        <f ca="1">RTD("wdf.rtq",,B200,"LastPrice","Dirty_Price")</f>
        <v>121.38000000000001</v>
      </c>
      <c r="G200" s="124">
        <f ca="1">RTD("wdf.rtq",,E200,"LastPrice")</f>
        <v>14.55</v>
      </c>
      <c r="H200" s="226">
        <f ca="1">RTD("wdf.rtq",,B200,"PctChg","RT_Price")/100</f>
        <v>1E-3</v>
      </c>
      <c r="I200" s="226">
        <f ca="1">RTD("wdf.rtq",,E200,"PctChg")/100</f>
        <v>-7.5000000000000015E-3</v>
      </c>
      <c r="J200" s="125">
        <f ca="1">_xlfn.IFNA([1]!b_anal_ptmyear(B200,$B$2),"未发行或发行失败")</f>
        <v>5.5178082191780824</v>
      </c>
      <c r="K200" s="125">
        <f ca="1">RTD("wdf.rtq",,B200,"Amount","Dirty_Price")/100000000</f>
        <v>3.7787630000000003E-2</v>
      </c>
      <c r="L200" s="125">
        <f ca="1">[1]!cb_anal_convprice(B200,$B$2)</f>
        <v>17.739999999999998</v>
      </c>
      <c r="M200" s="125">
        <f t="shared" ca="1" si="12"/>
        <v>82.018038331454349</v>
      </c>
      <c r="N200" s="126">
        <f t="shared" ca="1" si="13"/>
        <v>47.991835051546389</v>
      </c>
      <c r="O200" s="126">
        <f t="array" aca="1" ref="O200" ca="1">_xlfn.IFNA(RTD("wdf.rtq",,B200,"LastPrice","Yield_To_Maturity"),[1]!cb_anal_ytm(B200,$C$2))</f>
        <v>0.55780000000000007</v>
      </c>
      <c r="P200" s="126">
        <f ca="1">[1]!cb_anal_straightbondvalue(B200,$B$2)</f>
        <v>99.0535</v>
      </c>
      <c r="Q200" s="126">
        <f t="shared" ca="1" si="14"/>
        <v>22.539839581640237</v>
      </c>
      <c r="R200" s="126" t="str">
        <f ca="1">[1]!b_rate_latestcredit(B200)</f>
        <v>AA</v>
      </c>
      <c r="S200" s="126">
        <f ca="1">[1]!cb_info_outstandingbalance(B200,$B$2)</f>
        <v>9.7026500000000002</v>
      </c>
      <c r="T200" s="126">
        <f ca="1">[1]!cb_info_issueamount(B200,100000000)</f>
        <v>9.7026500000000002</v>
      </c>
      <c r="U200" s="126">
        <f t="shared" ca="1" si="15"/>
        <v>100</v>
      </c>
      <c r="V200" s="230">
        <f ca="1">IF([1]!cb_anal_ldiluterate(B200,$B$2)=100,"-",[1]!cb_anal_ldiluterate(B200,$B$2))</f>
        <v>2.9549165163839057</v>
      </c>
      <c r="W200" s="127" t="str">
        <f ca="1">[1]!cb_info_listeddate(B200)</f>
        <v>2021-03-31</v>
      </c>
      <c r="X200" s="127" t="str">
        <f ca="1">[1]!cb_info_carrydate(B200)</f>
        <v>2021-03-16</v>
      </c>
      <c r="Y200" s="125" t="str">
        <f ca="1">[1]!cb_clause_conversion_2_swapsharestartdate(B200)</f>
        <v>2021-09-22</v>
      </c>
      <c r="Z200" s="125" t="str">
        <f ca="1">[1]!cb_clause_putoption_conditionalputbackstartenddate(B200)</f>
        <v>2025-03-16</v>
      </c>
      <c r="AA200" s="230">
        <f ca="1">[1]!cb_info_maturitycallprice(B200)</f>
        <v>120</v>
      </c>
      <c r="AB200" s="230">
        <f ca="1">IF(ISNUMBER([1]!cb_info_conditionalputprice(B200)),[1]!cb_info_conditionalputprice(B200),"-")</f>
        <v>0</v>
      </c>
      <c r="AC200" s="230">
        <f ca="1">[1]!cb_info_interest(B200)</f>
        <v>0.3</v>
      </c>
      <c r="AD200" s="263" t="str">
        <f ca="1">IFERROR(couponlist([1]!cb_clause_interest(B200,"4")),"-")</f>
        <v>0.3%，0.5%，1.0%，1.5%，1.8%，2.0%</v>
      </c>
      <c r="AE200" s="129"/>
      <c r="AF200" s="129"/>
      <c r="AG200" s="129"/>
      <c r="AH200" s="129"/>
      <c r="AI200" s="129"/>
      <c r="AJ200" s="129"/>
      <c r="AK200" s="129"/>
      <c r="AL200" s="129"/>
      <c r="AM200" s="129"/>
      <c r="AN200" s="129"/>
      <c r="AO200" s="129"/>
      <c r="AP200" s="129"/>
      <c r="AQ200" s="129"/>
    </row>
    <row r="201" spans="1:43" s="191" customFormat="1" x14ac:dyDescent="0.35">
      <c r="A201" s="182" t="s">
        <v>0</v>
      </c>
      <c r="B201" s="182" t="s">
        <v>553</v>
      </c>
      <c r="C201" s="182" t="s">
        <v>554</v>
      </c>
      <c r="D201" s="235" t="str">
        <f ca="1">IF([1]!s_info_industry_sw(B201,1)=0,"-",[1]!s_info_industry_sw(B201,1))</f>
        <v>计算机</v>
      </c>
      <c r="E201" s="183" t="str">
        <f ca="1">[1]!cb_info_underlyingcode(B201)</f>
        <v>603528.SH</v>
      </c>
      <c r="F201" s="185">
        <f ca="1">RTD("wdf.rtq",,B201,"LastPrice","Dirty_Price")</f>
        <v>108.98</v>
      </c>
      <c r="G201" s="185">
        <f ca="1">RTD("wdf.rtq",,E201,"LastPrice")</f>
        <v>7.7700000000000005</v>
      </c>
      <c r="H201" s="225">
        <f ca="1">RTD("wdf.rtq",,B201,"PctChg","RT_Price")/100</f>
        <v>1E-4</v>
      </c>
      <c r="I201" s="225">
        <f ca="1">RTD("wdf.rtq",,E201,"PctChg")/100</f>
        <v>-3.8E-3</v>
      </c>
      <c r="J201" s="186">
        <f ca="1">_xlfn.IFNA([1]!b_anal_ptmyear(B201,$B$2),"未发行或发行失败")</f>
        <v>5.095890410958904</v>
      </c>
      <c r="K201" s="186">
        <f ca="1">RTD("wdf.rtq",,B201,"Amount","Dirty_Price")/100000000</f>
        <v>7.87589E-3</v>
      </c>
      <c r="L201" s="186">
        <f ca="1">[1]!cb_anal_convprice(B201,$B$2)</f>
        <v>10.4</v>
      </c>
      <c r="M201" s="186">
        <f t="shared" ca="1" si="12"/>
        <v>74.711538461538453</v>
      </c>
      <c r="N201" s="187">
        <f t="shared" ca="1" si="13"/>
        <v>45.867696267696289</v>
      </c>
      <c r="O201" s="187">
        <f t="array" aca="1" ref="O201" ca="1">_xlfn.IFNA(RTD("wdf.rtq",,B201,"LastPrice","Yield_To_Maturity"),[1]!cb_anal_ytm(B201,$C$2))</f>
        <v>1.4854000000000001</v>
      </c>
      <c r="P201" s="187">
        <f ca="1">[1]!cb_anal_straightbondvalue(B201,$B$2)</f>
        <v>84.988299999999995</v>
      </c>
      <c r="Q201" s="187">
        <f t="shared" ca="1" si="14"/>
        <v>28.229415107726595</v>
      </c>
      <c r="R201" s="187" t="str">
        <f ca="1">[1]!b_rate_latestcredit(B201)</f>
        <v>AA-</v>
      </c>
      <c r="S201" s="187">
        <f ca="1">[1]!cb_info_outstandingbalance(B201,$B$2)</f>
        <v>6.3991499999999997</v>
      </c>
      <c r="T201" s="187">
        <f ca="1">[1]!cb_info_issueamount(B201,100000000)</f>
        <v>6.4</v>
      </c>
      <c r="U201" s="187">
        <f t="shared" ca="1" si="15"/>
        <v>99.986718749999994</v>
      </c>
      <c r="V201" s="240">
        <f ca="1">IF([1]!cb_anal_ldiluterate(B201,$B$2)=100,"-",[1]!cb_anal_ldiluterate(B201,$B$2))</f>
        <v>8.9741422386930498</v>
      </c>
      <c r="W201" s="188" t="str">
        <f ca="1">[1]!cb_info_listeddate(B201)</f>
        <v>2020-11-17</v>
      </c>
      <c r="X201" s="188" t="str">
        <f ca="1">[1]!cb_info_carrydate(B201)</f>
        <v>2020-10-13</v>
      </c>
      <c r="Y201" s="186" t="str">
        <f ca="1">[1]!cb_clause_conversion_2_swapsharestartdate(B201)</f>
        <v>2021-04-19</v>
      </c>
      <c r="Z201" s="186" t="str">
        <f ca="1">[1]!cb_clause_putoption_conditionalputbackstartenddate(B201)</f>
        <v>2024-10-13</v>
      </c>
      <c r="AA201" s="240">
        <f ca="1">[1]!cb_info_maturitycallprice(B201)</f>
        <v>112</v>
      </c>
      <c r="AB201" s="240">
        <f ca="1">IF(ISNUMBER([1]!cb_info_conditionalputprice(B201)),[1]!cb_info_conditionalputprice(B201),"-")</f>
        <v>0</v>
      </c>
      <c r="AC201" s="240">
        <f ca="1">[1]!cb_info_interest(B201)</f>
        <v>0.4</v>
      </c>
      <c r="AD201" s="262" t="str">
        <f ca="1">IFERROR(couponlist([1]!cb_clause_interest(B201,"4")),"-")</f>
        <v>0.40%，0.60%，1.00%，1.50%，1.80%，2.00%</v>
      </c>
      <c r="AE201" s="189"/>
      <c r="AF201" s="189"/>
      <c r="AG201" s="189"/>
      <c r="AH201" s="189"/>
      <c r="AI201" s="189"/>
      <c r="AJ201" s="189"/>
      <c r="AK201" s="189"/>
      <c r="AL201" s="189"/>
      <c r="AM201" s="189"/>
      <c r="AN201" s="189"/>
      <c r="AO201" s="189"/>
      <c r="AP201" s="189"/>
      <c r="AQ201" s="189"/>
    </row>
    <row r="202" spans="1:43" s="130" customFormat="1" x14ac:dyDescent="0.35">
      <c r="A202" s="121" t="s">
        <v>0</v>
      </c>
      <c r="B202" s="121" t="s">
        <v>72</v>
      </c>
      <c r="C202" s="121" t="s">
        <v>73</v>
      </c>
      <c r="D202" s="236" t="str">
        <f ca="1">IF([1]!s_info_industry_sw(B202,1)=0,"-",[1]!s_info_industry_sw(B202,1))</f>
        <v>计算机</v>
      </c>
      <c r="E202" s="122" t="str">
        <f ca="1">[1]!cb_info_underlyingcode(B202)</f>
        <v>603516.SH</v>
      </c>
      <c r="F202" s="124">
        <f ca="1">RTD("wdf.rtq",,B202,"LastPrice","Dirty_Price")</f>
        <v>111.65</v>
      </c>
      <c r="G202" s="124">
        <f ca="1">RTD("wdf.rtq",,E202,"LastPrice")</f>
        <v>19.22</v>
      </c>
      <c r="H202" s="226">
        <f ca="1">RTD("wdf.rtq",,B202,"PctChg","RT_Price")/100</f>
        <v>1.7000000000000001E-3</v>
      </c>
      <c r="I202" s="226">
        <f ca="1">RTD("wdf.rtq",,E202,"PctChg")/100</f>
        <v>1.5900000000000001E-2</v>
      </c>
      <c r="J202" s="125">
        <f ca="1">_xlfn.IFNA([1]!b_anal_ptmyear(B202,$B$2),"未发行或发行失败")</f>
        <v>4.8657534246575338</v>
      </c>
      <c r="K202" s="125">
        <f ca="1">RTD("wdf.rtq",,B202,"Amount","Dirty_Price")/100000000</f>
        <v>1.42854E-2</v>
      </c>
      <c r="L202" s="125">
        <f ca="1">[1]!cb_anal_convprice(B202,$B$2)</f>
        <v>27.84</v>
      </c>
      <c r="M202" s="125">
        <f t="shared" ca="1" si="12"/>
        <v>69.037356321839084</v>
      </c>
      <c r="N202" s="126">
        <f t="shared" ca="1" si="13"/>
        <v>61.724037460978138</v>
      </c>
      <c r="O202" s="126">
        <f t="array" aca="1" ref="O202" ca="1">_xlfn.IFNA(RTD("wdf.rtq",,B202,"LastPrice","Yield_To_Maturity"),[1]!cb_anal_ytm(B202,$C$2))</f>
        <v>1.6852</v>
      </c>
      <c r="P202" s="126">
        <f ca="1">[1]!cb_anal_straightbondvalue(B202,$B$2)</f>
        <v>80.821799999999996</v>
      </c>
      <c r="Q202" s="126">
        <f t="shared" ca="1" si="14"/>
        <v>38.143421700580802</v>
      </c>
      <c r="R202" s="126" t="str">
        <f ca="1">[1]!b_rate_latestcredit(B202)</f>
        <v>A+</v>
      </c>
      <c r="S202" s="126">
        <f ca="1">[1]!cb_info_outstandingbalance(B202,$B$2)</f>
        <v>2.9988899999999998</v>
      </c>
      <c r="T202" s="126">
        <f ca="1">[1]!cb_info_issueamount(B202,100000000)</f>
        <v>3</v>
      </c>
      <c r="U202" s="126">
        <f t="shared" ca="1" si="15"/>
        <v>99.963000000000008</v>
      </c>
      <c r="V202" s="230">
        <f ca="1">IF([1]!cb_anal_ldiluterate(B202,$B$2)=100,"-",[1]!cb_anal_ldiluterate(B202,$B$2))</f>
        <v>5.5218128759061633</v>
      </c>
      <c r="W202" s="127" t="str">
        <f ca="1">[1]!cb_info_listeddate(B202)</f>
        <v>2020-08-28</v>
      </c>
      <c r="X202" s="127" t="str">
        <f ca="1">[1]!cb_info_carrydate(B202)</f>
        <v>2020-07-21</v>
      </c>
      <c r="Y202" s="125" t="str">
        <f ca="1">[1]!cb_clause_conversion_2_swapsharestartdate(B202)</f>
        <v>2021-01-27</v>
      </c>
      <c r="Z202" s="125" t="str">
        <f ca="1">[1]!cb_clause_putoption_conditionalputbackstartenddate(B202)</f>
        <v>2024-07-21</v>
      </c>
      <c r="AA202" s="230">
        <f ca="1">[1]!cb_info_maturitycallprice(B202)</f>
        <v>115</v>
      </c>
      <c r="AB202" s="230">
        <f ca="1">IF(ISNUMBER([1]!cb_info_conditionalputprice(B202)),[1]!cb_info_conditionalputprice(B202),"-")</f>
        <v>0</v>
      </c>
      <c r="AC202" s="230">
        <f ca="1">[1]!cb_info_interest(B202)</f>
        <v>0.5</v>
      </c>
      <c r="AD202" s="263" t="str">
        <f ca="1">IFERROR(couponlist([1]!cb_clause_interest(B202,"4")),"-")</f>
        <v>0.5%，0.7%，1.2%，1.80%，2.2%，2.8%</v>
      </c>
      <c r="AE202" s="129"/>
      <c r="AF202" s="129"/>
      <c r="AG202" s="129"/>
      <c r="AH202" s="129"/>
      <c r="AI202" s="129"/>
      <c r="AJ202" s="129"/>
      <c r="AK202" s="129"/>
      <c r="AL202" s="129"/>
      <c r="AM202" s="129"/>
      <c r="AN202" s="129"/>
      <c r="AO202" s="129"/>
      <c r="AP202" s="129"/>
      <c r="AQ202" s="129"/>
    </row>
    <row r="203" spans="1:43" s="191" customFormat="1" x14ac:dyDescent="0.35">
      <c r="A203" s="182" t="s">
        <v>5</v>
      </c>
      <c r="B203" s="182" t="s">
        <v>242</v>
      </c>
      <c r="C203" s="182" t="s">
        <v>243</v>
      </c>
      <c r="D203" s="235" t="str">
        <f ca="1">IF([1]!s_info_industry_sw(B203,1)=0,"-",[1]!s_info_industry_sw(B203,1))</f>
        <v>计算机</v>
      </c>
      <c r="E203" s="183" t="str">
        <f ca="1">[1]!cb_info_underlyingcode(B203)</f>
        <v>002376.SZ</v>
      </c>
      <c r="F203" s="185">
        <f ca="1">RTD("wdf.rtq",,B203,"LastPrice","Dirty_Price")</f>
        <v>107.545</v>
      </c>
      <c r="G203" s="185">
        <f ca="1">RTD("wdf.rtq",,E203,"LastPrice")</f>
        <v>8.59</v>
      </c>
      <c r="H203" s="225">
        <f ca="1">RTD("wdf.rtq",,B203,"PctChg","RT_Price")/100</f>
        <v>4.8999999999999998E-3</v>
      </c>
      <c r="I203" s="225">
        <f ca="1">RTD("wdf.rtq",,E203,"PctChg")/100</f>
        <v>8.2000000000000007E-3</v>
      </c>
      <c r="J203" s="186">
        <f ca="1">_xlfn.IFNA([1]!b_anal_ptmyear(B203,$B$2),"未发行或发行失败")</f>
        <v>4.2602739726027394</v>
      </c>
      <c r="K203" s="186">
        <f ca="1">RTD("wdf.rtq",,B203,"Amount","Dirty_Price")/100000000</f>
        <v>7.9099569999999994E-2</v>
      </c>
      <c r="L203" s="186">
        <f ca="1">[1]!cb_anal_convprice(B203,$B$2)</f>
        <v>11.45</v>
      </c>
      <c r="M203" s="186">
        <f t="shared" ca="1" si="12"/>
        <v>75.02183406113538</v>
      </c>
      <c r="N203" s="187">
        <f t="shared" ca="1" si="13"/>
        <v>43.351600698486607</v>
      </c>
      <c r="O203" s="187">
        <f t="array" aca="1" ref="O203" ca="1">_xlfn.IFNA(RTD("wdf.rtq",,B203,"LastPrice","Yield_To_Maturity"),[1]!cb_anal_ytm(B203,$C$2))</f>
        <v>1.5992000000000002</v>
      </c>
      <c r="P203" s="187">
        <f ca="1">[1]!cb_anal_straightbondvalue(B203,$B$2)</f>
        <v>96.857200000000006</v>
      </c>
      <c r="Q203" s="187">
        <f t="shared" ca="1" si="14"/>
        <v>11.034595259825792</v>
      </c>
      <c r="R203" s="187" t="str">
        <f ca="1">[1]!b_rate_latestcredit(B203)</f>
        <v>AA</v>
      </c>
      <c r="S203" s="187">
        <f ca="1">[1]!cb_info_outstandingbalance(B203,$B$2)</f>
        <v>8.7688790000000001</v>
      </c>
      <c r="T203" s="187">
        <f ca="1">[1]!cb_info_issueamount(B203,100000000)</f>
        <v>8.77</v>
      </c>
      <c r="U203" s="187">
        <f t="shared" ca="1" si="15"/>
        <v>99.987217787913352</v>
      </c>
      <c r="V203" s="240">
        <f ca="1">IF([1]!cb_anal_ldiluterate(B203,$B$2)=100,"-",[1]!cb_anal_ldiluterate(B203,$B$2))</f>
        <v>10.681795346953264</v>
      </c>
      <c r="W203" s="188" t="str">
        <f ca="1">[1]!cb_info_listeddate(B203)</f>
        <v>2019-12-31</v>
      </c>
      <c r="X203" s="188" t="str">
        <f ca="1">[1]!cb_info_carrydate(B203)</f>
        <v>2019-12-12</v>
      </c>
      <c r="Y203" s="186" t="str">
        <f ca="1">[1]!cb_clause_conversion_2_swapsharestartdate(B203)</f>
        <v>2020-06-18</v>
      </c>
      <c r="Z203" s="186" t="str">
        <f ca="1">[1]!cb_clause_putoption_conditionalputbackstartenddate(B203)</f>
        <v>2023-12-12</v>
      </c>
      <c r="AA203" s="240">
        <f ca="1">[1]!cb_info_maturitycallprice(B203)</f>
        <v>110</v>
      </c>
      <c r="AB203" s="240">
        <f ca="1">IF(ISNUMBER([1]!cb_info_conditionalputprice(B203)),[1]!cb_info_conditionalputprice(B203),"-")</f>
        <v>0</v>
      </c>
      <c r="AC203" s="240">
        <f ca="1">[1]!cb_info_interest(B203)</f>
        <v>0.3</v>
      </c>
      <c r="AD203" s="262" t="str">
        <f ca="1">IFERROR(couponlist([1]!cb_clause_interest(B203,"4")),"-")</f>
        <v>0.30%，0.60%，1.00%，1.50%，1.80%，2.00%</v>
      </c>
      <c r="AE203" s="189"/>
      <c r="AF203" s="189"/>
      <c r="AG203" s="189"/>
      <c r="AH203" s="189"/>
      <c r="AI203" s="189"/>
      <c r="AJ203" s="189"/>
      <c r="AK203" s="189"/>
      <c r="AL203" s="189"/>
      <c r="AM203" s="189"/>
      <c r="AN203" s="189"/>
      <c r="AO203" s="189"/>
      <c r="AP203" s="189"/>
      <c r="AQ203" s="189"/>
    </row>
    <row r="204" spans="1:43" s="130" customFormat="1" x14ac:dyDescent="0.35">
      <c r="A204" s="121" t="s">
        <v>5</v>
      </c>
      <c r="B204" s="121" t="s">
        <v>1727</v>
      </c>
      <c r="C204" s="121" t="s">
        <v>1728</v>
      </c>
      <c r="D204" s="236" t="str">
        <f ca="1">IF([1]!s_info_industry_sw(B204,1)=0,"-",[1]!s_info_industry_sw(B204,1))</f>
        <v>计算机</v>
      </c>
      <c r="E204" s="122" t="str">
        <f ca="1">[1]!cb_info_underlyingcode(B204)</f>
        <v>300624.SZ</v>
      </c>
      <c r="F204" s="124">
        <f ca="1">RTD("wdf.rtq",,B204,"LastPrice","Dirty_Price")</f>
        <v>132.864</v>
      </c>
      <c r="G204" s="124">
        <f ca="1">RTD("wdf.rtq",,E204,"LastPrice")</f>
        <v>52.29</v>
      </c>
      <c r="H204" s="226">
        <f ca="1">RTD("wdf.rtq",,B204,"PctChg","RT_Price")/100</f>
        <v>5.8700000000000002E-2</v>
      </c>
      <c r="I204" s="226">
        <f ca="1">RTD("wdf.rtq",,E204,"PctChg")/100</f>
        <v>6.3899999999999998E-2</v>
      </c>
      <c r="J204" s="125">
        <f ca="1">_xlfn.IFNA([1]!b_anal_ptmyear(B204,$B$2),"未发行或发行失败")</f>
        <v>5.7506849315068491</v>
      </c>
      <c r="K204" s="125">
        <f ca="1">RTD("wdf.rtq",,B204,"Amount","Dirty_Price")/100000000</f>
        <v>3.3410327500000001</v>
      </c>
      <c r="L204" s="125">
        <f ca="1">[1]!cb_anal_convprice(B204,$B$2)</f>
        <v>49.78</v>
      </c>
      <c r="M204" s="125">
        <f t="shared" ca="1" si="12"/>
        <v>105.04218561671354</v>
      </c>
      <c r="N204" s="126">
        <f t="shared" ca="1" si="13"/>
        <v>26.486324727481346</v>
      </c>
      <c r="O204" s="126">
        <f t="array" aca="1" ref="O204" ca="1">_xlfn.IFNA(RTD("wdf.rtq",,B204,"LastPrice","Yield_To_Maturity"),[1]!cb_anal_ytm(B204,$C$2))</f>
        <v>-1.5876000000000001</v>
      </c>
      <c r="P204" s="126">
        <f ca="1">[1]!cb_anal_straightbondvalue(B204,$B$2)</f>
        <v>74.860699999999994</v>
      </c>
      <c r="Q204" s="126">
        <f t="shared" ca="1" si="14"/>
        <v>77.481642570801512</v>
      </c>
      <c r="R204" s="126" t="str">
        <f ca="1">[1]!b_rate_latestcredit(B204)</f>
        <v>A+</v>
      </c>
      <c r="S204" s="126">
        <f ca="1">[1]!cb_info_outstandingbalance(B204,$B$2)</f>
        <v>3.7875000000000001</v>
      </c>
      <c r="T204" s="126">
        <f ca="1">[1]!cb_info_issueamount(B204,100000000)</f>
        <v>3.7875000000000001</v>
      </c>
      <c r="U204" s="126">
        <f t="shared" ca="1" si="15"/>
        <v>100</v>
      </c>
      <c r="V204" s="230">
        <f ca="1">IF([1]!cb_anal_ldiluterate(B204,$B$2)=100,"-",[1]!cb_anal_ldiluterate(B204,$B$2))</f>
        <v>6.4325109150869464</v>
      </c>
      <c r="W204" s="127" t="str">
        <f ca="1">[1]!cb_info_listeddate(B204)</f>
        <v>2021-07-01</v>
      </c>
      <c r="X204" s="127" t="str">
        <f ca="1">[1]!cb_info_carrydate(B204)</f>
        <v>2021-06-09</v>
      </c>
      <c r="Y204" s="125" t="str">
        <f ca="1">[1]!cb_clause_conversion_2_swapsharestartdate(B204)</f>
        <v>2021-12-16</v>
      </c>
      <c r="Z204" s="125" t="str">
        <f ca="1">[1]!cb_clause_putoption_conditionalputbackstartenddate(B204)</f>
        <v>2025-06-09</v>
      </c>
      <c r="AA204" s="230">
        <f ca="1">[1]!cb_info_maturitycallprice(B204)</f>
        <v>115</v>
      </c>
      <c r="AB204" s="230">
        <f ca="1">IF(ISNUMBER([1]!cb_info_conditionalputprice(B204)),[1]!cb_info_conditionalputprice(B204),"-")</f>
        <v>0</v>
      </c>
      <c r="AC204" s="230">
        <f ca="1">[1]!cb_info_interest(B204)</f>
        <v>0.4</v>
      </c>
      <c r="AD204" s="263" t="str">
        <f ca="1">IFERROR(couponlist([1]!cb_clause_interest(B204,"4")),"-")</f>
        <v>0.40%，0.70%，1.00%，1.80%，2.50%，3.50%</v>
      </c>
      <c r="AE204" s="129"/>
      <c r="AF204" s="129"/>
      <c r="AG204" s="129"/>
      <c r="AH204" s="129"/>
      <c r="AI204" s="129"/>
      <c r="AJ204" s="129"/>
      <c r="AK204" s="129"/>
      <c r="AL204" s="129"/>
      <c r="AM204" s="129"/>
      <c r="AN204" s="129"/>
      <c r="AO204" s="129"/>
      <c r="AP204" s="129"/>
      <c r="AQ204" s="129"/>
    </row>
    <row r="205" spans="1:43" s="191" customFormat="1" x14ac:dyDescent="0.35">
      <c r="A205" s="182" t="s">
        <v>5</v>
      </c>
      <c r="B205" s="182" t="s">
        <v>595</v>
      </c>
      <c r="C205" s="182" t="s">
        <v>596</v>
      </c>
      <c r="D205" s="235" t="str">
        <f ca="1">IF([1]!s_info_industry_sw(B205,1)=0,"-",[1]!s_info_industry_sw(B205,1))</f>
        <v>计算机</v>
      </c>
      <c r="E205" s="183" t="str">
        <f ca="1">[1]!cb_info_underlyingcode(B205)</f>
        <v>300170.SZ</v>
      </c>
      <c r="F205" s="185">
        <f ca="1">RTD("wdf.rtq",,B205,"LastPrice","Dirty_Price")</f>
        <v>112.66900000000001</v>
      </c>
      <c r="G205" s="185">
        <f ca="1">RTD("wdf.rtq",,E205,"LastPrice")</f>
        <v>7.7700000000000005</v>
      </c>
      <c r="H205" s="225">
        <f ca="1">RTD("wdf.rtq",,B205,"PctChg","RT_Price")/100</f>
        <v>3.4000000000000002E-3</v>
      </c>
      <c r="I205" s="225">
        <f ca="1">RTD("wdf.rtq",,E205,"PctChg")/100</f>
        <v>-3.8E-3</v>
      </c>
      <c r="J205" s="186">
        <f ca="1">_xlfn.IFNA([1]!b_anal_ptmyear(B205,$B$2),"未发行或发行失败")</f>
        <v>5.2082191780821914</v>
      </c>
      <c r="K205" s="186">
        <f ca="1">RTD("wdf.rtq",,B205,"Amount","Dirty_Price")/100000000</f>
        <v>5.7097450000000001E-2</v>
      </c>
      <c r="L205" s="186">
        <f ca="1">[1]!cb_anal_convprice(B205,$B$2)</f>
        <v>9.69</v>
      </c>
      <c r="M205" s="186">
        <f t="shared" ca="1" si="12"/>
        <v>80.185758513931887</v>
      </c>
      <c r="N205" s="187">
        <f t="shared" ca="1" si="13"/>
        <v>40.509988416988449</v>
      </c>
      <c r="O205" s="187">
        <f t="array" aca="1" ref="O205" ca="1">_xlfn.IFNA(RTD("wdf.rtq",,B205,"LastPrice","Yield_To_Maturity"),[1]!cb_anal_ytm(B205,$C$2))</f>
        <v>2.1346000000000003</v>
      </c>
      <c r="P205" s="187">
        <f ca="1">[1]!cb_anal_straightbondvalue(B205,$B$2)</f>
        <v>100.9062</v>
      </c>
      <c r="Q205" s="187">
        <f t="shared" ca="1" si="14"/>
        <v>11.657162790789883</v>
      </c>
      <c r="R205" s="187" t="str">
        <f ca="1">[1]!b_rate_latestcredit(B205)</f>
        <v>AA</v>
      </c>
      <c r="S205" s="187">
        <f ca="1">[1]!cb_info_outstandingbalance(B205,$B$2)</f>
        <v>9.3677849999999996</v>
      </c>
      <c r="T205" s="187">
        <f ca="1">[1]!cb_info_issueamount(B205,100000000)</f>
        <v>9.3714999999999993</v>
      </c>
      <c r="U205" s="187">
        <f t="shared" ca="1" si="15"/>
        <v>99.960358533852641</v>
      </c>
      <c r="V205" s="240">
        <f ca="1">IF([1]!cb_anal_ldiluterate(B205,$B$2)=100,"-",[1]!cb_anal_ldiluterate(B205,$B$2))</f>
        <v>10.752429687762129</v>
      </c>
      <c r="W205" s="188" t="str">
        <f ca="1">[1]!cb_info_listeddate(B205)</f>
        <v>2020-12-15</v>
      </c>
      <c r="X205" s="188" t="str">
        <f ca="1">[1]!cb_info_carrydate(B205)</f>
        <v>2020-11-23</v>
      </c>
      <c r="Y205" s="186" t="str">
        <f ca="1">[1]!cb_clause_conversion_2_swapsharestartdate(B205)</f>
        <v>2021-05-27</v>
      </c>
      <c r="Z205" s="186" t="str">
        <f ca="1">[1]!cb_clause_putoption_conditionalputbackstartenddate(B205)</f>
        <v>2024-11-23</v>
      </c>
      <c r="AA205" s="240">
        <f ca="1">[1]!cb_info_maturitycallprice(B205)</f>
        <v>120</v>
      </c>
      <c r="AB205" s="240">
        <f ca="1">IF(ISNUMBER([1]!cb_info_conditionalputprice(B205)),[1]!cb_info_conditionalputprice(B205),"-")</f>
        <v>0</v>
      </c>
      <c r="AC205" s="240">
        <f ca="1">[1]!cb_info_interest(B205)</f>
        <v>0.4</v>
      </c>
      <c r="AD205" s="262" t="str">
        <f ca="1">IFERROR(couponlist([1]!cb_clause_interest(B205,"4")),"-")</f>
        <v>0.40%，0.60%，1.00%，1.50%，2.00%，2.50%</v>
      </c>
      <c r="AE205" s="189"/>
      <c r="AF205" s="189"/>
      <c r="AG205" s="189"/>
      <c r="AH205" s="189"/>
      <c r="AI205" s="189"/>
      <c r="AJ205" s="189"/>
      <c r="AK205" s="189"/>
      <c r="AL205" s="189"/>
      <c r="AM205" s="189"/>
      <c r="AN205" s="189"/>
      <c r="AO205" s="189"/>
      <c r="AP205" s="189"/>
      <c r="AQ205" s="189"/>
    </row>
    <row r="206" spans="1:43" s="130" customFormat="1" x14ac:dyDescent="0.35">
      <c r="A206" s="121" t="s">
        <v>5</v>
      </c>
      <c r="B206" s="121" t="s">
        <v>86</v>
      </c>
      <c r="C206" s="121" t="s">
        <v>87</v>
      </c>
      <c r="D206" s="236" t="str">
        <f ca="1">IF([1]!s_info_industry_sw(B206,1)=0,"-",[1]!s_info_industry_sw(B206,1))</f>
        <v>计算机</v>
      </c>
      <c r="E206" s="122" t="str">
        <f ca="1">[1]!cb_info_underlyingcode(B206)</f>
        <v>300231.SZ</v>
      </c>
      <c r="F206" s="124">
        <f ca="1">RTD("wdf.rtq",,B206,"LastPrice","Dirty_Price")</f>
        <v>120.05000000000001</v>
      </c>
      <c r="G206" s="124">
        <f ca="1">RTD("wdf.rtq",,E206,"LastPrice")</f>
        <v>9.2200000000000006</v>
      </c>
      <c r="H206" s="226">
        <f ca="1">RTD("wdf.rtq",,B206,"PctChg","RT_Price")/100</f>
        <v>-6.0000000000000001E-3</v>
      </c>
      <c r="I206" s="226">
        <f ca="1">RTD("wdf.rtq",,E206,"PctChg")/100</f>
        <v>-6.5000000000000006E-3</v>
      </c>
      <c r="J206" s="125">
        <f ca="1">_xlfn.IFNA([1]!b_anal_ptmyear(B206,$B$2),"未发行或发行失败")</f>
        <v>4.8493150684931505</v>
      </c>
      <c r="K206" s="125">
        <f ca="1">RTD("wdf.rtq",,B206,"Amount","Dirty_Price")/100000000</f>
        <v>2.986695E-2</v>
      </c>
      <c r="L206" s="125">
        <f ca="1">[1]!cb_anal_convprice(B206,$B$2)</f>
        <v>9.7200000000000006</v>
      </c>
      <c r="M206" s="125">
        <f t="shared" ca="1" si="12"/>
        <v>94.855967078189309</v>
      </c>
      <c r="N206" s="126">
        <f t="shared" ca="1" si="13"/>
        <v>26.560303687635582</v>
      </c>
      <c r="O206" s="126">
        <f t="array" aca="1" ref="O206" ca="1">_xlfn.IFNA(RTD("wdf.rtq",,B206,"LastPrice","Yield_To_Maturity"),[1]!cb_anal_ytm(B206,$C$2))</f>
        <v>0.63160000000000005</v>
      </c>
      <c r="P206" s="126">
        <f ca="1">[1]!cb_anal_straightbondvalue(B206,$B$2)</f>
        <v>91.1143</v>
      </c>
      <c r="Q206" s="126">
        <f t="shared" ca="1" si="14"/>
        <v>31.757583606525003</v>
      </c>
      <c r="R206" s="126" t="str">
        <f ca="1">[1]!b_rate_latestcredit(B206)</f>
        <v>AA-</v>
      </c>
      <c r="S206" s="126">
        <f ca="1">[1]!cb_info_outstandingbalance(B206,$B$2)</f>
        <v>3.9132449999999999</v>
      </c>
      <c r="T206" s="126">
        <f ca="1">[1]!cb_info_issueamount(B206,100000000)</f>
        <v>3.9140000000000001</v>
      </c>
      <c r="U206" s="126">
        <f t="shared" ca="1" si="15"/>
        <v>99.980710270822684</v>
      </c>
      <c r="V206" s="230">
        <f ca="1">IF([1]!cb_anal_ldiluterate(B206,$B$2)=100,"-",[1]!cb_anal_ldiluterate(B206,$B$2))</f>
        <v>9.8968886704318617</v>
      </c>
      <c r="W206" s="127" t="str">
        <f ca="1">[1]!cb_info_listeddate(B206)</f>
        <v>2020-08-12</v>
      </c>
      <c r="X206" s="127" t="str">
        <f ca="1">[1]!cb_info_carrydate(B206)</f>
        <v>2020-07-15</v>
      </c>
      <c r="Y206" s="125" t="str">
        <f ca="1">[1]!cb_clause_conversion_2_swapsharestartdate(B206)</f>
        <v>2021-01-21</v>
      </c>
      <c r="Z206" s="125" t="str">
        <f ca="1">[1]!cb_clause_putoption_conditionalputbackstartenddate(B206)</f>
        <v>2024-07-15</v>
      </c>
      <c r="AA206" s="230">
        <f ca="1">[1]!cb_info_maturitycallprice(B206)</f>
        <v>118</v>
      </c>
      <c r="AB206" s="230">
        <f ca="1">IF(ISNUMBER([1]!cb_info_conditionalputprice(B206)),[1]!cb_info_conditionalputprice(B206),"-")</f>
        <v>0</v>
      </c>
      <c r="AC206" s="230">
        <f ca="1">[1]!cb_info_interest(B206)</f>
        <v>0.4</v>
      </c>
      <c r="AD206" s="263" t="str">
        <f ca="1">IFERROR(couponlist([1]!cb_clause_interest(B206,"4")),"-")</f>
        <v>0.4%，0.7%，1.0%，1.5%，2.5%，3.5%</v>
      </c>
      <c r="AE206" s="129"/>
      <c r="AF206" s="129"/>
      <c r="AG206" s="129"/>
      <c r="AH206" s="129"/>
      <c r="AI206" s="129"/>
      <c r="AJ206" s="129"/>
      <c r="AK206" s="129"/>
      <c r="AL206" s="129"/>
      <c r="AM206" s="129"/>
      <c r="AN206" s="129"/>
      <c r="AO206" s="129"/>
      <c r="AP206" s="129"/>
      <c r="AQ206" s="129"/>
    </row>
    <row r="207" spans="1:43" s="191" customFormat="1" x14ac:dyDescent="0.35">
      <c r="A207" s="182" t="s">
        <v>5</v>
      </c>
      <c r="B207" s="182" t="s">
        <v>358</v>
      </c>
      <c r="C207" s="182" t="s">
        <v>359</v>
      </c>
      <c r="D207" s="235" t="str">
        <f ca="1">IF([1]!s_info_industry_sw(B207,1)=0,"-",[1]!s_info_industry_sw(B207,1))</f>
        <v>计算机</v>
      </c>
      <c r="E207" s="183" t="str">
        <f ca="1">[1]!cb_info_underlyingcode(B207)</f>
        <v>002649.SZ</v>
      </c>
      <c r="F207" s="185">
        <f ca="1">RTD("wdf.rtq",,B207,"LastPrice","Dirty_Price")</f>
        <v>130.654</v>
      </c>
      <c r="G207" s="185">
        <f ca="1">RTD("wdf.rtq",,E207,"LastPrice")</f>
        <v>10.52</v>
      </c>
      <c r="H207" s="225">
        <f ca="1">RTD("wdf.rtq",,B207,"PctChg","RT_Price")/100</f>
        <v>-4.2000000000000006E-3</v>
      </c>
      <c r="I207" s="225">
        <f ca="1">RTD("wdf.rtq",,E207,"PctChg")/100</f>
        <v>1E-3</v>
      </c>
      <c r="J207" s="186">
        <f ca="1">_xlfn.IFNA([1]!b_anal_ptmyear(B207,$B$2),"未发行或发行失败")</f>
        <v>3.4876712328767123</v>
      </c>
      <c r="K207" s="186">
        <f ca="1">RTD("wdf.rtq",,B207,"Amount","Dirty_Price")/100000000</f>
        <v>6.0948860000000001E-2</v>
      </c>
      <c r="L207" s="186">
        <f ca="1">[1]!cb_anal_convprice(B207,$B$2)</f>
        <v>8.5</v>
      </c>
      <c r="M207" s="186">
        <f t="shared" ca="1" si="12"/>
        <v>123.76470588235294</v>
      </c>
      <c r="N207" s="187">
        <f t="shared" ca="1" si="13"/>
        <v>5.5664448669201505</v>
      </c>
      <c r="O207" s="187">
        <f t="array" aca="1" ref="O207" ca="1">_xlfn.IFNA(RTD("wdf.rtq",,B207,"LastPrice","Yield_To_Maturity"),[1]!cb_anal_ytm(B207,$C$2))</f>
        <v>-3.3429000000000002</v>
      </c>
      <c r="P207" s="187">
        <f ca="1">[1]!cb_anal_straightbondvalue(B207,$B$2)</f>
        <v>94.320099999999996</v>
      </c>
      <c r="Q207" s="187">
        <f t="shared" ca="1" si="14"/>
        <v>38.521905723170363</v>
      </c>
      <c r="R207" s="187" t="str">
        <f ca="1">[1]!b_rate_latestcredit(B207)</f>
        <v>AA-</v>
      </c>
      <c r="S207" s="187">
        <f ca="1">[1]!cb_info_outstandingbalance(B207,$B$2)</f>
        <v>4.9408649999999996</v>
      </c>
      <c r="T207" s="187">
        <f ca="1">[1]!cb_info_issueamount(B207,100000000)</f>
        <v>5.7581519999999999</v>
      </c>
      <c r="U207" s="187">
        <f t="shared" ca="1" si="15"/>
        <v>85.806435814823914</v>
      </c>
      <c r="V207" s="240">
        <f ca="1">IF([1]!cb_anal_ldiluterate(B207,$B$2)=100,"-",[1]!cb_anal_ldiluterate(B207,$B$2))</f>
        <v>11.222361226789436</v>
      </c>
      <c r="W207" s="188" t="str">
        <f ca="1">[1]!cb_info_listeddate(B207)</f>
        <v>2019-04-02</v>
      </c>
      <c r="X207" s="188" t="str">
        <f ca="1">[1]!cb_info_carrydate(B207)</f>
        <v>2019-03-05</v>
      </c>
      <c r="Y207" s="186" t="str">
        <f ca="1">[1]!cb_clause_conversion_2_swapsharestartdate(B207)</f>
        <v>2019-09-11</v>
      </c>
      <c r="Z207" s="186" t="str">
        <f ca="1">[1]!cb_clause_putoption_conditionalputbackstartenddate(B207)</f>
        <v>2023-03-05</v>
      </c>
      <c r="AA207" s="240">
        <f ca="1">[1]!cb_info_maturitycallprice(B207)</f>
        <v>112</v>
      </c>
      <c r="AB207" s="240">
        <f ca="1">IF(ISNUMBER([1]!cb_info_conditionalputprice(B207)),[1]!cb_info_conditionalputprice(B207),"-")</f>
        <v>100.443</v>
      </c>
      <c r="AC207" s="240">
        <f ca="1">[1]!cb_info_interest(B207)</f>
        <v>0.5</v>
      </c>
      <c r="AD207" s="262" t="str">
        <f ca="1">IFERROR(couponlist([1]!cb_clause_interest(B207,"4")),"-")</f>
        <v>0.5%，0.8%，1.0%，1.5%，1.8%，2.0%</v>
      </c>
      <c r="AE207" s="189"/>
      <c r="AF207" s="189"/>
      <c r="AG207" s="189"/>
      <c r="AH207" s="189"/>
      <c r="AI207" s="189"/>
      <c r="AJ207" s="189"/>
      <c r="AK207" s="189"/>
      <c r="AL207" s="189"/>
      <c r="AM207" s="189"/>
      <c r="AN207" s="189"/>
      <c r="AO207" s="189"/>
      <c r="AP207" s="189"/>
      <c r="AQ207" s="189"/>
    </row>
    <row r="208" spans="1:43" s="130" customFormat="1" x14ac:dyDescent="0.35">
      <c r="A208" s="121" t="s">
        <v>5</v>
      </c>
      <c r="B208" s="121" t="s">
        <v>923</v>
      </c>
      <c r="C208" s="121" t="s">
        <v>924</v>
      </c>
      <c r="D208" s="236" t="str">
        <f ca="1">IF([1]!s_info_industry_sw(B208,1)=0,"-",[1]!s_info_industry_sw(B208,1))</f>
        <v>计算机</v>
      </c>
      <c r="E208" s="122" t="str">
        <f ca="1">[1]!cb_info_underlyingcode(B208)</f>
        <v>300229.SZ</v>
      </c>
      <c r="F208" s="124">
        <f ca="1">RTD("wdf.rtq",,B208,"LastPrice","Dirty_Price")</f>
        <v>129.16300000000001</v>
      </c>
      <c r="G208" s="124">
        <f ca="1">RTD("wdf.rtq",,E208,"LastPrice")</f>
        <v>11.08</v>
      </c>
      <c r="H208" s="226">
        <f ca="1">RTD("wdf.rtq",,B208,"PctChg","RT_Price")/100</f>
        <v>-9.1000000000000004E-3</v>
      </c>
      <c r="I208" s="226">
        <f ca="1">RTD("wdf.rtq",,E208,"PctChg")/100</f>
        <v>-9.7999999999999997E-3</v>
      </c>
      <c r="J208" s="125">
        <f ca="1">_xlfn.IFNA([1]!b_anal_ptmyear(B208,$B$2),"未发行或发行失败")</f>
        <v>5.5260273972602736</v>
      </c>
      <c r="K208" s="125">
        <f ca="1">RTD("wdf.rtq",,B208,"Amount","Dirty_Price")/100000000</f>
        <v>9.8970349999999999E-2</v>
      </c>
      <c r="L208" s="125">
        <f ca="1">[1]!cb_anal_convprice(B208,$B$2)</f>
        <v>9.9600000000000009</v>
      </c>
      <c r="M208" s="125">
        <f t="shared" ca="1" si="12"/>
        <v>111.2449799196787</v>
      </c>
      <c r="N208" s="126">
        <f t="shared" ca="1" si="13"/>
        <v>16.106812274368252</v>
      </c>
      <c r="O208" s="126">
        <f t="array" aca="1" ref="O208" ca="1">_xlfn.IFNA(RTD("wdf.rtq",,B208,"LastPrice","Yield_To_Maturity"),[1]!cb_anal_ytm(B208,$C$2))</f>
        <v>-1.1823000000000001</v>
      </c>
      <c r="P208" s="126">
        <f ca="1">[1]!cb_anal_straightbondvalue(B208,$B$2)</f>
        <v>85.118799999999993</v>
      </c>
      <c r="Q208" s="126">
        <f t="shared" ca="1" si="14"/>
        <v>51.744385494156433</v>
      </c>
      <c r="R208" s="126" t="str">
        <f ca="1">[1]!b_rate_latestcredit(B208)</f>
        <v>AA-</v>
      </c>
      <c r="S208" s="126">
        <f ca="1">[1]!cb_info_outstandingbalance(B208,$B$2)</f>
        <v>8</v>
      </c>
      <c r="T208" s="126">
        <f ca="1">[1]!cb_info_issueamount(B208,100000000)</f>
        <v>8</v>
      </c>
      <c r="U208" s="126">
        <f t="shared" ca="1" si="15"/>
        <v>100</v>
      </c>
      <c r="V208" s="230">
        <f ca="1">IF([1]!cb_anal_ldiluterate(B208,$B$2)=100,"-",[1]!cb_anal_ldiluterate(B208,$B$2))</f>
        <v>10.179827182588433</v>
      </c>
      <c r="W208" s="127" t="str">
        <f ca="1">[1]!cb_info_listeddate(B208)</f>
        <v>2021-04-27</v>
      </c>
      <c r="X208" s="127" t="str">
        <f ca="1">[1]!cb_info_carrydate(B208)</f>
        <v>2021-03-19</v>
      </c>
      <c r="Y208" s="125" t="str">
        <f ca="1">[1]!cb_clause_conversion_2_swapsharestartdate(B208)</f>
        <v>2021-09-27</v>
      </c>
      <c r="Z208" s="125" t="str">
        <f ca="1">[1]!cb_clause_putoption_conditionalputbackstartenddate(B208)</f>
        <v>2025-03-19</v>
      </c>
      <c r="AA208" s="230">
        <f ca="1">[1]!cb_info_maturitycallprice(B208)</f>
        <v>115</v>
      </c>
      <c r="AB208" s="230">
        <f ca="1">IF(ISNUMBER([1]!cb_info_conditionalputprice(B208)),[1]!cb_info_conditionalputprice(B208),"-")</f>
        <v>0</v>
      </c>
      <c r="AC208" s="230">
        <f ca="1">[1]!cb_info_interest(B208)</f>
        <v>0.4</v>
      </c>
      <c r="AD208" s="263" t="str">
        <f ca="1">IFERROR(couponlist([1]!cb_clause_interest(B208,"4")),"-")</f>
        <v>0.40%，0.60%，1.00%，1.60%，2.50%，3.00%</v>
      </c>
      <c r="AE208" s="129"/>
      <c r="AF208" s="129"/>
      <c r="AG208" s="129"/>
      <c r="AH208" s="129"/>
      <c r="AI208" s="129"/>
      <c r="AJ208" s="129"/>
      <c r="AK208" s="129"/>
      <c r="AL208" s="129"/>
      <c r="AM208" s="129"/>
      <c r="AN208" s="129"/>
      <c r="AO208" s="129"/>
      <c r="AP208" s="129"/>
      <c r="AQ208" s="129"/>
    </row>
    <row r="209" spans="1:52" s="191" customFormat="1" x14ac:dyDescent="0.35">
      <c r="A209" s="182" t="s">
        <v>5</v>
      </c>
      <c r="B209" s="182" t="s">
        <v>188</v>
      </c>
      <c r="C209" s="182" t="s">
        <v>189</v>
      </c>
      <c r="D209" s="235" t="str">
        <f ca="1">IF([1]!s_info_industry_sw(B209,1)=0,"-",[1]!s_info_industry_sw(B209,1))</f>
        <v>计算机</v>
      </c>
      <c r="E209" s="183" t="str">
        <f ca="1">[1]!cb_info_underlyingcode(B209)</f>
        <v>300645.SZ</v>
      </c>
      <c r="F209" s="185">
        <f ca="1">RTD("wdf.rtq",,B209,"LastPrice","Dirty_Price")</f>
        <v>160.77000000000001</v>
      </c>
      <c r="G209" s="185">
        <f ca="1">RTD("wdf.rtq",,E209,"LastPrice")</f>
        <v>21.71</v>
      </c>
      <c r="H209" s="225">
        <f ca="1">RTD("wdf.rtq",,B209,"PctChg","RT_Price")/100</f>
        <v>-1.9200000000000002E-2</v>
      </c>
      <c r="I209" s="225">
        <f ca="1">RTD("wdf.rtq",,E209,"PctChg")/100</f>
        <v>-3.04E-2</v>
      </c>
      <c r="J209" s="186">
        <f ca="1">_xlfn.IFNA([1]!b_anal_ptmyear(B209,$B$2),"未发行或发行失败")</f>
        <v>4.4876712328767123</v>
      </c>
      <c r="K209" s="186">
        <f ca="1">RTD("wdf.rtq",,B209,"Amount","Dirty_Price")/100000000</f>
        <v>1.6690417799999999</v>
      </c>
      <c r="L209" s="186">
        <f ca="1">[1]!cb_anal_convprice(B209,$B$2)</f>
        <v>15.38</v>
      </c>
      <c r="M209" s="186">
        <f t="shared" ca="1" si="12"/>
        <v>141.15734720416125</v>
      </c>
      <c r="N209" s="187">
        <f t="shared" ca="1" si="13"/>
        <v>13.894177798249657</v>
      </c>
      <c r="O209" s="187">
        <f t="array" aca="1" ref="O209" ca="1">_xlfn.IFNA(RTD("wdf.rtq",,B209,"LastPrice","Yield_To_Maturity"),[1]!cb_anal_ytm(B209,$C$2))</f>
        <v>-6.2799000000000005</v>
      </c>
      <c r="P209" s="187">
        <f ca="1">[1]!cb_anal_straightbondvalue(B209,$B$2)</f>
        <v>83.734800000000007</v>
      </c>
      <c r="Q209" s="187">
        <f t="shared" ca="1" si="14"/>
        <v>91.999025494776362</v>
      </c>
      <c r="R209" s="187" t="str">
        <f ca="1">[1]!b_rate_latestcredit(B209)</f>
        <v>A+</v>
      </c>
      <c r="S209" s="187">
        <f ca="1">[1]!cb_info_outstandingbalance(B209,$B$2)</f>
        <v>1.6576010000000001</v>
      </c>
      <c r="T209" s="187">
        <f ca="1">[1]!cb_info_issueamount(B209,100000000)</f>
        <v>1.75</v>
      </c>
      <c r="U209" s="187">
        <f t="shared" ca="1" si="15"/>
        <v>94.720057142857158</v>
      </c>
      <c r="V209" s="240">
        <f ca="1">IF([1]!cb_anal_ldiluterate(B209,$B$2)=100,"-",[1]!cb_anal_ldiluterate(B209,$B$2))</f>
        <v>7.7948470911045193</v>
      </c>
      <c r="W209" s="188" t="str">
        <f ca="1">[1]!cb_info_listeddate(B209)</f>
        <v>2020-03-31</v>
      </c>
      <c r="X209" s="188" t="str">
        <f ca="1">[1]!cb_info_carrydate(B209)</f>
        <v>2020-03-05</v>
      </c>
      <c r="Y209" s="186" t="str">
        <f ca="1">[1]!cb_clause_conversion_2_swapsharestartdate(B209)</f>
        <v>2020-09-11</v>
      </c>
      <c r="Z209" s="186" t="str">
        <f ca="1">[1]!cb_clause_putoption_conditionalputbackstartenddate(B209)</f>
        <v>2024-03-05</v>
      </c>
      <c r="AA209" s="240">
        <f ca="1">[1]!cb_info_maturitycallprice(B209)</f>
        <v>115</v>
      </c>
      <c r="AB209" s="240">
        <f ca="1">IF(ISNUMBER([1]!cb_info_conditionalputprice(B209)),[1]!cb_info_conditionalputprice(B209),"-")</f>
        <v>0</v>
      </c>
      <c r="AC209" s="240">
        <f ca="1">[1]!cb_info_interest(B209)</f>
        <v>0.5</v>
      </c>
      <c r="AD209" s="262" t="str">
        <f ca="1">IFERROR(couponlist([1]!cb_clause_interest(B209,"4")),"-")</f>
        <v>0.50%，0.70%，1.20%，1.80%，2.20%，2.50%</v>
      </c>
      <c r="AE209" s="189"/>
      <c r="AF209" s="189"/>
      <c r="AG209" s="189"/>
      <c r="AH209" s="189"/>
      <c r="AI209" s="189"/>
      <c r="AJ209" s="189"/>
      <c r="AK209" s="189"/>
      <c r="AL209" s="189"/>
      <c r="AM209" s="189"/>
      <c r="AN209" s="189"/>
      <c r="AO209" s="189"/>
      <c r="AP209" s="189"/>
      <c r="AQ209" s="189"/>
    </row>
    <row r="210" spans="1:52" s="130" customFormat="1" x14ac:dyDescent="0.35">
      <c r="A210" s="121" t="s">
        <v>5</v>
      </c>
      <c r="B210" s="121" t="s">
        <v>130</v>
      </c>
      <c r="C210" s="121" t="s">
        <v>131</v>
      </c>
      <c r="D210" s="236" t="str">
        <f ca="1">IF([1]!s_info_industry_sw(B210,1)=0,"-",[1]!s_info_industry_sw(B210,1))</f>
        <v>计算机</v>
      </c>
      <c r="E210" s="122" t="str">
        <f ca="1">[1]!cb_info_underlyingcode(B210)</f>
        <v>300532.SZ</v>
      </c>
      <c r="F210" s="124">
        <f ca="1">RTD("wdf.rtq",,B210,"LastPrice","Dirty_Price")</f>
        <v>139</v>
      </c>
      <c r="G210" s="124">
        <f ca="1">RTD("wdf.rtq",,E210,"LastPrice")</f>
        <v>11.49</v>
      </c>
      <c r="H210" s="226">
        <f ca="1">RTD("wdf.rtq",,B210,"PctChg","RT_Price")/100</f>
        <v>-5.0000000000000001E-4</v>
      </c>
      <c r="I210" s="226">
        <f ca="1">RTD("wdf.rtq",,E210,"PctChg")/100</f>
        <v>-1.2E-2</v>
      </c>
      <c r="J210" s="125">
        <f ca="1">_xlfn.IFNA([1]!b_anal_ptmyear(B210,$B$2),"未发行或发行失败")</f>
        <v>4.7369863013698632</v>
      </c>
      <c r="K210" s="125">
        <f ca="1">RTD("wdf.rtq",,B210,"Amount","Dirty_Price")/100000000</f>
        <v>0.20884164</v>
      </c>
      <c r="L210" s="125">
        <f ca="1">[1]!cb_anal_convprice(B210,$B$2)</f>
        <v>8.6999999999999993</v>
      </c>
      <c r="M210" s="125">
        <f t="shared" ca="1" si="12"/>
        <v>132.06896551724139</v>
      </c>
      <c r="N210" s="126">
        <f t="shared" ca="1" si="13"/>
        <v>5.2480417754569118</v>
      </c>
      <c r="O210" s="126">
        <f t="array" aca="1" ref="O210" ca="1">_xlfn.IFNA(RTD("wdf.rtq",,B210,"LastPrice","Yield_To_Maturity"),[1]!cb_anal_ytm(B210,$C$2))</f>
        <v>-2.7237</v>
      </c>
      <c r="P210" s="126">
        <f ca="1">[1]!cb_anal_straightbondvalue(B210,$B$2)</f>
        <v>82.829499999999996</v>
      </c>
      <c r="Q210" s="126">
        <f t="shared" ca="1" si="14"/>
        <v>67.814607114614972</v>
      </c>
      <c r="R210" s="126" t="str">
        <f ca="1">[1]!b_rate_latestcredit(B210)</f>
        <v>A+</v>
      </c>
      <c r="S210" s="126">
        <f ca="1">[1]!cb_info_outstandingbalance(B210,$B$2)</f>
        <v>2.7934800000000002</v>
      </c>
      <c r="T210" s="126">
        <f ca="1">[1]!cb_info_issueamount(B210,100000000)</f>
        <v>2.8</v>
      </c>
      <c r="U210" s="126">
        <f t="shared" ca="1" si="15"/>
        <v>99.767142857142872</v>
      </c>
      <c r="V210" s="230">
        <f ca="1">IF([1]!cb_anal_ldiluterate(B210,$B$2)=100,"-",[1]!cb_anal_ldiluterate(B210,$B$2))</f>
        <v>16.414001617879279</v>
      </c>
      <c r="W210" s="127" t="str">
        <f ca="1">[1]!cb_info_listeddate(B210)</f>
        <v>2020-06-30</v>
      </c>
      <c r="X210" s="127" t="str">
        <f ca="1">[1]!cb_info_carrydate(B210)</f>
        <v>2020-06-04</v>
      </c>
      <c r="Y210" s="125" t="str">
        <f ca="1">[1]!cb_clause_conversion_2_swapsharestartdate(B210)</f>
        <v>2020-12-10</v>
      </c>
      <c r="Z210" s="125" t="str">
        <f ca="1">[1]!cb_clause_putoption_conditionalputbackstartenddate(B210)</f>
        <v>2024-06-04</v>
      </c>
      <c r="AA210" s="230">
        <f ca="1">[1]!cb_info_maturitycallprice(B210)</f>
        <v>116</v>
      </c>
      <c r="AB210" s="230">
        <f ca="1">IF(ISNUMBER([1]!cb_info_conditionalputprice(B210)),[1]!cb_info_conditionalputprice(B210),"-")</f>
        <v>0</v>
      </c>
      <c r="AC210" s="230">
        <f ca="1">[1]!cb_info_interest(B210)</f>
        <v>0.5</v>
      </c>
      <c r="AD210" s="263" t="str">
        <f ca="1">IFERROR(couponlist([1]!cb_clause_interest(B210,"4")),"-")</f>
        <v>0.5%，0.8%，1.2%，1.8%，2.5%，3.0%</v>
      </c>
      <c r="AE210" s="129"/>
      <c r="AF210" s="129"/>
      <c r="AG210" s="129"/>
      <c r="AH210" s="129"/>
      <c r="AI210" s="129"/>
      <c r="AJ210" s="129"/>
      <c r="AK210" s="129"/>
      <c r="AL210" s="129"/>
      <c r="AM210" s="129"/>
      <c r="AN210" s="129"/>
      <c r="AO210" s="129"/>
      <c r="AP210" s="129"/>
      <c r="AQ210" s="129"/>
    </row>
    <row r="211" spans="1:52" s="191" customFormat="1" x14ac:dyDescent="0.35">
      <c r="A211" s="182" t="s">
        <v>5</v>
      </c>
      <c r="B211" s="182" t="s">
        <v>120</v>
      </c>
      <c r="C211" s="182" t="s">
        <v>121</v>
      </c>
      <c r="D211" s="235" t="str">
        <f ca="1">IF([1]!s_info_industry_sw(B211,1)=0,"-",[1]!s_info_industry_sw(B211,1))</f>
        <v>计算机</v>
      </c>
      <c r="E211" s="183" t="str">
        <f ca="1">[1]!cb_info_underlyingcode(B211)</f>
        <v>300608.SZ</v>
      </c>
      <c r="F211" s="185">
        <f ca="1">RTD("wdf.rtq",,B211,"LastPrice","Dirty_Price")</f>
        <v>137.71800000000002</v>
      </c>
      <c r="G211" s="185">
        <f ca="1">RTD("wdf.rtq",,E211,"LastPrice")</f>
        <v>13.69</v>
      </c>
      <c r="H211" s="225">
        <f ca="1">RTD("wdf.rtq",,B211,"PctChg","RT_Price")/100</f>
        <v>-9.4999999999999998E-3</v>
      </c>
      <c r="I211" s="225">
        <f ca="1">RTD("wdf.rtq",,E211,"PctChg")/100</f>
        <v>-1.6500000000000001E-2</v>
      </c>
      <c r="J211" s="186">
        <f ca="1">_xlfn.IFNA([1]!b_anal_ptmyear(B211,$B$2),"未发行或发行失败")</f>
        <v>4.7534246575342465</v>
      </c>
      <c r="K211" s="186">
        <f ca="1">RTD("wdf.rtq",,B211,"Amount","Dirty_Price")/100000000</f>
        <v>1.4598076099999999</v>
      </c>
      <c r="L211" s="186">
        <f ca="1">[1]!cb_anal_convprice(B211,$B$2)</f>
        <v>12.63</v>
      </c>
      <c r="M211" s="186">
        <f t="shared" ca="1" si="12"/>
        <v>108.39271575613618</v>
      </c>
      <c r="N211" s="187">
        <f t="shared" ca="1" si="13"/>
        <v>27.054663257852454</v>
      </c>
      <c r="O211" s="187">
        <f t="array" aca="1" ref="O211" ca="1">_xlfn.IFNA(RTD("wdf.rtq",,B211,"LastPrice","Yield_To_Maturity"),[1]!cb_anal_ytm(B211,$C$2))</f>
        <v>-2.7082000000000002</v>
      </c>
      <c r="P211" s="187">
        <f ca="1">[1]!cb_anal_straightbondvalue(B211,$B$2)</f>
        <v>89.981899999999996</v>
      </c>
      <c r="Q211" s="187">
        <f t="shared" ca="1" si="14"/>
        <v>53.050780212464957</v>
      </c>
      <c r="R211" s="187" t="str">
        <f ca="1">[1]!b_rate_latestcredit(B211)</f>
        <v>AA-</v>
      </c>
      <c r="S211" s="187">
        <f ca="1">[1]!cb_info_outstandingbalance(B211,$B$2)</f>
        <v>2.0763020000000001</v>
      </c>
      <c r="T211" s="187">
        <f ca="1">[1]!cb_info_issueamount(B211,100000000)</f>
        <v>2.71</v>
      </c>
      <c r="U211" s="187">
        <f t="shared" ca="1" si="15"/>
        <v>76.616309963099638</v>
      </c>
      <c r="V211" s="240">
        <f ca="1">IF([1]!cb_anal_ldiluterate(B211,$B$2)=100,"-",[1]!cb_anal_ldiluterate(B211,$B$2))</f>
        <v>9.1546771673332046</v>
      </c>
      <c r="W211" s="188" t="str">
        <f ca="1">[1]!cb_info_listeddate(B211)</f>
        <v>2020-07-06</v>
      </c>
      <c r="X211" s="188" t="str">
        <f ca="1">[1]!cb_info_carrydate(B211)</f>
        <v>2020-06-10</v>
      </c>
      <c r="Y211" s="186" t="str">
        <f ca="1">[1]!cb_clause_conversion_2_swapsharestartdate(B211)</f>
        <v>2020-12-16</v>
      </c>
      <c r="Z211" s="186" t="str">
        <f ca="1">[1]!cb_clause_putoption_conditionalputbackstartenddate(B211)</f>
        <v>2024-06-10</v>
      </c>
      <c r="AA211" s="240">
        <f ca="1">[1]!cb_info_maturitycallprice(B211)</f>
        <v>115</v>
      </c>
      <c r="AB211" s="240">
        <f ca="1">IF(ISNUMBER([1]!cb_info_conditionalputprice(B211)),[1]!cb_info_conditionalputprice(B211),"-")</f>
        <v>0</v>
      </c>
      <c r="AC211" s="240">
        <f ca="1">[1]!cb_info_interest(B211)</f>
        <v>0.5</v>
      </c>
      <c r="AD211" s="262" t="str">
        <f ca="1">IFERROR(couponlist([1]!cb_clause_interest(B211,"4")),"-")</f>
        <v>0.50%，0.70%，1.20%，1.80%，2.50%，3.00%</v>
      </c>
      <c r="AE211" s="189"/>
      <c r="AF211" s="189"/>
      <c r="AG211" s="189"/>
      <c r="AH211" s="189"/>
      <c r="AI211" s="189"/>
      <c r="AJ211" s="189"/>
      <c r="AK211" s="189"/>
      <c r="AL211" s="189"/>
      <c r="AM211" s="189"/>
      <c r="AN211" s="189"/>
      <c r="AO211" s="189"/>
      <c r="AP211" s="189"/>
      <c r="AQ211" s="189"/>
    </row>
    <row r="212" spans="1:52" s="130" customFormat="1" x14ac:dyDescent="0.35">
      <c r="A212" s="121" t="s">
        <v>5</v>
      </c>
      <c r="B212" s="121" t="s">
        <v>18</v>
      </c>
      <c r="C212" s="121" t="s">
        <v>19</v>
      </c>
      <c r="D212" s="236" t="str">
        <f ca="1">IF([1]!s_info_industry_sw(B212,1)=0,"-",[1]!s_info_industry_sw(B212,1))</f>
        <v>机械设备</v>
      </c>
      <c r="E212" s="122" t="str">
        <f ca="1">[1]!cb_info_underlyingcode(B212)</f>
        <v>300382.SZ</v>
      </c>
      <c r="F212" s="124">
        <f ca="1">RTD("wdf.rtq",,B212,"LastPrice","Dirty_Price")</f>
        <v>336.51</v>
      </c>
      <c r="G212" s="124">
        <f ca="1">RTD("wdf.rtq",,E212,"LastPrice")</f>
        <v>31.36</v>
      </c>
      <c r="H212" s="226">
        <f ca="1">RTD("wdf.rtq",,B212,"PctChg","RT_Price")/100</f>
        <v>-1.5600000000000001E-2</v>
      </c>
      <c r="I212" s="226">
        <f ca="1">RTD("wdf.rtq",,E212,"PctChg")/100</f>
        <v>-9.7999999999999997E-3</v>
      </c>
      <c r="J212" s="125">
        <f ca="1">_xlfn.IFNA([1]!b_anal_ptmyear(B212,$B$2),"未发行或发行失败")</f>
        <v>5.0246575342465754</v>
      </c>
      <c r="K212" s="125">
        <f ca="1">RTD("wdf.rtq",,B212,"Amount","Dirty_Price")/100000000</f>
        <v>4.2904592700000004</v>
      </c>
      <c r="L212" s="125">
        <f ca="1">[1]!cb_anal_convprice(B212,$B$2)</f>
        <v>9.36</v>
      </c>
      <c r="M212" s="125">
        <f t="shared" ca="1" si="12"/>
        <v>335.04273504273505</v>
      </c>
      <c r="N212" s="126">
        <f t="shared" ca="1" si="13"/>
        <v>0.43793367346938794</v>
      </c>
      <c r="O212" s="126">
        <f t="array" aca="1" ref="O212" ca="1">_xlfn.IFNA(RTD("wdf.rtq",,B212,"LastPrice","Yield_To_Maturity"),[1]!cb_anal_ytm(B212,$C$2))</f>
        <v>-18.680900000000001</v>
      </c>
      <c r="P212" s="126">
        <f ca="1">[1]!cb_anal_straightbondvalue(B212,$B$2)</f>
        <v>88.350300000000004</v>
      </c>
      <c r="Q212" s="126">
        <f t="shared" ca="1" si="14"/>
        <v>280.88155897603065</v>
      </c>
      <c r="R212" s="126" t="str">
        <f ca="1">[1]!b_rate_latestcredit(B212)</f>
        <v>AA-</v>
      </c>
      <c r="S212" s="126">
        <f ca="1">[1]!cb_info_outstandingbalance(B212,$B$2)</f>
        <v>3.3481529999999999</v>
      </c>
      <c r="T212" s="126">
        <f ca="1">[1]!cb_info_issueamount(B212,100000000)</f>
        <v>3.88</v>
      </c>
      <c r="U212" s="126">
        <f t="shared" ca="1" si="15"/>
        <v>86.292603092783509</v>
      </c>
      <c r="V212" s="230">
        <f ca="1">IF([1]!cb_anal_ldiluterate(B212,$B$2)=100,"-",[1]!cb_anal_ldiluterate(B212,$B$2))</f>
        <v>6.839504468869503</v>
      </c>
      <c r="W212" s="127" t="str">
        <f ca="1">[1]!cb_info_listeddate(B212)</f>
        <v>2020-10-15</v>
      </c>
      <c r="X212" s="127" t="str">
        <f ca="1">[1]!cb_info_carrydate(B212)</f>
        <v>2020-09-17</v>
      </c>
      <c r="Y212" s="125" t="str">
        <f ca="1">[1]!cb_clause_conversion_2_swapsharestartdate(B212)</f>
        <v>2021-03-23</v>
      </c>
      <c r="Z212" s="125" t="str">
        <f ca="1">[1]!cb_clause_putoption_conditionalputbackstartenddate(B212)</f>
        <v>2024-09-17</v>
      </c>
      <c r="AA212" s="230">
        <f ca="1">[1]!cb_info_maturitycallprice(B212)</f>
        <v>115</v>
      </c>
      <c r="AB212" s="230">
        <f ca="1">IF(ISNUMBER([1]!cb_info_conditionalputprice(B212)),[1]!cb_info_conditionalputprice(B212),"-")</f>
        <v>0</v>
      </c>
      <c r="AC212" s="230">
        <f ca="1">[1]!cb_info_interest(B212)</f>
        <v>0.4</v>
      </c>
      <c r="AD212" s="263" t="str">
        <f ca="1">IFERROR(couponlist([1]!cb_clause_interest(B212,"4")),"-")</f>
        <v>0.4%，0.8%，1.0%，1.5%，2.5%，3.0%</v>
      </c>
      <c r="AE212" s="129"/>
      <c r="AF212" s="129"/>
      <c r="AG212" s="129"/>
      <c r="AH212" s="129"/>
      <c r="AI212" s="129"/>
      <c r="AJ212" s="129"/>
      <c r="AK212" s="129"/>
      <c r="AL212" s="129"/>
      <c r="AM212" s="129"/>
      <c r="AN212" s="129"/>
      <c r="AO212" s="129"/>
      <c r="AP212" s="129"/>
      <c r="AQ212" s="129"/>
      <c r="AX212" s="242"/>
      <c r="AY212" s="242"/>
      <c r="AZ212" s="242"/>
    </row>
    <row r="213" spans="1:52" s="191" customFormat="1" x14ac:dyDescent="0.35">
      <c r="A213" s="182" t="s">
        <v>0</v>
      </c>
      <c r="B213" s="182" t="s">
        <v>561</v>
      </c>
      <c r="C213" s="182" t="s">
        <v>562</v>
      </c>
      <c r="D213" s="235" t="str">
        <f ca="1">IF([1]!s_info_industry_sw(B213,1)=0,"-",[1]!s_info_industry_sw(B213,1))</f>
        <v>机械设备</v>
      </c>
      <c r="E213" s="183" t="str">
        <f ca="1">[1]!cb_info_underlyingcode(B213)</f>
        <v>603956.SH</v>
      </c>
      <c r="F213" s="185">
        <f ca="1">RTD("wdf.rtq",,B213,"LastPrice","Dirty_Price")</f>
        <v>119.80000000000001</v>
      </c>
      <c r="G213" s="185">
        <f ca="1">RTD("wdf.rtq",,E213,"LastPrice")</f>
        <v>18.14</v>
      </c>
      <c r="H213" s="225">
        <f ca="1">RTD("wdf.rtq",,B213,"PctChg","RT_Price")/100</f>
        <v>-1.5700000000000002E-2</v>
      </c>
      <c r="I213" s="225">
        <f ca="1">RTD("wdf.rtq",,E213,"PctChg")/100</f>
        <v>-3.6600000000000001E-2</v>
      </c>
      <c r="J213" s="186">
        <f ca="1">_xlfn.IFNA([1]!b_anal_ptmyear(B213,$B$2),"未发行或发行失败")</f>
        <v>5.1698630136986301</v>
      </c>
      <c r="K213" s="186">
        <f ca="1">RTD("wdf.rtq",,B213,"Amount","Dirty_Price")/100000000</f>
        <v>0.18418897000000001</v>
      </c>
      <c r="L213" s="186">
        <f ca="1">[1]!cb_anal_convprice(B213,$B$2)</f>
        <v>19.079999999999998</v>
      </c>
      <c r="M213" s="186">
        <f t="shared" ca="1" si="12"/>
        <v>95.073375262054512</v>
      </c>
      <c r="N213" s="187">
        <f t="shared" ca="1" si="13"/>
        <v>26.007938257993402</v>
      </c>
      <c r="O213" s="187">
        <f t="array" aca="1" ref="O213" ca="1">_xlfn.IFNA(RTD("wdf.rtq",,B213,"LastPrice","Yield_To_Maturity"),[1]!cb_anal_ytm(B213,$C$2))</f>
        <v>0.2959</v>
      </c>
      <c r="P213" s="187">
        <f ca="1">[1]!cb_anal_straightbondvalue(B213,$B$2)</f>
        <v>79.211100000000002</v>
      </c>
      <c r="Q213" s="187">
        <f t="shared" ca="1" si="14"/>
        <v>51.241429547121584</v>
      </c>
      <c r="R213" s="187" t="str">
        <f ca="1">[1]!b_rate_latestcredit(B213)</f>
        <v>A+</v>
      </c>
      <c r="S213" s="187">
        <f ca="1">[1]!cb_info_outstandingbalance(B213,$B$2)</f>
        <v>4.1998899999999999</v>
      </c>
      <c r="T213" s="187">
        <f ca="1">[1]!cb_info_issueamount(B213,100000000)</f>
        <v>4.2</v>
      </c>
      <c r="U213" s="187">
        <f t="shared" ca="1" si="15"/>
        <v>99.997380952380936</v>
      </c>
      <c r="V213" s="240">
        <f ca="1">IF([1]!cb_anal_ldiluterate(B213,$B$2)=100,"-",[1]!cb_anal_ldiluterate(B213,$B$2))</f>
        <v>20.034387303902612</v>
      </c>
      <c r="W213" s="188" t="str">
        <f ca="1">[1]!cb_info_listeddate(B213)</f>
        <v>2020-11-27</v>
      </c>
      <c r="X213" s="188" t="str">
        <f ca="1">[1]!cb_info_carrydate(B213)</f>
        <v>2020-11-09</v>
      </c>
      <c r="Y213" s="186" t="str">
        <f ca="1">[1]!cb_clause_conversion_2_swapsharestartdate(B213)</f>
        <v>2021-05-13</v>
      </c>
      <c r="Z213" s="186" t="str">
        <f ca="1">[1]!cb_clause_putoption_conditionalputbackstartenddate(B213)</f>
        <v>2024-11-09</v>
      </c>
      <c r="AA213" s="240">
        <f ca="1">[1]!cb_info_maturitycallprice(B213)</f>
        <v>115</v>
      </c>
      <c r="AB213" s="240">
        <f ca="1">IF(ISNUMBER([1]!cb_info_conditionalputprice(B213)),[1]!cb_info_conditionalputprice(B213),"-")</f>
        <v>0</v>
      </c>
      <c r="AC213" s="240">
        <f ca="1">[1]!cb_info_interest(B213)</f>
        <v>0.5</v>
      </c>
      <c r="AD213" s="262" t="str">
        <f ca="1">IFERROR(couponlist([1]!cb_clause_interest(B213,"4")),"-")</f>
        <v>0.50%，0.70%，1.20%，1.80%，2.40%，2.80%</v>
      </c>
      <c r="AE213" s="189"/>
      <c r="AF213" s="189"/>
      <c r="AG213" s="189"/>
      <c r="AH213" s="189"/>
      <c r="AI213" s="189"/>
      <c r="AJ213" s="189"/>
      <c r="AK213" s="189"/>
      <c r="AL213" s="189"/>
      <c r="AM213" s="189"/>
      <c r="AN213" s="189"/>
      <c r="AO213" s="189"/>
      <c r="AP213" s="189"/>
      <c r="AQ213" s="189"/>
    </row>
    <row r="214" spans="1:52" s="130" customFormat="1" x14ac:dyDescent="0.35">
      <c r="A214" s="121" t="s">
        <v>5</v>
      </c>
      <c r="B214" s="121" t="s">
        <v>210</v>
      </c>
      <c r="C214" s="121" t="s">
        <v>211</v>
      </c>
      <c r="D214" s="236" t="str">
        <f ca="1">IF([1]!s_info_industry_sw(B214,1)=0,"-",[1]!s_info_industry_sw(B214,1))</f>
        <v>机械设备</v>
      </c>
      <c r="E214" s="122" t="str">
        <f ca="1">[1]!cb_info_underlyingcode(B214)</f>
        <v>300619.SZ</v>
      </c>
      <c r="F214" s="124">
        <f ca="1">RTD("wdf.rtq",,B214,"LastPrice","Dirty_Price")</f>
        <v>189.8</v>
      </c>
      <c r="G214" s="124">
        <f ca="1">RTD("wdf.rtq",,E214,"LastPrice")</f>
        <v>41.300000000000004</v>
      </c>
      <c r="H214" s="226">
        <f ca="1">RTD("wdf.rtq",,B214,"PctChg","RT_Price")/100</f>
        <v>-1.2100000000000001E-2</v>
      </c>
      <c r="I214" s="226">
        <f ca="1">RTD("wdf.rtq",,E214,"PctChg")/100</f>
        <v>-2.5000000000000001E-2</v>
      </c>
      <c r="J214" s="125">
        <f ca="1">_xlfn.IFNA([1]!b_anal_ptmyear(B214,$B$2),"未发行或发行失败")</f>
        <v>4.3506849315068497</v>
      </c>
      <c r="K214" s="125">
        <f ca="1">RTD("wdf.rtq",,B214,"Amount","Dirty_Price")/100000000</f>
        <v>1.7086993100000001</v>
      </c>
      <c r="L214" s="125">
        <f ca="1">[1]!cb_anal_convprice(B214,$B$2)</f>
        <v>24.38</v>
      </c>
      <c r="M214" s="125">
        <f t="shared" ca="1" si="12"/>
        <v>169.4011484823626</v>
      </c>
      <c r="N214" s="126">
        <f t="shared" ca="1" si="13"/>
        <v>12.041743341404356</v>
      </c>
      <c r="O214" s="126">
        <f t="array" aca="1" ref="O214" ca="1">_xlfn.IFNA(RTD("wdf.rtq",,B214,"LastPrice","Yield_To_Maturity"),[1]!cb_anal_ytm(B214,$C$2))</f>
        <v>-11.0129</v>
      </c>
      <c r="P214" s="126">
        <f ca="1">[1]!cb_anal_straightbondvalue(B214,$B$2)</f>
        <v>80.918800000000005</v>
      </c>
      <c r="Q214" s="126">
        <f t="shared" ca="1" si="14"/>
        <v>134.55612292816994</v>
      </c>
      <c r="R214" s="126" t="str">
        <f ca="1">[1]!b_rate_latestcredit(B214)</f>
        <v>A+</v>
      </c>
      <c r="S214" s="126">
        <f ca="1">[1]!cb_info_outstandingbalance(B214,$B$2)</f>
        <v>1.6545129999999999</v>
      </c>
      <c r="T214" s="126">
        <f ca="1">[1]!cb_info_issueamount(B214,100000000)</f>
        <v>1.6666000000000001</v>
      </c>
      <c r="U214" s="126">
        <f t="shared" ca="1" si="15"/>
        <v>99.274750990039593</v>
      </c>
      <c r="V214" s="230">
        <f ca="1">IF([1]!cb_anal_ldiluterate(B214,$B$2)=100,"-",[1]!cb_anal_ldiluterate(B214,$B$2))</f>
        <v>10.76353682416867</v>
      </c>
      <c r="W214" s="127" t="str">
        <f ca="1">[1]!cb_info_listeddate(B214)</f>
        <v>2020-02-14</v>
      </c>
      <c r="X214" s="127" t="str">
        <f ca="1">[1]!cb_info_carrydate(B214)</f>
        <v>2020-01-14</v>
      </c>
      <c r="Y214" s="125" t="str">
        <f ca="1">[1]!cb_clause_conversion_2_swapsharestartdate(B214)</f>
        <v>2020-07-20</v>
      </c>
      <c r="Z214" s="125" t="str">
        <f ca="1">[1]!cb_clause_putoption_conditionalputbackstartenddate(B214)</f>
        <v>2024-01-14</v>
      </c>
      <c r="AA214" s="230">
        <f ca="1">[1]!cb_info_maturitycallprice(B214)</f>
        <v>110</v>
      </c>
      <c r="AB214" s="230">
        <f ca="1">IF(ISNUMBER([1]!cb_info_conditionalputprice(B214)),[1]!cb_info_conditionalputprice(B214),"-")</f>
        <v>100.08499999999999</v>
      </c>
      <c r="AC214" s="230">
        <f ca="1">[1]!cb_info_interest(B214)</f>
        <v>0.5</v>
      </c>
      <c r="AD214" s="263" t="str">
        <f ca="1">IFERROR(couponlist([1]!cb_clause_interest(B214,"4")),"-")</f>
        <v>0.50%，0.80%，1.10%，1.50%，2.00%，2.50%</v>
      </c>
      <c r="AE214" s="129"/>
      <c r="AF214" s="129"/>
      <c r="AG214" s="129"/>
      <c r="AH214" s="129"/>
      <c r="AI214" s="129"/>
      <c r="AJ214" s="129"/>
      <c r="AK214" s="129"/>
      <c r="AL214" s="129"/>
      <c r="AM214" s="129"/>
      <c r="AN214" s="129"/>
      <c r="AO214" s="129"/>
      <c r="AP214" s="129"/>
      <c r="AQ214" s="129"/>
    </row>
    <row r="215" spans="1:52" s="191" customFormat="1" x14ac:dyDescent="0.35">
      <c r="A215" s="182" t="s">
        <v>0</v>
      </c>
      <c r="B215" s="182" t="s">
        <v>431</v>
      </c>
      <c r="C215" s="182" t="s">
        <v>432</v>
      </c>
      <c r="D215" s="235" t="str">
        <f ca="1">IF([1]!s_info_industry_sw(B215,1)=0,"-",[1]!s_info_industry_sw(B215,1))</f>
        <v>机械设备</v>
      </c>
      <c r="E215" s="183" t="str">
        <f ca="1">[1]!cb_info_underlyingcode(B215)</f>
        <v>603278.SH</v>
      </c>
      <c r="F215" s="185">
        <f ca="1">RTD("wdf.rtq",,B215,"LastPrice","Dirty_Price")</f>
        <v>112.53</v>
      </c>
      <c r="G215" s="185">
        <f ca="1">RTD("wdf.rtq",,E215,"LastPrice")</f>
        <v>10.38</v>
      </c>
      <c r="H215" s="225">
        <f ca="1">RTD("wdf.rtq",,B215,"PctChg","RT_Price")/100</f>
        <v>8.0999999999999996E-3</v>
      </c>
      <c r="I215" s="225">
        <f ca="1">RTD("wdf.rtq",,E215,"PctChg")/100</f>
        <v>3.9000000000000003E-3</v>
      </c>
      <c r="J215" s="186">
        <f ca="1">_xlfn.IFNA([1]!b_anal_ptmyear(B215,$B$2),"未发行或发行失败")</f>
        <v>2.6657534246575345</v>
      </c>
      <c r="K215" s="186">
        <f ca="1">RTD("wdf.rtq",,B215,"Amount","Dirty_Price")/100000000</f>
        <v>5.7700139999999997E-2</v>
      </c>
      <c r="L215" s="186">
        <f ca="1">[1]!cb_anal_convprice(B215,$B$2)</f>
        <v>12.29</v>
      </c>
      <c r="M215" s="186">
        <f t="shared" ca="1" si="12"/>
        <v>84.458909682668846</v>
      </c>
      <c r="N215" s="187">
        <f t="shared" ca="1" si="13"/>
        <v>33.236387283236979</v>
      </c>
      <c r="O215" s="187">
        <f t="array" aca="1" ref="O215" ca="1">_xlfn.IFNA(RTD("wdf.rtq",,B215,"LastPrice","Yield_To_Maturity"),[1]!cb_anal_ytm(B215,$C$2))</f>
        <v>-1.0100000000000001E-2</v>
      </c>
      <c r="P215" s="187">
        <f ca="1">[1]!cb_anal_straightbondvalue(B215,$B$2)</f>
        <v>102.501</v>
      </c>
      <c r="Q215" s="187">
        <f t="shared" ca="1" si="14"/>
        <v>9.7842947873679265</v>
      </c>
      <c r="R215" s="187" t="str">
        <f ca="1">[1]!b_rate_latestcredit(B215)</f>
        <v>AA</v>
      </c>
      <c r="S215" s="187">
        <f ca="1">[1]!cb_info_outstandingbalance(B215,$B$2)</f>
        <v>4.99641</v>
      </c>
      <c r="T215" s="187">
        <f ca="1">[1]!cb_info_issueamount(B215,100000000)</f>
        <v>5</v>
      </c>
      <c r="U215" s="187">
        <f t="shared" ca="1" si="15"/>
        <v>99.928200000000004</v>
      </c>
      <c r="V215" s="240">
        <f ca="1">IF([1]!cb_anal_ldiluterate(B215,$B$2)=100,"-",[1]!cb_anal_ldiluterate(B215,$B$2))</f>
        <v>12.297178825373386</v>
      </c>
      <c r="W215" s="188" t="str">
        <f ca="1">[1]!cb_info_listeddate(B215)</f>
        <v>2019-06-03</v>
      </c>
      <c r="X215" s="188" t="str">
        <f ca="1">[1]!cb_info_carrydate(B215)</f>
        <v>2019-05-09</v>
      </c>
      <c r="Y215" s="186" t="str">
        <f ca="1">[1]!cb_clause_conversion_2_swapsharestartdate(B215)</f>
        <v>2019-11-15</v>
      </c>
      <c r="Z215" s="186" t="str">
        <f ca="1">[1]!cb_clause_putoption_conditionalputbackstartenddate(B215)</f>
        <v>2022-05-09</v>
      </c>
      <c r="AA215" s="240">
        <f ca="1">[1]!cb_info_maturitycallprice(B215)</f>
        <v>110</v>
      </c>
      <c r="AB215" s="240">
        <f ca="1">IF(ISNUMBER([1]!cb_info_conditionalputprice(B215)),[1]!cb_info_conditionalputprice(B215),"-")</f>
        <v>0</v>
      </c>
      <c r="AC215" s="240">
        <f ca="1">[1]!cb_info_interest(B215)</f>
        <v>0.4</v>
      </c>
      <c r="AD215" s="262" t="str">
        <f ca="1">IFERROR(couponlist([1]!cb_clause_interest(B215,"4")),"-")</f>
        <v>0.4%，0.6%，1.0%，1.5%，2.0%</v>
      </c>
      <c r="AE215" s="189"/>
      <c r="AF215" s="189"/>
      <c r="AG215" s="189"/>
      <c r="AH215" s="189"/>
      <c r="AI215" s="189"/>
      <c r="AJ215" s="189"/>
      <c r="AK215" s="189"/>
      <c r="AL215" s="189"/>
      <c r="AM215" s="189"/>
      <c r="AN215" s="189"/>
      <c r="AO215" s="189"/>
      <c r="AP215" s="189"/>
      <c r="AQ215" s="189"/>
    </row>
    <row r="216" spans="1:52" s="130" customFormat="1" x14ac:dyDescent="0.35">
      <c r="A216" s="121" t="s">
        <v>0</v>
      </c>
      <c r="B216" s="121" t="s">
        <v>54</v>
      </c>
      <c r="C216" s="121" t="s">
        <v>55</v>
      </c>
      <c r="D216" s="236" t="str">
        <f ca="1">IF([1]!s_info_industry_sw(B216,1)=0,"-",[1]!s_info_industry_sw(B216,1))</f>
        <v>机械设备</v>
      </c>
      <c r="E216" s="122" t="str">
        <f ca="1">[1]!cb_info_underlyingcode(B216)</f>
        <v>603912.SH</v>
      </c>
      <c r="F216" s="124">
        <f ca="1">RTD("wdf.rtq",,B216,"LastPrice","Dirty_Price")</f>
        <v>115.66000000000001</v>
      </c>
      <c r="G216" s="124">
        <f ca="1">RTD("wdf.rtq",,E216,"LastPrice")</f>
        <v>17.95</v>
      </c>
      <c r="H216" s="226">
        <f ca="1">RTD("wdf.rtq",,B216,"PctChg","RT_Price")/100</f>
        <v>-1.5E-3</v>
      </c>
      <c r="I216" s="226">
        <f ca="1">RTD("wdf.rtq",,E216,"PctChg")/100</f>
        <v>-7.7000000000000002E-3</v>
      </c>
      <c r="J216" s="125">
        <f ca="1">_xlfn.IFNA([1]!b_anal_ptmyear(B216,$B$2),"未发行或发行失败")</f>
        <v>4.8904109589041092</v>
      </c>
      <c r="K216" s="125">
        <f ca="1">RTD("wdf.rtq",,B216,"Amount","Dirty_Price")/100000000</f>
        <v>9.1096629999999998E-2</v>
      </c>
      <c r="L216" s="125">
        <f ca="1">[1]!cb_anal_convprice(B216,$B$2)</f>
        <v>23.15</v>
      </c>
      <c r="M216" s="125">
        <f t="shared" ca="1" si="12"/>
        <v>77.537796976241907</v>
      </c>
      <c r="N216" s="126">
        <f t="shared" ca="1" si="13"/>
        <v>49.165961002785536</v>
      </c>
      <c r="O216" s="126">
        <f t="array" aca="1" ref="O216" ca="1">_xlfn.IFNA(RTD("wdf.rtq",,B216,"LastPrice","Yield_To_Maturity"),[1]!cb_anal_ytm(B216,$C$2))</f>
        <v>1.4634</v>
      </c>
      <c r="P216" s="126">
        <f ca="1">[1]!cb_anal_straightbondvalue(B216,$B$2)</f>
        <v>91.1267</v>
      </c>
      <c r="Q216" s="126">
        <f t="shared" ca="1" si="14"/>
        <v>26.922186362504092</v>
      </c>
      <c r="R216" s="126" t="str">
        <f ca="1">[1]!b_rate_latestcredit(B216)</f>
        <v>AA-</v>
      </c>
      <c r="S216" s="126">
        <f ca="1">[1]!cb_info_outstandingbalance(B216,$B$2)</f>
        <v>2.9984799999999998</v>
      </c>
      <c r="T216" s="126">
        <f ca="1">[1]!cb_info_issueamount(B216,100000000)</f>
        <v>3</v>
      </c>
      <c r="U216" s="126">
        <f t="shared" ca="1" si="15"/>
        <v>99.949333333333314</v>
      </c>
      <c r="V216" s="230">
        <f ca="1">IF([1]!cb_anal_ldiluterate(B216,$B$2)=100,"-",[1]!cb_anal_ldiluterate(B216,$B$2))</f>
        <v>5.6355587543317318</v>
      </c>
      <c r="W216" s="127" t="str">
        <f ca="1">[1]!cb_info_listeddate(B216)</f>
        <v>2020-08-21</v>
      </c>
      <c r="X216" s="127" t="str">
        <f ca="1">[1]!cb_info_carrydate(B216)</f>
        <v>2020-07-30</v>
      </c>
      <c r="Y216" s="125" t="str">
        <f ca="1">[1]!cb_clause_conversion_2_swapsharestartdate(B216)</f>
        <v>2021-02-05</v>
      </c>
      <c r="Z216" s="125" t="str">
        <f ca="1">[1]!cb_clause_putoption_conditionalputbackstartenddate(B216)</f>
        <v>2024-07-30</v>
      </c>
      <c r="AA216" s="230">
        <f ca="1">[1]!cb_info_maturitycallprice(B216)</f>
        <v>118</v>
      </c>
      <c r="AB216" s="230">
        <f ca="1">IF(ISNUMBER([1]!cb_info_conditionalputprice(B216)),[1]!cb_info_conditionalputprice(B216),"-")</f>
        <v>0</v>
      </c>
      <c r="AC216" s="230">
        <f ca="1">[1]!cb_info_interest(B216)</f>
        <v>0.5</v>
      </c>
      <c r="AD216" s="263" t="str">
        <f ca="1">IFERROR(couponlist([1]!cb_clause_interest(B216,"4")),"-")</f>
        <v>0.50%，0.70%，1.00%，1.80%，2.50%，3.00%</v>
      </c>
      <c r="AE216" s="129"/>
      <c r="AF216" s="129"/>
      <c r="AG216" s="129"/>
      <c r="AH216" s="129"/>
      <c r="AI216" s="129"/>
      <c r="AJ216" s="129"/>
      <c r="AK216" s="129"/>
      <c r="AL216" s="129"/>
      <c r="AM216" s="129"/>
      <c r="AN216" s="129"/>
      <c r="AO216" s="129"/>
      <c r="AP216" s="129"/>
      <c r="AQ216" s="129"/>
    </row>
    <row r="217" spans="1:52" s="191" customFormat="1" x14ac:dyDescent="0.35">
      <c r="A217" s="182" t="s">
        <v>0</v>
      </c>
      <c r="B217" s="182" t="s">
        <v>78</v>
      </c>
      <c r="C217" s="182" t="s">
        <v>79</v>
      </c>
      <c r="D217" s="235" t="str">
        <f ca="1">IF([1]!s_info_industry_sw(B217,1)=0,"-",[1]!s_info_industry_sw(B217,1))</f>
        <v>机械设备</v>
      </c>
      <c r="E217" s="183" t="str">
        <f ca="1">[1]!cb_info_underlyingcode(B217)</f>
        <v>603131.SH</v>
      </c>
      <c r="F217" s="185">
        <f ca="1">RTD("wdf.rtq",,B217,"LastPrice","Dirty_Price")</f>
        <v>129.78</v>
      </c>
      <c r="G217" s="185">
        <f ca="1">RTD("wdf.rtq",,E217,"LastPrice")</f>
        <v>22.79</v>
      </c>
      <c r="H217" s="225">
        <f ca="1">RTD("wdf.rtq",,B217,"PctChg","RT_Price")/100</f>
        <v>-1.5900000000000001E-2</v>
      </c>
      <c r="I217" s="225">
        <f ca="1">RTD("wdf.rtq",,E217,"PctChg")/100</f>
        <v>-9.1000000000000004E-3</v>
      </c>
      <c r="J217" s="186">
        <f ca="1">_xlfn.IFNA([1]!b_anal_ptmyear(B217,$B$2),"未发行或发行失败")</f>
        <v>4.8630136986301373</v>
      </c>
      <c r="K217" s="186">
        <f ca="1">RTD("wdf.rtq",,B217,"Amount","Dirty_Price")/100000000</f>
        <v>5.3178490000000002E-2</v>
      </c>
      <c r="L217" s="186">
        <f ca="1">[1]!cb_anal_convprice(B217,$B$2)</f>
        <v>21.12</v>
      </c>
      <c r="M217" s="186">
        <f t="shared" ca="1" si="12"/>
        <v>107.90719696969697</v>
      </c>
      <c r="N217" s="187">
        <f t="shared" ca="1" si="13"/>
        <v>20.270013163668281</v>
      </c>
      <c r="O217" s="187">
        <f t="array" aca="1" ref="O217" ca="1">_xlfn.IFNA(RTD("wdf.rtq",,B217,"LastPrice","Yield_To_Maturity"),[1]!cb_anal_ytm(B217,$C$2))</f>
        <v>-1.4259000000000002</v>
      </c>
      <c r="P217" s="187">
        <f ca="1">[1]!cb_anal_straightbondvalue(B217,$B$2)</f>
        <v>81.051299999999998</v>
      </c>
      <c r="Q217" s="187">
        <f t="shared" ca="1" si="14"/>
        <v>60.12081237438511</v>
      </c>
      <c r="R217" s="187" t="str">
        <f ca="1">[1]!b_rate_latestcredit(B217)</f>
        <v>A+</v>
      </c>
      <c r="S217" s="187">
        <f ca="1">[1]!cb_info_outstandingbalance(B217,$B$2)</f>
        <v>3.9984700000000002</v>
      </c>
      <c r="T217" s="187">
        <f ca="1">[1]!cb_info_issueamount(B217,100000000)</f>
        <v>4</v>
      </c>
      <c r="U217" s="187">
        <f t="shared" ca="1" si="15"/>
        <v>99.961750000000009</v>
      </c>
      <c r="V217" s="240">
        <f ca="1">IF([1]!cb_anal_ldiluterate(B217,$B$2)=100,"-",[1]!cb_anal_ldiluterate(B217,$B$2))</f>
        <v>5.9858621861982337</v>
      </c>
      <c r="W217" s="188" t="str">
        <f ca="1">[1]!cb_info_listeddate(B217)</f>
        <v>2020-08-10</v>
      </c>
      <c r="X217" s="188" t="str">
        <f ca="1">[1]!cb_info_carrydate(B217)</f>
        <v>2020-07-20</v>
      </c>
      <c r="Y217" s="186" t="str">
        <f ca="1">[1]!cb_clause_conversion_2_swapsharestartdate(B217)</f>
        <v>2021-01-25</v>
      </c>
      <c r="Z217" s="186" t="str">
        <f ca="1">[1]!cb_clause_putoption_conditionalputbackstartenddate(B217)</f>
        <v>2024-07-20</v>
      </c>
      <c r="AA217" s="240">
        <f ca="1">[1]!cb_info_maturitycallprice(B217)</f>
        <v>115</v>
      </c>
      <c r="AB217" s="240">
        <f ca="1">IF(ISNUMBER([1]!cb_info_conditionalputprice(B217)),[1]!cb_info_conditionalputprice(B217),"-")</f>
        <v>0</v>
      </c>
      <c r="AC217" s="240">
        <f ca="1">[1]!cb_info_interest(B217)</f>
        <v>0.4</v>
      </c>
      <c r="AD217" s="262" t="str">
        <f ca="1">IFERROR(couponlist([1]!cb_clause_interest(B217,"4")),"-")</f>
        <v>0.40%，0.60%，1.20%，2.00%，2.40%，2.80%</v>
      </c>
      <c r="AE217" s="189"/>
      <c r="AF217" s="189"/>
      <c r="AG217" s="189"/>
      <c r="AH217" s="189"/>
      <c r="AI217" s="189"/>
      <c r="AJ217" s="189"/>
      <c r="AK217" s="189"/>
      <c r="AL217" s="189"/>
      <c r="AM217" s="189"/>
      <c r="AN217" s="189"/>
      <c r="AO217" s="189"/>
      <c r="AP217" s="189"/>
      <c r="AQ217" s="189"/>
    </row>
    <row r="218" spans="1:52" s="130" customFormat="1" x14ac:dyDescent="0.35">
      <c r="A218" s="121" t="s">
        <v>5</v>
      </c>
      <c r="B218" s="121" t="s">
        <v>1681</v>
      </c>
      <c r="C218" s="121" t="s">
        <v>1682</v>
      </c>
      <c r="D218" s="236" t="str">
        <f ca="1">IF([1]!s_info_industry_sw(B218,1)=0,"-",[1]!s_info_industry_sw(B218,1))</f>
        <v>机械设备</v>
      </c>
      <c r="E218" s="122" t="str">
        <f ca="1">[1]!cb_info_underlyingcode(B218)</f>
        <v>300151.SZ</v>
      </c>
      <c r="F218" s="124">
        <f ca="1">RTD("wdf.rtq",,B218,"LastPrice","Dirty_Price")</f>
        <v>120.93400000000001</v>
      </c>
      <c r="G218" s="124">
        <f ca="1">RTD("wdf.rtq",,E218,"LastPrice")</f>
        <v>27.05</v>
      </c>
      <c r="H218" s="226">
        <f ca="1">RTD("wdf.rtq",,B218,"PctChg","RT_Price")/100</f>
        <v>1E-4</v>
      </c>
      <c r="I218" s="226">
        <f ca="1">RTD("wdf.rtq",,E218,"PctChg")/100</f>
        <v>-2.35E-2</v>
      </c>
      <c r="J218" s="125">
        <f ca="1">_xlfn.IFNA([1]!b_anal_ptmyear(B218,$B$2),"未发行或发行失败")</f>
        <v>5.5616438356164384</v>
      </c>
      <c r="K218" s="125">
        <f ca="1">RTD("wdf.rtq",,B218,"Amount","Dirty_Price")/100000000</f>
        <v>4.8919799999999999E-2</v>
      </c>
      <c r="L218" s="125">
        <f ca="1">[1]!cb_anal_convprice(B218,$B$2)</f>
        <v>28.06</v>
      </c>
      <c r="M218" s="125">
        <f t="shared" ca="1" si="12"/>
        <v>96.400570206699939</v>
      </c>
      <c r="N218" s="126">
        <f t="shared" ca="1" si="13"/>
        <v>25.449465434380784</v>
      </c>
      <c r="O218" s="126">
        <f t="array" aca="1" ref="O218" ca="1">_xlfn.IFNA(RTD("wdf.rtq",,B218,"LastPrice","Yield_To_Maturity"),[1]!cb_anal_ytm(B218,$C$2))</f>
        <v>0.01</v>
      </c>
      <c r="P218" s="126">
        <f ca="1">[1]!cb_anal_straightbondvalue(B218,$B$2)</f>
        <v>84.786100000000005</v>
      </c>
      <c r="Q218" s="126">
        <f t="shared" ca="1" si="14"/>
        <v>42.634228959699783</v>
      </c>
      <c r="R218" s="126" t="str">
        <f ca="1">[1]!b_rate_latestcredit(B218)</f>
        <v>AA-</v>
      </c>
      <c r="S218" s="126">
        <f ca="1">[1]!cb_info_outstandingbalance(B218,$B$2)</f>
        <v>4.5999999999999996</v>
      </c>
      <c r="T218" s="126">
        <f ca="1">[1]!cb_info_issueamount(B218,100000000)</f>
        <v>4.5999999999999996</v>
      </c>
      <c r="U218" s="126">
        <f t="shared" ca="1" si="15"/>
        <v>100</v>
      </c>
      <c r="V218" s="230">
        <f ca="1">IF([1]!cb_anal_ldiluterate(B218,$B$2)=100,"-",[1]!cb_anal_ldiluterate(B218,$B$2))</f>
        <v>4.9353795212832896</v>
      </c>
      <c r="W218" s="127" t="str">
        <f ca="1">[1]!cb_info_listeddate(B218)</f>
        <v>2021-04-19</v>
      </c>
      <c r="X218" s="127" t="str">
        <f ca="1">[1]!cb_info_carrydate(B218)</f>
        <v>2021-04-01</v>
      </c>
      <c r="Y218" s="125" t="str">
        <f ca="1">[1]!cb_clause_conversion_2_swapsharestartdate(B218)</f>
        <v>2021-10-08</v>
      </c>
      <c r="Z218" s="125" t="str">
        <f ca="1">[1]!cb_clause_putoption_conditionalputbackstartenddate(B218)</f>
        <v>2025-04-01</v>
      </c>
      <c r="AA218" s="230">
        <f ca="1">[1]!cb_info_maturitycallprice(B218)</f>
        <v>115</v>
      </c>
      <c r="AB218" s="230">
        <f ca="1">IF(ISNUMBER([1]!cb_info_conditionalputprice(B218)),[1]!cb_info_conditionalputprice(B218),"-")</f>
        <v>0</v>
      </c>
      <c r="AC218" s="230">
        <f ca="1">[1]!cb_info_interest(B218)</f>
        <v>0.4</v>
      </c>
      <c r="AD218" s="263" t="str">
        <f ca="1">IFERROR(couponlist([1]!cb_clause_interest(B218,"4")),"-")</f>
        <v>0.40%，0.60%，1.00%，1.50%，2.50%，3.00%</v>
      </c>
      <c r="AE218" s="129"/>
      <c r="AF218" s="129"/>
      <c r="AG218" s="129"/>
      <c r="AH218" s="129"/>
      <c r="AI218" s="129"/>
      <c r="AJ218" s="129"/>
      <c r="AK218" s="129"/>
      <c r="AL218" s="129"/>
      <c r="AM218" s="129"/>
      <c r="AN218" s="129"/>
      <c r="AO218" s="129"/>
      <c r="AP218" s="129"/>
      <c r="AQ218" s="129"/>
    </row>
    <row r="219" spans="1:52" s="191" customFormat="1" x14ac:dyDescent="0.35">
      <c r="A219" s="182" t="s">
        <v>0</v>
      </c>
      <c r="B219" s="182" t="s">
        <v>166</v>
      </c>
      <c r="C219" s="182" t="s">
        <v>167</v>
      </c>
      <c r="D219" s="235" t="str">
        <f ca="1">IF([1]!s_info_industry_sw(B219,1)=0,"-",[1]!s_info_industry_sw(B219,1))</f>
        <v>机械设备</v>
      </c>
      <c r="E219" s="183" t="str">
        <f ca="1">[1]!cb_info_underlyingcode(B219)</f>
        <v>600388.SH</v>
      </c>
      <c r="F219" s="185">
        <f ca="1">RTD("wdf.rtq",,B219,"LastPrice","Dirty_Price")</f>
        <v>112.39</v>
      </c>
      <c r="G219" s="185">
        <f ca="1">RTD("wdf.rtq",,E219,"LastPrice")</f>
        <v>9.44</v>
      </c>
      <c r="H219" s="225">
        <f ca="1">RTD("wdf.rtq",,B219,"PctChg","RT_Price")/100</f>
        <v>-1.5E-3</v>
      </c>
      <c r="I219" s="225">
        <f ca="1">RTD("wdf.rtq",,E219,"PctChg")/100</f>
        <v>1.29E-2</v>
      </c>
      <c r="J219" s="186">
        <f ca="1">_xlfn.IFNA([1]!b_anal_ptmyear(B219,$B$2),"未发行或发行失败")</f>
        <v>4.5397260273972604</v>
      </c>
      <c r="K219" s="186">
        <f ca="1">RTD("wdf.rtq",,B219,"Amount","Dirty_Price")/100000000</f>
        <v>9.4598070000000006E-2</v>
      </c>
      <c r="L219" s="186">
        <f ca="1">[1]!cb_anal_convprice(B219,$B$2)</f>
        <v>10.55</v>
      </c>
      <c r="M219" s="186">
        <f t="shared" ca="1" si="12"/>
        <v>89.478672985781984</v>
      </c>
      <c r="N219" s="187">
        <f t="shared" ca="1" si="13"/>
        <v>25.605349576271195</v>
      </c>
      <c r="O219" s="187">
        <f t="array" aca="1" ref="O219" ca="1">_xlfn.IFNA(RTD("wdf.rtq",,B219,"LastPrice","Yield_To_Maturity"),[1]!cb_anal_ytm(B219,$C$2))</f>
        <v>0.47750000000000004</v>
      </c>
      <c r="P219" s="187">
        <f ca="1">[1]!cb_anal_straightbondvalue(B219,$B$2)</f>
        <v>98.219700000000003</v>
      </c>
      <c r="Q219" s="187">
        <f t="shared" ca="1" si="14"/>
        <v>14.42714648894264</v>
      </c>
      <c r="R219" s="187" t="str">
        <f ca="1">[1]!b_rate_latestcredit(B219)</f>
        <v>AA+</v>
      </c>
      <c r="S219" s="187">
        <f ca="1">[1]!cb_info_outstandingbalance(B219,$B$2)</f>
        <v>19.998429999999999</v>
      </c>
      <c r="T219" s="187">
        <f ca="1">[1]!cb_info_issueamount(B219,100000000)</f>
        <v>20</v>
      </c>
      <c r="U219" s="187">
        <f t="shared" ca="1" si="15"/>
        <v>99.992149999999995</v>
      </c>
      <c r="V219" s="240">
        <f ca="1">IF([1]!cb_anal_ldiluterate(B219,$B$2)=100,"-",[1]!cb_anal_ldiluterate(B219,$B$2))</f>
        <v>15.060886304767671</v>
      </c>
      <c r="W219" s="188" t="str">
        <f ca="1">[1]!cb_info_listeddate(B219)</f>
        <v>2020-04-15</v>
      </c>
      <c r="X219" s="188" t="str">
        <f ca="1">[1]!cb_info_carrydate(B219)</f>
        <v>2020-03-24</v>
      </c>
      <c r="Y219" s="186" t="str">
        <f ca="1">[1]!cb_clause_conversion_2_swapsharestartdate(B219)</f>
        <v>2020-09-30</v>
      </c>
      <c r="Z219" s="186" t="str">
        <f ca="1">[1]!cb_clause_putoption_conditionalputbackstartenddate(B219)</f>
        <v>2024-03-24</v>
      </c>
      <c r="AA219" s="240">
        <f ca="1">[1]!cb_info_maturitycallprice(B219)</f>
        <v>110</v>
      </c>
      <c r="AB219" s="240">
        <f ca="1">IF(ISNUMBER([1]!cb_info_conditionalputprice(B219)),[1]!cb_info_conditionalputprice(B219),"-")</f>
        <v>0</v>
      </c>
      <c r="AC219" s="240">
        <f ca="1">[1]!cb_info_interest(B219)</f>
        <v>0.2</v>
      </c>
      <c r="AD219" s="262" t="str">
        <f ca="1">IFERROR(couponlist([1]!cb_clause_interest(B219,"4")),"-")</f>
        <v>0.20%，0.50%，1.00%，1.50%，1.80%，2.00%</v>
      </c>
      <c r="AE219" s="189"/>
      <c r="AF219" s="189"/>
      <c r="AG219" s="189"/>
      <c r="AH219" s="189"/>
      <c r="AI219" s="189"/>
      <c r="AJ219" s="189"/>
      <c r="AK219" s="189"/>
      <c r="AL219" s="189"/>
      <c r="AM219" s="189"/>
      <c r="AN219" s="189"/>
      <c r="AO219" s="189"/>
      <c r="AP219" s="189"/>
      <c r="AQ219" s="189"/>
    </row>
    <row r="220" spans="1:52" s="130" customFormat="1" x14ac:dyDescent="0.35">
      <c r="A220" s="121" t="s">
        <v>0</v>
      </c>
      <c r="B220" s="121" t="s">
        <v>190</v>
      </c>
      <c r="C220" s="121" t="s">
        <v>191</v>
      </c>
      <c r="D220" s="236" t="str">
        <f ca="1">IF([1]!s_info_industry_sw(B220,1)=0,"-",[1]!s_info_industry_sw(B220,1))</f>
        <v>机械设备</v>
      </c>
      <c r="E220" s="122" t="str">
        <f ca="1">[1]!cb_info_underlyingcode(B220)</f>
        <v>603617.SH</v>
      </c>
      <c r="F220" s="124">
        <f ca="1">RTD("wdf.rtq",,B220,"LastPrice","Dirty_Price")</f>
        <v>116.78</v>
      </c>
      <c r="G220" s="124">
        <f ca="1">RTD("wdf.rtq",,E220,"LastPrice")</f>
        <v>10.61</v>
      </c>
      <c r="H220" s="226">
        <f ca="1">RTD("wdf.rtq",,B220,"PctChg","RT_Price")/100</f>
        <v>4.8000000000000004E-3</v>
      </c>
      <c r="I220" s="226">
        <f ca="1">RTD("wdf.rtq",,E220,"PctChg")/100</f>
        <v>3.8E-3</v>
      </c>
      <c r="J220" s="125">
        <f ca="1">_xlfn.IFNA([1]!b_anal_ptmyear(B220,$B$2),"未发行或发行失败")</f>
        <v>4.484931506849315</v>
      </c>
      <c r="K220" s="125">
        <f ca="1">RTD("wdf.rtq",,B220,"Amount","Dirty_Price")/100000000</f>
        <v>1.472994E-2</v>
      </c>
      <c r="L220" s="125">
        <f ca="1">[1]!cb_anal_convprice(B220,$B$2)</f>
        <v>11.16</v>
      </c>
      <c r="M220" s="125">
        <f t="shared" ca="1" si="12"/>
        <v>95.071684587813621</v>
      </c>
      <c r="N220" s="126">
        <f t="shared" ca="1" si="13"/>
        <v>22.833628652214884</v>
      </c>
      <c r="O220" s="126">
        <f t="array" aca="1" ref="O220" ca="1">_xlfn.IFNA(RTD("wdf.rtq",,B220,"LastPrice","Yield_To_Maturity"),[1]!cb_anal_ytm(B220,$C$2))</f>
        <v>0.39219999999999999</v>
      </c>
      <c r="P220" s="126">
        <f ca="1">[1]!cb_anal_straightbondvalue(B220,$B$2)</f>
        <v>82.314300000000003</v>
      </c>
      <c r="Q220" s="126">
        <f t="shared" ca="1" si="14"/>
        <v>41.870853545495748</v>
      </c>
      <c r="R220" s="126" t="str">
        <f ca="1">[1]!b_rate_latestcredit(B220)</f>
        <v>A+</v>
      </c>
      <c r="S220" s="126">
        <f ca="1">[1]!cb_info_outstandingbalance(B220,$B$2)</f>
        <v>2.0995300000000001</v>
      </c>
      <c r="T220" s="126">
        <f ca="1">[1]!cb_info_issueamount(B220,100000000)</f>
        <v>2.1</v>
      </c>
      <c r="U220" s="126">
        <f t="shared" ca="1" si="15"/>
        <v>99.977619047619044</v>
      </c>
      <c r="V220" s="230">
        <f ca="1">IF([1]!cb_anal_ldiluterate(B220,$B$2)=100,"-",[1]!cb_anal_ldiluterate(B220,$B$2))</f>
        <v>8.6189979711516482</v>
      </c>
      <c r="W220" s="127" t="str">
        <f ca="1">[1]!cb_info_listeddate(B220)</f>
        <v>2020-04-03</v>
      </c>
      <c r="X220" s="127" t="str">
        <f ca="1">[1]!cb_info_carrydate(B220)</f>
        <v>2020-03-04</v>
      </c>
      <c r="Y220" s="125" t="str">
        <f ca="1">[1]!cb_clause_conversion_2_swapsharestartdate(B220)</f>
        <v>2020-09-10</v>
      </c>
      <c r="Z220" s="125" t="str">
        <f ca="1">[1]!cb_clause_putoption_conditionalputbackstartenddate(B220)</f>
        <v>2024-03-04</v>
      </c>
      <c r="AA220" s="230">
        <f ca="1">[1]!cb_info_maturitycallprice(B220)</f>
        <v>113</v>
      </c>
      <c r="AB220" s="230">
        <f ca="1">IF(ISNUMBER([1]!cb_info_conditionalputprice(B220)),[1]!cb_info_conditionalputprice(B220),"-")</f>
        <v>0</v>
      </c>
      <c r="AC220" s="230">
        <f ca="1">[1]!cb_info_interest(B220)</f>
        <v>0.5</v>
      </c>
      <c r="AD220" s="263" t="str">
        <f ca="1">IFERROR(couponlist([1]!cb_clause_interest(B220,"4")),"-")</f>
        <v>0.5%，0.8%，1.2%，1.6%，2.2%，2.8%</v>
      </c>
      <c r="AE220" s="129"/>
      <c r="AF220" s="129"/>
      <c r="AG220" s="129"/>
      <c r="AH220" s="129"/>
      <c r="AI220" s="129"/>
      <c r="AJ220" s="129"/>
      <c r="AK220" s="129"/>
      <c r="AL220" s="129"/>
      <c r="AM220" s="129"/>
      <c r="AN220" s="129"/>
      <c r="AO220" s="129"/>
      <c r="AP220" s="129"/>
      <c r="AQ220" s="129"/>
    </row>
    <row r="221" spans="1:52" s="191" customFormat="1" x14ac:dyDescent="0.35">
      <c r="A221" s="182" t="s">
        <v>5</v>
      </c>
      <c r="B221" s="182" t="s">
        <v>76</v>
      </c>
      <c r="C221" s="182" t="s">
        <v>77</v>
      </c>
      <c r="D221" s="235" t="str">
        <f ca="1">IF([1]!s_info_industry_sw(B221,1)=0,"-",[1]!s_info_industry_sw(B221,1))</f>
        <v>机械设备</v>
      </c>
      <c r="E221" s="183" t="str">
        <f ca="1">[1]!cb_info_underlyingcode(B221)</f>
        <v>300416.SZ</v>
      </c>
      <c r="F221" s="185">
        <f ca="1">RTD("wdf.rtq",,B221,"LastPrice","Dirty_Price")</f>
        <v>152.27100000000002</v>
      </c>
      <c r="G221" s="185">
        <f ca="1">RTD("wdf.rtq",,E221,"LastPrice")</f>
        <v>24.45</v>
      </c>
      <c r="H221" s="225">
        <f ca="1">RTD("wdf.rtq",,B221,"PctChg","RT_Price")/100</f>
        <v>-2.2500000000000006E-2</v>
      </c>
      <c r="I221" s="225">
        <f ca="1">RTD("wdf.rtq",,E221,"PctChg")/100</f>
        <v>-2.1600000000000001E-2</v>
      </c>
      <c r="J221" s="186">
        <f ca="1">_xlfn.IFNA([1]!b_anal_ptmyear(B221,$B$2),"未发行或发行失败")</f>
        <v>4.8657534246575338</v>
      </c>
      <c r="K221" s="186">
        <f ca="1">RTD("wdf.rtq",,B221,"Amount","Dirty_Price")/100000000</f>
        <v>0.12530683000000001</v>
      </c>
      <c r="L221" s="186">
        <f ca="1">[1]!cb_anal_convprice(B221,$B$2)</f>
        <v>18.28</v>
      </c>
      <c r="M221" s="186">
        <f t="shared" ca="1" si="12"/>
        <v>133.75273522975928</v>
      </c>
      <c r="N221" s="187">
        <f t="shared" ca="1" si="13"/>
        <v>13.845148466257697</v>
      </c>
      <c r="O221" s="187">
        <f t="array" aca="1" ref="O221" ca="1">_xlfn.IFNA(RTD("wdf.rtq",,B221,"LastPrice","Yield_To_Maturity"),[1]!cb_anal_ytm(B221,$C$2))</f>
        <v>-5.3296999999999999</v>
      </c>
      <c r="P221" s="187">
        <f ca="1">[1]!cb_anal_straightbondvalue(B221,$B$2)</f>
        <v>86.240899999999996</v>
      </c>
      <c r="Q221" s="187">
        <f t="shared" ca="1" si="14"/>
        <v>76.564715813494558</v>
      </c>
      <c r="R221" s="187" t="str">
        <f ca="1">[1]!b_rate_latestcredit(B221)</f>
        <v>AA-</v>
      </c>
      <c r="S221" s="187">
        <f ca="1">[1]!cb_info_outstandingbalance(B221,$B$2)</f>
        <v>3.096781</v>
      </c>
      <c r="T221" s="187">
        <f ca="1">[1]!cb_info_issueamount(B221,100000000)</f>
        <v>3.1</v>
      </c>
      <c r="U221" s="187">
        <f t="shared" ca="1" si="15"/>
        <v>99.896161290322567</v>
      </c>
      <c r="V221" s="240">
        <f ca="1">IF([1]!cb_anal_ldiluterate(B221,$B$2)=100,"-",[1]!cb_anal_ldiluterate(B221,$B$2))</f>
        <v>6.0787701414321837</v>
      </c>
      <c r="W221" s="188" t="str">
        <f ca="1">[1]!cb_info_listeddate(B221)</f>
        <v>2020-08-17</v>
      </c>
      <c r="X221" s="188" t="str">
        <f ca="1">[1]!cb_info_carrydate(B221)</f>
        <v>2020-07-21</v>
      </c>
      <c r="Y221" s="186" t="str">
        <f ca="1">[1]!cb_clause_conversion_2_swapsharestartdate(B221)</f>
        <v>2021-01-27</v>
      </c>
      <c r="Z221" s="186" t="str">
        <f ca="1">[1]!cb_clause_putoption_conditionalputbackstartenddate(B221)</f>
        <v>2024-07-21</v>
      </c>
      <c r="AA221" s="240">
        <f ca="1">[1]!cb_info_maturitycallprice(B221)</f>
        <v>112</v>
      </c>
      <c r="AB221" s="240">
        <f ca="1">IF(ISNUMBER([1]!cb_info_conditionalputprice(B221)),[1]!cb_info_conditionalputprice(B221),"-")</f>
        <v>0</v>
      </c>
      <c r="AC221" s="240">
        <f ca="1">[1]!cb_info_interest(B221)</f>
        <v>0.4</v>
      </c>
      <c r="AD221" s="262" t="str">
        <f ca="1">IFERROR(couponlist([1]!cb_clause_interest(B221,"4")),"-")</f>
        <v>0.40%，0.70%，1.00%，1.50%，2.00%，2.50%</v>
      </c>
      <c r="AE221" s="189"/>
      <c r="AF221" s="189"/>
      <c r="AG221" s="189"/>
      <c r="AH221" s="189"/>
      <c r="AI221" s="189"/>
      <c r="AJ221" s="189"/>
      <c r="AK221" s="189"/>
      <c r="AL221" s="189"/>
      <c r="AM221" s="189"/>
      <c r="AN221" s="189"/>
      <c r="AO221" s="189"/>
      <c r="AP221" s="189"/>
      <c r="AQ221" s="189"/>
    </row>
    <row r="222" spans="1:52" s="130" customFormat="1" x14ac:dyDescent="0.35">
      <c r="A222" s="121" t="s">
        <v>5</v>
      </c>
      <c r="B222" s="121" t="s">
        <v>302</v>
      </c>
      <c r="C222" s="121" t="s">
        <v>303</v>
      </c>
      <c r="D222" s="236" t="str">
        <f ca="1">IF([1]!s_info_industry_sw(B222,1)=0,"-",[1]!s_info_industry_sw(B222,1))</f>
        <v>机械设备</v>
      </c>
      <c r="E222" s="122" t="str">
        <f ca="1">[1]!cb_info_underlyingcode(B222)</f>
        <v>002877.SZ</v>
      </c>
      <c r="F222" s="124">
        <f ca="1">RTD("wdf.rtq",,B222,"LastPrice","Dirty_Price")</f>
        <v>115.876</v>
      </c>
      <c r="G222" s="124">
        <f ca="1">RTD("wdf.rtq",,E222,"LastPrice")</f>
        <v>6.74</v>
      </c>
      <c r="H222" s="226">
        <f ca="1">RTD("wdf.rtq",,B222,"PctChg","RT_Price")/100</f>
        <v>6.9999999999999988E-4</v>
      </c>
      <c r="I222" s="226">
        <f ca="1">RTD("wdf.rtq",,E222,"PctChg")/100</f>
        <v>-1.5E-3</v>
      </c>
      <c r="J222" s="125">
        <f ca="1">_xlfn.IFNA([1]!b_anal_ptmyear(B222,$B$2),"未发行或发行失败")</f>
        <v>3.8136986301369862</v>
      </c>
      <c r="K222" s="125">
        <f ca="1">RTD("wdf.rtq",,B222,"Amount","Dirty_Price")/100000000</f>
        <v>7.8337939999999995E-2</v>
      </c>
      <c r="L222" s="125">
        <f ca="1">[1]!cb_anal_convprice(B222,$B$2)</f>
        <v>9.4700000000000006</v>
      </c>
      <c r="M222" s="125">
        <f t="shared" ca="1" si="12"/>
        <v>71.172122492080248</v>
      </c>
      <c r="N222" s="126">
        <f t="shared" ca="1" si="13"/>
        <v>62.810937685459947</v>
      </c>
      <c r="O222" s="126">
        <f t="array" aca="1" ref="O222" ca="1">_xlfn.IFNA(RTD("wdf.rtq",,B222,"LastPrice","Yield_To_Maturity"),[1]!cb_anal_ytm(B222,$C$2))</f>
        <v>0.2127</v>
      </c>
      <c r="P222" s="126">
        <f ca="1">[1]!cb_anal_straightbondvalue(B222,$B$2)</f>
        <v>85.980599999999995</v>
      </c>
      <c r="Q222" s="126">
        <f t="shared" ca="1" si="14"/>
        <v>34.769936474041828</v>
      </c>
      <c r="R222" s="126" t="str">
        <f ca="1">[1]!b_rate_latestcredit(B222)</f>
        <v>A+</v>
      </c>
      <c r="S222" s="126">
        <f ca="1">[1]!cb_info_outstandingbalance(B222,$B$2)</f>
        <v>2.2970220000000001</v>
      </c>
      <c r="T222" s="126">
        <f ca="1">[1]!cb_info_issueamount(B222,100000000)</f>
        <v>2.2999999999999998</v>
      </c>
      <c r="U222" s="126">
        <f t="shared" ca="1" si="15"/>
        <v>99.870521739130439</v>
      </c>
      <c r="V222" s="230">
        <f ca="1">IF([1]!cb_anal_ldiluterate(B222,$B$2)=100,"-",[1]!cb_anal_ldiluterate(B222,$B$2))</f>
        <v>10.540546535327909</v>
      </c>
      <c r="W222" s="127" t="str">
        <f ca="1">[1]!cb_info_listeddate(B222)</f>
        <v>2019-07-23</v>
      </c>
      <c r="X222" s="127" t="str">
        <f ca="1">[1]!cb_info_carrydate(B222)</f>
        <v>2019-07-02</v>
      </c>
      <c r="Y222" s="125" t="str">
        <f ca="1">[1]!cb_clause_conversion_2_swapsharestartdate(B222)</f>
        <v>2020-01-08</v>
      </c>
      <c r="Z222" s="125">
        <f ca="1">[1]!cb_clause_putoption_conditionalputbackstartenddate(B222)</f>
        <v>0</v>
      </c>
      <c r="AA222" s="230">
        <f ca="1">[1]!cb_info_maturitycallprice(B222)</f>
        <v>112</v>
      </c>
      <c r="AB222" s="230">
        <f ca="1">IF(ISNUMBER([1]!cb_info_conditionalputprice(B222)),[1]!cb_info_conditionalputprice(B222),"-")</f>
        <v>0</v>
      </c>
      <c r="AC222" s="230">
        <f ca="1">[1]!cb_info_interest(B222)</f>
        <v>0.5</v>
      </c>
      <c r="AD222" s="263" t="str">
        <f ca="1">IFERROR(couponlist([1]!cb_clause_interest(B222,"4")),"-")</f>
        <v>0.50%，0.80%，1.20%，1.60%，2.00%，3.00%</v>
      </c>
      <c r="AE222" s="129"/>
      <c r="AF222" s="129"/>
      <c r="AG222" s="129"/>
      <c r="AH222" s="129"/>
      <c r="AI222" s="129"/>
      <c r="AJ222" s="129"/>
      <c r="AK222" s="129"/>
      <c r="AL222" s="129"/>
      <c r="AM222" s="129"/>
      <c r="AN222" s="129"/>
      <c r="AO222" s="129"/>
      <c r="AP222" s="129"/>
      <c r="AQ222" s="129"/>
    </row>
    <row r="223" spans="1:52" s="191" customFormat="1" x14ac:dyDescent="0.35">
      <c r="A223" s="182" t="s">
        <v>0</v>
      </c>
      <c r="B223" s="182" t="s">
        <v>52</v>
      </c>
      <c r="C223" s="182" t="s">
        <v>53</v>
      </c>
      <c r="D223" s="235" t="str">
        <f ca="1">IF([1]!s_info_industry_sw(B223,1)=0,"-",[1]!s_info_industry_sw(B223,1))</f>
        <v>机械设备</v>
      </c>
      <c r="E223" s="183" t="str">
        <f ca="1">[1]!cb_info_underlyingcode(B223)</f>
        <v>603966.SH</v>
      </c>
      <c r="F223" s="185">
        <f ca="1">RTD("wdf.rtq",,B223,"LastPrice","Dirty_Price")</f>
        <v>120.60000000000001</v>
      </c>
      <c r="G223" s="185">
        <f ca="1">RTD("wdf.rtq",,E223,"LastPrice")</f>
        <v>9.61</v>
      </c>
      <c r="H223" s="225">
        <f ca="1">RTD("wdf.rtq",,B223,"PctChg","RT_Price")/100</f>
        <v>1.9599999999999999E-2</v>
      </c>
      <c r="I223" s="225">
        <f ca="1">RTD("wdf.rtq",,E223,"PctChg")/100</f>
        <v>3.1100000000000003E-2</v>
      </c>
      <c r="J223" s="186">
        <f ca="1">_xlfn.IFNA([1]!b_anal_ptmyear(B223,$B$2),"未发行或发行失败")</f>
        <v>4.8931506849315065</v>
      </c>
      <c r="K223" s="186">
        <f ca="1">RTD("wdf.rtq",,B223,"Amount","Dirty_Price")/100000000</f>
        <v>0.10814213</v>
      </c>
      <c r="L223" s="186">
        <f ca="1">[1]!cb_anal_convprice(B223,$B$2)</f>
        <v>9.6999999999999993</v>
      </c>
      <c r="M223" s="186">
        <f t="shared" ca="1" si="12"/>
        <v>99.072164948453619</v>
      </c>
      <c r="N223" s="187">
        <f t="shared" ca="1" si="13"/>
        <v>21.72944849115504</v>
      </c>
      <c r="O223" s="187">
        <f t="array" aca="1" ref="O223" ca="1">_xlfn.IFNA(RTD("wdf.rtq",,B223,"LastPrice","Yield_To_Maturity"),[1]!cb_anal_ytm(B223,$C$2))</f>
        <v>3.4599999999999999E-2</v>
      </c>
      <c r="P223" s="187">
        <f ca="1">[1]!cb_anal_straightbondvalue(B223,$B$2)</f>
        <v>88.765299999999996</v>
      </c>
      <c r="Q223" s="187">
        <f t="shared" ca="1" si="14"/>
        <v>35.863901772426857</v>
      </c>
      <c r="R223" s="187" t="str">
        <f ca="1">[1]!b_rate_latestcredit(B223)</f>
        <v>AA-</v>
      </c>
      <c r="S223" s="187">
        <f ca="1">[1]!cb_info_outstandingbalance(B223,$B$2)</f>
        <v>2.7532100000000002</v>
      </c>
      <c r="T223" s="187">
        <f ca="1">[1]!cb_info_issueamount(B223,100000000)</f>
        <v>3.3</v>
      </c>
      <c r="U223" s="187">
        <f t="shared" ca="1" si="15"/>
        <v>83.430606060606067</v>
      </c>
      <c r="V223" s="240">
        <f ca="1">IF([1]!cb_anal_ldiluterate(B223,$B$2)=100,"-",[1]!cb_anal_ldiluterate(B223,$B$2))</f>
        <v>8.6791451502919479</v>
      </c>
      <c r="W223" s="188" t="str">
        <f ca="1">[1]!cb_info_listeddate(B223)</f>
        <v>2020-08-25</v>
      </c>
      <c r="X223" s="188" t="str">
        <f ca="1">[1]!cb_info_carrydate(B223)</f>
        <v>2020-07-31</v>
      </c>
      <c r="Y223" s="186" t="str">
        <f ca="1">[1]!cb_clause_conversion_2_swapsharestartdate(B223)</f>
        <v>2021-02-08</v>
      </c>
      <c r="Z223" s="186" t="str">
        <f ca="1">[1]!cb_clause_putoption_conditionalputbackstartenddate(B223)</f>
        <v>2024-07-31</v>
      </c>
      <c r="AA223" s="240">
        <f ca="1">[1]!cb_info_maturitycallprice(B223)</f>
        <v>115</v>
      </c>
      <c r="AB223" s="240">
        <f ca="1">IF(ISNUMBER([1]!cb_info_conditionalputprice(B223)),[1]!cb_info_conditionalputprice(B223),"-")</f>
        <v>0</v>
      </c>
      <c r="AC223" s="240">
        <f ca="1">[1]!cb_info_interest(B223)</f>
        <v>0.4</v>
      </c>
      <c r="AD223" s="262" t="str">
        <f ca="1">IFERROR(couponlist([1]!cb_clause_interest(B223,"4")),"-")</f>
        <v>0.4%，0.8%，1.0%，1.5%，2.5%，3.0%</v>
      </c>
      <c r="AE223" s="189"/>
      <c r="AF223" s="189"/>
      <c r="AG223" s="189"/>
      <c r="AH223" s="189"/>
      <c r="AI223" s="189"/>
      <c r="AJ223" s="189"/>
      <c r="AK223" s="189"/>
      <c r="AL223" s="189"/>
      <c r="AM223" s="189"/>
      <c r="AN223" s="189"/>
      <c r="AO223" s="189"/>
      <c r="AP223" s="189"/>
      <c r="AQ223" s="189"/>
    </row>
    <row r="224" spans="1:52" s="130" customFormat="1" x14ac:dyDescent="0.35">
      <c r="A224" s="121" t="s">
        <v>5</v>
      </c>
      <c r="B224" s="121" t="s">
        <v>64</v>
      </c>
      <c r="C224" s="121" t="s">
        <v>65</v>
      </c>
      <c r="D224" s="236" t="str">
        <f ca="1">IF([1]!s_info_industry_sw(B224,1)=0,"-",[1]!s_info_industry_sw(B224,1))</f>
        <v>机械设备</v>
      </c>
      <c r="E224" s="122" t="str">
        <f ca="1">[1]!cb_info_underlyingcode(B224)</f>
        <v>300554.SZ</v>
      </c>
      <c r="F224" s="124">
        <f ca="1">RTD("wdf.rtq",,B224,"LastPrice","Dirty_Price")</f>
        <v>124.179</v>
      </c>
      <c r="G224" s="124">
        <f ca="1">RTD("wdf.rtq",,E224,"LastPrice")</f>
        <v>18.66</v>
      </c>
      <c r="H224" s="226">
        <f ca="1">RTD("wdf.rtq",,B224,"PctChg","RT_Price")/100</f>
        <v>1.5E-3</v>
      </c>
      <c r="I224" s="226">
        <f ca="1">RTD("wdf.rtq",,E224,"PctChg")/100</f>
        <v>-8.5000000000000006E-3</v>
      </c>
      <c r="J224" s="125">
        <f ca="1">_xlfn.IFNA([1]!b_anal_ptmyear(B224,$B$2),"未发行或发行失败")</f>
        <v>4.882191780821918</v>
      </c>
      <c r="K224" s="125">
        <f ca="1">RTD("wdf.rtq",,B224,"Amount","Dirty_Price")/100000000</f>
        <v>0.15665771000000001</v>
      </c>
      <c r="L224" s="125">
        <f ca="1">[1]!cb_anal_convprice(B224,$B$2)</f>
        <v>17.13</v>
      </c>
      <c r="M224" s="125">
        <f t="shared" ca="1" si="12"/>
        <v>108.93169877408057</v>
      </c>
      <c r="N224" s="126">
        <f t="shared" ca="1" si="13"/>
        <v>13.997120578778123</v>
      </c>
      <c r="O224" s="126">
        <f t="array" aca="1" ref="O224" ca="1">_xlfn.IFNA(RTD("wdf.rtq",,B224,"LastPrice","Yield_To_Maturity"),[1]!cb_anal_ytm(B224,$C$2))</f>
        <v>-0.85240000000000005</v>
      </c>
      <c r="P224" s="126">
        <f ca="1">[1]!cb_anal_straightbondvalue(B224,$B$2)</f>
        <v>72.378799999999998</v>
      </c>
      <c r="Q224" s="126">
        <f t="shared" ca="1" si="14"/>
        <v>71.568194001558453</v>
      </c>
      <c r="R224" s="126" t="str">
        <f ca="1">[1]!b_rate_latestcredit(B224)</f>
        <v>A</v>
      </c>
      <c r="S224" s="126">
        <f ca="1">[1]!cb_info_outstandingbalance(B224,$B$2)</f>
        <v>1.947703</v>
      </c>
      <c r="T224" s="126">
        <f ca="1">[1]!cb_info_issueamount(B224,100000000)</f>
        <v>1.95</v>
      </c>
      <c r="U224" s="126">
        <f t="shared" ca="1" si="15"/>
        <v>99.882205128205129</v>
      </c>
      <c r="V224" s="230">
        <f ca="1">IF([1]!cb_anal_ldiluterate(B224,$B$2)=100,"-",[1]!cb_anal_ldiluterate(B224,$B$2))</f>
        <v>17.709810924715388</v>
      </c>
      <c r="W224" s="127" t="str">
        <f ca="1">[1]!cb_info_listeddate(B224)</f>
        <v>2020-08-17</v>
      </c>
      <c r="X224" s="127" t="str">
        <f ca="1">[1]!cb_info_carrydate(B224)</f>
        <v>2020-07-27</v>
      </c>
      <c r="Y224" s="125" t="str">
        <f ca="1">[1]!cb_clause_conversion_2_swapsharestartdate(B224)</f>
        <v>2021-02-01</v>
      </c>
      <c r="Z224" s="125" t="str">
        <f ca="1">[1]!cb_clause_putoption_conditionalputbackstartenddate(B224)</f>
        <v>2024-07-27</v>
      </c>
      <c r="AA224" s="230">
        <f ca="1">[1]!cb_info_maturitycallprice(B224)</f>
        <v>113</v>
      </c>
      <c r="AB224" s="230">
        <f ca="1">IF(ISNUMBER([1]!cb_info_conditionalputprice(B224)),[1]!cb_info_conditionalputprice(B224),"-")</f>
        <v>0</v>
      </c>
      <c r="AC224" s="230">
        <f ca="1">[1]!cb_info_interest(B224)</f>
        <v>0.5</v>
      </c>
      <c r="AD224" s="263" t="str">
        <f ca="1">IFERROR(couponlist([1]!cb_clause_interest(B224,"4")),"-")</f>
        <v>0.5%，0.7%，1.0%，2.0%，2.5%，3.0%</v>
      </c>
      <c r="AE224" s="129"/>
      <c r="AF224" s="129"/>
      <c r="AG224" s="129"/>
      <c r="AH224" s="129"/>
      <c r="AI224" s="129"/>
      <c r="AJ224" s="129"/>
      <c r="AK224" s="129"/>
      <c r="AL224" s="129"/>
      <c r="AM224" s="129"/>
      <c r="AN224" s="129"/>
      <c r="AO224" s="129"/>
      <c r="AP224" s="129"/>
      <c r="AQ224" s="129"/>
    </row>
    <row r="225" spans="1:43" s="191" customFormat="1" x14ac:dyDescent="0.35">
      <c r="A225" s="182" t="s">
        <v>5</v>
      </c>
      <c r="B225" s="182" t="s">
        <v>1719</v>
      </c>
      <c r="C225" s="182" t="s">
        <v>1720</v>
      </c>
      <c r="D225" s="235" t="str">
        <f ca="1">IF([1]!s_info_industry_sw(B225,1)=0,"-",[1]!s_info_industry_sw(B225,1))</f>
        <v>机械设备</v>
      </c>
      <c r="E225" s="183" t="str">
        <f ca="1">[1]!cb_info_underlyingcode(B225)</f>
        <v>300112.SZ</v>
      </c>
      <c r="F225" s="185">
        <f ca="1">RTD("wdf.rtq",,B225,"LastPrice","Dirty_Price")</f>
        <v>135.4</v>
      </c>
      <c r="G225" s="185">
        <f ca="1">RTD("wdf.rtq",,E225,"LastPrice")</f>
        <v>11.09</v>
      </c>
      <c r="H225" s="225">
        <f ca="1">RTD("wdf.rtq",,B225,"PctChg","RT_Price")/100</f>
        <v>-1.2000000000000001E-3</v>
      </c>
      <c r="I225" s="225">
        <f ca="1">RTD("wdf.rtq",,E225,"PctChg")/100</f>
        <v>9.0000000000000008E-4</v>
      </c>
      <c r="J225" s="186">
        <f ca="1">_xlfn.IFNA([1]!b_anal_ptmyear(B225,$B$2),"未发行或发行失败")</f>
        <v>5.580821917808219</v>
      </c>
      <c r="K225" s="186">
        <f ca="1">RTD("wdf.rtq",,B225,"Amount","Dirty_Price")/100000000</f>
        <v>0.29371089</v>
      </c>
      <c r="L225" s="186">
        <f ca="1">[1]!cb_anal_convprice(B225,$B$2)</f>
        <v>8.93</v>
      </c>
      <c r="M225" s="186">
        <f t="shared" ca="1" si="12"/>
        <v>124.18812989921614</v>
      </c>
      <c r="N225" s="187">
        <f t="shared" ca="1" si="13"/>
        <v>9.0281334535617646</v>
      </c>
      <c r="O225" s="187">
        <f t="array" aca="1" ref="O225" ca="1">_xlfn.IFNA(RTD("wdf.rtq",,B225,"LastPrice","Yield_To_Maturity"),[1]!cb_anal_ytm(B225,$C$2))</f>
        <v>-1.5367000000000002</v>
      </c>
      <c r="P225" s="187">
        <f ca="1">[1]!cb_anal_straightbondvalue(B225,$B$2)</f>
        <v>87.094899999999996</v>
      </c>
      <c r="Q225" s="187">
        <f t="shared" ca="1" si="14"/>
        <v>55.462604584194963</v>
      </c>
      <c r="R225" s="187" t="str">
        <f ca="1">[1]!b_rate_latestcredit(B225)</f>
        <v>AA-</v>
      </c>
      <c r="S225" s="187">
        <f ca="1">[1]!cb_info_outstandingbalance(B225,$B$2)</f>
        <v>2.4572120000000002</v>
      </c>
      <c r="T225" s="187">
        <f ca="1">[1]!cb_info_issueamount(B225,100000000)</f>
        <v>2.4572120000000002</v>
      </c>
      <c r="U225" s="187">
        <f t="shared" ca="1" si="15"/>
        <v>100</v>
      </c>
      <c r="V225" s="240">
        <f ca="1">IF([1]!cb_anal_ldiluterate(B225,$B$2)=100,"-",[1]!cb_anal_ldiluterate(B225,$B$2))</f>
        <v>12.02504581248855</v>
      </c>
      <c r="W225" s="188" t="str">
        <f ca="1">[1]!cb_info_listeddate(B225)</f>
        <v>2021-04-23</v>
      </c>
      <c r="X225" s="188" t="str">
        <f ca="1">[1]!cb_info_carrydate(B225)</f>
        <v>2021-04-08</v>
      </c>
      <c r="Y225" s="186" t="str">
        <f ca="1">[1]!cb_clause_conversion_2_swapsharestartdate(B225)</f>
        <v>2021-10-14</v>
      </c>
      <c r="Z225" s="186" t="str">
        <f ca="1">[1]!cb_clause_putoption_conditionalputbackstartenddate(B225)</f>
        <v>2025-04-08</v>
      </c>
      <c r="AA225" s="240">
        <f ca="1">[1]!cb_info_maturitycallprice(B225)</f>
        <v>118</v>
      </c>
      <c r="AB225" s="240">
        <f ca="1">IF(ISNUMBER([1]!cb_info_conditionalputprice(B225)),[1]!cb_info_conditionalputprice(B225),"-")</f>
        <v>0</v>
      </c>
      <c r="AC225" s="240">
        <f ca="1">[1]!cb_info_interest(B225)</f>
        <v>0.4</v>
      </c>
      <c r="AD225" s="262" t="str">
        <f ca="1">IFERROR(couponlist([1]!cb_clause_interest(B225,"4")),"-")</f>
        <v>0.4%，0.7%，1.0%，1.8%，2.5%，3.0%</v>
      </c>
      <c r="AE225" s="189"/>
      <c r="AF225" s="189"/>
      <c r="AG225" s="189"/>
      <c r="AH225" s="189"/>
      <c r="AI225" s="189"/>
      <c r="AJ225" s="189"/>
      <c r="AK225" s="189"/>
      <c r="AL225" s="189"/>
      <c r="AM225" s="189"/>
      <c r="AN225" s="189"/>
      <c r="AO225" s="189"/>
      <c r="AP225" s="189"/>
      <c r="AQ225" s="189"/>
    </row>
    <row r="226" spans="1:43" s="130" customFormat="1" x14ac:dyDescent="0.35">
      <c r="A226" s="121" t="s">
        <v>5</v>
      </c>
      <c r="B226" s="121" t="s">
        <v>1737</v>
      </c>
      <c r="C226" s="121" t="s">
        <v>1738</v>
      </c>
      <c r="D226" s="236" t="str">
        <f ca="1">IF([1]!s_info_industry_sw(B226,1)=0,"-",[1]!s_info_industry_sw(B226,1))</f>
        <v>机械设备</v>
      </c>
      <c r="E226" s="122" t="str">
        <f ca="1">[1]!cb_info_underlyingcode(B226)</f>
        <v>300776.SZ</v>
      </c>
      <c r="F226" s="124">
        <f ca="1">RTD("wdf.rtq",,B226,"LastPrice","Dirty_Price")</f>
        <v>139.512</v>
      </c>
      <c r="G226" s="124">
        <f ca="1">RTD("wdf.rtq",,E226,"LastPrice")</f>
        <v>170</v>
      </c>
      <c r="H226" s="226">
        <f ca="1">RTD("wdf.rtq",,B226,"PctChg","RT_Price")/100</f>
        <v>4.4000000000000003E-3</v>
      </c>
      <c r="I226" s="226">
        <f ca="1">RTD("wdf.rtq",,E226,"PctChg")/100</f>
        <v>-3.0000000000000003E-4</v>
      </c>
      <c r="J226" s="125">
        <f ca="1">_xlfn.IFNA([1]!b_anal_ptmyear(B226,$B$2),"未发行或发行失败")</f>
        <v>5.9068493150684933</v>
      </c>
      <c r="K226" s="125">
        <f ca="1">RTD("wdf.rtq",,B226,"Amount","Dirty_Price")/100000000</f>
        <v>0.57900594999999999</v>
      </c>
      <c r="L226" s="125">
        <f ca="1">[1]!cb_anal_convprice(B226,$B$2)</f>
        <v>192.7</v>
      </c>
      <c r="M226" s="125">
        <f t="shared" ca="1" si="12"/>
        <v>88.22003113648158</v>
      </c>
      <c r="N226" s="126">
        <f t="shared" ca="1" si="13"/>
        <v>58.140955294117646</v>
      </c>
      <c r="O226" s="126">
        <f t="array" aca="1" ref="O226" ca="1">_xlfn.IFNA(RTD("wdf.rtq",,B226,"LastPrice","Yield_To_Maturity"),[1]!cb_anal_ytm(B226,$C$2))</f>
        <v>-2.4231000000000003</v>
      </c>
      <c r="P226" s="126">
        <f ca="1">[1]!cb_anal_straightbondvalue(B226,$B$2)</f>
        <v>82.743600000000001</v>
      </c>
      <c r="Q226" s="126">
        <f t="shared" ca="1" si="14"/>
        <v>68.60760227981379</v>
      </c>
      <c r="R226" s="126" t="str">
        <f ca="1">[1]!b_rate_latestcredit(B226)</f>
        <v>AA-</v>
      </c>
      <c r="S226" s="126">
        <f ca="1">[1]!cb_info_outstandingbalance(B226,$B$2)</f>
        <v>8.4</v>
      </c>
      <c r="T226" s="126">
        <f ca="1">[1]!cb_info_issueamount(B226,100000000)</f>
        <v>8.4</v>
      </c>
      <c r="U226" s="126">
        <f t="shared" ca="1" si="15"/>
        <v>100</v>
      </c>
      <c r="V226" s="230">
        <f ca="1">IF([1]!cb_anal_ldiluterate(B226,$B$2)=100,"-",[1]!cb_anal_ldiluterate(B226,$B$2))</f>
        <v>8.4808957308966253</v>
      </c>
      <c r="W226" s="127" t="str">
        <f ca="1">[1]!cb_info_listeddate(B226)</f>
        <v>2021-08-27</v>
      </c>
      <c r="X226" s="127" t="str">
        <f ca="1">[1]!cb_info_carrydate(B226)</f>
        <v>2021-08-05</v>
      </c>
      <c r="Y226" s="125" t="str">
        <f ca="1">[1]!cb_clause_conversion_2_swapsharestartdate(B226)</f>
        <v>2022-02-11</v>
      </c>
      <c r="Z226" s="125" t="str">
        <f ca="1">[1]!cb_clause_putoption_conditionalputbackstartenddate(B226)</f>
        <v>2025-08-05</v>
      </c>
      <c r="AA226" s="230">
        <f ca="1">[1]!cb_info_maturitycallprice(B226)</f>
        <v>115</v>
      </c>
      <c r="AB226" s="230">
        <f ca="1">IF(ISNUMBER([1]!cb_info_conditionalputprice(B226)),[1]!cb_info_conditionalputprice(B226),"-")</f>
        <v>0</v>
      </c>
      <c r="AC226" s="230">
        <f ca="1">[1]!cb_info_interest(B226)</f>
        <v>0.4</v>
      </c>
      <c r="AD226" s="263" t="str">
        <f ca="1">IFERROR(couponlist([1]!cb_clause_interest(B226,"4")),"-")</f>
        <v>0.4%，0.6%，1.0%，1.5%，2.5%，3.0%</v>
      </c>
      <c r="AE226" s="129"/>
      <c r="AF226" s="129"/>
      <c r="AG226" s="129"/>
      <c r="AH226" s="129"/>
      <c r="AI226" s="129"/>
      <c r="AJ226" s="129"/>
      <c r="AK226" s="129"/>
      <c r="AL226" s="129"/>
      <c r="AM226" s="129"/>
      <c r="AN226" s="129"/>
      <c r="AO226" s="129"/>
      <c r="AP226" s="129"/>
      <c r="AQ226" s="129"/>
    </row>
    <row r="227" spans="1:43" s="191" customFormat="1" x14ac:dyDescent="0.35">
      <c r="A227" s="182" t="s">
        <v>5</v>
      </c>
      <c r="B227" s="182" t="s">
        <v>1765</v>
      </c>
      <c r="C227" s="182" t="s">
        <v>1766</v>
      </c>
      <c r="D227" s="235" t="str">
        <f ca="1">IF([1]!s_info_industry_sw(B227,1)=0,"-",[1]!s_info_industry_sw(B227,1))</f>
        <v>机械设备</v>
      </c>
      <c r="E227" s="183" t="str">
        <f ca="1">[1]!cb_info_underlyingcode(B227)</f>
        <v>002833.SZ</v>
      </c>
      <c r="F227" s="185">
        <f ca="1">RTD("wdf.rtq",,B227,"LastPrice","Dirty_Price")</f>
        <v>133.20000000000002</v>
      </c>
      <c r="G227" s="185">
        <f ca="1">RTD("wdf.rtq",,E227,"LastPrice")</f>
        <v>42.94</v>
      </c>
      <c r="H227" s="225">
        <f ca="1">RTD("wdf.rtq",,B227,"PctChg","RT_Price")/100</f>
        <v>4.1000000000000003E-3</v>
      </c>
      <c r="I227" s="225">
        <f ca="1">RTD("wdf.rtq",,E227,"PctChg")/100</f>
        <v>2.4300000000000002E-2</v>
      </c>
      <c r="J227" s="186">
        <f ca="1">_xlfn.IFNA([1]!b_anal_ptmyear(B227,$B$2),"未发行或发行失败")</f>
        <v>4.8410958904109584</v>
      </c>
      <c r="K227" s="186">
        <f ca="1">RTD("wdf.rtq",,B227,"Amount","Dirty_Price")/100000000</f>
        <v>5.6866689999999998E-2</v>
      </c>
      <c r="L227" s="186">
        <f ca="1">[1]!cb_anal_convprice(B227,$B$2)</f>
        <v>38.090000000000003</v>
      </c>
      <c r="M227" s="186">
        <f t="shared" ca="1" si="12"/>
        <v>112.73300078760829</v>
      </c>
      <c r="N227" s="187">
        <f t="shared" ca="1" si="13"/>
        <v>18.15528644620403</v>
      </c>
      <c r="O227" s="187">
        <f t="array" aca="1" ref="O227" ca="1">_xlfn.IFNA(RTD("wdf.rtq",,B227,"LastPrice","Yield_To_Maturity"),[1]!cb_anal_ytm(B227,$C$2))</f>
        <v>-2.3748</v>
      </c>
      <c r="P227" s="187">
        <f ca="1">[1]!cb_anal_straightbondvalue(B227,$B$2)</f>
        <v>87.414599999999993</v>
      </c>
      <c r="Q227" s="187">
        <f t="shared" ca="1" si="14"/>
        <v>52.377291665236726</v>
      </c>
      <c r="R227" s="187" t="str">
        <f ca="1">[1]!b_rate_latestcredit(B227)</f>
        <v>AA-</v>
      </c>
      <c r="S227" s="187">
        <f ca="1">[1]!cb_info_outstandingbalance(B227,$B$2)</f>
        <v>6</v>
      </c>
      <c r="T227" s="187">
        <f ca="1">[1]!cb_info_issueamount(B227,100000000)</f>
        <v>6</v>
      </c>
      <c r="U227" s="187">
        <f t="shared" ca="1" si="15"/>
        <v>100</v>
      </c>
      <c r="V227" s="240">
        <f ca="1">IF([1]!cb_anal_ldiluterate(B227,$B$2)=100,"-",[1]!cb_anal_ldiluterate(B227,$B$2))</f>
        <v>8.0528706126363545</v>
      </c>
      <c r="W227" s="188" t="str">
        <f ca="1">[1]!cb_info_listeddate(B227)</f>
        <v>2021-08-10</v>
      </c>
      <c r="X227" s="188" t="str">
        <f ca="1">[1]!cb_info_carrydate(B227)</f>
        <v>2021-07-12</v>
      </c>
      <c r="Y227" s="186" t="str">
        <f ca="1">[1]!cb_clause_conversion_2_swapsharestartdate(B227)</f>
        <v>2022-01-17</v>
      </c>
      <c r="Z227" s="186" t="str">
        <f ca="1">[1]!cb_clause_putoption_conditionalputbackstartenddate(B227)</f>
        <v>2024-07-12</v>
      </c>
      <c r="AA227" s="240">
        <f ca="1">[1]!cb_info_maturitycallprice(B227)</f>
        <v>115</v>
      </c>
      <c r="AB227" s="240">
        <f ca="1">IF(ISNUMBER([1]!cb_info_conditionalputprice(B227)),[1]!cb_info_conditionalputprice(B227),"-")</f>
        <v>0</v>
      </c>
      <c r="AC227" s="240">
        <f ca="1">[1]!cb_info_interest(B227)</f>
        <v>0.5</v>
      </c>
      <c r="AD227" s="262" t="str">
        <f ca="1">IFERROR(couponlist([1]!cb_clause_interest(B227,"4")),"-")</f>
        <v>0.50%，0.75%，1.00%，1.50%，2.50%</v>
      </c>
      <c r="AE227" s="189"/>
      <c r="AF227" s="189"/>
      <c r="AG227" s="189"/>
      <c r="AH227" s="189"/>
      <c r="AI227" s="189"/>
      <c r="AJ227" s="189"/>
      <c r="AK227" s="189"/>
      <c r="AL227" s="189"/>
      <c r="AM227" s="189"/>
      <c r="AN227" s="189"/>
      <c r="AO227" s="189"/>
      <c r="AP227" s="189"/>
      <c r="AQ227" s="189"/>
    </row>
    <row r="228" spans="1:43" s="130" customFormat="1" x14ac:dyDescent="0.35">
      <c r="A228" s="121" t="s">
        <v>0</v>
      </c>
      <c r="B228" s="121" t="s">
        <v>921</v>
      </c>
      <c r="C228" s="121" t="s">
        <v>922</v>
      </c>
      <c r="D228" s="236" t="str">
        <f ca="1">IF([1]!s_info_industry_sw(B228,1)=0,"-",[1]!s_info_industry_sw(B228,1))</f>
        <v>机械设备</v>
      </c>
      <c r="E228" s="122" t="str">
        <f ca="1">[1]!cb_info_underlyingcode(B228)</f>
        <v>603298.SH</v>
      </c>
      <c r="F228" s="124">
        <f ca="1">RTD("wdf.rtq",,B228,"LastPrice","Dirty_Price")</f>
        <v>119</v>
      </c>
      <c r="G228" s="124">
        <f ca="1">RTD("wdf.rtq",,E228,"LastPrice")</f>
        <v>18.309999999999999</v>
      </c>
      <c r="H228" s="226">
        <f ca="1">RTD("wdf.rtq",,B228,"PctChg","RT_Price")/100</f>
        <v>-5.8000000000000005E-3</v>
      </c>
      <c r="I228" s="226">
        <f ca="1">RTD("wdf.rtq",,E228,"PctChg")/100</f>
        <v>-2.1400000000000002E-2</v>
      </c>
      <c r="J228" s="125">
        <f ca="1">_xlfn.IFNA([1]!b_anal_ptmyear(B228,$B$2),"未发行或发行失败")</f>
        <v>5.5424657534246577</v>
      </c>
      <c r="K228" s="125">
        <f ca="1">RTD("wdf.rtq",,B228,"Amount","Dirty_Price")/100000000</f>
        <v>5.393775E-2</v>
      </c>
      <c r="L228" s="125">
        <f ca="1">[1]!cb_anal_convprice(B228,$B$2)</f>
        <v>23.08</v>
      </c>
      <c r="M228" s="125">
        <f t="shared" ca="1" si="12"/>
        <v>79.33275563258232</v>
      </c>
      <c r="N228" s="126">
        <f t="shared" ca="1" si="13"/>
        <v>50.001092299290008</v>
      </c>
      <c r="O228" s="126">
        <f t="array" aca="1" ref="O228" ca="1">_xlfn.IFNA(RTD("wdf.rtq",,B228,"LastPrice","Yield_To_Maturity"),[1]!cb_anal_ytm(B228,$C$2))</f>
        <v>-1.0232000000000001</v>
      </c>
      <c r="P228" s="126">
        <f ca="1">[1]!cb_anal_straightbondvalue(B228,$B$2)</f>
        <v>92.122600000000006</v>
      </c>
      <c r="Q228" s="126">
        <f t="shared" ca="1" si="14"/>
        <v>29.175685445265316</v>
      </c>
      <c r="R228" s="126" t="str">
        <f ca="1">[1]!b_rate_latestcredit(B228)</f>
        <v>AA+</v>
      </c>
      <c r="S228" s="126">
        <f ca="1">[1]!cb_info_outstandingbalance(B228,$B$2)</f>
        <v>11.5</v>
      </c>
      <c r="T228" s="126">
        <f ca="1">[1]!cb_info_issueamount(B228,100000000)</f>
        <v>11.5</v>
      </c>
      <c r="U228" s="126">
        <f t="shared" ca="1" si="15"/>
        <v>100</v>
      </c>
      <c r="V228" s="230">
        <f ca="1">IF([1]!cb_anal_ldiluterate(B228,$B$2)=100,"-",[1]!cb_anal_ldiluterate(B228,$B$2))</f>
        <v>5.4382737274924331</v>
      </c>
      <c r="W228" s="127" t="str">
        <f ca="1">[1]!cb_info_listeddate(B228)</f>
        <v>2021-04-14</v>
      </c>
      <c r="X228" s="127" t="str">
        <f ca="1">[1]!cb_info_carrydate(B228)</f>
        <v>2021-03-25</v>
      </c>
      <c r="Y228" s="125" t="str">
        <f ca="1">[1]!cb_clause_conversion_2_swapsharestartdate(B228)</f>
        <v>2021-10-08</v>
      </c>
      <c r="Z228" s="125" t="str">
        <f ca="1">[1]!cb_clause_putoption_conditionalputbackstartenddate(B228)</f>
        <v>2025-03-25</v>
      </c>
      <c r="AA228" s="230">
        <f ca="1">[1]!cb_info_maturitycallprice(B228)</f>
        <v>108</v>
      </c>
      <c r="AB228" s="230">
        <f ca="1">IF(ISNUMBER([1]!cb_info_conditionalputprice(B228)),[1]!cb_info_conditionalputprice(B228),"-")</f>
        <v>0</v>
      </c>
      <c r="AC228" s="230">
        <f ca="1">[1]!cb_info_interest(B228)</f>
        <v>0.2</v>
      </c>
      <c r="AD228" s="263" t="str">
        <f ca="1">IFERROR(couponlist([1]!cb_clause_interest(B228,"4")),"-")</f>
        <v>0.20%，0.40%，0.60%，1.50%，1.80%，2.00%</v>
      </c>
      <c r="AE228" s="129"/>
      <c r="AF228" s="129"/>
      <c r="AG228" s="129"/>
      <c r="AH228" s="129"/>
      <c r="AI228" s="129"/>
      <c r="AJ228" s="129"/>
      <c r="AK228" s="129"/>
      <c r="AL228" s="129"/>
      <c r="AM228" s="129"/>
      <c r="AN228" s="129"/>
      <c r="AO228" s="129"/>
      <c r="AP228" s="129"/>
      <c r="AQ228" s="129"/>
    </row>
    <row r="229" spans="1:43" s="191" customFormat="1" x14ac:dyDescent="0.35">
      <c r="A229" s="182" t="s">
        <v>5</v>
      </c>
      <c r="B229" s="182" t="s">
        <v>276</v>
      </c>
      <c r="C229" s="182" t="s">
        <v>277</v>
      </c>
      <c r="D229" s="235" t="str">
        <f ca="1">IF([1]!s_info_industry_sw(B229,1)=0,"-",[1]!s_info_industry_sw(B229,1))</f>
        <v>机械设备</v>
      </c>
      <c r="E229" s="183" t="str">
        <f ca="1">[1]!cb_info_underlyingcode(B229)</f>
        <v>002722.SZ</v>
      </c>
      <c r="F229" s="185">
        <f ca="1">RTD("wdf.rtq",,B229,"LastPrice","Dirty_Price")</f>
        <v>118.76700000000001</v>
      </c>
      <c r="G229" s="185">
        <f ca="1">RTD("wdf.rtq",,E229,"LastPrice")</f>
        <v>14.06</v>
      </c>
      <c r="H229" s="225">
        <f ca="1">RTD("wdf.rtq",,B229,"PctChg","RT_Price")/100</f>
        <v>2.4000000000000002E-3</v>
      </c>
      <c r="I229" s="225">
        <f ca="1">RTD("wdf.rtq",,E229,"PctChg")/100</f>
        <v>-4.2000000000000006E-3</v>
      </c>
      <c r="J229" s="186">
        <f ca="1">_xlfn.IFNA([1]!b_anal_ptmyear(B229,$B$2),"未发行或发行失败")</f>
        <v>4.0986301369863014</v>
      </c>
      <c r="K229" s="186">
        <f ca="1">RTD("wdf.rtq",,B229,"Amount","Dirty_Price")/100000000</f>
        <v>1.110799E-2</v>
      </c>
      <c r="L229" s="186">
        <f ca="1">[1]!cb_anal_convprice(B229,$B$2)</f>
        <v>14.66</v>
      </c>
      <c r="M229" s="186">
        <f t="shared" ca="1" si="12"/>
        <v>95.907230559345152</v>
      </c>
      <c r="N229" s="187">
        <f t="shared" ca="1" si="13"/>
        <v>23.835293029871991</v>
      </c>
      <c r="O229" s="187">
        <f t="array" aca="1" ref="O229" ca="1">_xlfn.IFNA(RTD("wdf.rtq",,B229,"LastPrice","Yield_To_Maturity"),[1]!cb_anal_ytm(B229,$C$2))</f>
        <v>-0.82190000000000007</v>
      </c>
      <c r="P229" s="187">
        <f ca="1">[1]!cb_anal_straightbondvalue(B229,$B$2)</f>
        <v>89.446600000000004</v>
      </c>
      <c r="Q229" s="187">
        <f t="shared" ca="1" si="14"/>
        <v>32.779781456198464</v>
      </c>
      <c r="R229" s="187" t="str">
        <f ca="1">[1]!b_rate_latestcredit(B229)</f>
        <v>AA-</v>
      </c>
      <c r="S229" s="187">
        <f ca="1">[1]!cb_info_outstandingbalance(B229,$B$2)</f>
        <v>2.1384069999999999</v>
      </c>
      <c r="T229" s="187">
        <f ca="1">[1]!cb_info_issueamount(B229,100000000)</f>
        <v>2.14</v>
      </c>
      <c r="U229" s="187">
        <f t="shared" ca="1" si="15"/>
        <v>99.925560747663539</v>
      </c>
      <c r="V229" s="240">
        <f ca="1">IF([1]!cb_anal_ldiluterate(B229,$B$2)=100,"-",[1]!cb_anal_ldiluterate(B229,$B$2))</f>
        <v>7.6752923024044515</v>
      </c>
      <c r="W229" s="188" t="str">
        <f ca="1">[1]!cb_info_listeddate(B229)</f>
        <v>2019-11-08</v>
      </c>
      <c r="X229" s="188" t="str">
        <f ca="1">[1]!cb_info_carrydate(B229)</f>
        <v>2019-10-14</v>
      </c>
      <c r="Y229" s="186" t="str">
        <f ca="1">[1]!cb_clause_conversion_2_swapsharestartdate(B229)</f>
        <v>2020-04-20</v>
      </c>
      <c r="Z229" s="186" t="str">
        <f ca="1">[1]!cb_clause_putoption_conditionalputbackstartenddate(B229)</f>
        <v>2023-10-14</v>
      </c>
      <c r="AA229" s="240">
        <f ca="1">[1]!cb_info_maturitycallprice(B229)</f>
        <v>110</v>
      </c>
      <c r="AB229" s="240">
        <f ca="1">IF(ISNUMBER([1]!cb_info_conditionalputprice(B229)),[1]!cb_info_conditionalputprice(B229),"-")</f>
        <v>0</v>
      </c>
      <c r="AC229" s="240">
        <f ca="1">[1]!cb_info_interest(B229)</f>
        <v>0.4</v>
      </c>
      <c r="AD229" s="262" t="str">
        <f ca="1">IFERROR(couponlist([1]!cb_clause_interest(B229,"4")),"-")</f>
        <v>0.40%，0.60%，1.00%，1.50%，1.80%，2.00%</v>
      </c>
      <c r="AE229" s="189"/>
      <c r="AF229" s="189"/>
      <c r="AG229" s="189"/>
      <c r="AH229" s="189"/>
      <c r="AI229" s="189"/>
      <c r="AJ229" s="189"/>
      <c r="AK229" s="189"/>
      <c r="AL229" s="189"/>
      <c r="AM229" s="189"/>
      <c r="AN229" s="189"/>
      <c r="AO229" s="189"/>
      <c r="AP229" s="189"/>
      <c r="AQ229" s="189"/>
    </row>
    <row r="230" spans="1:43" s="130" customFormat="1" x14ac:dyDescent="0.35">
      <c r="A230" s="121" t="s">
        <v>0</v>
      </c>
      <c r="B230" s="121" t="s">
        <v>182</v>
      </c>
      <c r="C230" s="121" t="s">
        <v>183</v>
      </c>
      <c r="D230" s="236" t="str">
        <f ca="1">IF([1]!s_info_industry_sw(B230,1)=0,"-",[1]!s_info_industry_sw(B230,1))</f>
        <v>机械设备</v>
      </c>
      <c r="E230" s="122" t="str">
        <f ca="1">[1]!cb_info_underlyingcode(B230)</f>
        <v>603331.SH</v>
      </c>
      <c r="F230" s="124">
        <f ca="1">RTD("wdf.rtq",,B230,"LastPrice","Dirty_Price")</f>
        <v>123.96000000000001</v>
      </c>
      <c r="G230" s="124">
        <f ca="1">RTD("wdf.rtq",,E230,"LastPrice")</f>
        <v>12.450000000000001</v>
      </c>
      <c r="H230" s="226">
        <f ca="1">RTD("wdf.rtq",,B230,"PctChg","RT_Price")/100</f>
        <v>-4.2000000000000006E-3</v>
      </c>
      <c r="I230" s="226">
        <f ca="1">RTD("wdf.rtq",,E230,"PctChg")/100</f>
        <v>-1.1900000000000001E-2</v>
      </c>
      <c r="J230" s="125">
        <f ca="1">_xlfn.IFNA([1]!b_anal_ptmyear(B230,$B$2),"未发行或发行失败")</f>
        <v>4.5041095890410956</v>
      </c>
      <c r="K230" s="125">
        <f ca="1">RTD("wdf.rtq",,B230,"Amount","Dirty_Price")/100000000</f>
        <v>1.9434389999999999E-2</v>
      </c>
      <c r="L230" s="125">
        <f ca="1">[1]!cb_anal_convprice(B230,$B$2)</f>
        <v>11.34</v>
      </c>
      <c r="M230" s="125">
        <f t="shared" ca="1" si="12"/>
        <v>109.78835978835978</v>
      </c>
      <c r="N230" s="126">
        <f t="shared" ca="1" si="13"/>
        <v>12.908144578313255</v>
      </c>
      <c r="O230" s="126">
        <f t="array" aca="1" ref="O230" ca="1">_xlfn.IFNA(RTD("wdf.rtq",,B230,"LastPrice","Yield_To_Maturity"),[1]!cb_anal_ytm(B230,$C$2))</f>
        <v>-1.7035</v>
      </c>
      <c r="P230" s="126">
        <f ca="1">[1]!cb_anal_straightbondvalue(B230,$B$2)</f>
        <v>79.373400000000004</v>
      </c>
      <c r="Q230" s="126">
        <f t="shared" ca="1" si="14"/>
        <v>56.173226798902391</v>
      </c>
      <c r="R230" s="126" t="str">
        <f ca="1">[1]!b_rate_latestcredit(B230)</f>
        <v>A+</v>
      </c>
      <c r="S230" s="126">
        <f ca="1">[1]!cb_info_outstandingbalance(B230,$B$2)</f>
        <v>2.7995100000000002</v>
      </c>
      <c r="T230" s="126">
        <f ca="1">[1]!cb_info_issueamount(B230,100000000)</f>
        <v>2.8</v>
      </c>
      <c r="U230" s="126">
        <f t="shared" ca="1" si="15"/>
        <v>99.982500000000016</v>
      </c>
      <c r="V230" s="230">
        <f ca="1">IF([1]!cb_anal_ldiluterate(B230,$B$2)=100,"-",[1]!cb_anal_ldiluterate(B230,$B$2))</f>
        <v>12.170645008663145</v>
      </c>
      <c r="W230" s="127" t="str">
        <f ca="1">[1]!cb_info_listeddate(B230)</f>
        <v>2020-04-08</v>
      </c>
      <c r="X230" s="127" t="str">
        <f ca="1">[1]!cb_info_carrydate(B230)</f>
        <v>2020-03-11</v>
      </c>
      <c r="Y230" s="125" t="str">
        <f ca="1">[1]!cb_clause_conversion_2_swapsharestartdate(B230)</f>
        <v>2020-09-17</v>
      </c>
      <c r="Z230" s="125" t="str">
        <f ca="1">[1]!cb_clause_putoption_conditionalputbackstartenddate(B230)</f>
        <v>2024-03-11</v>
      </c>
      <c r="AA230" s="230">
        <f ca="1">[1]!cb_info_maturitycallprice(B230)</f>
        <v>110</v>
      </c>
      <c r="AB230" s="230">
        <f ca="1">IF(ISNUMBER([1]!cb_info_conditionalputprice(B230)),[1]!cb_info_conditionalputprice(B230),"-")</f>
        <v>0</v>
      </c>
      <c r="AC230" s="230">
        <f ca="1">[1]!cb_info_interest(B230)</f>
        <v>0.4</v>
      </c>
      <c r="AD230" s="263" t="str">
        <f ca="1">IFERROR(couponlist([1]!cb_clause_interest(B230,"4")),"-")</f>
        <v>0.4%，0.6%，1.0%，1.5%，1.8%，2.0%</v>
      </c>
      <c r="AE230" s="129"/>
      <c r="AF230" s="129"/>
      <c r="AG230" s="129"/>
      <c r="AH230" s="129"/>
      <c r="AI230" s="129"/>
      <c r="AJ230" s="129"/>
      <c r="AK230" s="129"/>
      <c r="AL230" s="129"/>
      <c r="AM230" s="129"/>
      <c r="AN230" s="129"/>
      <c r="AO230" s="129"/>
      <c r="AP230" s="129"/>
      <c r="AQ230" s="129"/>
    </row>
    <row r="231" spans="1:43" s="191" customFormat="1" x14ac:dyDescent="0.35">
      <c r="A231" s="182" t="s">
        <v>5</v>
      </c>
      <c r="B231" s="182" t="s">
        <v>902</v>
      </c>
      <c r="C231" s="182" t="s">
        <v>903</v>
      </c>
      <c r="D231" s="235" t="str">
        <f ca="1">IF([1]!s_info_industry_sw(B231,1)=0,"-",[1]!s_info_industry_sw(B231,1))</f>
        <v>机械设备</v>
      </c>
      <c r="E231" s="183" t="str">
        <f ca="1">[1]!cb_info_underlyingcode(B231)</f>
        <v>300607.SZ</v>
      </c>
      <c r="F231" s="185">
        <f ca="1">RTD("wdf.rtq",,B231,"LastPrice","Dirty_Price")</f>
        <v>121.807</v>
      </c>
      <c r="G231" s="185">
        <f ca="1">RTD("wdf.rtq",,E231,"LastPrice")</f>
        <v>21.17</v>
      </c>
      <c r="H231" s="225">
        <f ca="1">RTD("wdf.rtq",,B231,"PctChg","RT_Price")/100</f>
        <v>-2.4000000000000002E-3</v>
      </c>
      <c r="I231" s="225">
        <f ca="1">RTD("wdf.rtq",,E231,"PctChg")/100</f>
        <v>-2.35E-2</v>
      </c>
      <c r="J231" s="186">
        <f ca="1">_xlfn.IFNA([1]!b_anal_ptmyear(B231,$B$2),"未发行或发行失败")</f>
        <v>5.5013698630136982</v>
      </c>
      <c r="K231" s="186">
        <f ca="1">RTD("wdf.rtq",,B231,"Amount","Dirty_Price")/100000000</f>
        <v>7.2414549999999994E-2</v>
      </c>
      <c r="L231" s="186">
        <f ca="1">[1]!cb_anal_convprice(B231,$B$2)</f>
        <v>26.18</v>
      </c>
      <c r="M231" s="186">
        <f t="shared" ca="1" si="12"/>
        <v>80.863254392666164</v>
      </c>
      <c r="N231" s="187">
        <f t="shared" ca="1" si="13"/>
        <v>50.633314123760044</v>
      </c>
      <c r="O231" s="187">
        <f t="array" aca="1" ref="O231" ca="1">_xlfn.IFNA(RTD("wdf.rtq",,B231,"LastPrice","Yield_To_Maturity"),[1]!cb_anal_ytm(B231,$C$2))</f>
        <v>-1.0425</v>
      </c>
      <c r="P231" s="187">
        <f ca="1">[1]!cb_anal_straightbondvalue(B231,$B$2)</f>
        <v>91.237399999999994</v>
      </c>
      <c r="Q231" s="187">
        <f t="shared" ca="1" si="14"/>
        <v>33.50555802773863</v>
      </c>
      <c r="R231" s="187" t="str">
        <f ca="1">[1]!b_rate_latestcredit(B231)</f>
        <v>AA</v>
      </c>
      <c r="S231" s="187">
        <f ca="1">[1]!cb_info_outstandingbalance(B231,$B$2)</f>
        <v>6.7</v>
      </c>
      <c r="T231" s="187">
        <f ca="1">[1]!cb_info_issueamount(B231,100000000)</f>
        <v>6.7</v>
      </c>
      <c r="U231" s="187">
        <f t="shared" ca="1" si="15"/>
        <v>100</v>
      </c>
      <c r="V231" s="240">
        <f ca="1">IF([1]!cb_anal_ldiluterate(B231,$B$2)=100,"-",[1]!cb_anal_ldiluterate(B231,$B$2))</f>
        <v>8.4295845262626408</v>
      </c>
      <c r="W231" s="188" t="str">
        <f ca="1">[1]!cb_info_listeddate(B231)</f>
        <v>2021-03-29</v>
      </c>
      <c r="X231" s="188" t="str">
        <f ca="1">[1]!cb_info_carrydate(B231)</f>
        <v>2021-03-10</v>
      </c>
      <c r="Y231" s="186" t="str">
        <f ca="1">[1]!cb_clause_conversion_2_swapsharestartdate(B231)</f>
        <v>2021-09-16</v>
      </c>
      <c r="Z231" s="186" t="str">
        <f ca="1">[1]!cb_clause_putoption_conditionalputbackstartenddate(B231)</f>
        <v>2025-03-10</v>
      </c>
      <c r="AA231" s="240">
        <f ca="1">[1]!cb_info_maturitycallprice(B231)</f>
        <v>110</v>
      </c>
      <c r="AB231" s="240">
        <f ca="1">IF(ISNUMBER([1]!cb_info_conditionalputprice(B231)),[1]!cb_info_conditionalputprice(B231),"-")</f>
        <v>0</v>
      </c>
      <c r="AC231" s="240">
        <f ca="1">[1]!cb_info_interest(B231)</f>
        <v>0.3</v>
      </c>
      <c r="AD231" s="262" t="str">
        <f ca="1">IFERROR(couponlist([1]!cb_clause_interest(B231,"4")),"-")</f>
        <v>0.30%，0.50%，1.00%，1.50%，1.80%，2.00%</v>
      </c>
      <c r="AE231" s="189"/>
      <c r="AF231" s="189"/>
      <c r="AG231" s="189"/>
      <c r="AH231" s="189"/>
      <c r="AI231" s="189"/>
      <c r="AJ231" s="189"/>
      <c r="AK231" s="189"/>
      <c r="AL231" s="189"/>
      <c r="AM231" s="189"/>
      <c r="AN231" s="189"/>
      <c r="AO231" s="189"/>
      <c r="AP231" s="189"/>
      <c r="AQ231" s="189"/>
    </row>
    <row r="232" spans="1:43" s="130" customFormat="1" x14ac:dyDescent="0.35">
      <c r="A232" s="121" t="s">
        <v>5</v>
      </c>
      <c r="B232" s="121" t="s">
        <v>340</v>
      </c>
      <c r="C232" s="121" t="s">
        <v>341</v>
      </c>
      <c r="D232" s="236" t="str">
        <f ca="1">IF([1]!s_info_industry_sw(B232,1)=0,"-",[1]!s_info_industry_sw(B232,1))</f>
        <v>机械设备</v>
      </c>
      <c r="E232" s="122" t="str">
        <f ca="1">[1]!cb_info_underlyingcode(B232)</f>
        <v>300567.SZ</v>
      </c>
      <c r="F232" s="124">
        <f ca="1">RTD("wdf.rtq",,B232,"LastPrice","Dirty_Price")</f>
        <v>149.70400000000001</v>
      </c>
      <c r="G232" s="124">
        <f ca="1">RTD("wdf.rtq",,E232,"LastPrice")</f>
        <v>58.59</v>
      </c>
      <c r="H232" s="226">
        <f ca="1">RTD("wdf.rtq",,B232,"PctChg","RT_Price")/100</f>
        <v>-6.0000000000000006E-4</v>
      </c>
      <c r="I232" s="226">
        <f ca="1">RTD("wdf.rtq",,E232,"PctChg")/100</f>
        <v>-1.3600000000000001E-2</v>
      </c>
      <c r="J232" s="125">
        <f ca="1">_xlfn.IFNA([1]!b_anal_ptmyear(B232,$B$2),"未发行或发行失败")</f>
        <v>3.5534246575342463</v>
      </c>
      <c r="K232" s="125">
        <f ca="1">RTD("wdf.rtq",,B232,"Amount","Dirty_Price")/100000000</f>
        <v>0.11191735999999999</v>
      </c>
      <c r="L232" s="125">
        <f ca="1">[1]!cb_anal_convprice(B232,$B$2)</f>
        <v>49.37</v>
      </c>
      <c r="M232" s="125">
        <f t="shared" ca="1" si="12"/>
        <v>118.67530889203971</v>
      </c>
      <c r="N232" s="126">
        <f t="shared" ca="1" si="13"/>
        <v>26.145869260966037</v>
      </c>
      <c r="O232" s="126">
        <f t="array" aca="1" ref="O232" ca="1">_xlfn.IFNA(RTD("wdf.rtq",,B232,"LastPrice","Yield_To_Maturity"),[1]!cb_anal_ytm(B232,$C$2))</f>
        <v>-6.9340999999999999</v>
      </c>
      <c r="P232" s="126">
        <f ca="1">[1]!cb_anal_straightbondvalue(B232,$B$2)</f>
        <v>94.033500000000004</v>
      </c>
      <c r="Q232" s="126">
        <f t="shared" ca="1" si="14"/>
        <v>59.202837286711656</v>
      </c>
      <c r="R232" s="126" t="str">
        <f ca="1">[1]!b_rate_latestcredit(B232)</f>
        <v>AA-</v>
      </c>
      <c r="S232" s="126">
        <f ca="1">[1]!cb_info_outstandingbalance(B232,$B$2)</f>
        <v>3.0870060000000001</v>
      </c>
      <c r="T232" s="126">
        <f ca="1">[1]!cb_info_issueamount(B232,100000000)</f>
        <v>3.75</v>
      </c>
      <c r="U232" s="126">
        <f t="shared" ca="1" si="15"/>
        <v>82.320160000000001</v>
      </c>
      <c r="V232" s="230">
        <f ca="1">IF([1]!cb_anal_ldiluterate(B232,$B$2)=100,"-",[1]!cb_anal_ldiluterate(B232,$B$2))</f>
        <v>3.5531259281708709</v>
      </c>
      <c r="W232" s="127" t="str">
        <f ca="1">[1]!cb_info_listeddate(B232)</f>
        <v>2019-04-19</v>
      </c>
      <c r="X232" s="127" t="str">
        <f ca="1">[1]!cb_info_carrydate(B232)</f>
        <v>2019-03-29</v>
      </c>
      <c r="Y232" s="125" t="str">
        <f ca="1">[1]!cb_clause_conversion_2_swapsharestartdate(B232)</f>
        <v>2019-10-08</v>
      </c>
      <c r="Z232" s="125" t="str">
        <f ca="1">[1]!cb_clause_putoption_conditionalputbackstartenddate(B232)</f>
        <v>2023-03-29</v>
      </c>
      <c r="AA232" s="230">
        <f ca="1">[1]!cb_info_maturitycallprice(B232)</f>
        <v>112</v>
      </c>
      <c r="AB232" s="230">
        <f ca="1">IF(ISNUMBER([1]!cb_info_conditionalputprice(B232)),[1]!cb_info_conditionalputprice(B232),"-")</f>
        <v>0</v>
      </c>
      <c r="AC232" s="230">
        <f ca="1">[1]!cb_info_interest(B232)</f>
        <v>0.5</v>
      </c>
      <c r="AD232" s="263" t="str">
        <f ca="1">IFERROR(couponlist([1]!cb_clause_interest(B232,"4")),"-")</f>
        <v>0.5%，0.8%，1.0%，1.5%，2.5%</v>
      </c>
      <c r="AE232" s="129"/>
      <c r="AF232" s="129"/>
      <c r="AG232" s="129"/>
      <c r="AH232" s="129"/>
      <c r="AI232" s="129"/>
      <c r="AJ232" s="129"/>
      <c r="AK232" s="129"/>
      <c r="AL232" s="129"/>
      <c r="AM232" s="129"/>
      <c r="AN232" s="129"/>
      <c r="AO232" s="129"/>
      <c r="AP232" s="129"/>
      <c r="AQ232" s="129"/>
    </row>
    <row r="233" spans="1:43" s="191" customFormat="1" x14ac:dyDescent="0.35">
      <c r="A233" s="182" t="s">
        <v>5</v>
      </c>
      <c r="B233" s="182" t="s">
        <v>437</v>
      </c>
      <c r="C233" s="182" t="s">
        <v>438</v>
      </c>
      <c r="D233" s="235" t="str">
        <f ca="1">IF([1]!s_info_industry_sw(B233,1)=0,"-",[1]!s_info_industry_sw(B233,1))</f>
        <v>机械设备</v>
      </c>
      <c r="E233" s="183" t="str">
        <f ca="1">[1]!cb_info_underlyingcode(B233)</f>
        <v>300700.SZ</v>
      </c>
      <c r="F233" s="185">
        <f ca="1">RTD("wdf.rtq",,B233,"LastPrice","Dirty_Price")</f>
        <v>124.20500000000001</v>
      </c>
      <c r="G233" s="185">
        <f ca="1">RTD("wdf.rtq",,E233,"LastPrice")</f>
        <v>15.56</v>
      </c>
      <c r="H233" s="225">
        <f ca="1">RTD("wdf.rtq",,B233,"PctChg","RT_Price")/100</f>
        <v>1.06E-2</v>
      </c>
      <c r="I233" s="225">
        <f ca="1">RTD("wdf.rtq",,E233,"PctChg")/100</f>
        <v>2.1700000000000001E-2</v>
      </c>
      <c r="J233" s="186">
        <f ca="1">_xlfn.IFNA([1]!b_anal_ptmyear(B233,$B$2),"未发行或发行失败")</f>
        <v>2.5315068493150683</v>
      </c>
      <c r="K233" s="186">
        <f ca="1">RTD("wdf.rtq",,B233,"Amount","Dirty_Price")/100000000</f>
        <v>0.52617011000000002</v>
      </c>
      <c r="L233" s="186">
        <f ca="1">[1]!cb_anal_convprice(B233,$B$2)</f>
        <v>14.1</v>
      </c>
      <c r="M233" s="186">
        <f t="shared" ca="1" si="12"/>
        <v>110.35460992907802</v>
      </c>
      <c r="N233" s="187">
        <f t="shared" ca="1" si="13"/>
        <v>12.550803341902323</v>
      </c>
      <c r="O233" s="187">
        <f t="array" aca="1" ref="O233" ca="1">_xlfn.IFNA(RTD("wdf.rtq",,B233,"LastPrice","Yield_To_Maturity"),[1]!cb_anal_ytm(B233,$C$2))</f>
        <v>-3.8798000000000004</v>
      </c>
      <c r="P233" s="187">
        <f ca="1">[1]!cb_anal_straightbondvalue(B233,$B$2)</f>
        <v>92.602599999999995</v>
      </c>
      <c r="Q233" s="187">
        <f t="shared" ca="1" si="14"/>
        <v>34.12690356426279</v>
      </c>
      <c r="R233" s="187" t="str">
        <f ca="1">[1]!b_rate_latestcredit(B233)</f>
        <v>A+</v>
      </c>
      <c r="S233" s="187">
        <f ca="1">[1]!cb_info_outstandingbalance(B233,$B$2)</f>
        <v>2.0968770000000001</v>
      </c>
      <c r="T233" s="187">
        <f ca="1">[1]!cb_info_issueamount(B233,100000000)</f>
        <v>2.1</v>
      </c>
      <c r="U233" s="187">
        <f t="shared" ca="1" si="15"/>
        <v>99.851285714285709</v>
      </c>
      <c r="V233" s="240">
        <f ca="1">IF([1]!cb_anal_ldiluterate(B233,$B$2)=100,"-",[1]!cb_anal_ldiluterate(B233,$B$2))</f>
        <v>16.147476661620374</v>
      </c>
      <c r="W233" s="188" t="str">
        <f ca="1">[1]!cb_info_listeddate(B233)</f>
        <v>2019-04-17</v>
      </c>
      <c r="X233" s="188" t="str">
        <f ca="1">[1]!cb_info_carrydate(B233)</f>
        <v>2019-03-21</v>
      </c>
      <c r="Y233" s="186" t="str">
        <f ca="1">[1]!cb_clause_conversion_2_swapsharestartdate(B233)</f>
        <v>2019-09-27</v>
      </c>
      <c r="Z233" s="186" t="str">
        <f ca="1">[1]!cb_clause_putoption_conditionalputbackstartenddate(B233)</f>
        <v>2022-03-21</v>
      </c>
      <c r="AA233" s="240">
        <f ca="1">[1]!cb_info_maturitycallprice(B233)</f>
        <v>110</v>
      </c>
      <c r="AB233" s="240">
        <f ca="1">IF(ISNUMBER([1]!cb_info_conditionalputprice(B233)),[1]!cb_info_conditionalputprice(B233),"-")</f>
        <v>0</v>
      </c>
      <c r="AC233" s="240">
        <f ca="1">[1]!cb_info_interest(B233)</f>
        <v>0.4</v>
      </c>
      <c r="AD233" s="262" t="str">
        <f ca="1">IFERROR(couponlist([1]!cb_clause_interest(B233,"4")),"-")</f>
        <v>0.40%，0.50%，1.00%，1.50%，1.80%</v>
      </c>
      <c r="AE233" s="189"/>
      <c r="AF233" s="189"/>
      <c r="AG233" s="189"/>
      <c r="AH233" s="189"/>
      <c r="AI233" s="189"/>
      <c r="AJ233" s="189"/>
      <c r="AK233" s="189"/>
      <c r="AL233" s="189"/>
      <c r="AM233" s="189"/>
      <c r="AN233" s="189"/>
      <c r="AO233" s="189"/>
      <c r="AP233" s="189"/>
      <c r="AQ233" s="189"/>
    </row>
    <row r="234" spans="1:43" s="130" customFormat="1" x14ac:dyDescent="0.35">
      <c r="A234" s="121" t="s">
        <v>5</v>
      </c>
      <c r="B234" s="121" t="s">
        <v>609</v>
      </c>
      <c r="C234" s="121" t="s">
        <v>610</v>
      </c>
      <c r="D234" s="236" t="str">
        <f ca="1">IF([1]!s_info_industry_sw(B234,1)=0,"-",[1]!s_info_industry_sw(B234,1))</f>
        <v>机械设备</v>
      </c>
      <c r="E234" s="122" t="str">
        <f ca="1">[1]!cb_info_underlyingcode(B234)</f>
        <v>300499.SZ</v>
      </c>
      <c r="F234" s="124">
        <f ca="1">RTD("wdf.rtq",,B234,"LastPrice","Dirty_Price")</f>
        <v>173.274</v>
      </c>
      <c r="G234" s="124">
        <f ca="1">RTD("wdf.rtq",,E234,"LastPrice")</f>
        <v>14.13</v>
      </c>
      <c r="H234" s="226">
        <f ca="1">RTD("wdf.rtq",,B234,"PctChg","RT_Price")/100</f>
        <v>7.6E-3</v>
      </c>
      <c r="I234" s="226">
        <f ca="1">RTD("wdf.rtq",,E234,"PctChg")/100</f>
        <v>-3.9400000000000004E-2</v>
      </c>
      <c r="J234" s="125">
        <f ca="1">_xlfn.IFNA([1]!b_anal_ptmyear(B234,$B$2),"未发行或发行失败")</f>
        <v>5.2547945205479456</v>
      </c>
      <c r="K234" s="125">
        <f ca="1">RTD("wdf.rtq",,B234,"Amount","Dirty_Price")/100000000</f>
        <v>1.7643593500000001</v>
      </c>
      <c r="L234" s="125">
        <f ca="1">[1]!cb_anal_convprice(B234,$B$2)</f>
        <v>9</v>
      </c>
      <c r="M234" s="125">
        <f t="shared" ca="1" si="12"/>
        <v>157</v>
      </c>
      <c r="N234" s="126">
        <f t="shared" ca="1" si="13"/>
        <v>10.365605095541412</v>
      </c>
      <c r="O234" s="126">
        <f t="array" aca="1" ref="O234" ca="1">_xlfn.IFNA(RTD("wdf.rtq",,B234,"LastPrice","Yield_To_Maturity"),[1]!cb_anal_ytm(B234,$C$2))</f>
        <v>-6.6135000000000002</v>
      </c>
      <c r="P234" s="126">
        <f ca="1">[1]!cb_anal_straightbondvalue(B234,$B$2)</f>
        <v>78.802899999999994</v>
      </c>
      <c r="Q234" s="126">
        <f t="shared" ca="1" si="14"/>
        <v>119.88277081173413</v>
      </c>
      <c r="R234" s="126" t="str">
        <f ca="1">[1]!b_rate_latestcredit(B234)</f>
        <v>A+</v>
      </c>
      <c r="S234" s="126">
        <f ca="1">[1]!cb_info_outstandingbalance(B234,$B$2)</f>
        <v>2.6786310000000002</v>
      </c>
      <c r="T234" s="126">
        <f ca="1">[1]!cb_info_issueamount(B234,100000000)</f>
        <v>2.8</v>
      </c>
      <c r="U234" s="126">
        <f t="shared" ca="1" si="15"/>
        <v>95.665392857142876</v>
      </c>
      <c r="V234" s="230">
        <f ca="1">IF([1]!cb_anal_ldiluterate(B234,$B$2)=100,"-",[1]!cb_anal_ldiluterate(B234,$B$2))</f>
        <v>12.010225166712281</v>
      </c>
      <c r="W234" s="127" t="str">
        <f ca="1">[1]!cb_info_listeddate(B234)</f>
        <v>2021-01-08</v>
      </c>
      <c r="X234" s="127" t="str">
        <f ca="1">[1]!cb_info_carrydate(B234)</f>
        <v>2020-12-10</v>
      </c>
      <c r="Y234" s="125" t="str">
        <f ca="1">[1]!cb_clause_conversion_2_swapsharestartdate(B234)</f>
        <v>2021-06-16</v>
      </c>
      <c r="Z234" s="125" t="str">
        <f ca="1">[1]!cb_clause_putoption_conditionalputbackstartenddate(B234)</f>
        <v>2024-12-10</v>
      </c>
      <c r="AA234" s="230">
        <f ca="1">[1]!cb_info_maturitycallprice(B234)</f>
        <v>115</v>
      </c>
      <c r="AB234" s="230">
        <f ca="1">IF(ISNUMBER([1]!cb_info_conditionalputprice(B234)),[1]!cb_info_conditionalputprice(B234),"-")</f>
        <v>0</v>
      </c>
      <c r="AC234" s="230">
        <f ca="1">[1]!cb_info_interest(B234)</f>
        <v>0.5</v>
      </c>
      <c r="AD234" s="263" t="str">
        <f ca="1">IFERROR(couponlist([1]!cb_clause_interest(B234,"4")),"-")</f>
        <v>0.5%，0.7%，1.2%，2.0%，2.5%，4.0%</v>
      </c>
      <c r="AE234" s="129"/>
      <c r="AF234" s="129"/>
      <c r="AG234" s="129"/>
      <c r="AH234" s="129"/>
      <c r="AI234" s="129"/>
      <c r="AJ234" s="129"/>
      <c r="AK234" s="129"/>
      <c r="AL234" s="129"/>
      <c r="AM234" s="129"/>
      <c r="AN234" s="129"/>
      <c r="AO234" s="129"/>
      <c r="AP234" s="129"/>
      <c r="AQ234" s="129"/>
    </row>
    <row r="235" spans="1:43" s="191" customFormat="1" x14ac:dyDescent="0.35">
      <c r="A235" s="182" t="s">
        <v>0</v>
      </c>
      <c r="B235" s="182" t="s">
        <v>186</v>
      </c>
      <c r="C235" s="182" t="s">
        <v>187</v>
      </c>
      <c r="D235" s="235" t="str">
        <f ca="1">IF([1]!s_info_industry_sw(B235,1)=0,"-",[1]!s_info_industry_sw(B235,1))</f>
        <v>机械设备</v>
      </c>
      <c r="E235" s="183" t="str">
        <f ca="1">[1]!cb_info_underlyingcode(B235)</f>
        <v>603667.SH</v>
      </c>
      <c r="F235" s="185">
        <f ca="1">RTD("wdf.rtq",,B235,"LastPrice","Dirty_Price")</f>
        <v>192.35000000000002</v>
      </c>
      <c r="G235" s="185">
        <f ca="1">RTD("wdf.rtq",,E235,"LastPrice")</f>
        <v>16.07</v>
      </c>
      <c r="H235" s="225">
        <f ca="1">RTD("wdf.rtq",,B235,"PctChg","RT_Price")/100</f>
        <v>-4.5999999999999999E-3</v>
      </c>
      <c r="I235" s="225">
        <f ca="1">RTD("wdf.rtq",,E235,"PctChg")/100</f>
        <v>2.3599999999999999E-2</v>
      </c>
      <c r="J235" s="186">
        <f ca="1">_xlfn.IFNA([1]!b_anal_ptmyear(B235,$B$2),"未发行或发行失败")</f>
        <v>4.4904109589041097</v>
      </c>
      <c r="K235" s="186">
        <f ca="1">RTD("wdf.rtq",,B235,"Amount","Dirty_Price")/100000000</f>
        <v>2.62241977</v>
      </c>
      <c r="L235" s="186">
        <f ca="1">[1]!cb_anal_convprice(B235,$B$2)</f>
        <v>8.75</v>
      </c>
      <c r="M235" s="186">
        <f t="shared" ca="1" si="12"/>
        <v>183.65714285714284</v>
      </c>
      <c r="N235" s="187">
        <f t="shared" ca="1" si="13"/>
        <v>4.7331985065339381</v>
      </c>
      <c r="O235" s="187">
        <f t="array" aca="1" ref="O235" ca="1">_xlfn.IFNA(RTD("wdf.rtq",,B235,"LastPrice","Yield_To_Maturity"),[1]!cb_anal_ytm(B235,$C$2))</f>
        <v>-9.4502000000000006</v>
      </c>
      <c r="P235" s="187">
        <f ca="1">[1]!cb_anal_straightbondvalue(B235,$B$2)</f>
        <v>94.111400000000003</v>
      </c>
      <c r="Q235" s="187">
        <f t="shared" ca="1" si="14"/>
        <v>104.38544108365195</v>
      </c>
      <c r="R235" s="187" t="str">
        <f ca="1">[1]!b_rate_latestcredit(B235)</f>
        <v>AA-</v>
      </c>
      <c r="S235" s="187">
        <f ca="1">[1]!cb_info_outstandingbalance(B235,$B$2)</f>
        <v>2.741301</v>
      </c>
      <c r="T235" s="187">
        <f ca="1">[1]!cb_info_issueamount(B235,100000000)</f>
        <v>3.3</v>
      </c>
      <c r="U235" s="187">
        <f t="shared" ca="1" si="15"/>
        <v>83.069727272727263</v>
      </c>
      <c r="V235" s="240">
        <f ca="1">IF([1]!cb_anal_ldiluterate(B235,$B$2)=100,"-",[1]!cb_anal_ldiluterate(B235,$B$2))</f>
        <v>12.278890021637171</v>
      </c>
      <c r="W235" s="188" t="str">
        <f ca="1">[1]!cb_info_listeddate(B235)</f>
        <v>2020-04-02</v>
      </c>
      <c r="X235" s="188" t="str">
        <f ca="1">[1]!cb_info_carrydate(B235)</f>
        <v>2020-03-06</v>
      </c>
      <c r="Y235" s="186" t="str">
        <f ca="1">[1]!cb_clause_conversion_2_swapsharestartdate(B235)</f>
        <v>2020-09-14</v>
      </c>
      <c r="Z235" s="186" t="str">
        <f ca="1">[1]!cb_clause_putoption_conditionalputbackstartenddate(B235)</f>
        <v>2024-03-06</v>
      </c>
      <c r="AA235" s="240">
        <f ca="1">[1]!cb_info_maturitycallprice(B235)</f>
        <v>118</v>
      </c>
      <c r="AB235" s="240">
        <f ca="1">IF(ISNUMBER([1]!cb_info_conditionalputprice(B235)),[1]!cb_info_conditionalputprice(B235),"-")</f>
        <v>0</v>
      </c>
      <c r="AC235" s="240">
        <f ca="1">[1]!cb_info_interest(B235)</f>
        <v>0.5</v>
      </c>
      <c r="AD235" s="262" t="str">
        <f ca="1">IFERROR(couponlist([1]!cb_clause_interest(B235,"4")),"-")</f>
        <v>0.50%，0.80%，1.20%，1.80%，2.50%，3.00%</v>
      </c>
      <c r="AE235" s="189"/>
      <c r="AF235" s="189"/>
      <c r="AG235" s="189"/>
      <c r="AH235" s="189"/>
      <c r="AI235" s="189"/>
      <c r="AJ235" s="189"/>
      <c r="AK235" s="189"/>
      <c r="AL235" s="189"/>
      <c r="AM235" s="189"/>
      <c r="AN235" s="189"/>
      <c r="AO235" s="189"/>
      <c r="AP235" s="189"/>
      <c r="AQ235" s="189"/>
    </row>
    <row r="236" spans="1:43" s="130" customFormat="1" x14ac:dyDescent="0.35">
      <c r="A236" s="121" t="s">
        <v>5</v>
      </c>
      <c r="B236" s="121" t="s">
        <v>622</v>
      </c>
      <c r="C236" s="121" t="s">
        <v>623</v>
      </c>
      <c r="D236" s="236" t="str">
        <f ca="1">IF([1]!s_info_industry_sw(B236,1)=0,"-",[1]!s_info_industry_sw(B236,1))</f>
        <v>化工</v>
      </c>
      <c r="E236" s="122" t="str">
        <f ca="1">[1]!cb_info_underlyingcode(B236)</f>
        <v>300196.SZ</v>
      </c>
      <c r="F236" s="124">
        <f ca="1">RTD("wdf.rtq",,B236,"LastPrice","Dirty_Price")</f>
        <v>157.03400000000002</v>
      </c>
      <c r="G236" s="124">
        <f ca="1">RTD("wdf.rtq",,E236,"LastPrice")</f>
        <v>23.18</v>
      </c>
      <c r="H236" s="226">
        <f ca="1">RTD("wdf.rtq",,B236,"PctChg","RT_Price")/100</f>
        <v>3.95E-2</v>
      </c>
      <c r="I236" s="226">
        <f ca="1">RTD("wdf.rtq",,E236,"PctChg")/100</f>
        <v>3.6700000000000003E-2</v>
      </c>
      <c r="J236" s="125">
        <f ca="1">_xlfn.IFNA([1]!b_anal_ptmyear(B236,$B$2),"未发行或发行失败")</f>
        <v>5.2904109589041095</v>
      </c>
      <c r="K236" s="125">
        <f ca="1">RTD("wdf.rtq",,B236,"Amount","Dirty_Price")/100000000</f>
        <v>1.76626482</v>
      </c>
      <c r="L236" s="125">
        <f ca="1">[1]!cb_anal_convprice(B236,$B$2)</f>
        <v>16.14</v>
      </c>
      <c r="M236" s="125">
        <f t="shared" ca="1" si="12"/>
        <v>143.61833952912019</v>
      </c>
      <c r="N236" s="126">
        <f t="shared" ca="1" si="13"/>
        <v>9.3411889559965573</v>
      </c>
      <c r="O236" s="126">
        <f t="array" aca="1" ref="O236" ca="1">_xlfn.IFNA(RTD("wdf.rtq",,B236,"LastPrice","Yield_To_Maturity"),[1]!cb_anal_ytm(B236,$C$2))</f>
        <v>-5.6295999999999999</v>
      </c>
      <c r="P236" s="126">
        <f ca="1">[1]!cb_anal_straightbondvalue(B236,$B$2)</f>
        <v>93.057599999999994</v>
      </c>
      <c r="Q236" s="126">
        <f t="shared" ca="1" si="14"/>
        <v>68.749247777720484</v>
      </c>
      <c r="R236" s="126" t="str">
        <f ca="1">[1]!b_rate_latestcredit(B236)</f>
        <v>AA</v>
      </c>
      <c r="S236" s="126">
        <f ca="1">[1]!cb_info_outstandingbalance(B236,$B$2)</f>
        <v>5.4980770000000003</v>
      </c>
      <c r="T236" s="126">
        <f ca="1">[1]!cb_info_issueamount(B236,100000000)</f>
        <v>5.5</v>
      </c>
      <c r="U236" s="126">
        <f t="shared" ca="1" si="15"/>
        <v>99.965036363636372</v>
      </c>
      <c r="V236" s="230">
        <f ca="1">IF([1]!cb_anal_ldiluterate(B236,$B$2)=100,"-",[1]!cb_anal_ldiluterate(B236,$B$2))</f>
        <v>12.170655518996844</v>
      </c>
      <c r="W236" s="127" t="str">
        <f ca="1">[1]!cb_info_listeddate(B236)</f>
        <v>2021-01-15</v>
      </c>
      <c r="X236" s="127" t="str">
        <f ca="1">[1]!cb_info_carrydate(B236)</f>
        <v>2020-12-23</v>
      </c>
      <c r="Y236" s="125" t="str">
        <f ca="1">[1]!cb_clause_conversion_2_swapsharestartdate(B236)</f>
        <v>2021-06-29</v>
      </c>
      <c r="Z236" s="125" t="str">
        <f ca="1">[1]!cb_clause_putoption_conditionalputbackstartenddate(B236)</f>
        <v>2024-12-23</v>
      </c>
      <c r="AA236" s="230">
        <f ca="1">[1]!cb_info_maturitycallprice(B236)</f>
        <v>111</v>
      </c>
      <c r="AB236" s="230">
        <f ca="1">IF(ISNUMBER([1]!cb_info_conditionalputprice(B236)),[1]!cb_info_conditionalputprice(B236),"-")</f>
        <v>0</v>
      </c>
      <c r="AC236" s="230">
        <f ca="1">[1]!cb_info_interest(B236)</f>
        <v>0.3</v>
      </c>
      <c r="AD236" s="263" t="str">
        <f ca="1">IFERROR(couponlist([1]!cb_clause_interest(B236,"4")),"-")</f>
        <v>0.3%，0.6%，1.0%，1.5%，1.8%，2.0%</v>
      </c>
      <c r="AE236" s="129"/>
      <c r="AF236" s="129"/>
      <c r="AG236" s="129"/>
      <c r="AH236" s="129"/>
      <c r="AI236" s="129"/>
      <c r="AJ236" s="129"/>
      <c r="AK236" s="129"/>
      <c r="AL236" s="129"/>
      <c r="AM236" s="129"/>
      <c r="AN236" s="129"/>
      <c r="AO236" s="129"/>
      <c r="AP236" s="129"/>
      <c r="AQ236" s="129"/>
    </row>
    <row r="237" spans="1:43" s="191" customFormat="1" x14ac:dyDescent="0.35">
      <c r="A237" s="182" t="s">
        <v>5</v>
      </c>
      <c r="B237" s="182" t="s">
        <v>579</v>
      </c>
      <c r="C237" s="182" t="s">
        <v>580</v>
      </c>
      <c r="D237" s="235" t="str">
        <f ca="1">IF([1]!s_info_industry_sw(B237,1)=0,"-",[1]!s_info_industry_sw(B237,1))</f>
        <v>化工</v>
      </c>
      <c r="E237" s="183" t="str">
        <f ca="1">[1]!cb_info_underlyingcode(B237)</f>
        <v>300505.SZ</v>
      </c>
      <c r="F237" s="185">
        <f ca="1">RTD("wdf.rtq",,B237,"LastPrice","Dirty_Price")</f>
        <v>274.68600000000004</v>
      </c>
      <c r="G237" s="185">
        <f ca="1">RTD("wdf.rtq",,E237,"LastPrice")</f>
        <v>49.370000000000005</v>
      </c>
      <c r="H237" s="225">
        <f ca="1">RTD("wdf.rtq",,B237,"PctChg","RT_Price")/100</f>
        <v>7.7200000000000005E-2</v>
      </c>
      <c r="I237" s="225">
        <f ca="1">RTD("wdf.rtq",,E237,"PctChg")/100</f>
        <v>6.9100000000000009E-2</v>
      </c>
      <c r="J237" s="186">
        <f ca="1">_xlfn.IFNA([1]!b_anal_ptmyear(B237,$B$2),"未发行或发行失败")</f>
        <v>5.1041095890410961</v>
      </c>
      <c r="K237" s="186">
        <f ca="1">RTD("wdf.rtq",,B237,"Amount","Dirty_Price")/100000000</f>
        <v>49.421296900000002</v>
      </c>
      <c r="L237" s="186">
        <f ca="1">[1]!cb_anal_convprice(B237,$B$2)</f>
        <v>19.09</v>
      </c>
      <c r="M237" s="186">
        <f t="shared" ca="1" si="12"/>
        <v>258.61707700366685</v>
      </c>
      <c r="N237" s="187">
        <f t="shared" ca="1" si="13"/>
        <v>6.2134036864492685</v>
      </c>
      <c r="O237" s="187">
        <f t="array" aca="1" ref="O237" ca="1">_xlfn.IFNA(RTD("wdf.rtq",,B237,"LastPrice","Yield_To_Maturity"),[1]!cb_anal_ytm(B237,$C$2))</f>
        <v>-14.378500000000001</v>
      </c>
      <c r="P237" s="187">
        <f ca="1">[1]!cb_anal_straightbondvalue(B237,$B$2)</f>
        <v>91.230999999999995</v>
      </c>
      <c r="Q237" s="187">
        <f t="shared" ca="1" si="14"/>
        <v>201.0884458133749</v>
      </c>
      <c r="R237" s="187" t="str">
        <f ca="1">[1]!b_rate_latestcredit(B237)</f>
        <v>AA-</v>
      </c>
      <c r="S237" s="187">
        <f ca="1">[1]!cb_info_outstandingbalance(B237,$B$2)</f>
        <v>2.2551739999999998</v>
      </c>
      <c r="T237" s="187">
        <f ca="1">[1]!cb_info_issueamount(B237,100000000)</f>
        <v>3.68</v>
      </c>
      <c r="U237" s="187">
        <f t="shared" ca="1" si="15"/>
        <v>61.281902173913032</v>
      </c>
      <c r="V237" s="240">
        <f ca="1">IF([1]!cb_anal_ldiluterate(B237,$B$2)=100,"-",[1]!cb_anal_ldiluterate(B237,$B$2))</f>
        <v>17.776052980446277</v>
      </c>
      <c r="W237" s="188" t="str">
        <f ca="1">[1]!cb_info_listeddate(B237)</f>
        <v>2020-11-05</v>
      </c>
      <c r="X237" s="188" t="str">
        <f ca="1">[1]!cb_info_carrydate(B237)</f>
        <v>2020-10-16</v>
      </c>
      <c r="Y237" s="186" t="str">
        <f ca="1">[1]!cb_clause_conversion_2_swapsharestartdate(B237)</f>
        <v>2021-04-22</v>
      </c>
      <c r="Z237" s="186" t="str">
        <f ca="1">[1]!cb_clause_putoption_conditionalputbackstartenddate(B237)</f>
        <v>2024-10-16</v>
      </c>
      <c r="AA237" s="240">
        <f ca="1">[1]!cb_info_maturitycallprice(B237)</f>
        <v>120</v>
      </c>
      <c r="AB237" s="240">
        <f ca="1">IF(ISNUMBER([1]!cb_info_conditionalputprice(B237)),[1]!cb_info_conditionalputprice(B237),"-")</f>
        <v>0</v>
      </c>
      <c r="AC237" s="240">
        <f ca="1">[1]!cb_info_interest(B237)</f>
        <v>0.4</v>
      </c>
      <c r="AD237" s="262" t="str">
        <f ca="1">IFERROR(couponlist([1]!cb_clause_interest(B237,"4")),"-")</f>
        <v>0.4%，0.6%，1.0%，1.5%，2.5%，3.0%</v>
      </c>
      <c r="AE237" s="189"/>
      <c r="AF237" s="189"/>
      <c r="AG237" s="189"/>
      <c r="AH237" s="189"/>
      <c r="AI237" s="189"/>
      <c r="AJ237" s="189"/>
      <c r="AK237" s="189"/>
      <c r="AL237" s="189"/>
      <c r="AM237" s="189"/>
      <c r="AN237" s="189"/>
      <c r="AO237" s="189"/>
      <c r="AP237" s="189"/>
      <c r="AQ237" s="189"/>
    </row>
    <row r="238" spans="1:43" s="130" customFormat="1" x14ac:dyDescent="0.35">
      <c r="A238" s="121" t="s">
        <v>5</v>
      </c>
      <c r="B238" s="121" t="s">
        <v>399</v>
      </c>
      <c r="C238" s="121" t="s">
        <v>400</v>
      </c>
      <c r="D238" s="236" t="str">
        <f ca="1">IF([1]!s_info_industry_sw(B238,1)=0,"-",[1]!s_info_industry_sw(B238,1))</f>
        <v>化工</v>
      </c>
      <c r="E238" s="122" t="str">
        <f ca="1">[1]!cb_info_underlyingcode(B238)</f>
        <v>002258.SZ</v>
      </c>
      <c r="F238" s="124">
        <f ca="1">RTD("wdf.rtq",,B238,"LastPrice","Dirty_Price")</f>
        <v>198.38400000000001</v>
      </c>
      <c r="G238" s="124">
        <f ca="1">RTD("wdf.rtq",,E238,"LastPrice")</f>
        <v>32.160000000000004</v>
      </c>
      <c r="H238" s="226">
        <f ca="1">RTD("wdf.rtq",,B238,"PctChg","RT_Price")/100</f>
        <v>4.5000000000000005E-3</v>
      </c>
      <c r="I238" s="226">
        <f ca="1">RTD("wdf.rtq",,E238,"PctChg")/100</f>
        <v>5.0000000000000001E-3</v>
      </c>
      <c r="J238" s="125">
        <f ca="1">_xlfn.IFNA([1]!b_anal_ptmyear(B238,$B$2),"未发行或发行失败")</f>
        <v>3.106849315068493</v>
      </c>
      <c r="K238" s="125">
        <f ca="1">RTD("wdf.rtq",,B238,"Amount","Dirty_Price")/100000000</f>
        <v>0.72491042000000006</v>
      </c>
      <c r="L238" s="125">
        <f ca="1">[1]!cb_anal_convprice(B238,$B$2)</f>
        <v>18.420000000000002</v>
      </c>
      <c r="M238" s="125">
        <f t="shared" ca="1" si="12"/>
        <v>174.5928338762215</v>
      </c>
      <c r="N238" s="126">
        <f t="shared" ca="1" si="13"/>
        <v>13.626656716417912</v>
      </c>
      <c r="O238" s="126">
        <f t="array" aca="1" ref="O238" ca="1">_xlfn.IFNA(RTD("wdf.rtq",,B238,"LastPrice","Yield_To_Maturity"),[1]!cb_anal_ytm(B238,$C$2))</f>
        <v>-17.024000000000001</v>
      </c>
      <c r="P238" s="126">
        <f ca="1">[1]!cb_anal_straightbondvalue(B238,$B$2)</f>
        <v>100.30500000000001</v>
      </c>
      <c r="Q238" s="126">
        <f t="shared" ca="1" si="14"/>
        <v>97.780768655600411</v>
      </c>
      <c r="R238" s="126" t="str">
        <f ca="1">[1]!b_rate_latestcredit(B238)</f>
        <v>AA</v>
      </c>
      <c r="S238" s="126">
        <f ca="1">[1]!cb_info_outstandingbalance(B238,$B$2)</f>
        <v>8.0774249999999999</v>
      </c>
      <c r="T238" s="126">
        <f ca="1">[1]!cb_info_issueamount(B238,100000000)</f>
        <v>8.52</v>
      </c>
      <c r="U238" s="126">
        <f t="shared" ca="1" si="15"/>
        <v>94.805457746478865</v>
      </c>
      <c r="V238" s="230">
        <f ca="1">IF([1]!cb_anal_ldiluterate(B238,$B$2)=100,"-",[1]!cb_anal_ldiluterate(B238,$B$2))</f>
        <v>7.957449363082655</v>
      </c>
      <c r="W238" s="127" t="str">
        <f ca="1">[1]!cb_info_listeddate(B238)</f>
        <v>2018-11-09</v>
      </c>
      <c r="X238" s="127" t="str">
        <f ca="1">[1]!cb_info_carrydate(B238)</f>
        <v>2018-10-17</v>
      </c>
      <c r="Y238" s="125" t="str">
        <f ca="1">[1]!cb_clause_conversion_2_swapsharestartdate(B238)</f>
        <v>2019-04-23</v>
      </c>
      <c r="Z238" s="125" t="str">
        <f ca="1">[1]!cb_clause_putoption_conditionalputbackstartenddate(B238)</f>
        <v>2022-10-17</v>
      </c>
      <c r="AA238" s="230">
        <f ca="1">[1]!cb_info_maturitycallprice(B238)</f>
        <v>108</v>
      </c>
      <c r="AB238" s="230">
        <f ca="1">IF(ISNUMBER([1]!cb_info_conditionalputprice(B238)),[1]!cb_info_conditionalputprice(B238),"-")</f>
        <v>100.471</v>
      </c>
      <c r="AC238" s="230">
        <f ca="1">[1]!cb_info_interest(B238)</f>
        <v>0.4</v>
      </c>
      <c r="AD238" s="263" t="str">
        <f ca="1">IFERROR(couponlist([1]!cb_clause_interest(B238,"4")),"-")</f>
        <v>0.40%，0.60%，1.00%，1.50%，1.80%，2.00%</v>
      </c>
      <c r="AE238" s="129"/>
      <c r="AF238" s="129"/>
      <c r="AG238" s="129"/>
      <c r="AH238" s="129"/>
      <c r="AI238" s="129"/>
      <c r="AJ238" s="129"/>
      <c r="AK238" s="129"/>
      <c r="AL238" s="129"/>
      <c r="AM238" s="129"/>
      <c r="AN238" s="129"/>
      <c r="AO238" s="129"/>
      <c r="AP238" s="129"/>
      <c r="AQ238" s="129"/>
    </row>
    <row r="239" spans="1:43" s="191" customFormat="1" x14ac:dyDescent="0.35">
      <c r="A239" s="182" t="s">
        <v>5</v>
      </c>
      <c r="B239" s="182" t="s">
        <v>238</v>
      </c>
      <c r="C239" s="182" t="s">
        <v>239</v>
      </c>
      <c r="D239" s="235" t="str">
        <f ca="1">IF([1]!s_info_industry_sw(B239,1)=0,"-",[1]!s_info_industry_sw(B239,1))</f>
        <v>化工</v>
      </c>
      <c r="E239" s="183" t="str">
        <f ca="1">[1]!cb_info_underlyingcode(B239)</f>
        <v>002002.SZ</v>
      </c>
      <c r="F239" s="185">
        <f ca="1">RTD("wdf.rtq",,B239,"LastPrice","Dirty_Price")</f>
        <v>169.30100000000002</v>
      </c>
      <c r="G239" s="185">
        <f ca="1">RTD("wdf.rtq",,E239,"LastPrice")</f>
        <v>6.61</v>
      </c>
      <c r="H239" s="225">
        <f ca="1">RTD("wdf.rtq",,B239,"PctChg","RT_Price")/100</f>
        <v>3.7499999999999999E-2</v>
      </c>
      <c r="I239" s="225">
        <f ca="1">RTD("wdf.rtq",,E239,"PctChg")/100</f>
        <v>2.8000000000000004E-2</v>
      </c>
      <c r="J239" s="186">
        <f ca="1">_xlfn.IFNA([1]!b_anal_ptmyear(B239,$B$2),"未发行或发行失败")</f>
        <v>4.2712328767123289</v>
      </c>
      <c r="K239" s="186">
        <f ca="1">RTD("wdf.rtq",,B239,"Amount","Dirty_Price")/100000000</f>
        <v>4.0626052799999997</v>
      </c>
      <c r="L239" s="186">
        <f ca="1">[1]!cb_anal_convprice(B239,$B$2)</f>
        <v>3.91</v>
      </c>
      <c r="M239" s="186">
        <f t="shared" ca="1" si="12"/>
        <v>169.05370843989769</v>
      </c>
      <c r="N239" s="187">
        <f t="shared" ca="1" si="13"/>
        <v>0.1462798789712707</v>
      </c>
      <c r="O239" s="187">
        <f t="array" aca="1" ref="O239" ca="1">_xlfn.IFNA(RTD("wdf.rtq",,B239,"LastPrice","Yield_To_Maturity"),[1]!cb_anal_ytm(B239,$C$2))</f>
        <v>-7.1034000000000006</v>
      </c>
      <c r="P239" s="187">
        <f ca="1">[1]!cb_anal_straightbondvalue(B239,$B$2)</f>
        <v>41.6554</v>
      </c>
      <c r="Q239" s="187">
        <f t="shared" ca="1" si="14"/>
        <v>306.4322992937291</v>
      </c>
      <c r="R239" s="187" t="str">
        <f ca="1">[1]!b_rate_latestcredit(B239)</f>
        <v>B</v>
      </c>
      <c r="S239" s="187">
        <f ca="1">[1]!cb_info_outstandingbalance(B239,$B$2)</f>
        <v>4.5309059999999999</v>
      </c>
      <c r="T239" s="187">
        <f ca="1">[1]!cb_info_issueamount(B239,100000000)</f>
        <v>24.267800000000001</v>
      </c>
      <c r="U239" s="187">
        <f t="shared" ca="1" si="15"/>
        <v>18.670443962781956</v>
      </c>
      <c r="V239" s="240">
        <f ca="1">IF([1]!cb_anal_ldiluterate(B239,$B$2)=100,"-",[1]!cb_anal_ldiluterate(B239,$B$2))</f>
        <v>6.2121114786181568</v>
      </c>
      <c r="W239" s="188" t="str">
        <f ca="1">[1]!cb_info_listeddate(B239)</f>
        <v>2020-01-08</v>
      </c>
      <c r="X239" s="188" t="str">
        <f ca="1">[1]!cb_info_carrydate(B239)</f>
        <v>2019-12-16</v>
      </c>
      <c r="Y239" s="186" t="str">
        <f ca="1">[1]!cb_clause_conversion_2_swapsharestartdate(B239)</f>
        <v>2020-06-22</v>
      </c>
      <c r="Z239" s="186" t="str">
        <f ca="1">[1]!cb_clause_putoption_conditionalputbackstartenddate(B239)</f>
        <v>2023-12-16</v>
      </c>
      <c r="AA239" s="240">
        <f ca="1">[1]!cb_info_maturitycallprice(B239)</f>
        <v>118</v>
      </c>
      <c r="AB239" s="240">
        <f ca="1">IF(ISNUMBER([1]!cb_info_conditionalputprice(B239)),[1]!cb_info_conditionalputprice(B239),"-")</f>
        <v>0</v>
      </c>
      <c r="AC239" s="240">
        <f ca="1">[1]!cb_info_interest(B239)</f>
        <v>0.4</v>
      </c>
      <c r="AD239" s="262" t="str">
        <f ca="1">IFERROR(couponlist([1]!cb_clause_interest(B239,"4")),"-")</f>
        <v>0.4%，0.6%，1.0%，1.8%，3.0%，5.0%</v>
      </c>
      <c r="AE239" s="189"/>
      <c r="AF239" s="189"/>
      <c r="AG239" s="189"/>
      <c r="AH239" s="189"/>
      <c r="AI239" s="189"/>
      <c r="AJ239" s="189"/>
      <c r="AK239" s="189"/>
      <c r="AL239" s="189"/>
      <c r="AM239" s="189"/>
      <c r="AN239" s="189"/>
      <c r="AO239" s="189"/>
      <c r="AP239" s="189"/>
      <c r="AQ239" s="189"/>
    </row>
    <row r="240" spans="1:43" s="130" customFormat="1" x14ac:dyDescent="0.35">
      <c r="A240" s="121" t="s">
        <v>5</v>
      </c>
      <c r="B240" s="121" t="s">
        <v>38</v>
      </c>
      <c r="C240" s="121" t="s">
        <v>39</v>
      </c>
      <c r="D240" s="236" t="str">
        <f ca="1">IF([1]!s_info_industry_sw(B240,1)=0,"-",[1]!s_info_industry_sw(B240,1))</f>
        <v>化工</v>
      </c>
      <c r="E240" s="122" t="str">
        <f ca="1">[1]!cb_info_underlyingcode(B240)</f>
        <v>002408.SZ</v>
      </c>
      <c r="F240" s="124">
        <f ca="1">RTD("wdf.rtq",,B240,"LastPrice","Dirty_Price")</f>
        <v>206.708</v>
      </c>
      <c r="G240" s="124">
        <f ca="1">RTD("wdf.rtq",,E240,"LastPrice")</f>
        <v>15.5</v>
      </c>
      <c r="H240" s="226">
        <f ca="1">RTD("wdf.rtq",,B240,"PctChg","RT_Price")/100</f>
        <v>2.64E-2</v>
      </c>
      <c r="I240" s="226">
        <f ca="1">RTD("wdf.rtq",,E240,"PctChg")/100</f>
        <v>1.84E-2</v>
      </c>
      <c r="J240" s="125">
        <f ca="1">_xlfn.IFNA([1]!b_anal_ptmyear(B240,$B$2),"未发行或发行失败")</f>
        <v>4.9479452054794519</v>
      </c>
      <c r="K240" s="125">
        <f ca="1">RTD("wdf.rtq",,B240,"Amount","Dirty_Price")/100000000</f>
        <v>1.4006901300000001</v>
      </c>
      <c r="L240" s="125">
        <f ca="1">[1]!cb_anal_convprice(B240,$B$2)</f>
        <v>7.97</v>
      </c>
      <c r="M240" s="125">
        <f t="shared" ca="1" si="12"/>
        <v>194.47929736511921</v>
      </c>
      <c r="N240" s="126">
        <f t="shared" ca="1" si="13"/>
        <v>6.2879199999999855</v>
      </c>
      <c r="O240" s="126">
        <f t="array" aca="1" ref="O240" ca="1">_xlfn.IFNA(RTD("wdf.rtq",,B240,"LastPrice","Yield_To_Maturity"),[1]!cb_anal_ytm(B240,$C$2))</f>
        <v>-11.3431</v>
      </c>
      <c r="P240" s="126">
        <f ca="1">[1]!cb_anal_straightbondvalue(B240,$B$2)</f>
        <v>93.581100000000006</v>
      </c>
      <c r="Q240" s="126">
        <f t="shared" ca="1" si="14"/>
        <v>120.8864824200613</v>
      </c>
      <c r="R240" s="126" t="str">
        <f ca="1">[1]!b_rate_latestcredit(B240)</f>
        <v>AA</v>
      </c>
      <c r="S240" s="126">
        <f ca="1">[1]!cb_info_outstandingbalance(B240,$B$2)</f>
        <v>8.7348309999999998</v>
      </c>
      <c r="T240" s="126">
        <f ca="1">[1]!cb_info_issueamount(B240,100000000)</f>
        <v>29.9</v>
      </c>
      <c r="U240" s="126">
        <f t="shared" ca="1" si="15"/>
        <v>29.21348160535117</v>
      </c>
      <c r="V240" s="230">
        <f ca="1">IF([1]!cb_anal_ldiluterate(B240,$B$2)=100,"-",[1]!cb_anal_ldiluterate(B240,$B$2))</f>
        <v>5.724550066856116</v>
      </c>
      <c r="W240" s="127" t="str">
        <f ca="1">[1]!cb_info_listeddate(B240)</f>
        <v>2020-09-15</v>
      </c>
      <c r="X240" s="127" t="str">
        <f ca="1">[1]!cb_info_carrydate(B240)</f>
        <v>2020-08-20</v>
      </c>
      <c r="Y240" s="125" t="str">
        <f ca="1">[1]!cb_clause_conversion_2_swapsharestartdate(B240)</f>
        <v>2021-02-26</v>
      </c>
      <c r="Z240" s="125" t="str">
        <f ca="1">[1]!cb_clause_putoption_conditionalputbackstartenddate(B240)</f>
        <v>2024-08-20</v>
      </c>
      <c r="AA240" s="230">
        <f ca="1">[1]!cb_info_maturitycallprice(B240)</f>
        <v>110</v>
      </c>
      <c r="AB240" s="230">
        <f ca="1">IF(ISNUMBER([1]!cb_info_conditionalputprice(B240)),[1]!cb_info_conditionalputprice(B240),"-")</f>
        <v>0</v>
      </c>
      <c r="AC240" s="230">
        <f ca="1">[1]!cb_info_interest(B240)</f>
        <v>0.3</v>
      </c>
      <c r="AD240" s="263" t="str">
        <f ca="1">IFERROR(couponlist([1]!cb_clause_interest(B240,"4")),"-")</f>
        <v>0.3%，0.6%，1.0%，1.5%，1.9%，2.0%</v>
      </c>
      <c r="AE240" s="129"/>
      <c r="AF240" s="129"/>
      <c r="AG240" s="129"/>
      <c r="AH240" s="129"/>
      <c r="AI240" s="129"/>
      <c r="AJ240" s="129"/>
      <c r="AK240" s="129"/>
      <c r="AL240" s="129"/>
      <c r="AM240" s="129"/>
      <c r="AN240" s="129"/>
      <c r="AO240" s="129"/>
      <c r="AP240" s="129"/>
      <c r="AQ240" s="129"/>
    </row>
    <row r="241" spans="1:43" s="191" customFormat="1" x14ac:dyDescent="0.35">
      <c r="A241" s="182" t="s">
        <v>0</v>
      </c>
      <c r="B241" s="182" t="s">
        <v>569</v>
      </c>
      <c r="C241" s="182" t="s">
        <v>570</v>
      </c>
      <c r="D241" s="235" t="str">
        <f ca="1">IF([1]!s_info_industry_sw(B241,1)=0,"-",[1]!s_info_industry_sw(B241,1))</f>
        <v>化工</v>
      </c>
      <c r="E241" s="183" t="str">
        <f ca="1">[1]!cb_info_underlyingcode(B241)</f>
        <v>603681.SH</v>
      </c>
      <c r="F241" s="185">
        <f ca="1">RTD("wdf.rtq",,B241,"LastPrice","Dirty_Price")</f>
        <v>174.34</v>
      </c>
      <c r="G241" s="185">
        <f ca="1">RTD("wdf.rtq",,E241,"LastPrice")</f>
        <v>36.07</v>
      </c>
      <c r="H241" s="225">
        <f ca="1">RTD("wdf.rtq",,B241,"PctChg","RT_Price")/100</f>
        <v>1.9700000000000002E-2</v>
      </c>
      <c r="I241" s="225">
        <f ca="1">RTD("wdf.rtq",,E241,"PctChg")/100</f>
        <v>1.61E-2</v>
      </c>
      <c r="J241" s="186">
        <f ca="1">_xlfn.IFNA([1]!b_anal_ptmyear(B241,$B$2),"未发行或发行失败")</f>
        <v>5.2493150684931509</v>
      </c>
      <c r="K241" s="186">
        <f ca="1">RTD("wdf.rtq",,B241,"Amount","Dirty_Price")/100000000</f>
        <v>0.75195339999999999</v>
      </c>
      <c r="L241" s="186">
        <f ca="1">[1]!cb_anal_convprice(B241,$B$2)</f>
        <v>20.59</v>
      </c>
      <c r="M241" s="186">
        <f t="shared" ca="1" si="12"/>
        <v>175.18212724623604</v>
      </c>
      <c r="N241" s="187">
        <f t="shared" ca="1" si="13"/>
        <v>-0.48071527585250351</v>
      </c>
      <c r="O241" s="187">
        <f t="array" aca="1" ref="O241" ca="1">_xlfn.IFNA(RTD("wdf.rtq",,B241,"LastPrice","Yield_To_Maturity"),[1]!cb_anal_ytm(B241,$C$2))</f>
        <v>-6.8210000000000006</v>
      </c>
      <c r="P241" s="187">
        <f ca="1">[1]!cb_anal_straightbondvalue(B241,$B$2)</f>
        <v>86.888300000000001</v>
      </c>
      <c r="Q241" s="187">
        <f t="shared" ca="1" si="14"/>
        <v>100.64841871690433</v>
      </c>
      <c r="R241" s="187" t="str">
        <f ca="1">[1]!b_rate_latestcredit(B241)</f>
        <v>AA-</v>
      </c>
      <c r="S241" s="187">
        <f ca="1">[1]!cb_info_outstandingbalance(B241,$B$2)</f>
        <v>1.020788</v>
      </c>
      <c r="T241" s="187">
        <f ca="1">[1]!cb_info_issueamount(B241,100000000)</f>
        <v>5.2</v>
      </c>
      <c r="U241" s="187">
        <f t="shared" ca="1" si="15"/>
        <v>19.63053846153846</v>
      </c>
      <c r="V241" s="240">
        <f ca="1">IF([1]!cb_anal_ldiluterate(B241,$B$2)=100,"-",[1]!cb_anal_ldiluterate(B241,$B$2))</f>
        <v>23.921025246946741</v>
      </c>
      <c r="W241" s="188" t="str">
        <f ca="1">[1]!cb_info_listeddate(B241)</f>
        <v>2021-01-07</v>
      </c>
      <c r="X241" s="188" t="str">
        <f ca="1">[1]!cb_info_carrydate(B241)</f>
        <v>2020-12-08</v>
      </c>
      <c r="Y241" s="186" t="str">
        <f ca="1">[1]!cb_clause_conversion_2_swapsharestartdate(B241)</f>
        <v>2021-06-15</v>
      </c>
      <c r="Z241" s="186" t="str">
        <f ca="1">[1]!cb_clause_putoption_conditionalputbackstartenddate(B241)</f>
        <v>2024-12-08</v>
      </c>
      <c r="AA241" s="240">
        <f ca="1">[1]!cb_info_maturitycallprice(B241)</f>
        <v>115</v>
      </c>
      <c r="AB241" s="240">
        <f ca="1">IF(ISNUMBER([1]!cb_info_conditionalputprice(B241)),[1]!cb_info_conditionalputprice(B241),"-")</f>
        <v>0</v>
      </c>
      <c r="AC241" s="240">
        <f ca="1">[1]!cb_info_interest(B241)</f>
        <v>0.5</v>
      </c>
      <c r="AD241" s="262" t="str">
        <f ca="1">IFERROR(couponlist([1]!cb_clause_interest(B241,"4")),"-")</f>
        <v>0.50%，0.70%，1.00%，1.50%，2.50%，3.00%</v>
      </c>
      <c r="AE241" s="189"/>
      <c r="AF241" s="189"/>
      <c r="AG241" s="189"/>
      <c r="AH241" s="189"/>
      <c r="AI241" s="189"/>
      <c r="AJ241" s="189"/>
      <c r="AK241" s="189"/>
      <c r="AL241" s="189"/>
      <c r="AM241" s="189"/>
      <c r="AN241" s="189"/>
      <c r="AO241" s="189"/>
      <c r="AP241" s="189"/>
      <c r="AQ241" s="189"/>
    </row>
    <row r="242" spans="1:43" s="130" customFormat="1" x14ac:dyDescent="0.35">
      <c r="A242" s="121" t="s">
        <v>5</v>
      </c>
      <c r="B242" s="121" t="s">
        <v>929</v>
      </c>
      <c r="C242" s="121" t="s">
        <v>930</v>
      </c>
      <c r="D242" s="236" t="str">
        <f ca="1">IF([1]!s_info_industry_sw(B242,1)=0,"-",[1]!s_info_industry_sw(B242,1))</f>
        <v>化工</v>
      </c>
      <c r="E242" s="122" t="str">
        <f ca="1">[1]!cb_info_underlyingcode(B242)</f>
        <v>000301.SZ</v>
      </c>
      <c r="F242" s="124">
        <f ca="1">RTD("wdf.rtq",,B242,"LastPrice","Dirty_Price")</f>
        <v>240.60400000000001</v>
      </c>
      <c r="G242" s="124">
        <f ca="1">RTD("wdf.rtq",,E242,"LastPrice")</f>
        <v>32.5</v>
      </c>
      <c r="H242" s="226">
        <f ca="1">RTD("wdf.rtq",,B242,"PctChg","RT_Price")/100</f>
        <v>-2.98E-2</v>
      </c>
      <c r="I242" s="226">
        <f ca="1">RTD("wdf.rtq",,E242,"PctChg")/100</f>
        <v>-2.69E-2</v>
      </c>
      <c r="J242" s="125">
        <f ca="1">_xlfn.IFNA([1]!b_anal_ptmyear(B242,$B$2),"未发行或发行失败")</f>
        <v>5.5342465753424657</v>
      </c>
      <c r="K242" s="125">
        <f ca="1">RTD("wdf.rtq",,B242,"Amount","Dirty_Price")/100000000</f>
        <v>3.5282287999999999</v>
      </c>
      <c r="L242" s="125">
        <f ca="1">[1]!cb_anal_convprice(B242,$B$2)</f>
        <v>14.1</v>
      </c>
      <c r="M242" s="125">
        <f t="shared" ca="1" si="12"/>
        <v>230.49645390070921</v>
      </c>
      <c r="N242" s="126">
        <f t="shared" ca="1" si="13"/>
        <v>4.3851200000000148</v>
      </c>
      <c r="O242" s="126">
        <f t="array" aca="1" ref="O242" ca="1">_xlfn.IFNA(RTD("wdf.rtq",,B242,"LastPrice","Yield_To_Maturity"),[1]!cb_anal_ytm(B242,$C$2))</f>
        <v>-12.9855</v>
      </c>
      <c r="P242" s="126">
        <f ca="1">[1]!cb_anal_straightbondvalue(B242,$B$2)</f>
        <v>92.150300000000001</v>
      </c>
      <c r="Q242" s="126">
        <f t="shared" ca="1" si="14"/>
        <v>161.0995297899193</v>
      </c>
      <c r="R242" s="126" t="str">
        <f ca="1">[1]!b_rate_latestcredit(B242)</f>
        <v>AA+</v>
      </c>
      <c r="S242" s="126">
        <f ca="1">[1]!cb_info_outstandingbalance(B242,$B$2)</f>
        <v>50</v>
      </c>
      <c r="T242" s="126">
        <f ca="1">[1]!cb_info_issueamount(B242,100000000)</f>
        <v>50</v>
      </c>
      <c r="U242" s="126">
        <f t="shared" ca="1" si="15"/>
        <v>100</v>
      </c>
      <c r="V242" s="230">
        <f ca="1">IF([1]!cb_anal_ldiluterate(B242,$B$2)=100,"-",[1]!cb_anal_ldiluterate(B242,$B$2))</f>
        <v>16.996039567543143</v>
      </c>
      <c r="W242" s="127" t="str">
        <f ca="1">[1]!cb_info_listeddate(B242)</f>
        <v>2021-04-21</v>
      </c>
      <c r="X242" s="127" t="str">
        <f ca="1">[1]!cb_info_carrydate(B242)</f>
        <v>2021-03-22</v>
      </c>
      <c r="Y242" s="125" t="str">
        <f ca="1">[1]!cb_clause_conversion_2_swapsharestartdate(B242)</f>
        <v>2021-09-27</v>
      </c>
      <c r="Z242" s="125" t="str">
        <f ca="1">[1]!cb_clause_putoption_conditionalputbackstartenddate(B242)</f>
        <v>2025-03-22</v>
      </c>
      <c r="AA242" s="230">
        <f ca="1">[1]!cb_info_maturitycallprice(B242)</f>
        <v>108</v>
      </c>
      <c r="AB242" s="230">
        <f ca="1">IF(ISNUMBER([1]!cb_info_conditionalputprice(B242)),[1]!cb_info_conditionalputprice(B242),"-")</f>
        <v>0</v>
      </c>
      <c r="AC242" s="230">
        <f ca="1">[1]!cb_info_interest(B242)</f>
        <v>0.2</v>
      </c>
      <c r="AD242" s="263" t="str">
        <f ca="1">IFERROR(couponlist([1]!cb_clause_interest(B242,"4")),"-")</f>
        <v>0.20%，0.40%，0.60%，1.50%，1.80%，2.00%</v>
      </c>
      <c r="AE242" s="129"/>
      <c r="AF242" s="129"/>
      <c r="AG242" s="129"/>
      <c r="AH242" s="129"/>
      <c r="AI242" s="129"/>
      <c r="AJ242" s="129"/>
      <c r="AK242" s="129"/>
      <c r="AL242" s="129"/>
      <c r="AM242" s="129"/>
      <c r="AN242" s="129"/>
      <c r="AO242" s="129"/>
      <c r="AP242" s="129"/>
      <c r="AQ242" s="129"/>
    </row>
    <row r="243" spans="1:43" s="191" customFormat="1" x14ac:dyDescent="0.35">
      <c r="A243" s="182" t="s">
        <v>5</v>
      </c>
      <c r="B243" s="182" t="s">
        <v>202</v>
      </c>
      <c r="C243" s="182" t="s">
        <v>203</v>
      </c>
      <c r="D243" s="235" t="str">
        <f ca="1">IF([1]!s_info_industry_sw(B243,1)=0,"-",[1]!s_info_industry_sw(B243,1))</f>
        <v>化工</v>
      </c>
      <c r="E243" s="183" t="str">
        <f ca="1">[1]!cb_info_underlyingcode(B243)</f>
        <v>002812.SZ</v>
      </c>
      <c r="F243" s="185">
        <f ca="1">RTD("wdf.rtq",,B243,"LastPrice","Dirty_Price")</f>
        <v>489.96700000000004</v>
      </c>
      <c r="G243" s="185">
        <f ca="1">RTD("wdf.rtq",,E243,"LastPrice")</f>
        <v>282.38</v>
      </c>
      <c r="H243" s="225">
        <f ca="1">RTD("wdf.rtq",,B243,"PctChg","RT_Price")/100</f>
        <v>1.1300000000000001E-2</v>
      </c>
      <c r="I243" s="225">
        <f ca="1">RTD("wdf.rtq",,E243,"PctChg")/100</f>
        <v>-1.1900000000000001E-2</v>
      </c>
      <c r="J243" s="186">
        <f ca="1">_xlfn.IFNA([1]!b_anal_ptmyear(B243,$B$2),"未发行或发行失败")</f>
        <v>4.4273972602739722</v>
      </c>
      <c r="K243" s="186">
        <f ca="1">RTD("wdf.rtq",,B243,"Amount","Dirty_Price")/100000000</f>
        <v>2.4874432400000002</v>
      </c>
      <c r="L243" s="186">
        <f ca="1">[1]!cb_anal_convprice(B243,$B$2)</f>
        <v>64.92</v>
      </c>
      <c r="M243" s="186">
        <f t="shared" ca="1" si="12"/>
        <v>434.966112138016</v>
      </c>
      <c r="N243" s="187">
        <f t="shared" ca="1" si="13"/>
        <v>12.644867341879745</v>
      </c>
      <c r="O243" s="187">
        <f t="array" aca="1" ref="O243" ca="1">_xlfn.IFNA(RTD("wdf.rtq",,B243,"LastPrice","Yield_To_Maturity"),[1]!cb_anal_ytm(B243,$C$2))</f>
        <v>-28.2622</v>
      </c>
      <c r="P243" s="187">
        <f ca="1">[1]!cb_anal_straightbondvalue(B243,$B$2)</f>
        <v>96.084999999999994</v>
      </c>
      <c r="Q243" s="187">
        <f t="shared" ca="1" si="14"/>
        <v>409.93079044595936</v>
      </c>
      <c r="R243" s="187" t="str">
        <f ca="1">[1]!b_rate_latestcredit(B243)</f>
        <v>AA</v>
      </c>
      <c r="S243" s="187">
        <f ca="1">[1]!cb_info_outstandingbalance(B243,$B$2)</f>
        <v>4.5415200000000002</v>
      </c>
      <c r="T243" s="187">
        <f ca="1">[1]!cb_info_issueamount(B243,100000000)</f>
        <v>16</v>
      </c>
      <c r="U243" s="187">
        <f t="shared" ca="1" si="15"/>
        <v>28.384500000000003</v>
      </c>
      <c r="V243" s="240">
        <f ca="1">IF([1]!cb_anal_ldiluterate(B243,$B$2)=100,"-",[1]!cb_anal_ldiluterate(B243,$B$2))</f>
        <v>0.80610840794580929</v>
      </c>
      <c r="W243" s="188" t="str">
        <f ca="1">[1]!cb_info_listeddate(B243)</f>
        <v>2020-02-28</v>
      </c>
      <c r="X243" s="188" t="str">
        <f ca="1">[1]!cb_info_carrydate(B243)</f>
        <v>2020-02-11</v>
      </c>
      <c r="Y243" s="186" t="str">
        <f ca="1">[1]!cb_clause_conversion_2_swapsharestartdate(B243)</f>
        <v>2020-08-17</v>
      </c>
      <c r="Z243" s="186" t="str">
        <f ca="1">[1]!cb_clause_putoption_conditionalputbackstartenddate(B243)</f>
        <v>2024-02-11</v>
      </c>
      <c r="AA243" s="240">
        <f ca="1">[1]!cb_info_maturitycallprice(B243)</f>
        <v>110</v>
      </c>
      <c r="AB243" s="240">
        <f ca="1">IF(ISNUMBER([1]!cb_info_conditionalputprice(B243)),[1]!cb_info_conditionalputprice(B243),"-")</f>
        <v>0</v>
      </c>
      <c r="AC243" s="240">
        <f ca="1">[1]!cb_info_interest(B243)</f>
        <v>0.4</v>
      </c>
      <c r="AD243" s="262" t="str">
        <f ca="1">IFERROR(couponlist([1]!cb_clause_interest(B243,"4")),"-")</f>
        <v>0.40%，0.60%，1.00%，1.50%，1.80%，2.00%</v>
      </c>
      <c r="AE243" s="189"/>
      <c r="AF243" s="189"/>
      <c r="AG243" s="189"/>
      <c r="AH243" s="189"/>
      <c r="AI243" s="189"/>
      <c r="AJ243" s="189"/>
      <c r="AK243" s="189"/>
      <c r="AL243" s="189"/>
      <c r="AM243" s="189"/>
      <c r="AN243" s="189"/>
      <c r="AO243" s="189"/>
      <c r="AP243" s="189"/>
      <c r="AQ243" s="189"/>
    </row>
    <row r="244" spans="1:43" s="130" customFormat="1" x14ac:dyDescent="0.35">
      <c r="A244" s="121" t="s">
        <v>0</v>
      </c>
      <c r="B244" s="121" t="s">
        <v>840</v>
      </c>
      <c r="C244" s="121" t="s">
        <v>841</v>
      </c>
      <c r="D244" s="236" t="str">
        <f ca="1">IF([1]!s_info_industry_sw(B244,1)=0,"-",[1]!s_info_industry_sw(B244,1))</f>
        <v>化工</v>
      </c>
      <c r="E244" s="122" t="str">
        <f ca="1">[1]!cb_info_underlyingcode(B244)</f>
        <v>603650.SH</v>
      </c>
      <c r="F244" s="124">
        <f ca="1">RTD("wdf.rtq",,B244,"LastPrice","Dirty_Price")</f>
        <v>182.46</v>
      </c>
      <c r="G244" s="124">
        <f ca="1">RTD("wdf.rtq",,E244,"LastPrice")</f>
        <v>53.660000000000004</v>
      </c>
      <c r="H244" s="226">
        <f ca="1">RTD("wdf.rtq",,B244,"PctChg","RT_Price")/100</f>
        <v>9.0000000000000008E-4</v>
      </c>
      <c r="I244" s="226">
        <f ca="1">RTD("wdf.rtq",,E244,"PctChg")/100</f>
        <v>-6.0000000000000006E-4</v>
      </c>
      <c r="J244" s="125">
        <f ca="1">_xlfn.IFNA([1]!b_anal_ptmyear(B244,$B$2),"未发行或发行失败")</f>
        <v>5.3835616438356162</v>
      </c>
      <c r="K244" s="125">
        <f ca="1">RTD("wdf.rtq",,B244,"Amount","Dirty_Price")/100000000</f>
        <v>0.82519436999999995</v>
      </c>
      <c r="L244" s="125">
        <f ca="1">[1]!cb_anal_convprice(B244,$B$2)</f>
        <v>32.619999999999997</v>
      </c>
      <c r="M244" s="125">
        <f t="shared" ca="1" si="12"/>
        <v>164.5003065603924</v>
      </c>
      <c r="N244" s="126">
        <f t="shared" ca="1" si="13"/>
        <v>10.91772642564294</v>
      </c>
      <c r="O244" s="126">
        <f t="array" aca="1" ref="O244" ca="1">_xlfn.IFNA(RTD("wdf.rtq",,B244,"LastPrice","Yield_To_Maturity"),[1]!cb_anal_ytm(B244,$C$2))</f>
        <v>-8.3316999999999997</v>
      </c>
      <c r="P244" s="126">
        <f ca="1">[1]!cb_anal_straightbondvalue(B244,$B$2)</f>
        <v>91.747500000000002</v>
      </c>
      <c r="Q244" s="126">
        <f t="shared" ca="1" si="14"/>
        <v>98.871903866590372</v>
      </c>
      <c r="R244" s="126" t="str">
        <f ca="1">[1]!b_rate_latestcredit(B244)</f>
        <v>AA</v>
      </c>
      <c r="S244" s="126">
        <f ca="1">[1]!cb_info_outstandingbalance(B244,$B$2)</f>
        <v>5.3740170000000003</v>
      </c>
      <c r="T244" s="126">
        <f ca="1">[1]!cb_info_issueamount(B244,100000000)</f>
        <v>8.0017999999999994</v>
      </c>
      <c r="U244" s="126">
        <f t="shared" ca="1" si="15"/>
        <v>67.160101477167643</v>
      </c>
      <c r="V244" s="230">
        <f ca="1">IF([1]!cb_anal_ldiluterate(B244,$B$2)=100,"-",[1]!cb_anal_ldiluterate(B244,$B$2))</f>
        <v>3.9708057087441344</v>
      </c>
      <c r="W244" s="127" t="str">
        <f ca="1">[1]!cb_info_listeddate(B244)</f>
        <v>2021-02-22</v>
      </c>
      <c r="X244" s="127" t="str">
        <f ca="1">[1]!cb_info_carrydate(B244)</f>
        <v>2021-01-26</v>
      </c>
      <c r="Y244" s="125" t="str">
        <f ca="1">[1]!cb_clause_conversion_2_swapsharestartdate(B244)</f>
        <v>2021-08-02</v>
      </c>
      <c r="Z244" s="125" t="str">
        <f ca="1">[1]!cb_clause_putoption_conditionalputbackstartenddate(B244)</f>
        <v>2025-01-26</v>
      </c>
      <c r="AA244" s="230">
        <f ca="1">[1]!cb_info_maturitycallprice(B244)</f>
        <v>110</v>
      </c>
      <c r="AB244" s="230">
        <f ca="1">IF(ISNUMBER([1]!cb_info_conditionalputprice(B244)),[1]!cb_info_conditionalputprice(B244),"-")</f>
        <v>0</v>
      </c>
      <c r="AC244" s="230">
        <f ca="1">[1]!cb_info_interest(B244)</f>
        <v>0.3</v>
      </c>
      <c r="AD244" s="263" t="str">
        <f ca="1">IFERROR(couponlist([1]!cb_clause_interest(B244,"4")),"-")</f>
        <v>0.3%，0.5%，1.00%，1.50%，1.80%，2.00%</v>
      </c>
      <c r="AE244" s="129"/>
      <c r="AF244" s="129"/>
      <c r="AG244" s="129"/>
      <c r="AH244" s="129"/>
      <c r="AI244" s="129"/>
      <c r="AJ244" s="129"/>
      <c r="AK244" s="129"/>
      <c r="AL244" s="129"/>
      <c r="AM244" s="129"/>
      <c r="AN244" s="129"/>
      <c r="AO244" s="129"/>
      <c r="AP244" s="129"/>
      <c r="AQ244" s="129"/>
    </row>
    <row r="245" spans="1:43" s="191" customFormat="1" x14ac:dyDescent="0.35">
      <c r="A245" s="182" t="s">
        <v>5</v>
      </c>
      <c r="B245" s="182" t="s">
        <v>626</v>
      </c>
      <c r="C245" s="182" t="s">
        <v>627</v>
      </c>
      <c r="D245" s="235" t="str">
        <f ca="1">IF([1]!s_info_industry_sw(B245,1)=0,"-",[1]!s_info_industry_sw(B245,1))</f>
        <v>化工</v>
      </c>
      <c r="E245" s="183" t="str">
        <f ca="1">[1]!cb_info_underlyingcode(B245)</f>
        <v>000703.SZ</v>
      </c>
      <c r="F245" s="185">
        <f ca="1">RTD("wdf.rtq",,B245,"LastPrice","Dirty_Price")</f>
        <v>131.15</v>
      </c>
      <c r="G245" s="185">
        <f ca="1">RTD("wdf.rtq",,E245,"LastPrice")</f>
        <v>12.24</v>
      </c>
      <c r="H245" s="225">
        <f ca="1">RTD("wdf.rtq",,B245,"PctChg","RT_Price")/100</f>
        <v>-2.7999999999999995E-3</v>
      </c>
      <c r="I245" s="225">
        <f ca="1">RTD("wdf.rtq",,E245,"PctChg")/100</f>
        <v>5.8000000000000005E-3</v>
      </c>
      <c r="J245" s="186">
        <f ca="1">_xlfn.IFNA([1]!b_anal_ptmyear(B245,$B$2),"未发行或发行失败")</f>
        <v>5.1041095890410961</v>
      </c>
      <c r="K245" s="186">
        <f ca="1">RTD("wdf.rtq",,B245,"Amount","Dirty_Price")/100000000</f>
        <v>0.12247716</v>
      </c>
      <c r="L245" s="186">
        <f ca="1">[1]!cb_anal_convprice(B245,$B$2)</f>
        <v>11.2</v>
      </c>
      <c r="M245" s="186">
        <f t="shared" ca="1" si="12"/>
        <v>109.28571428571429</v>
      </c>
      <c r="N245" s="187">
        <f t="shared" ca="1" si="13"/>
        <v>20.006535947712408</v>
      </c>
      <c r="O245" s="187">
        <f t="array" aca="1" ref="O245" ca="1">_xlfn.IFNA(RTD("wdf.rtq",,B245,"LastPrice","Yield_To_Maturity"),[1]!cb_anal_ytm(B245,$C$2))</f>
        <v>-3.6275000000000004</v>
      </c>
      <c r="P245" s="187">
        <f ca="1">[1]!cb_anal_straightbondvalue(B245,$B$2)</f>
        <v>90.866799999999998</v>
      </c>
      <c r="Q245" s="187">
        <f t="shared" ca="1" si="14"/>
        <v>44.332143313069253</v>
      </c>
      <c r="R245" s="187" t="str">
        <f ca="1">[1]!b_rate_latestcredit(B245)</f>
        <v>AA+</v>
      </c>
      <c r="S245" s="187">
        <f ca="1">[1]!cb_info_outstandingbalance(B245,$B$2)</f>
        <v>19.998562</v>
      </c>
      <c r="T245" s="187">
        <f ca="1">[1]!cb_info_issueamount(B245,100000000)</f>
        <v>20</v>
      </c>
      <c r="U245" s="187">
        <f t="shared" ca="1" si="15"/>
        <v>99.992809999999992</v>
      </c>
      <c r="V245" s="240">
        <f ca="1">IF([1]!cb_anal_ldiluterate(B245,$B$2)=100,"-",[1]!cb_anal_ldiluterate(B245,$B$2))</f>
        <v>5.0062502379227292</v>
      </c>
      <c r="W245" s="188" t="str">
        <f ca="1">[1]!cb_info_listeddate(B245)</f>
        <v>2020-11-16</v>
      </c>
      <c r="X245" s="188" t="str">
        <f ca="1">[1]!cb_info_carrydate(B245)</f>
        <v>2020-10-16</v>
      </c>
      <c r="Y245" s="186" t="str">
        <f ca="1">[1]!cb_clause_conversion_2_swapsharestartdate(B245)</f>
        <v>2021-04-22</v>
      </c>
      <c r="Z245" s="186" t="str">
        <f ca="1">[1]!cb_clause_putoption_conditionalputbackstartenddate(B245)</f>
        <v>2024-10-16</v>
      </c>
      <c r="AA245" s="240">
        <f ca="1">[1]!cb_info_maturitycallprice(B245)</f>
        <v>105</v>
      </c>
      <c r="AB245" s="240">
        <f ca="1">IF(ISNUMBER([1]!cb_info_conditionalputprice(B245)),[1]!cb_info_conditionalputprice(B245),"-")</f>
        <v>0</v>
      </c>
      <c r="AC245" s="240">
        <f ca="1">[1]!cb_info_interest(B245)</f>
        <v>0.2</v>
      </c>
      <c r="AD245" s="262" t="str">
        <f ca="1">IFERROR(couponlist([1]!cb_clause_interest(B245,"4")),"-")</f>
        <v>0.20%，0.40%，0.60%，1.20%，1.50%，2.00%</v>
      </c>
      <c r="AE245" s="189"/>
      <c r="AF245" s="189"/>
      <c r="AG245" s="189"/>
      <c r="AH245" s="189"/>
      <c r="AI245" s="189"/>
      <c r="AJ245" s="189"/>
      <c r="AK245" s="189"/>
      <c r="AL245" s="189"/>
      <c r="AM245" s="189"/>
      <c r="AN245" s="189"/>
      <c r="AO245" s="189"/>
      <c r="AP245" s="189"/>
      <c r="AQ245" s="189"/>
    </row>
    <row r="246" spans="1:43" s="130" customFormat="1" x14ac:dyDescent="0.35">
      <c r="A246" s="121" t="s">
        <v>5</v>
      </c>
      <c r="B246" s="121" t="s">
        <v>497</v>
      </c>
      <c r="C246" s="121" t="s">
        <v>498</v>
      </c>
      <c r="D246" s="236" t="str">
        <f ca="1">IF([1]!s_info_industry_sw(B246,1)=0,"-",[1]!s_info_industry_sw(B246,1))</f>
        <v>化工</v>
      </c>
      <c r="E246" s="122" t="str">
        <f ca="1">[1]!cb_info_underlyingcode(B246)</f>
        <v>002753.SZ</v>
      </c>
      <c r="F246" s="124">
        <f ca="1">RTD("wdf.rtq",,B246,"LastPrice","Dirty_Price")</f>
        <v>121.73</v>
      </c>
      <c r="G246" s="124">
        <f ca="1">RTD("wdf.rtq",,E246,"LastPrice")</f>
        <v>11.96</v>
      </c>
      <c r="H246" s="226">
        <f ca="1">RTD("wdf.rtq",,B246,"PctChg","RT_Price")/100</f>
        <v>2.4800000000000003E-2</v>
      </c>
      <c r="I246" s="226">
        <f ca="1">RTD("wdf.rtq",,E246,"PctChg")/100</f>
        <v>5.5600000000000004E-2</v>
      </c>
      <c r="J246" s="125">
        <f ca="1">_xlfn.IFNA([1]!b_anal_ptmyear(B246,$B$2),"未发行或发行失败")</f>
        <v>1.6054794520547944</v>
      </c>
      <c r="K246" s="125">
        <f ca="1">RTD("wdf.rtq",,B246,"Amount","Dirty_Price")/100000000</f>
        <v>0.26356622000000002</v>
      </c>
      <c r="L246" s="125">
        <f ca="1">[1]!cb_anal_convprice(B246,$B$2)</f>
        <v>12.52</v>
      </c>
      <c r="M246" s="125">
        <f t="shared" ca="1" si="12"/>
        <v>95.527156549520768</v>
      </c>
      <c r="N246" s="126">
        <f t="shared" ca="1" si="13"/>
        <v>27.429732441471572</v>
      </c>
      <c r="O246" s="126">
        <f t="array" aca="1" ref="O246" ca="1">_xlfn.IFNA(RTD("wdf.rtq",,B246,"LastPrice","Yield_To_Maturity"),[1]!cb_anal_ytm(B246,$C$2))</f>
        <v>-6.2827000000000002</v>
      </c>
      <c r="P246" s="126">
        <f ca="1">[1]!cb_anal_straightbondvalue(B246,$B$2)</f>
        <v>100.9438</v>
      </c>
      <c r="Q246" s="126">
        <f t="shared" ca="1" si="14"/>
        <v>20.591854081181808</v>
      </c>
      <c r="R246" s="126" t="str">
        <f ca="1">[1]!b_rate_latestcredit(B246)</f>
        <v>AA-</v>
      </c>
      <c r="S246" s="126">
        <f ca="1">[1]!cb_info_outstandingbalance(B246,$B$2)</f>
        <v>3.3700950000000001</v>
      </c>
      <c r="T246" s="126">
        <f ca="1">[1]!cb_info_issueamount(B246,100000000)</f>
        <v>3.4</v>
      </c>
      <c r="U246" s="126">
        <f t="shared" ca="1" si="15"/>
        <v>99.120441176470592</v>
      </c>
      <c r="V246" s="230">
        <f ca="1">IF([1]!cb_anal_ldiluterate(B246,$B$2)=100,"-",[1]!cb_anal_ldiluterate(B246,$B$2))</f>
        <v>9.9894227626450984</v>
      </c>
      <c r="W246" s="127" t="str">
        <f ca="1">[1]!cb_info_listeddate(B246)</f>
        <v>2017-05-12</v>
      </c>
      <c r="X246" s="127" t="str">
        <f ca="1">[1]!cb_info_carrydate(B246)</f>
        <v>2017-04-17</v>
      </c>
      <c r="Y246" s="125" t="str">
        <f ca="1">[1]!cb_clause_conversion_2_swapsharestartdate(B246)</f>
        <v>2017-10-23</v>
      </c>
      <c r="Z246" s="125" t="str">
        <f ca="1">[1]!cb_clause_putoption_conditionalputbackstartenddate(B246)</f>
        <v>2021-04-17</v>
      </c>
      <c r="AA246" s="230">
        <f ca="1">[1]!cb_info_maturitycallprice(B246)</f>
        <v>108</v>
      </c>
      <c r="AB246" s="230">
        <f ca="1">IF(ISNUMBER([1]!cb_info_conditionalputprice(B246)),[1]!cb_info_conditionalputprice(B246),"-")</f>
        <v>0</v>
      </c>
      <c r="AC246" s="230">
        <f ca="1">[1]!cb_info_interest(B246)</f>
        <v>0.5</v>
      </c>
      <c r="AD246" s="263" t="str">
        <f ca="1">IFERROR(couponlist([1]!cb_clause_interest(B246,"4")),"-")</f>
        <v>0.5%，0.7%，1.0%，1.5%，1.8%</v>
      </c>
      <c r="AE246" s="129"/>
      <c r="AF246" s="129"/>
      <c r="AG246" s="129"/>
      <c r="AH246" s="129"/>
      <c r="AI246" s="129"/>
      <c r="AJ246" s="129"/>
      <c r="AK246" s="129"/>
      <c r="AL246" s="129"/>
      <c r="AM246" s="129"/>
      <c r="AN246" s="129"/>
      <c r="AO246" s="129"/>
      <c r="AP246" s="129"/>
      <c r="AQ246" s="129"/>
    </row>
    <row r="247" spans="1:43" s="191" customFormat="1" x14ac:dyDescent="0.35">
      <c r="A247" s="182" t="s">
        <v>0</v>
      </c>
      <c r="B247" s="182" t="s">
        <v>144</v>
      </c>
      <c r="C247" s="182" t="s">
        <v>145</v>
      </c>
      <c r="D247" s="235" t="str">
        <f ca="1">IF([1]!s_info_industry_sw(B247,1)=0,"-",[1]!s_info_industry_sw(B247,1))</f>
        <v>化工</v>
      </c>
      <c r="E247" s="183" t="str">
        <f ca="1">[1]!cb_info_underlyingcode(B247)</f>
        <v>601678.SH</v>
      </c>
      <c r="F247" s="185">
        <f ca="1">RTD("wdf.rtq",,B247,"LastPrice","Dirty_Price")</f>
        <v>270.51</v>
      </c>
      <c r="G247" s="185">
        <f ca="1">RTD("wdf.rtq",,E247,"LastPrice")</f>
        <v>11.36</v>
      </c>
      <c r="H247" s="225">
        <f ca="1">RTD("wdf.rtq",,B247,"PctChg","RT_Price")/100</f>
        <v>1.2999999999999999E-3</v>
      </c>
      <c r="I247" s="225">
        <f ca="1">RTD("wdf.rtq",,E247,"PctChg")/100</f>
        <v>8.0000000000000002E-3</v>
      </c>
      <c r="J247" s="186">
        <f ca="1">_xlfn.IFNA([1]!b_anal_ptmyear(B247,$B$2),"未发行或发行失败")</f>
        <v>4.5863013698630137</v>
      </c>
      <c r="K247" s="186">
        <f ca="1">RTD("wdf.rtq",,B247,"Amount","Dirty_Price")/100000000</f>
        <v>2.7917967699999999</v>
      </c>
      <c r="L247" s="186">
        <f ca="1">[1]!cb_anal_convprice(B247,$B$2)</f>
        <v>4.58</v>
      </c>
      <c r="M247" s="186">
        <f t="shared" ca="1" si="12"/>
        <v>248.03493449781658</v>
      </c>
      <c r="N247" s="187">
        <f t="shared" ca="1" si="13"/>
        <v>9.0612500000000011</v>
      </c>
      <c r="O247" s="187">
        <f t="array" aca="1" ref="O247" ca="1">_xlfn.IFNA(RTD("wdf.rtq",,B247,"LastPrice","Yield_To_Maturity"),[1]!cb_anal_ytm(B247,$C$2))</f>
        <v>-17.281300000000002</v>
      </c>
      <c r="P247" s="187">
        <f ca="1">[1]!cb_anal_straightbondvalue(B247,$B$2)</f>
        <v>95.159099999999995</v>
      </c>
      <c r="Q247" s="187">
        <f t="shared" ca="1" si="14"/>
        <v>184.27128882051221</v>
      </c>
      <c r="R247" s="187" t="str">
        <f ca="1">[1]!b_rate_latestcredit(B247)</f>
        <v>AA</v>
      </c>
      <c r="S247" s="187">
        <f ca="1">[1]!cb_info_outstandingbalance(B247,$B$2)</f>
        <v>4.6829520000000002</v>
      </c>
      <c r="T247" s="187">
        <f ca="1">[1]!cb_info_issueamount(B247,100000000)</f>
        <v>24</v>
      </c>
      <c r="U247" s="187">
        <f t="shared" ca="1" si="15"/>
        <v>19.5123</v>
      </c>
      <c r="V247" s="240">
        <f ca="1">IF([1]!cb_anal_ldiluterate(B247,$B$2)=100,"-",[1]!cb_anal_ldiluterate(B247,$B$2))</f>
        <v>5.324835203893139</v>
      </c>
      <c r="W247" s="188" t="str">
        <f ca="1">[1]!cb_info_listeddate(B247)</f>
        <v>2020-04-30</v>
      </c>
      <c r="X247" s="188" t="str">
        <f ca="1">[1]!cb_info_carrydate(B247)</f>
        <v>2020-04-10</v>
      </c>
      <c r="Y247" s="186" t="str">
        <f ca="1">[1]!cb_clause_conversion_2_swapsharestartdate(B247)</f>
        <v>2020-10-16</v>
      </c>
      <c r="Z247" s="186" t="str">
        <f ca="1">[1]!cb_clause_putoption_conditionalputbackstartenddate(B247)</f>
        <v>2024-04-10</v>
      </c>
      <c r="AA247" s="240">
        <f ca="1">[1]!cb_info_maturitycallprice(B247)</f>
        <v>110</v>
      </c>
      <c r="AB247" s="240">
        <f ca="1">IF(ISNUMBER([1]!cb_info_conditionalputprice(B247)),[1]!cb_info_conditionalputprice(B247),"-")</f>
        <v>0</v>
      </c>
      <c r="AC247" s="240">
        <f ca="1">[1]!cb_info_interest(B247)</f>
        <v>0.3</v>
      </c>
      <c r="AD247" s="262" t="str">
        <f ca="1">IFERROR(couponlist([1]!cb_clause_interest(B247,"4")),"-")</f>
        <v>0.30%，0.50%，1.00%，1.50%，1.80%，2.00%</v>
      </c>
      <c r="AE247" s="189"/>
      <c r="AF247" s="189"/>
      <c r="AG247" s="189"/>
      <c r="AH247" s="189"/>
      <c r="AI247" s="189"/>
      <c r="AJ247" s="189"/>
      <c r="AK247" s="189"/>
      <c r="AL247" s="189"/>
      <c r="AM247" s="189"/>
      <c r="AN247" s="189"/>
      <c r="AO247" s="189"/>
      <c r="AP247" s="189"/>
      <c r="AQ247" s="189"/>
    </row>
    <row r="248" spans="1:43" s="130" customFormat="1" x14ac:dyDescent="0.35">
      <c r="A248" s="121" t="s">
        <v>0</v>
      </c>
      <c r="B248" s="121" t="s">
        <v>94</v>
      </c>
      <c r="C248" s="121" t="s">
        <v>95</v>
      </c>
      <c r="D248" s="236" t="str">
        <f ca="1">IF([1]!s_info_industry_sw(B248,1)=0,"-",[1]!s_info_industry_sw(B248,1))</f>
        <v>化工</v>
      </c>
      <c r="E248" s="122" t="str">
        <f ca="1">[1]!cb_info_underlyingcode(B248)</f>
        <v>600929.SH</v>
      </c>
      <c r="F248" s="124">
        <f ca="1">RTD("wdf.rtq",,B248,"LastPrice","Dirty_Price")</f>
        <v>141.31</v>
      </c>
      <c r="G248" s="124">
        <f ca="1">RTD("wdf.rtq",,E248,"LastPrice")</f>
        <v>8.3800000000000008</v>
      </c>
      <c r="H248" s="226">
        <f ca="1">RTD("wdf.rtq",,B248,"PctChg","RT_Price")/100</f>
        <v>2.9500000000000002E-2</v>
      </c>
      <c r="I248" s="226">
        <f ca="1">RTD("wdf.rtq",,E248,"PctChg")/100</f>
        <v>4.8799999999999996E-2</v>
      </c>
      <c r="J248" s="125">
        <f ca="1">_xlfn.IFNA([1]!b_anal_ptmyear(B248,$B$2),"未发行或发行失败")</f>
        <v>4.8356164383561646</v>
      </c>
      <c r="K248" s="125">
        <f ca="1">RTD("wdf.rtq",,B248,"Amount","Dirty_Price")/100000000</f>
        <v>0.40073197999999999</v>
      </c>
      <c r="L248" s="125">
        <f ca="1">[1]!cb_anal_convprice(B248,$B$2)</f>
        <v>6.52</v>
      </c>
      <c r="M248" s="125">
        <f t="shared" ca="1" si="12"/>
        <v>128.52760736196322</v>
      </c>
      <c r="N248" s="126">
        <f t="shared" ca="1" si="13"/>
        <v>9.9452505966586813</v>
      </c>
      <c r="O248" s="126">
        <f t="array" aca="1" ref="O248" ca="1">_xlfn.IFNA(RTD("wdf.rtq",,B248,"LastPrice","Yield_To_Maturity"),[1]!cb_anal_ytm(B248,$C$2))</f>
        <v>-4.2609000000000004</v>
      </c>
      <c r="P248" s="126">
        <f ca="1">[1]!cb_anal_straightbondvalue(B248,$B$2)</f>
        <v>94.090199999999996</v>
      </c>
      <c r="Q248" s="126">
        <f t="shared" ca="1" si="14"/>
        <v>50.185672896858563</v>
      </c>
      <c r="R248" s="126" t="str">
        <f ca="1">[1]!b_rate_latestcredit(B248)</f>
        <v>AA</v>
      </c>
      <c r="S248" s="126">
        <f ca="1">[1]!cb_info_outstandingbalance(B248,$B$2)</f>
        <v>7.19834</v>
      </c>
      <c r="T248" s="126">
        <f ca="1">[1]!cb_info_issueamount(B248,100000000)</f>
        <v>7.2</v>
      </c>
      <c r="U248" s="126">
        <f t="shared" ca="1" si="15"/>
        <v>99.976944444444428</v>
      </c>
      <c r="V248" s="230">
        <f ca="1">IF([1]!cb_anal_ldiluterate(B248,$B$2)=100,"-",[1]!cb_anal_ldiluterate(B248,$B$2))</f>
        <v>10.739130321182628</v>
      </c>
      <c r="W248" s="127" t="str">
        <f ca="1">[1]!cb_info_listeddate(B248)</f>
        <v>2020-07-31</v>
      </c>
      <c r="X248" s="127" t="str">
        <f ca="1">[1]!cb_info_carrydate(B248)</f>
        <v>2020-07-10</v>
      </c>
      <c r="Y248" s="125" t="str">
        <f ca="1">[1]!cb_clause_conversion_2_swapsharestartdate(B248)</f>
        <v>2021-01-18</v>
      </c>
      <c r="Z248" s="125" t="str">
        <f ca="1">[1]!cb_clause_putoption_conditionalputbackstartenddate(B248)</f>
        <v>2024-07-10</v>
      </c>
      <c r="AA248" s="230">
        <f ca="1">[1]!cb_info_maturitycallprice(B248)</f>
        <v>110</v>
      </c>
      <c r="AB248" s="230">
        <f ca="1">IF(ISNUMBER([1]!cb_info_conditionalputprice(B248)),[1]!cb_info_conditionalputprice(B248),"-")</f>
        <v>0</v>
      </c>
      <c r="AC248" s="230">
        <f ca="1">[1]!cb_info_interest(B248)</f>
        <v>0.3</v>
      </c>
      <c r="AD248" s="263" t="str">
        <f ca="1">IFERROR(couponlist([1]!cb_clause_interest(B248,"4")),"-")</f>
        <v>0.3%，0.6%，1.0%，1.5%，1.8%，2.0%</v>
      </c>
      <c r="AE248" s="129"/>
      <c r="AF248" s="129"/>
      <c r="AG248" s="129"/>
      <c r="AH248" s="129"/>
      <c r="AI248" s="129"/>
      <c r="AJ248" s="129"/>
      <c r="AK248" s="129"/>
      <c r="AL248" s="129"/>
      <c r="AM248" s="129"/>
      <c r="AN248" s="129"/>
      <c r="AO248" s="129"/>
      <c r="AP248" s="129"/>
      <c r="AQ248" s="129"/>
    </row>
    <row r="249" spans="1:43" s="191" customFormat="1" x14ac:dyDescent="0.35">
      <c r="A249" s="182" t="s">
        <v>5</v>
      </c>
      <c r="B249" s="182" t="s">
        <v>906</v>
      </c>
      <c r="C249" s="182" t="s">
        <v>907</v>
      </c>
      <c r="D249" s="235" t="str">
        <f ca="1">IF([1]!s_info_industry_sw(B249,1)=0,"-",[1]!s_info_industry_sw(B249,1))</f>
        <v>化工</v>
      </c>
      <c r="E249" s="183" t="str">
        <f ca="1">[1]!cb_info_underlyingcode(B249)</f>
        <v>300767.SZ</v>
      </c>
      <c r="F249" s="185">
        <f ca="1">RTD("wdf.rtq",,B249,"LastPrice","Dirty_Price")</f>
        <v>198.20500000000001</v>
      </c>
      <c r="G249" s="185">
        <f ca="1">RTD("wdf.rtq",,E249,"LastPrice")</f>
        <v>99.83</v>
      </c>
      <c r="H249" s="225">
        <f ca="1">RTD("wdf.rtq",,B249,"PctChg","RT_Price")/100</f>
        <v>2.0500000000000004E-2</v>
      </c>
      <c r="I249" s="225">
        <f ca="1">RTD("wdf.rtq",,E249,"PctChg")/100</f>
        <v>-2.1299999999999999E-2</v>
      </c>
      <c r="J249" s="186">
        <f ca="1">_xlfn.IFNA([1]!b_anal_ptmyear(B249,$B$2),"未发行或发行失败")</f>
        <v>5.506849315068493</v>
      </c>
      <c r="K249" s="186">
        <f ca="1">RTD("wdf.rtq",,B249,"Amount","Dirty_Price")/100000000</f>
        <v>0.87280347000000003</v>
      </c>
      <c r="L249" s="186">
        <f ca="1">[1]!cb_anal_convprice(B249,$B$2)</f>
        <v>56.89</v>
      </c>
      <c r="M249" s="186">
        <f t="shared" ca="1" si="12"/>
        <v>175.47899455088768</v>
      </c>
      <c r="N249" s="187">
        <f t="shared" ca="1" si="13"/>
        <v>12.950840929580281</v>
      </c>
      <c r="O249" s="187">
        <f t="array" aca="1" ref="O249" ca="1">_xlfn.IFNA(RTD("wdf.rtq",,B249,"LastPrice","Yield_To_Maturity"),[1]!cb_anal_ytm(B249,$C$2))</f>
        <v>-8.6781000000000006</v>
      </c>
      <c r="P249" s="187">
        <f ca="1">[1]!cb_anal_straightbondvalue(B249,$B$2)</f>
        <v>76.656499999999994</v>
      </c>
      <c r="Q249" s="187">
        <f t="shared" ca="1" si="14"/>
        <v>158.56254851186787</v>
      </c>
      <c r="R249" s="187" t="str">
        <f ca="1">[1]!b_rate_latestcredit(B249)</f>
        <v>A+</v>
      </c>
      <c r="S249" s="187">
        <f ca="1">[1]!cb_info_outstandingbalance(B249,$B$2)</f>
        <v>2.85</v>
      </c>
      <c r="T249" s="187">
        <f ca="1">[1]!cb_info_issueamount(B249,100000000)</f>
        <v>2.85</v>
      </c>
      <c r="U249" s="187">
        <f t="shared" ca="1" si="15"/>
        <v>100</v>
      </c>
      <c r="V249" s="240">
        <f ca="1">IF([1]!cb_anal_ldiluterate(B249,$B$2)=100,"-",[1]!cb_anal_ldiluterate(B249,$B$2))</f>
        <v>4.0821410488823169</v>
      </c>
      <c r="W249" s="188" t="str">
        <f ca="1">[1]!cb_info_listeddate(B249)</f>
        <v>2021-03-31</v>
      </c>
      <c r="X249" s="188" t="str">
        <f ca="1">[1]!cb_info_carrydate(B249)</f>
        <v>2021-03-12</v>
      </c>
      <c r="Y249" s="186" t="str">
        <f ca="1">[1]!cb_clause_conversion_2_swapsharestartdate(B249)</f>
        <v>2021-09-22</v>
      </c>
      <c r="Z249" s="186" t="str">
        <f ca="1">[1]!cb_clause_putoption_conditionalputbackstartenddate(B249)</f>
        <v>2025-03-12</v>
      </c>
      <c r="AA249" s="240">
        <f ca="1">[1]!cb_info_maturitycallprice(B249)</f>
        <v>115</v>
      </c>
      <c r="AB249" s="240">
        <f ca="1">IF(ISNUMBER([1]!cb_info_conditionalputprice(B249)),[1]!cb_info_conditionalputprice(B249),"-")</f>
        <v>0</v>
      </c>
      <c r="AC249" s="240">
        <f ca="1">[1]!cb_info_interest(B249)</f>
        <v>0.5</v>
      </c>
      <c r="AD249" s="262" t="str">
        <f ca="1">IFERROR(couponlist([1]!cb_clause_interest(B249,"4")),"-")</f>
        <v>0.50%，0.70%，1.20%，1.80%，2.20%，2.80%</v>
      </c>
      <c r="AE249" s="189"/>
      <c r="AF249" s="189"/>
      <c r="AG249" s="189"/>
      <c r="AH249" s="189"/>
      <c r="AI249" s="189"/>
      <c r="AJ249" s="189"/>
      <c r="AK249" s="189"/>
      <c r="AL249" s="189"/>
      <c r="AM249" s="189"/>
      <c r="AN249" s="189"/>
      <c r="AO249" s="189"/>
      <c r="AP249" s="189"/>
      <c r="AQ249" s="189"/>
    </row>
    <row r="250" spans="1:43" s="130" customFormat="1" x14ac:dyDescent="0.35">
      <c r="A250" s="121" t="s">
        <v>5</v>
      </c>
      <c r="B250" s="121" t="s">
        <v>164</v>
      </c>
      <c r="C250" s="121" t="s">
        <v>165</v>
      </c>
      <c r="D250" s="236" t="str">
        <f ca="1">IF([1]!s_info_industry_sw(B250,1)=0,"-",[1]!s_info_industry_sw(B250,1))</f>
        <v>化工</v>
      </c>
      <c r="E250" s="122" t="str">
        <f ca="1">[1]!cb_info_underlyingcode(B250)</f>
        <v>002360.SZ</v>
      </c>
      <c r="F250" s="124">
        <f ca="1">RTD("wdf.rtq",,B250,"LastPrice","Dirty_Price")</f>
        <v>208.44800000000001</v>
      </c>
      <c r="G250" s="124">
        <f ca="1">RTD("wdf.rtq",,E250,"LastPrice")</f>
        <v>10.540000000000001</v>
      </c>
      <c r="H250" s="226">
        <f ca="1">RTD("wdf.rtq",,B250,"PctChg","RT_Price")/100</f>
        <v>6.3E-3</v>
      </c>
      <c r="I250" s="226">
        <f ca="1">RTD("wdf.rtq",,E250,"PctChg")/100</f>
        <v>0</v>
      </c>
      <c r="J250" s="125">
        <f ca="1">_xlfn.IFNA([1]!b_anal_ptmyear(B250,$B$2),"未发行或发行失败")</f>
        <v>4.5452054794520551</v>
      </c>
      <c r="K250" s="125">
        <f ca="1">RTD("wdf.rtq",,B250,"Amount","Dirty_Price")/100000000</f>
        <v>0.94375628</v>
      </c>
      <c r="L250" s="125">
        <f ca="1">[1]!cb_anal_convprice(B250,$B$2)</f>
        <v>5.08</v>
      </c>
      <c r="M250" s="125">
        <f t="shared" ca="1" si="12"/>
        <v>207.48031496062993</v>
      </c>
      <c r="N250" s="126">
        <f t="shared" ca="1" si="13"/>
        <v>0.46639848197342815</v>
      </c>
      <c r="O250" s="126">
        <f t="array" aca="1" ref="O250" ca="1">_xlfn.IFNA(RTD("wdf.rtq",,B250,"LastPrice","Yield_To_Maturity"),[1]!cb_anal_ytm(B250,$C$2))</f>
        <v>-11.442500000000001</v>
      </c>
      <c r="P250" s="126">
        <f ca="1">[1]!cb_anal_straightbondvalue(B250,$B$2)</f>
        <v>83.625399999999999</v>
      </c>
      <c r="Q250" s="126">
        <f t="shared" ca="1" si="14"/>
        <v>149.26397960428289</v>
      </c>
      <c r="R250" s="126" t="str">
        <f ca="1">[1]!b_rate_latestcredit(B250)</f>
        <v>A+</v>
      </c>
      <c r="S250" s="126">
        <f ca="1">[1]!cb_info_outstandingbalance(B250,$B$2)</f>
        <v>1.0842290000000001</v>
      </c>
      <c r="T250" s="126">
        <f ca="1">[1]!cb_info_issueamount(B250,100000000)</f>
        <v>1.4428000000000001</v>
      </c>
      <c r="U250" s="126">
        <f t="shared" ca="1" si="15"/>
        <v>75.147560299417805</v>
      </c>
      <c r="V250" s="230">
        <f ca="1">IF([1]!cb_anal_ldiluterate(B250,$B$2)=100,"-",[1]!cb_anal_ldiluterate(B250,$B$2))</f>
        <v>6.5025654273673998</v>
      </c>
      <c r="W250" s="127" t="str">
        <f ca="1">[1]!cb_info_listeddate(B250)</f>
        <v>2020-04-21</v>
      </c>
      <c r="X250" s="127" t="str">
        <f ca="1">[1]!cb_info_carrydate(B250)</f>
        <v>2020-03-26</v>
      </c>
      <c r="Y250" s="125" t="str">
        <f ca="1">[1]!cb_clause_conversion_2_swapsharestartdate(B250)</f>
        <v>2020-10-09</v>
      </c>
      <c r="Z250" s="125" t="str">
        <f ca="1">[1]!cb_clause_putoption_conditionalputbackstartenddate(B250)</f>
        <v>2024-03-26</v>
      </c>
      <c r="AA250" s="230">
        <f ca="1">[1]!cb_info_maturitycallprice(B250)</f>
        <v>115</v>
      </c>
      <c r="AB250" s="230">
        <f ca="1">IF(ISNUMBER([1]!cb_info_conditionalputprice(B250)),[1]!cb_info_conditionalputprice(B250),"-")</f>
        <v>0</v>
      </c>
      <c r="AC250" s="230">
        <f ca="1">[1]!cb_info_interest(B250)</f>
        <v>0.5</v>
      </c>
      <c r="AD250" s="263" t="str">
        <f ca="1">IFERROR(couponlist([1]!cb_clause_interest(B250,"4")),"-")</f>
        <v>0.5%，0.6%，1.2%，2.0%，2.5%，3.0%</v>
      </c>
      <c r="AE250" s="129"/>
      <c r="AF250" s="129"/>
      <c r="AG250" s="129"/>
      <c r="AH250" s="129"/>
      <c r="AI250" s="129"/>
      <c r="AJ250" s="129"/>
      <c r="AK250" s="129"/>
      <c r="AL250" s="129"/>
      <c r="AM250" s="129"/>
      <c r="AN250" s="129"/>
      <c r="AO250" s="129"/>
      <c r="AP250" s="129"/>
      <c r="AQ250" s="129"/>
    </row>
    <row r="251" spans="1:43" s="191" customFormat="1" x14ac:dyDescent="0.35">
      <c r="A251" s="182" t="s">
        <v>5</v>
      </c>
      <c r="B251" s="182" t="s">
        <v>306</v>
      </c>
      <c r="C251" s="182" t="s">
        <v>307</v>
      </c>
      <c r="D251" s="235" t="str">
        <f ca="1">IF([1]!s_info_industry_sw(B251,1)=0,"-",[1]!s_info_industry_sw(B251,1))</f>
        <v>化工</v>
      </c>
      <c r="E251" s="183" t="str">
        <f ca="1">[1]!cb_info_underlyingcode(B251)</f>
        <v>300437.SZ</v>
      </c>
      <c r="F251" s="185">
        <f ca="1">RTD("wdf.rtq",,B251,"LastPrice","Dirty_Price")</f>
        <v>111.709</v>
      </c>
      <c r="G251" s="185">
        <f ca="1">RTD("wdf.rtq",,E251,"LastPrice")</f>
        <v>10.290000000000001</v>
      </c>
      <c r="H251" s="225">
        <f ca="1">RTD("wdf.rtq",,B251,"PctChg","RT_Price")/100</f>
        <v>-8.0000000000000004E-4</v>
      </c>
      <c r="I251" s="225">
        <f ca="1">RTD("wdf.rtq",,E251,"PctChg")/100</f>
        <v>-3.9000000000000003E-3</v>
      </c>
      <c r="J251" s="186">
        <f ca="1">_xlfn.IFNA([1]!b_anal_ptmyear(B251,$B$2),"未发行或发行失败")</f>
        <v>3.7780821917808218</v>
      </c>
      <c r="K251" s="186">
        <f ca="1">RTD("wdf.rtq",,B251,"Amount","Dirty_Price")/100000000</f>
        <v>0.11789210999999999</v>
      </c>
      <c r="L251" s="186">
        <f ca="1">[1]!cb_anal_convprice(B251,$B$2)</f>
        <v>11.84</v>
      </c>
      <c r="M251" s="186">
        <f t="shared" ca="1" si="12"/>
        <v>86.90878378378379</v>
      </c>
      <c r="N251" s="187">
        <f t="shared" ca="1" si="13"/>
        <v>28.535914480077736</v>
      </c>
      <c r="O251" s="187">
        <f t="array" aca="1" ref="O251" ca="1">_xlfn.IFNA(RTD("wdf.rtq",,B251,"LastPrice","Yield_To_Maturity"),[1]!cb_anal_ytm(B251,$C$2))</f>
        <v>2.1917</v>
      </c>
      <c r="P251" s="187">
        <f ca="1">[1]!cb_anal_straightbondvalue(B251,$B$2)</f>
        <v>89.465599999999995</v>
      </c>
      <c r="Q251" s="187">
        <f t="shared" ca="1" si="14"/>
        <v>24.86251698977037</v>
      </c>
      <c r="R251" s="187" t="str">
        <f ca="1">[1]!b_rate_latestcredit(B251)</f>
        <v>A+</v>
      </c>
      <c r="S251" s="187">
        <f ca="1">[1]!cb_info_outstandingbalance(B251,$B$2)</f>
        <v>4.5510270000000004</v>
      </c>
      <c r="T251" s="187">
        <f ca="1">[1]!cb_info_issueamount(B251,100000000)</f>
        <v>4.9000000000000004</v>
      </c>
      <c r="U251" s="187">
        <f t="shared" ca="1" si="15"/>
        <v>92.87810204081633</v>
      </c>
      <c r="V251" s="240">
        <f ca="1">IF([1]!cb_anal_ldiluterate(B251,$B$2)=100,"-",[1]!cb_anal_ldiluterate(B251,$B$2))</f>
        <v>21.539367290844684</v>
      </c>
      <c r="W251" s="188" t="str">
        <f ca="1">[1]!cb_info_listeddate(B251)</f>
        <v>2019-07-15</v>
      </c>
      <c r="X251" s="188" t="str">
        <f ca="1">[1]!cb_info_carrydate(B251)</f>
        <v>2019-06-19</v>
      </c>
      <c r="Y251" s="186" t="str">
        <f ca="1">[1]!cb_clause_conversion_2_swapsharestartdate(B251)</f>
        <v>2019-12-25</v>
      </c>
      <c r="Z251" s="186" t="str">
        <f ca="1">[1]!cb_clause_putoption_conditionalputbackstartenddate(B251)</f>
        <v>2023-06-19</v>
      </c>
      <c r="AA251" s="240">
        <f ca="1">[1]!cb_info_maturitycallprice(B251)</f>
        <v>115</v>
      </c>
      <c r="AB251" s="240">
        <f ca="1">IF(ISNUMBER([1]!cb_info_conditionalputprice(B251)),[1]!cb_info_conditionalputprice(B251),"-")</f>
        <v>0</v>
      </c>
      <c r="AC251" s="240">
        <f ca="1">[1]!cb_info_interest(B251)</f>
        <v>0.6</v>
      </c>
      <c r="AD251" s="262" t="str">
        <f ca="1">IFERROR(couponlist([1]!cb_clause_interest(B251,"4")),"-")</f>
        <v>0.6%，0.8%，1.5%，2.0%，2.5%，3.0%</v>
      </c>
      <c r="AE251" s="189"/>
      <c r="AF251" s="189"/>
      <c r="AG251" s="189"/>
      <c r="AH251" s="189"/>
      <c r="AI251" s="189"/>
      <c r="AJ251" s="189"/>
      <c r="AK251" s="189"/>
      <c r="AL251" s="189"/>
      <c r="AM251" s="189"/>
      <c r="AN251" s="189"/>
      <c r="AO251" s="189"/>
      <c r="AP251" s="189"/>
      <c r="AQ251" s="189"/>
    </row>
    <row r="252" spans="1:43" s="130" customFormat="1" x14ac:dyDescent="0.35">
      <c r="A252" s="121" t="s">
        <v>5</v>
      </c>
      <c r="B252" s="121" t="s">
        <v>98</v>
      </c>
      <c r="C252" s="121" t="s">
        <v>99</v>
      </c>
      <c r="D252" s="236" t="str">
        <f ca="1">IF([1]!s_info_industry_sw(B252,1)=0,"-",[1]!s_info_industry_sw(B252,1))</f>
        <v>化工</v>
      </c>
      <c r="E252" s="122" t="str">
        <f ca="1">[1]!cb_info_underlyingcode(B252)</f>
        <v>002838.SZ</v>
      </c>
      <c r="F252" s="124">
        <f ca="1">RTD("wdf.rtq",,B252,"LastPrice","Dirty_Price")</f>
        <v>106.92100000000001</v>
      </c>
      <c r="G252" s="124">
        <f ca="1">RTD("wdf.rtq",,E252,"LastPrice")</f>
        <v>15.33</v>
      </c>
      <c r="H252" s="226">
        <f ca="1">RTD("wdf.rtq",,B252,"PctChg","RT_Price")/100</f>
        <v>1E-3</v>
      </c>
      <c r="I252" s="226">
        <f ca="1">RTD("wdf.rtq",,E252,"PctChg")/100</f>
        <v>-7.8000000000000005E-3</v>
      </c>
      <c r="J252" s="125">
        <f ca="1">_xlfn.IFNA([1]!b_anal_ptmyear(B252,$B$2),"未发行或发行失败")</f>
        <v>4.8136986301369866</v>
      </c>
      <c r="K252" s="125">
        <f ca="1">RTD("wdf.rtq",,B252,"Amount","Dirty_Price")/100000000</f>
        <v>2.618587E-2</v>
      </c>
      <c r="L252" s="125">
        <f ca="1">[1]!cb_anal_convprice(B252,$B$2)</f>
        <v>28.83</v>
      </c>
      <c r="M252" s="125">
        <f t="shared" ca="1" si="12"/>
        <v>53.173777315296569</v>
      </c>
      <c r="N252" s="126">
        <f t="shared" ca="1" si="13"/>
        <v>101.07843639921722</v>
      </c>
      <c r="O252" s="126">
        <f t="array" aca="1" ref="O252" ca="1">_xlfn.IFNA(RTD("wdf.rtq",,B252,"LastPrice","Yield_To_Maturity"),[1]!cb_anal_ytm(B252,$C$2))</f>
        <v>3.0264000000000002</v>
      </c>
      <c r="P252" s="126">
        <f ca="1">[1]!cb_anal_straightbondvalue(B252,$B$2)</f>
        <v>90.910600000000002</v>
      </c>
      <c r="Q252" s="126">
        <f t="shared" ca="1" si="14"/>
        <v>17.611147654948923</v>
      </c>
      <c r="R252" s="126" t="str">
        <f ca="1">[1]!b_rate_latestcredit(B252)</f>
        <v>AA-</v>
      </c>
      <c r="S252" s="126">
        <f ca="1">[1]!cb_info_outstandingbalance(B252,$B$2)</f>
        <v>3.5991819999999999</v>
      </c>
      <c r="T252" s="126">
        <f ca="1">[1]!cb_info_issueamount(B252,100000000)</f>
        <v>3.6</v>
      </c>
      <c r="U252" s="126">
        <f t="shared" ca="1" si="15"/>
        <v>99.977277777777772</v>
      </c>
      <c r="V252" s="230">
        <f ca="1">IF([1]!cb_anal_ldiluterate(B252,$B$2)=100,"-",[1]!cb_anal_ldiluterate(B252,$B$2))</f>
        <v>3.4678377059809549</v>
      </c>
      <c r="W252" s="127" t="str">
        <f ca="1">[1]!cb_info_listeddate(B252)</f>
        <v>2020-07-20</v>
      </c>
      <c r="X252" s="127" t="str">
        <f ca="1">[1]!cb_info_carrydate(B252)</f>
        <v>2020-07-02</v>
      </c>
      <c r="Y252" s="125" t="str">
        <f ca="1">[1]!cb_clause_conversion_2_swapsharestartdate(B252)</f>
        <v>2021-01-08</v>
      </c>
      <c r="Z252" s="125" t="str">
        <f ca="1">[1]!cb_clause_putoption_conditionalputbackstartenddate(B252)</f>
        <v>2024-07-02</v>
      </c>
      <c r="AA252" s="230">
        <f ca="1">[1]!cb_info_maturitycallprice(B252)</f>
        <v>118</v>
      </c>
      <c r="AB252" s="230">
        <f ca="1">IF(ISNUMBER([1]!cb_info_conditionalputprice(B252)),[1]!cb_info_conditionalputprice(B252),"-")</f>
        <v>0</v>
      </c>
      <c r="AC252" s="230">
        <f ca="1">[1]!cb_info_interest(B252)</f>
        <v>0.4</v>
      </c>
      <c r="AD252" s="263" t="str">
        <f ca="1">IFERROR(couponlist([1]!cb_clause_interest(B252,"4")),"-")</f>
        <v>0.4%，0.6%，1.5%</v>
      </c>
      <c r="AE252" s="129"/>
      <c r="AF252" s="129"/>
      <c r="AG252" s="129"/>
      <c r="AH252" s="129"/>
      <c r="AI252" s="129"/>
      <c r="AJ252" s="129"/>
      <c r="AK252" s="129"/>
      <c r="AL252" s="129"/>
      <c r="AM252" s="129"/>
      <c r="AN252" s="129"/>
      <c r="AO252" s="129"/>
      <c r="AP252" s="129"/>
      <c r="AQ252" s="129"/>
    </row>
    <row r="253" spans="1:43" s="191" customFormat="1" x14ac:dyDescent="0.35">
      <c r="A253" s="182" t="s">
        <v>5</v>
      </c>
      <c r="B253" s="182" t="s">
        <v>310</v>
      </c>
      <c r="C253" s="182" t="s">
        <v>311</v>
      </c>
      <c r="D253" s="235" t="str">
        <f ca="1">IF([1]!s_info_industry_sw(B253,1)=0,"-",[1]!s_info_industry_sw(B253,1))</f>
        <v>化工</v>
      </c>
      <c r="E253" s="183" t="str">
        <f ca="1">[1]!cb_info_underlyingcode(B253)</f>
        <v>300487.SZ</v>
      </c>
      <c r="F253" s="185">
        <f ca="1">RTD("wdf.rtq",,B253,"LastPrice","Dirty_Price")</f>
        <v>365.779</v>
      </c>
      <c r="G253" s="185">
        <f ca="1">RTD("wdf.rtq",,E253,"LastPrice")</f>
        <v>93.5</v>
      </c>
      <c r="H253" s="225">
        <f ca="1">RTD("wdf.rtq",,B253,"PctChg","RT_Price")/100</f>
        <v>6.3700000000000007E-2</v>
      </c>
      <c r="I253" s="225">
        <f ca="1">RTD("wdf.rtq",,E253,"PctChg")/100</f>
        <v>7.46E-2</v>
      </c>
      <c r="J253" s="186">
        <f ca="1">_xlfn.IFNA([1]!b_anal_ptmyear(B253,$B$2),"未发行或发行失败")</f>
        <v>3.7561643835616438</v>
      </c>
      <c r="K253" s="186">
        <f ca="1">RTD("wdf.rtq",,B253,"Amount","Dirty_Price")/100000000</f>
        <v>11.414207299999999</v>
      </c>
      <c r="L253" s="186">
        <f ca="1">[1]!cb_anal_convprice(B253,$B$2)</f>
        <v>29.02</v>
      </c>
      <c r="M253" s="186">
        <f t="shared" ca="1" si="12"/>
        <v>322.19159200551343</v>
      </c>
      <c r="N253" s="187">
        <f t="shared" ca="1" si="13"/>
        <v>13.528412620320864</v>
      </c>
      <c r="O253" s="187">
        <f t="array" aca="1" ref="O253" ca="1">_xlfn.IFNA(RTD("wdf.rtq",,B253,"LastPrice","Yield_To_Maturity"),[1]!cb_anal_ytm(B253,$C$2))</f>
        <v>-26.266500000000001</v>
      </c>
      <c r="P253" s="187">
        <f ca="1">[1]!cb_anal_straightbondvalue(B253,$B$2)</f>
        <v>87.968299999999999</v>
      </c>
      <c r="Q253" s="187">
        <f t="shared" ca="1" si="14"/>
        <v>315.80773983355368</v>
      </c>
      <c r="R253" s="187" t="str">
        <f ca="1">[1]!b_rate_latestcredit(B253)</f>
        <v>A+</v>
      </c>
      <c r="S253" s="187">
        <f ca="1">[1]!cb_info_outstandingbalance(B253,$B$2)</f>
        <v>1.0705499999999999</v>
      </c>
      <c r="T253" s="187">
        <f ca="1">[1]!cb_info_issueamount(B253,100000000)</f>
        <v>3.4</v>
      </c>
      <c r="U253" s="187">
        <f t="shared" ca="1" si="15"/>
        <v>31.486764705882351</v>
      </c>
      <c r="V253" s="240">
        <f ca="1">IF([1]!cb_anal_ldiluterate(B253,$B$2)=100,"-",[1]!cb_anal_ldiluterate(B253,$B$2))</f>
        <v>2.7979801082782498</v>
      </c>
      <c r="W253" s="188" t="str">
        <f ca="1">[1]!cb_info_listeddate(B253)</f>
        <v>2019-07-04</v>
      </c>
      <c r="X253" s="188" t="str">
        <f ca="1">[1]!cb_info_carrydate(B253)</f>
        <v>2019-06-11</v>
      </c>
      <c r="Y253" s="186" t="str">
        <f ca="1">[1]!cb_clause_conversion_2_swapsharestartdate(B253)</f>
        <v>2019-12-17</v>
      </c>
      <c r="Z253" s="186" t="str">
        <f ca="1">[1]!cb_clause_putoption_conditionalputbackstartenddate(B253)</f>
        <v>2023-06-11</v>
      </c>
      <c r="AA253" s="240">
        <f ca="1">[1]!cb_info_maturitycallprice(B253)</f>
        <v>113</v>
      </c>
      <c r="AB253" s="240">
        <f ca="1">IF(ISNUMBER([1]!cb_info_conditionalputprice(B253)),[1]!cb_info_conditionalputprice(B253),"-")</f>
        <v>0</v>
      </c>
      <c r="AC253" s="240">
        <f ca="1">[1]!cb_info_interest(B253)</f>
        <v>0.5</v>
      </c>
      <c r="AD253" s="262" t="str">
        <f ca="1">IFERROR(couponlist([1]!cb_clause_interest(B253,"4")),"-")</f>
        <v>0.5%，0.7%，1.3%，2.0%，2.5%，3.0%</v>
      </c>
      <c r="AE253" s="189"/>
      <c r="AF253" s="189"/>
      <c r="AG253" s="189"/>
      <c r="AH253" s="189"/>
      <c r="AI253" s="189"/>
      <c r="AJ253" s="189"/>
      <c r="AK253" s="189"/>
      <c r="AL253" s="189"/>
      <c r="AM253" s="189"/>
      <c r="AN253" s="189"/>
      <c r="AO253" s="189"/>
      <c r="AP253" s="189"/>
      <c r="AQ253" s="189"/>
    </row>
    <row r="254" spans="1:43" s="130" customFormat="1" x14ac:dyDescent="0.35">
      <c r="A254" s="121" t="s">
        <v>5</v>
      </c>
      <c r="B254" s="121" t="s">
        <v>104</v>
      </c>
      <c r="C254" s="121" t="s">
        <v>105</v>
      </c>
      <c r="D254" s="236" t="str">
        <f ca="1">IF([1]!s_info_industry_sw(B254,1)=0,"-",[1]!s_info_industry_sw(B254,1))</f>
        <v>化工</v>
      </c>
      <c r="E254" s="122" t="str">
        <f ca="1">[1]!cb_info_underlyingcode(B254)</f>
        <v>300586.SZ</v>
      </c>
      <c r="F254" s="124">
        <f ca="1">RTD("wdf.rtq",,B254,"LastPrice","Dirty_Price")</f>
        <v>132.1</v>
      </c>
      <c r="G254" s="124">
        <f ca="1">RTD("wdf.rtq",,E254,"LastPrice")</f>
        <v>10.58</v>
      </c>
      <c r="H254" s="226">
        <f ca="1">RTD("wdf.rtq",,B254,"PctChg","RT_Price")/100</f>
        <v>8.0000000000000004E-4</v>
      </c>
      <c r="I254" s="226">
        <f ca="1">RTD("wdf.rtq",,E254,"PctChg")/100</f>
        <v>-2.7999999999999995E-3</v>
      </c>
      <c r="J254" s="125">
        <f ca="1">_xlfn.IFNA([1]!b_anal_ptmyear(B254,$B$2),"未发行或发行失败")</f>
        <v>4.8109589041095893</v>
      </c>
      <c r="K254" s="125">
        <f ca="1">RTD("wdf.rtq",,B254,"Amount","Dirty_Price")/100000000</f>
        <v>0.27646109000000002</v>
      </c>
      <c r="L254" s="125">
        <f ca="1">[1]!cb_anal_convprice(B254,$B$2)</f>
        <v>9.5</v>
      </c>
      <c r="M254" s="125">
        <f t="shared" ca="1" si="12"/>
        <v>111.36842105263158</v>
      </c>
      <c r="N254" s="126">
        <f t="shared" ca="1" si="13"/>
        <v>18.615311909262758</v>
      </c>
      <c r="O254" s="126">
        <f t="array" aca="1" ref="O254" ca="1">_xlfn.IFNA(RTD("wdf.rtq",,B254,"LastPrice","Yield_To_Maturity"),[1]!cb_anal_ytm(B254,$C$2))</f>
        <v>-2.4009</v>
      </c>
      <c r="P254" s="126">
        <f ca="1">[1]!cb_anal_straightbondvalue(B254,$B$2)</f>
        <v>87.11</v>
      </c>
      <c r="Q254" s="126">
        <f t="shared" ca="1" si="14"/>
        <v>51.647342440592354</v>
      </c>
      <c r="R254" s="126" t="str">
        <f ca="1">[1]!b_rate_latestcredit(B254)</f>
        <v>AA-</v>
      </c>
      <c r="S254" s="126">
        <f ca="1">[1]!cb_info_outstandingbalance(B254,$B$2)</f>
        <v>2.0662250000000002</v>
      </c>
      <c r="T254" s="126">
        <f ca="1">[1]!cb_info_issueamount(B254,100000000)</f>
        <v>2.0674000000000001</v>
      </c>
      <c r="U254" s="126">
        <f t="shared" ca="1" si="15"/>
        <v>99.94316532843186</v>
      </c>
      <c r="V254" s="230">
        <f ca="1">IF([1]!cb_anal_ldiluterate(B254,$B$2)=100,"-",[1]!cb_anal_ldiluterate(B254,$B$2))</f>
        <v>7.0000358357238976</v>
      </c>
      <c r="W254" s="127" t="str">
        <f ca="1">[1]!cb_info_listeddate(B254)</f>
        <v>2020-07-27</v>
      </c>
      <c r="X254" s="127" t="str">
        <f ca="1">[1]!cb_info_carrydate(B254)</f>
        <v>2020-07-01</v>
      </c>
      <c r="Y254" s="125" t="str">
        <f ca="1">[1]!cb_clause_conversion_2_swapsharestartdate(B254)</f>
        <v>2021-01-07</v>
      </c>
      <c r="Z254" s="125" t="str">
        <f ca="1">[1]!cb_clause_putoption_conditionalputbackstartenddate(B254)</f>
        <v>2024-07-01</v>
      </c>
      <c r="AA254" s="230">
        <f ca="1">[1]!cb_info_maturitycallprice(B254)</f>
        <v>112</v>
      </c>
      <c r="AB254" s="230">
        <f ca="1">IF(ISNUMBER([1]!cb_info_conditionalputprice(B254)),[1]!cb_info_conditionalputprice(B254),"-")</f>
        <v>0</v>
      </c>
      <c r="AC254" s="230">
        <f ca="1">[1]!cb_info_interest(B254)</f>
        <v>0.4</v>
      </c>
      <c r="AD254" s="263" t="str">
        <f ca="1">IFERROR(couponlist([1]!cb_clause_interest(B254,"4")),"-")</f>
        <v>0.4%，0.8%，1.0%，1.5%，2.5%，3.0%</v>
      </c>
      <c r="AE254" s="129"/>
      <c r="AF254" s="129"/>
      <c r="AG254" s="129"/>
      <c r="AH254" s="129"/>
      <c r="AI254" s="129"/>
      <c r="AJ254" s="129"/>
      <c r="AK254" s="129"/>
      <c r="AL254" s="129"/>
      <c r="AM254" s="129"/>
      <c r="AN254" s="129"/>
      <c r="AO254" s="129"/>
      <c r="AP254" s="129"/>
      <c r="AQ254" s="129"/>
    </row>
    <row r="255" spans="1:43" s="191" customFormat="1" x14ac:dyDescent="0.35">
      <c r="A255" s="182" t="s">
        <v>5</v>
      </c>
      <c r="B255" s="182" t="s">
        <v>409</v>
      </c>
      <c r="C255" s="182" t="s">
        <v>410</v>
      </c>
      <c r="D255" s="235" t="str">
        <f ca="1">IF([1]!s_info_industry_sw(B255,1)=0,"-",[1]!s_info_industry_sw(B255,1))</f>
        <v>化工</v>
      </c>
      <c r="E255" s="183" t="str">
        <f ca="1">[1]!cb_info_underlyingcode(B255)</f>
        <v>300539.SZ</v>
      </c>
      <c r="F255" s="185">
        <f ca="1">RTD("wdf.rtq",,B255,"LastPrice","Dirty_Price")</f>
        <v>342.05</v>
      </c>
      <c r="G255" s="185">
        <f ca="1">RTD("wdf.rtq",,E255,"LastPrice")</f>
        <v>8.7200000000000006</v>
      </c>
      <c r="H255" s="225">
        <f ca="1">RTD("wdf.rtq",,B255,"PctChg","RT_Price")/100</f>
        <v>-1E-4</v>
      </c>
      <c r="I255" s="225">
        <f ca="1">RTD("wdf.rtq",,E255,"PctChg")/100</f>
        <v>2.3E-3</v>
      </c>
      <c r="J255" s="186">
        <f ca="1">_xlfn.IFNA([1]!b_anal_ptmyear(B255,$B$2),"未发行或发行失败")</f>
        <v>2.8794520547945206</v>
      </c>
      <c r="K255" s="186">
        <f ca="1">RTD("wdf.rtq",,B255,"Amount","Dirty_Price")/100000000</f>
        <v>0.1868995</v>
      </c>
      <c r="L255" s="186">
        <f ca="1">[1]!cb_anal_convprice(B255,$B$2)</f>
        <v>9.0399999999999991</v>
      </c>
      <c r="M255" s="186">
        <f t="shared" ca="1" si="12"/>
        <v>96.460176991150462</v>
      </c>
      <c r="N255" s="187">
        <f t="shared" ca="1" si="13"/>
        <v>254.60229357798158</v>
      </c>
      <c r="O255" s="187">
        <f t="array" aca="1" ref="O255" ca="1">_xlfn.IFNA(RTD("wdf.rtq",,B255,"LastPrice","Yield_To_Maturity"),[1]!cb_anal_ytm(B255,$C$2))</f>
        <v>-32.072299999999998</v>
      </c>
      <c r="P255" s="187">
        <f ca="1">[1]!cb_anal_straightbondvalue(B255,$B$2)</f>
        <v>91.097200000000001</v>
      </c>
      <c r="Q255" s="187">
        <f t="shared" ca="1" si="14"/>
        <v>275.47806079659966</v>
      </c>
      <c r="R255" s="187" t="str">
        <f ca="1">[1]!b_rate_latestcredit(B255)</f>
        <v>A+</v>
      </c>
      <c r="S255" s="187">
        <f ca="1">[1]!cb_info_outstandingbalance(B255,$B$2)</f>
        <v>0.38233299999999998</v>
      </c>
      <c r="T255" s="187">
        <f ca="1">[1]!cb_info_issueamount(B255,100000000)</f>
        <v>1.4</v>
      </c>
      <c r="U255" s="187">
        <f t="shared" ca="1" si="15"/>
        <v>27.3095</v>
      </c>
      <c r="V255" s="240">
        <f ca="1">IF([1]!cb_anal_ldiluterate(B255,$B$2)=100,"-",[1]!cb_anal_ldiluterate(B255,$B$2))</f>
        <v>3.587084375382863</v>
      </c>
      <c r="W255" s="188" t="str">
        <f ca="1">[1]!cb_info_listeddate(B255)</f>
        <v>2018-08-20</v>
      </c>
      <c r="X255" s="188" t="str">
        <f ca="1">[1]!cb_info_carrydate(B255)</f>
        <v>2018-07-26</v>
      </c>
      <c r="Y255" s="186" t="str">
        <f ca="1">[1]!cb_clause_conversion_2_swapsharestartdate(B255)</f>
        <v>2019-02-01</v>
      </c>
      <c r="Z255" s="186" t="str">
        <f ca="1">[1]!cb_clause_putoption_conditionalputbackstartenddate(B255)</f>
        <v>2022-07-26</v>
      </c>
      <c r="AA255" s="240">
        <f ca="1">[1]!cb_info_maturitycallprice(B255)</f>
        <v>110</v>
      </c>
      <c r="AB255" s="240">
        <f ca="1">IF(ISNUMBER([1]!cb_info_conditionalputprice(B255)),[1]!cb_info_conditionalputprice(B255),"-")</f>
        <v>0</v>
      </c>
      <c r="AC255" s="240">
        <f ca="1">[1]!cb_info_interest(B255)</f>
        <v>0.5</v>
      </c>
      <c r="AD255" s="262" t="str">
        <f ca="1">IFERROR(couponlist([1]!cb_clause_interest(B255,"4")),"-")</f>
        <v>0.5%，0.8%，1.2%，1.8%，2.2%，2.5%</v>
      </c>
      <c r="AE255" s="189"/>
      <c r="AF255" s="189"/>
      <c r="AG255" s="189"/>
      <c r="AH255" s="189"/>
      <c r="AI255" s="189"/>
      <c r="AJ255" s="189"/>
      <c r="AK255" s="189"/>
      <c r="AL255" s="189"/>
      <c r="AM255" s="189"/>
      <c r="AN255" s="189"/>
      <c r="AO255" s="189"/>
      <c r="AP255" s="189"/>
      <c r="AQ255" s="189"/>
    </row>
    <row r="256" spans="1:43" s="130" customFormat="1" x14ac:dyDescent="0.35">
      <c r="A256" s="121" t="s">
        <v>5</v>
      </c>
      <c r="B256" s="121" t="s">
        <v>475</v>
      </c>
      <c r="C256" s="121" t="s">
        <v>476</v>
      </c>
      <c r="D256" s="236" t="str">
        <f ca="1">IF([1]!s_info_industry_sw(B256,1)=0,"-",[1]!s_info_industry_sw(B256,1))</f>
        <v>化工</v>
      </c>
      <c r="E256" s="122" t="str">
        <f ca="1">[1]!cb_info_underlyingcode(B256)</f>
        <v>002562.SZ</v>
      </c>
      <c r="F256" s="124">
        <f ca="1">RTD("wdf.rtq",,B256,"LastPrice","Dirty_Price")</f>
        <v>112</v>
      </c>
      <c r="G256" s="124">
        <f ca="1">RTD("wdf.rtq",,E256,"LastPrice")</f>
        <v>4.07</v>
      </c>
      <c r="H256" s="226">
        <f ca="1">RTD("wdf.rtq",,B256,"PctChg","RT_Price")/100</f>
        <v>2.9300000000000003E-2</v>
      </c>
      <c r="I256" s="226">
        <f ca="1">RTD("wdf.rtq",,E256,"PctChg")/100</f>
        <v>7.9600000000000004E-2</v>
      </c>
      <c r="J256" s="125">
        <f ca="1">_xlfn.IFNA([1]!b_anal_ptmyear(B256,$B$2),"未发行或发行失败")</f>
        <v>2.2219178082191782</v>
      </c>
      <c r="K256" s="125">
        <f ca="1">RTD("wdf.rtq",,B256,"Amount","Dirty_Price")/100000000</f>
        <v>0.82182462999999994</v>
      </c>
      <c r="L256" s="125">
        <f ca="1">[1]!cb_anal_convprice(B256,$B$2)</f>
        <v>5.19</v>
      </c>
      <c r="M256" s="125">
        <f t="shared" ca="1" si="12"/>
        <v>78.42003853564546</v>
      </c>
      <c r="N256" s="126">
        <f t="shared" ca="1" si="13"/>
        <v>42.820638820638834</v>
      </c>
      <c r="O256" s="126">
        <f t="array" aca="1" ref="O256" ca="1">_xlfn.IFNA(RTD("wdf.rtq",,B256,"LastPrice","Yield_To_Maturity"),[1]!cb_anal_ytm(B256,$C$2))</f>
        <v>-1.3181</v>
      </c>
      <c r="P256" s="126">
        <f ca="1">[1]!cb_anal_straightbondvalue(B256,$B$2)</f>
        <v>101.3034</v>
      </c>
      <c r="Q256" s="126">
        <f t="shared" ca="1" si="14"/>
        <v>10.558974328601025</v>
      </c>
      <c r="R256" s="126" t="str">
        <f ca="1">[1]!b_rate_latestcredit(B256)</f>
        <v>AA</v>
      </c>
      <c r="S256" s="126">
        <f ca="1">[1]!cb_info_outstandingbalance(B256,$B$2)</f>
        <v>2.6531929999999999</v>
      </c>
      <c r="T256" s="126">
        <f ca="1">[1]!cb_info_issueamount(B256,100000000)</f>
        <v>7</v>
      </c>
      <c r="U256" s="126">
        <f t="shared" ca="1" si="15"/>
        <v>37.902757142857141</v>
      </c>
      <c r="V256" s="230">
        <f ca="1">IF([1]!cb_anal_ldiluterate(B256,$B$2)=100,"-",[1]!cb_anal_ldiluterate(B256,$B$2))</f>
        <v>6.8053263385926401</v>
      </c>
      <c r="W256" s="127" t="str">
        <f ca="1">[1]!cb_info_listeddate(B256)</f>
        <v>2017-12-27</v>
      </c>
      <c r="X256" s="127" t="str">
        <f ca="1">[1]!cb_info_carrydate(B256)</f>
        <v>2017-11-28</v>
      </c>
      <c r="Y256" s="125" t="str">
        <f ca="1">[1]!cb_clause_conversion_2_swapsharestartdate(B256)</f>
        <v>2018-06-04</v>
      </c>
      <c r="Z256" s="125" t="str">
        <f ca="1">[1]!cb_clause_putoption_conditionalputbackstartenddate(B256)</f>
        <v>2021-11-28</v>
      </c>
      <c r="AA256" s="230">
        <f ca="1">[1]!cb_info_maturitycallprice(B256)</f>
        <v>106</v>
      </c>
      <c r="AB256" s="230">
        <f ca="1">IF(ISNUMBER([1]!cb_info_conditionalputprice(B256)),[1]!cb_info_conditionalputprice(B256),"-")</f>
        <v>0</v>
      </c>
      <c r="AC256" s="230">
        <f ca="1">[1]!cb_info_interest(B256)</f>
        <v>0.3</v>
      </c>
      <c r="AD256" s="263" t="str">
        <f ca="1">IFERROR(couponlist([1]!cb_clause_interest(B256,"4")),"-")</f>
        <v>0.3%，0.5%，1.0%，1.3%，1.5%，1.8%</v>
      </c>
      <c r="AE256" s="129"/>
      <c r="AF256" s="129"/>
      <c r="AG256" s="129"/>
      <c r="AH256" s="129"/>
      <c r="AI256" s="129"/>
      <c r="AJ256" s="129"/>
      <c r="AK256" s="129"/>
      <c r="AL256" s="129"/>
      <c r="AM256" s="129"/>
      <c r="AN256" s="129"/>
      <c r="AO256" s="129"/>
      <c r="AP256" s="129"/>
      <c r="AQ256" s="129"/>
    </row>
    <row r="257" spans="1:43" s="191" customFormat="1" x14ac:dyDescent="0.35">
      <c r="A257" s="182" t="s">
        <v>5</v>
      </c>
      <c r="B257" s="182" t="s">
        <v>925</v>
      </c>
      <c r="C257" s="182" t="s">
        <v>926</v>
      </c>
      <c r="D257" s="235" t="str">
        <f ca="1">IF([1]!s_info_industry_sw(B257,1)=0,"-",[1]!s_info_industry_sw(B257,1))</f>
        <v>化工</v>
      </c>
      <c r="E257" s="183" t="str">
        <f ca="1">[1]!cb_info_underlyingcode(B257)</f>
        <v>300641.SZ</v>
      </c>
      <c r="F257" s="185">
        <f ca="1">RTD("wdf.rtq",,B257,"LastPrice","Dirty_Price")</f>
        <v>126.55000000000001</v>
      </c>
      <c r="G257" s="185">
        <f ca="1">RTD("wdf.rtq",,E257,"LastPrice")</f>
        <v>8.09</v>
      </c>
      <c r="H257" s="225">
        <f ca="1">RTD("wdf.rtq",,B257,"PctChg","RT_Price")/100</f>
        <v>1.4700000000000001E-2</v>
      </c>
      <c r="I257" s="225">
        <f ca="1">RTD("wdf.rtq",,E257,"PctChg")/100</f>
        <v>3.7000000000000002E-3</v>
      </c>
      <c r="J257" s="186">
        <f ca="1">_xlfn.IFNA([1]!b_anal_ptmyear(B257,$B$2),"未发行或发行失败")</f>
        <v>5.5397260273972604</v>
      </c>
      <c r="K257" s="186">
        <f ca="1">RTD("wdf.rtq",,B257,"Amount","Dirty_Price")/100000000</f>
        <v>0.25771708999999998</v>
      </c>
      <c r="L257" s="186">
        <f ca="1">[1]!cb_anal_convprice(B257,$B$2)</f>
        <v>7.5</v>
      </c>
      <c r="M257" s="186">
        <f t="shared" ca="1" si="12"/>
        <v>107.86666666666666</v>
      </c>
      <c r="N257" s="187">
        <f t="shared" ca="1" si="13"/>
        <v>17.32076637824477</v>
      </c>
      <c r="O257" s="187">
        <f t="array" aca="1" ref="O257" ca="1">_xlfn.IFNA(RTD("wdf.rtq",,B257,"LastPrice","Yield_To_Maturity"),[1]!cb_anal_ytm(B257,$C$2))</f>
        <v>-0.153</v>
      </c>
      <c r="P257" s="187">
        <f ca="1">[1]!cb_anal_straightbondvalue(B257,$B$2)</f>
        <v>88.069699999999997</v>
      </c>
      <c r="Q257" s="187">
        <f t="shared" ca="1" si="14"/>
        <v>43.693006788941062</v>
      </c>
      <c r="R257" s="187" t="str">
        <f ca="1">[1]!b_rate_latestcredit(B257)</f>
        <v>AA-</v>
      </c>
      <c r="S257" s="187">
        <f ca="1">[1]!cb_info_outstandingbalance(B257,$B$2)</f>
        <v>3.2</v>
      </c>
      <c r="T257" s="187">
        <f ca="1">[1]!cb_info_issueamount(B257,100000000)</f>
        <v>3.2</v>
      </c>
      <c r="U257" s="187">
        <f t="shared" ca="1" si="15"/>
        <v>100</v>
      </c>
      <c r="V257" s="240">
        <f ca="1">IF([1]!cb_anal_ldiluterate(B257,$B$2)=100,"-",[1]!cb_anal_ldiluterate(B257,$B$2))</f>
        <v>8.0160320641282574</v>
      </c>
      <c r="W257" s="188" t="str">
        <f ca="1">[1]!cb_info_listeddate(B257)</f>
        <v>2021-04-20</v>
      </c>
      <c r="X257" s="188" t="str">
        <f ca="1">[1]!cb_info_carrydate(B257)</f>
        <v>2021-03-24</v>
      </c>
      <c r="Y257" s="186" t="str">
        <f ca="1">[1]!cb_clause_conversion_2_swapsharestartdate(B257)</f>
        <v>2021-09-30</v>
      </c>
      <c r="Z257" s="186" t="str">
        <f ca="1">[1]!cb_clause_putoption_conditionalputbackstartenddate(B257)</f>
        <v>2025-03-24</v>
      </c>
      <c r="AA257" s="240">
        <f ca="1">[1]!cb_info_maturitycallprice(B257)</f>
        <v>120</v>
      </c>
      <c r="AB257" s="240">
        <f ca="1">IF(ISNUMBER([1]!cb_info_conditionalputprice(B257)),[1]!cb_info_conditionalputprice(B257),"-")</f>
        <v>0</v>
      </c>
      <c r="AC257" s="240">
        <f ca="1">[1]!cb_info_interest(B257)</f>
        <v>0.4</v>
      </c>
      <c r="AD257" s="262" t="str">
        <f ca="1">IFERROR(couponlist([1]!cb_clause_interest(B257,"4")),"-")</f>
        <v>0.40%，0.60%，1.00%，1.50%，2.00%，2.50%</v>
      </c>
      <c r="AE257" s="189"/>
      <c r="AF257" s="189"/>
      <c r="AG257" s="189"/>
      <c r="AH257" s="189"/>
      <c r="AI257" s="189"/>
      <c r="AJ257" s="189"/>
      <c r="AK257" s="189"/>
      <c r="AL257" s="189"/>
      <c r="AM257" s="189"/>
      <c r="AN257" s="189"/>
      <c r="AO257" s="189"/>
      <c r="AP257" s="189"/>
      <c r="AQ257" s="189"/>
    </row>
    <row r="258" spans="1:43" s="130" customFormat="1" x14ac:dyDescent="0.35">
      <c r="A258" s="121" t="s">
        <v>5</v>
      </c>
      <c r="B258" s="121" t="s">
        <v>931</v>
      </c>
      <c r="C258" s="121" t="s">
        <v>932</v>
      </c>
      <c r="D258" s="236" t="str">
        <f ca="1">IF([1]!s_info_industry_sw(B258,1)=0,"-",[1]!s_info_industry_sw(B258,1))</f>
        <v>化工</v>
      </c>
      <c r="E258" s="122" t="str">
        <f ca="1">[1]!cb_info_underlyingcode(B258)</f>
        <v>000902.SZ</v>
      </c>
      <c r="F258" s="124">
        <f ca="1">RTD("wdf.rtq",,B258,"LastPrice","Dirty_Price")</f>
        <v>142.245</v>
      </c>
      <c r="G258" s="124">
        <f ca="1">RTD("wdf.rtq",,E258,"LastPrice")</f>
        <v>21.240000000000002</v>
      </c>
      <c r="H258" s="226">
        <f ca="1">RTD("wdf.rtq",,B258,"PctChg","RT_Price")/100</f>
        <v>1.0200000000000001E-2</v>
      </c>
      <c r="I258" s="226">
        <f ca="1">RTD("wdf.rtq",,E258,"PctChg")/100</f>
        <v>1.09E-2</v>
      </c>
      <c r="J258" s="125">
        <f ca="1">_xlfn.IFNA([1]!b_anal_ptmyear(B258,$B$2),"未发行或发行失败")</f>
        <v>5.5424657534246577</v>
      </c>
      <c r="K258" s="125">
        <f ca="1">RTD("wdf.rtq",,B258,"Amount","Dirty_Price")/100000000</f>
        <v>0.31410459000000002</v>
      </c>
      <c r="L258" s="125">
        <f ca="1">[1]!cb_anal_convprice(B258,$B$2)</f>
        <v>19.940000000000001</v>
      </c>
      <c r="M258" s="125">
        <f t="shared" ca="1" si="12"/>
        <v>106.51955867602808</v>
      </c>
      <c r="N258" s="126">
        <f t="shared" ca="1" si="13"/>
        <v>33.538855932203404</v>
      </c>
      <c r="O258" s="126">
        <f t="array" aca="1" ref="O258" ca="1">_xlfn.IFNA(RTD("wdf.rtq",,B258,"LastPrice","Yield_To_Maturity"),[1]!cb_anal_ytm(B258,$C$2))</f>
        <v>-3.5059</v>
      </c>
      <c r="P258" s="126">
        <f ca="1">[1]!cb_anal_straightbondvalue(B258,$B$2)</f>
        <v>92.651200000000003</v>
      </c>
      <c r="Q258" s="126">
        <f t="shared" ca="1" si="14"/>
        <v>53.527423282159333</v>
      </c>
      <c r="R258" s="126" t="str">
        <f ca="1">[1]!b_rate_latestcredit(B258)</f>
        <v>AA</v>
      </c>
      <c r="S258" s="126">
        <f ca="1">[1]!cb_info_outstandingbalance(B258,$B$2)</f>
        <v>10</v>
      </c>
      <c r="T258" s="126">
        <f ca="1">[1]!cb_info_issueamount(B258,100000000)</f>
        <v>10</v>
      </c>
      <c r="U258" s="126">
        <f t="shared" ca="1" si="15"/>
        <v>100</v>
      </c>
      <c r="V258" s="230">
        <f ca="1">IF([1]!cb_anal_ldiluterate(B258,$B$2)=100,"-",[1]!cb_anal_ldiluterate(B258,$B$2))</f>
        <v>4.0559718577337396</v>
      </c>
      <c r="W258" s="127" t="str">
        <f ca="1">[1]!cb_info_listeddate(B258)</f>
        <v>2021-04-23</v>
      </c>
      <c r="X258" s="127" t="str">
        <f ca="1">[1]!cb_info_carrydate(B258)</f>
        <v>2021-03-25</v>
      </c>
      <c r="Y258" s="125" t="str">
        <f ca="1">[1]!cb_clause_conversion_2_swapsharestartdate(B258)</f>
        <v>2021-10-08</v>
      </c>
      <c r="Z258" s="125" t="str">
        <f ca="1">[1]!cb_clause_putoption_conditionalputbackstartenddate(B258)</f>
        <v>2025-03-25</v>
      </c>
      <c r="AA258" s="230">
        <f ca="1">[1]!cb_info_maturitycallprice(B258)</f>
        <v>112</v>
      </c>
      <c r="AB258" s="230">
        <f ca="1">IF(ISNUMBER([1]!cb_info_conditionalputprice(B258)),[1]!cb_info_conditionalputprice(B258),"-")</f>
        <v>0</v>
      </c>
      <c r="AC258" s="230">
        <f ca="1">[1]!cb_info_interest(B258)</f>
        <v>0.3</v>
      </c>
      <c r="AD258" s="263" t="str">
        <f ca="1">IFERROR(couponlist([1]!cb_clause_interest(B258,"4")),"-")</f>
        <v>0.3%，0.5%，1.0%，1.5%，1.8%，2.0%</v>
      </c>
      <c r="AE258" s="129"/>
      <c r="AF258" s="129"/>
      <c r="AG258" s="129"/>
      <c r="AH258" s="129"/>
      <c r="AI258" s="129"/>
      <c r="AJ258" s="129"/>
      <c r="AK258" s="129"/>
      <c r="AL258" s="129"/>
      <c r="AM258" s="129"/>
      <c r="AN258" s="129"/>
      <c r="AO258" s="129"/>
      <c r="AP258" s="129"/>
      <c r="AQ258" s="129"/>
    </row>
    <row r="259" spans="1:43" s="191" customFormat="1" x14ac:dyDescent="0.35">
      <c r="A259" s="182" t="s">
        <v>5</v>
      </c>
      <c r="B259" s="182" t="s">
        <v>427</v>
      </c>
      <c r="C259" s="182" t="s">
        <v>428</v>
      </c>
      <c r="D259" s="235" t="str">
        <f ca="1">IF([1]!s_info_industry_sw(B259,1)=0,"-",[1]!s_info_industry_sw(B259,1))</f>
        <v>化工</v>
      </c>
      <c r="E259" s="183" t="str">
        <f ca="1">[1]!cb_info_underlyingcode(B259)</f>
        <v>002224.SZ</v>
      </c>
      <c r="F259" s="185">
        <f ca="1">RTD("wdf.rtq",,B259,"LastPrice","Dirty_Price")</f>
        <v>115.30000000000001</v>
      </c>
      <c r="G259" s="185">
        <f ca="1">RTD("wdf.rtq",,E259,"LastPrice")</f>
        <v>5.23</v>
      </c>
      <c r="H259" s="225">
        <f ca="1">RTD("wdf.rtq",,B259,"PctChg","RT_Price")/100</f>
        <v>6.0999999999999995E-3</v>
      </c>
      <c r="I259" s="225">
        <f ca="1">RTD("wdf.rtq",,E259,"PctChg")/100</f>
        <v>1.3600000000000001E-2</v>
      </c>
      <c r="J259" s="186">
        <f ca="1">_xlfn.IFNA([1]!b_anal_ptmyear(B259,$B$2),"未发行或发行失败")</f>
        <v>2.7479452054794522</v>
      </c>
      <c r="K259" s="186">
        <f ca="1">RTD("wdf.rtq",,B259,"Amount","Dirty_Price")/100000000</f>
        <v>5.4124249999999999E-2</v>
      </c>
      <c r="L259" s="186">
        <f ca="1">[1]!cb_anal_convprice(B259,$B$2)</f>
        <v>5.79</v>
      </c>
      <c r="M259" s="186">
        <f t="shared" ca="1" si="12"/>
        <v>90.328151986183073</v>
      </c>
      <c r="N259" s="187">
        <f t="shared" ca="1" si="13"/>
        <v>27.645697896749539</v>
      </c>
      <c r="O259" s="187">
        <f t="array" aca="1" ref="O259" ca="1">_xlfn.IFNA(RTD("wdf.rtq",,B259,"LastPrice","Yield_To_Maturity"),[1]!cb_anal_ytm(B259,$C$2))</f>
        <v>-2.1177000000000001</v>
      </c>
      <c r="P259" s="187">
        <f ca="1">[1]!cb_anal_straightbondvalue(B259,$B$2)</f>
        <v>92.862300000000005</v>
      </c>
      <c r="Q259" s="187">
        <f t="shared" ca="1" si="14"/>
        <v>24.162334984164744</v>
      </c>
      <c r="R259" s="187" t="str">
        <f ca="1">[1]!b_rate_latestcredit(B259)</f>
        <v>AA-</v>
      </c>
      <c r="S259" s="187">
        <f ca="1">[1]!cb_info_outstandingbalance(B259,$B$2)</f>
        <v>2.024829</v>
      </c>
      <c r="T259" s="187">
        <f ca="1">[1]!cb_info_issueamount(B259,100000000)</f>
        <v>6.2</v>
      </c>
      <c r="U259" s="187">
        <f t="shared" ca="1" si="15"/>
        <v>32.658532258064518</v>
      </c>
      <c r="V259" s="240">
        <f ca="1">IF([1]!cb_anal_ldiluterate(B259,$B$2)=100,"-",[1]!cb_anal_ldiluterate(B259,$B$2))</f>
        <v>6.0564422009913539</v>
      </c>
      <c r="W259" s="188" t="str">
        <f ca="1">[1]!cb_info_listeddate(B259)</f>
        <v>2018-06-29</v>
      </c>
      <c r="X259" s="188" t="str">
        <f ca="1">[1]!cb_info_carrydate(B259)</f>
        <v>2018-06-08</v>
      </c>
      <c r="Y259" s="186" t="str">
        <f ca="1">[1]!cb_clause_conversion_2_swapsharestartdate(B259)</f>
        <v>2018-12-14</v>
      </c>
      <c r="Z259" s="186" t="str">
        <f ca="1">[1]!cb_clause_putoption_conditionalputbackstartenddate(B259)</f>
        <v>2022-06-08</v>
      </c>
      <c r="AA259" s="240">
        <f ca="1">[1]!cb_info_maturitycallprice(B259)</f>
        <v>106</v>
      </c>
      <c r="AB259" s="240">
        <f ca="1">IF(ISNUMBER([1]!cb_info_conditionalputprice(B259)),[1]!cb_info_conditionalputprice(B259),"-")</f>
        <v>0</v>
      </c>
      <c r="AC259" s="240">
        <f ca="1">[1]!cb_info_interest(B259)</f>
        <v>0.3</v>
      </c>
      <c r="AD259" s="262" t="str">
        <f ca="1">IFERROR(couponlist([1]!cb_clause_interest(B259,"4")),"-")</f>
        <v>0.3%，0.5%，1.0%，1.3%，1.5%，2.0%</v>
      </c>
      <c r="AE259" s="189"/>
      <c r="AF259" s="189"/>
      <c r="AG259" s="189"/>
      <c r="AH259" s="189"/>
      <c r="AI259" s="189"/>
      <c r="AJ259" s="189"/>
      <c r="AK259" s="189"/>
      <c r="AL259" s="189"/>
      <c r="AM259" s="189"/>
      <c r="AN259" s="189"/>
      <c r="AO259" s="189"/>
      <c r="AP259" s="189"/>
      <c r="AQ259" s="189"/>
    </row>
    <row r="260" spans="1:43" s="130" customFormat="1" x14ac:dyDescent="0.35">
      <c r="A260" s="121" t="s">
        <v>5</v>
      </c>
      <c r="B260" s="121" t="s">
        <v>593</v>
      </c>
      <c r="C260" s="121" t="s">
        <v>594</v>
      </c>
      <c r="D260" s="236" t="str">
        <f ca="1">IF([1]!s_info_industry_sw(B260,1)=0,"-",[1]!s_info_industry_sw(B260,1))</f>
        <v>化工</v>
      </c>
      <c r="E260" s="122" t="str">
        <f ca="1">[1]!cb_info_underlyingcode(B260)</f>
        <v>300429.SZ</v>
      </c>
      <c r="F260" s="124">
        <f ca="1">RTD("wdf.rtq",,B260,"LastPrice","Dirty_Price")</f>
        <v>109.06100000000001</v>
      </c>
      <c r="G260" s="124">
        <f ca="1">RTD("wdf.rtq",,E260,"LastPrice")</f>
        <v>13.08</v>
      </c>
      <c r="H260" s="226">
        <f ca="1">RTD("wdf.rtq",,B260,"PctChg","RT_Price")/100</f>
        <v>6.9999999999999988E-4</v>
      </c>
      <c r="I260" s="226">
        <f ca="1">RTD("wdf.rtq",,E260,"PctChg")/100</f>
        <v>5.4000000000000003E-3</v>
      </c>
      <c r="J260" s="125">
        <f ca="1">_xlfn.IFNA([1]!b_anal_ptmyear(B260,$B$2),"未发行或发行失败")</f>
        <v>5.1972602739726028</v>
      </c>
      <c r="K260" s="125">
        <f ca="1">RTD("wdf.rtq",,B260,"Amount","Dirty_Price")/100000000</f>
        <v>5.0214219999999997E-2</v>
      </c>
      <c r="L260" s="125">
        <f ca="1">[1]!cb_anal_convprice(B260,$B$2)</f>
        <v>18.940000000000001</v>
      </c>
      <c r="M260" s="125">
        <f t="shared" ca="1" si="12"/>
        <v>69.060190073917624</v>
      </c>
      <c r="N260" s="126">
        <f t="shared" ca="1" si="13"/>
        <v>57.921662079510725</v>
      </c>
      <c r="O260" s="126">
        <f t="array" aca="1" ref="O260" ca="1">_xlfn.IFNA(RTD("wdf.rtq",,B260,"LastPrice","Yield_To_Maturity"),[1]!cb_anal_ytm(B260,$C$2))</f>
        <v>1.6441000000000001</v>
      </c>
      <c r="P260" s="126">
        <f ca="1">[1]!cb_anal_straightbondvalue(B260,$B$2)</f>
        <v>85.237700000000004</v>
      </c>
      <c r="Q260" s="126">
        <f t="shared" ca="1" si="14"/>
        <v>27.949252502120544</v>
      </c>
      <c r="R260" s="126" t="str">
        <f ca="1">[1]!b_rate_latestcredit(B260)</f>
        <v>AA-</v>
      </c>
      <c r="S260" s="126">
        <f ca="1">[1]!cb_info_outstandingbalance(B260,$B$2)</f>
        <v>8.4987980000000007</v>
      </c>
      <c r="T260" s="126">
        <f ca="1">[1]!cb_info_issueamount(B260,100000000)</f>
        <v>8.5</v>
      </c>
      <c r="U260" s="126">
        <f t="shared" ca="1" si="15"/>
        <v>99.985858823529412</v>
      </c>
      <c r="V260" s="230">
        <f ca="1">IF([1]!cb_anal_ldiluterate(B260,$B$2)=100,"-",[1]!cb_anal_ldiluterate(B260,$B$2))</f>
        <v>10.917407113050933</v>
      </c>
      <c r="W260" s="127" t="str">
        <f ca="1">[1]!cb_info_listeddate(B260)</f>
        <v>2020-12-04</v>
      </c>
      <c r="X260" s="127" t="str">
        <f ca="1">[1]!cb_info_carrydate(B260)</f>
        <v>2020-11-19</v>
      </c>
      <c r="Y260" s="125" t="str">
        <f ca="1">[1]!cb_clause_conversion_2_swapsharestartdate(B260)</f>
        <v>2021-05-25</v>
      </c>
      <c r="Z260" s="125" t="str">
        <f ca="1">[1]!cb_clause_putoption_conditionalputbackstartenddate(B260)</f>
        <v>2024-11-19</v>
      </c>
      <c r="AA260" s="230">
        <f ca="1">[1]!cb_info_maturitycallprice(B260)</f>
        <v>113</v>
      </c>
      <c r="AB260" s="230">
        <f ca="1">IF(ISNUMBER([1]!cb_info_conditionalputprice(B260)),[1]!cb_info_conditionalputprice(B260),"-")</f>
        <v>0</v>
      </c>
      <c r="AC260" s="230">
        <f ca="1">[1]!cb_info_interest(B260)</f>
        <v>0.4</v>
      </c>
      <c r="AD260" s="263" t="str">
        <f ca="1">IFERROR(couponlist([1]!cb_clause_interest(B260,"4")),"-")</f>
        <v>0.40%，0.60%，1.00%，1.50%，2.00%，2.00%</v>
      </c>
      <c r="AE260" s="129"/>
      <c r="AF260" s="129"/>
      <c r="AG260" s="129"/>
      <c r="AH260" s="129"/>
      <c r="AI260" s="129"/>
      <c r="AJ260" s="129"/>
      <c r="AK260" s="129"/>
      <c r="AL260" s="129"/>
      <c r="AM260" s="129"/>
      <c r="AN260" s="129"/>
      <c r="AO260" s="129"/>
      <c r="AP260" s="129"/>
      <c r="AQ260" s="129"/>
    </row>
    <row r="261" spans="1:43" s="191" customFormat="1" x14ac:dyDescent="0.35">
      <c r="A261" s="182" t="s">
        <v>5</v>
      </c>
      <c r="B261" s="182" t="s">
        <v>214</v>
      </c>
      <c r="C261" s="182" t="s">
        <v>215</v>
      </c>
      <c r="D261" s="235" t="str">
        <f ca="1">IF([1]!s_info_industry_sw(B261,1)=0,"-",[1]!s_info_industry_sw(B261,1))</f>
        <v>化工</v>
      </c>
      <c r="E261" s="183" t="str">
        <f ca="1">[1]!cb_info_underlyingcode(B261)</f>
        <v>002455.SZ</v>
      </c>
      <c r="F261" s="185">
        <f ca="1">RTD("wdf.rtq",,B261,"LastPrice","Dirty_Price")</f>
        <v>329.6</v>
      </c>
      <c r="G261" s="185">
        <f ca="1">RTD("wdf.rtq",,E261,"LastPrice")</f>
        <v>17.97</v>
      </c>
      <c r="H261" s="225">
        <f ca="1">RTD("wdf.rtq",,B261,"PctChg","RT_Price")/100</f>
        <v>-4.2000000000000006E-3</v>
      </c>
      <c r="I261" s="225">
        <f ca="1">RTD("wdf.rtq",,E261,"PctChg")/100</f>
        <v>-1.1600000000000001E-2</v>
      </c>
      <c r="J261" s="186">
        <f ca="1">_xlfn.IFNA([1]!b_anal_ptmyear(B261,$B$2),"未发行或发行失败")</f>
        <v>4.3205479452054796</v>
      </c>
      <c r="K261" s="186">
        <f ca="1">RTD("wdf.rtq",,B261,"Amount","Dirty_Price")/100000000</f>
        <v>4.2166091000000003</v>
      </c>
      <c r="L261" s="186">
        <f ca="1">[1]!cb_anal_convprice(B261,$B$2)</f>
        <v>5.77</v>
      </c>
      <c r="M261" s="186">
        <f t="shared" ca="1" si="12"/>
        <v>311.43847487001733</v>
      </c>
      <c r="N261" s="187">
        <f t="shared" ca="1" si="13"/>
        <v>5.8314969393433529</v>
      </c>
      <c r="O261" s="187">
        <f t="array" aca="1" ref="O261" ca="1">_xlfn.IFNA(RTD("wdf.rtq",,B261,"LastPrice","Yield_To_Maturity"),[1]!cb_anal_ytm(B261,$C$2))</f>
        <v>-19.903400000000001</v>
      </c>
      <c r="P261" s="187">
        <f ca="1">[1]!cb_anal_straightbondvalue(B261,$B$2)</f>
        <v>99.933199999999999</v>
      </c>
      <c r="Q261" s="187">
        <f t="shared" ca="1" si="14"/>
        <v>229.82031997374247</v>
      </c>
      <c r="R261" s="187" t="str">
        <f ca="1">[1]!b_rate_latestcredit(B261)</f>
        <v>AA-</v>
      </c>
      <c r="S261" s="187">
        <f ca="1">[1]!cb_info_outstandingbalance(B261,$B$2)</f>
        <v>1.620479</v>
      </c>
      <c r="T261" s="187">
        <f ca="1">[1]!cb_info_issueamount(B261,100000000)</f>
        <v>5.2</v>
      </c>
      <c r="U261" s="187">
        <f t="shared" ca="1" si="15"/>
        <v>31.163057692307692</v>
      </c>
      <c r="V261" s="240">
        <f ca="1">IF([1]!cb_anal_ldiluterate(B261,$B$2)=100,"-",[1]!cb_anal_ldiluterate(B261,$B$2))</f>
        <v>7.2340954513025526</v>
      </c>
      <c r="W261" s="188" t="str">
        <f ca="1">[1]!cb_info_listeddate(B261)</f>
        <v>2020-01-21</v>
      </c>
      <c r="X261" s="188" t="str">
        <f ca="1">[1]!cb_info_carrydate(B261)</f>
        <v>2020-01-03</v>
      </c>
      <c r="Y261" s="186" t="str">
        <f ca="1">[1]!cb_clause_conversion_2_swapsharestartdate(B261)</f>
        <v>2020-07-09</v>
      </c>
      <c r="Z261" s="186" t="str">
        <f ca="1">[1]!cb_clause_putoption_conditionalputbackstartenddate(B261)</f>
        <v>2024-01-03</v>
      </c>
      <c r="AA261" s="240">
        <f ca="1">[1]!cb_info_maturitycallprice(B261)</f>
        <v>120</v>
      </c>
      <c r="AB261" s="240">
        <f ca="1">IF(ISNUMBER([1]!cb_info_conditionalputprice(B261)),[1]!cb_info_conditionalputprice(B261),"-")</f>
        <v>0</v>
      </c>
      <c r="AC261" s="240">
        <f ca="1">[1]!cb_info_interest(B261)</f>
        <v>0.5</v>
      </c>
      <c r="AD261" s="262" t="str">
        <f ca="1">IFERROR(couponlist([1]!cb_clause_interest(B261,"4")),"-")</f>
        <v>0.50%，0.80%，2.50%，3.00%，3.50%，4.00%</v>
      </c>
      <c r="AE261" s="189"/>
      <c r="AF261" s="189"/>
      <c r="AG261" s="189"/>
      <c r="AH261" s="189"/>
      <c r="AI261" s="189"/>
      <c r="AJ261" s="189"/>
      <c r="AK261" s="189"/>
      <c r="AL261" s="189"/>
      <c r="AM261" s="189"/>
      <c r="AN261" s="189"/>
      <c r="AO261" s="189"/>
      <c r="AP261" s="189"/>
      <c r="AQ261" s="189"/>
    </row>
    <row r="262" spans="1:43" s="130" customFormat="1" x14ac:dyDescent="0.35">
      <c r="A262" s="121" t="s">
        <v>0</v>
      </c>
      <c r="B262" s="121" t="s">
        <v>1701</v>
      </c>
      <c r="C262" s="121" t="s">
        <v>1702</v>
      </c>
      <c r="D262" s="236" t="str">
        <f ca="1">IF([1]!s_info_industry_sw(B262,1)=0,"-",[1]!s_info_industry_sw(B262,1))</f>
        <v>化工</v>
      </c>
      <c r="E262" s="122" t="str">
        <f ca="1">[1]!cb_info_underlyingcode(B262)</f>
        <v>603225.SH</v>
      </c>
      <c r="F262" s="124">
        <f ca="1">RTD("wdf.rtq",,B262,"LastPrice","Dirty_Price")</f>
        <v>148.01000000000002</v>
      </c>
      <c r="G262" s="124">
        <f ca="1">RTD("wdf.rtq",,E262,"LastPrice")</f>
        <v>21.2</v>
      </c>
      <c r="H262" s="226">
        <f ca="1">RTD("wdf.rtq",,B262,"PctChg","RT_Price")/100</f>
        <v>1.2100000000000001E-2</v>
      </c>
      <c r="I262" s="226">
        <f ca="1">RTD("wdf.rtq",,E262,"PctChg")/100</f>
        <v>5.21E-2</v>
      </c>
      <c r="J262" s="125">
        <f ca="1">_xlfn.IFNA([1]!b_anal_ptmyear(B262,$B$2),"未发行或发行失败")</f>
        <v>5.580821917808219</v>
      </c>
      <c r="K262" s="125">
        <f ca="1">RTD("wdf.rtq",,B262,"Amount","Dirty_Price")/100000000</f>
        <v>1.10234323</v>
      </c>
      <c r="L262" s="125">
        <f ca="1">[1]!cb_anal_convprice(B262,$B$2)</f>
        <v>16.47</v>
      </c>
      <c r="M262" s="125">
        <f t="shared" ca="1" si="12"/>
        <v>128.71888281724347</v>
      </c>
      <c r="N262" s="126">
        <f t="shared" ca="1" si="13"/>
        <v>14.987014150943409</v>
      </c>
      <c r="O262" s="126">
        <f t="array" aca="1" ref="O262" ca="1">_xlfn.IFNA(RTD("wdf.rtq",,B262,"LastPrice","Yield_To_Maturity"),[1]!cb_anal_ytm(B262,$C$2))</f>
        <v>-4.1772999999999998</v>
      </c>
      <c r="P262" s="126">
        <f ca="1">[1]!cb_anal_straightbondvalue(B262,$B$2)</f>
        <v>92.448999999999998</v>
      </c>
      <c r="Q262" s="126">
        <f t="shared" ca="1" si="14"/>
        <v>60.099081655831895</v>
      </c>
      <c r="R262" s="126" t="str">
        <f ca="1">[1]!b_rate_latestcredit(B262)</f>
        <v>AA</v>
      </c>
      <c r="S262" s="126">
        <f ca="1">[1]!cb_info_outstandingbalance(B262,$B$2)</f>
        <v>25</v>
      </c>
      <c r="T262" s="126">
        <f ca="1">[1]!cb_info_issueamount(B262,100000000)</f>
        <v>25</v>
      </c>
      <c r="U262" s="126">
        <f t="shared" ca="1" si="15"/>
        <v>100</v>
      </c>
      <c r="V262" s="230">
        <f ca="1">IF([1]!cb_anal_ldiluterate(B262,$B$2)=100,"-",[1]!cb_anal_ldiluterate(B262,$B$2))</f>
        <v>9.1643934370053852</v>
      </c>
      <c r="W262" s="127" t="str">
        <f ca="1">[1]!cb_info_listeddate(B262)</f>
        <v>2021-05-07</v>
      </c>
      <c r="X262" s="127" t="str">
        <f ca="1">[1]!cb_info_carrydate(B262)</f>
        <v>2021-04-08</v>
      </c>
      <c r="Y262" s="125" t="str">
        <f ca="1">[1]!cb_clause_conversion_2_swapsharestartdate(B262)</f>
        <v>2021-10-14</v>
      </c>
      <c r="Z262" s="125" t="str">
        <f ca="1">[1]!cb_clause_putoption_conditionalputbackstartenddate(B262)</f>
        <v>2025-04-08</v>
      </c>
      <c r="AA262" s="230">
        <f ca="1">[1]!cb_info_maturitycallprice(B262)</f>
        <v>112</v>
      </c>
      <c r="AB262" s="230">
        <f ca="1">IF(ISNUMBER([1]!cb_info_conditionalputprice(B262)),[1]!cb_info_conditionalputprice(B262),"-")</f>
        <v>0</v>
      </c>
      <c r="AC262" s="230">
        <f ca="1">[1]!cb_info_interest(B262)</f>
        <v>0.3</v>
      </c>
      <c r="AD262" s="263" t="str">
        <f ca="1">IFERROR(couponlist([1]!cb_clause_interest(B262,"4")),"-")</f>
        <v>0.30%，0.50%，1.00%，1.50%，1.80%，2.00%</v>
      </c>
      <c r="AE262" s="129"/>
      <c r="AF262" s="129"/>
      <c r="AG262" s="129"/>
      <c r="AH262" s="129"/>
      <c r="AI262" s="129"/>
      <c r="AJ262" s="129"/>
      <c r="AK262" s="129"/>
      <c r="AL262" s="129"/>
      <c r="AM262" s="129"/>
      <c r="AN262" s="129"/>
      <c r="AO262" s="129"/>
      <c r="AP262" s="129"/>
      <c r="AQ262" s="129"/>
    </row>
    <row r="263" spans="1:43" s="191" customFormat="1" x14ac:dyDescent="0.35">
      <c r="A263" s="182" t="s">
        <v>5</v>
      </c>
      <c r="B263" s="182" t="s">
        <v>844</v>
      </c>
      <c r="C263" s="182" t="s">
        <v>845</v>
      </c>
      <c r="D263" s="235" t="str">
        <f ca="1">IF([1]!s_info_industry_sw(B263,1)=0,"-",[1]!s_info_industry_sw(B263,1))</f>
        <v>化工</v>
      </c>
      <c r="E263" s="183" t="str">
        <f ca="1">[1]!cb_info_underlyingcode(B263)</f>
        <v>300568.SZ</v>
      </c>
      <c r="F263" s="185">
        <f ca="1">RTD("wdf.rtq",,B263,"LastPrice","Dirty_Price")</f>
        <v>261.303</v>
      </c>
      <c r="G263" s="185">
        <f ca="1">RTD("wdf.rtq",,E263,"LastPrice")</f>
        <v>56.72</v>
      </c>
      <c r="H263" s="225">
        <f ca="1">RTD("wdf.rtq",,B263,"PctChg","RT_Price")/100</f>
        <v>0</v>
      </c>
      <c r="I263" s="225">
        <f ca="1">RTD("wdf.rtq",,E263,"PctChg")/100</f>
        <v>2.4200000000000003E-2</v>
      </c>
      <c r="J263" s="186">
        <f ca="1">_xlfn.IFNA([1]!b_anal_ptmyear(B263,$B$2),"未发行或发行失败")</f>
        <v>5.3671232876712329</v>
      </c>
      <c r="K263" s="186">
        <f ca="1">RTD("wdf.rtq",,B263,"Amount","Dirty_Price")/100000000</f>
        <v>0</v>
      </c>
      <c r="L263" s="186">
        <f ca="1">[1]!cb_anal_convprice(B263,$B$2)</f>
        <v>19.64</v>
      </c>
      <c r="M263" s="186">
        <f t="shared" ref="M263:M326" ca="1" si="16">IFERROR(100*G263/L263,)</f>
        <v>288.79837067209775</v>
      </c>
      <c r="N263" s="187">
        <f t="shared" ref="N263:N326" ca="1" si="17">IF(F263=0,"-",100*F263/M263-100)</f>
        <v>-9.5206114245416131</v>
      </c>
      <c r="O263" s="187">
        <f t="array" aca="1" ref="O263" ca="1">_xlfn.IFNA(RTD("wdf.rtq",,B263,"LastPrice","Yield_To_Maturity"),[1]!cb_anal_ytm(B263,$C$2))</f>
        <v>-14.055400000000001</v>
      </c>
      <c r="P263" s="187">
        <f ca="1">[1]!cb_anal_straightbondvalue(B263,$B$2)</f>
        <v>93.594099999999997</v>
      </c>
      <c r="Q263" s="187">
        <f t="shared" ref="Q263:Q326" ca="1" si="18">IF(F263=0,"-",100*F263/P263-100)</f>
        <v>179.18747015036206</v>
      </c>
      <c r="R263" s="187" t="str">
        <f ca="1">[1]!b_rate_latestcredit(B263)</f>
        <v>AA</v>
      </c>
      <c r="S263" s="187">
        <f ca="1">[1]!cb_info_outstandingbalance(B263,$B$2)</f>
        <v>0.53177600000000003</v>
      </c>
      <c r="T263" s="187">
        <f ca="1">[1]!cb_info_issueamount(B263,100000000)</f>
        <v>10</v>
      </c>
      <c r="U263" s="187">
        <f t="shared" ref="U263:U326" ca="1" si="19">100*S263/T263</f>
        <v>5.3177600000000007</v>
      </c>
      <c r="V263" s="240">
        <f ca="1">IF([1]!cb_anal_ldiluterate(B263,$B$2)=100,"-",[1]!cb_anal_ldiluterate(B263,$B$2))</f>
        <v>7.3578867331642179</v>
      </c>
      <c r="W263" s="188" t="str">
        <f ca="1">[1]!cb_info_listeddate(B263)</f>
        <v>2021-03-31</v>
      </c>
      <c r="X263" s="188" t="str">
        <f ca="1">[1]!cb_info_carrydate(B263)</f>
        <v>2021-01-20</v>
      </c>
      <c r="Y263" s="186" t="str">
        <f ca="1">[1]!cb_clause_conversion_2_swapsharestartdate(B263)</f>
        <v>2021-07-26</v>
      </c>
      <c r="Z263" s="186" t="str">
        <f ca="1">[1]!cb_clause_putoption_conditionalputbackstartenddate(B263)</f>
        <v>2025-01-20</v>
      </c>
      <c r="AA263" s="240">
        <f ca="1">[1]!cb_info_maturitycallprice(B263)</f>
        <v>112</v>
      </c>
      <c r="AB263" s="240">
        <f ca="1">IF(ISNUMBER([1]!cb_info_conditionalputprice(B263)),[1]!cb_info_conditionalputprice(B263),"-")</f>
        <v>0</v>
      </c>
      <c r="AC263" s="240">
        <f ca="1">[1]!cb_info_interest(B263)</f>
        <v>0.4</v>
      </c>
      <c r="AD263" s="262" t="str">
        <f ca="1">IFERROR(couponlist([1]!cb_clause_interest(B263,"4")),"-")</f>
        <v>0.40%，0.60%，1.00%，1.50%，1.80%，2.00%</v>
      </c>
      <c r="AE263" s="189"/>
      <c r="AF263" s="189"/>
      <c r="AG263" s="189"/>
      <c r="AH263" s="189"/>
      <c r="AI263" s="189"/>
      <c r="AJ263" s="189"/>
      <c r="AK263" s="189"/>
      <c r="AL263" s="189"/>
      <c r="AM263" s="189"/>
      <c r="AN263" s="189"/>
      <c r="AO263" s="189"/>
      <c r="AP263" s="189"/>
      <c r="AQ263" s="189"/>
    </row>
    <row r="264" spans="1:43" s="130" customFormat="1" x14ac:dyDescent="0.35">
      <c r="A264" s="121" t="s">
        <v>5</v>
      </c>
      <c r="B264" s="121" t="s">
        <v>1743</v>
      </c>
      <c r="C264" s="121" t="s">
        <v>1744</v>
      </c>
      <c r="D264" s="236" t="str">
        <f ca="1">IF([1]!s_info_industry_sw(B264,1)=0,"-",[1]!s_info_industry_sw(B264,1))</f>
        <v>化工</v>
      </c>
      <c r="E264" s="122" t="str">
        <f ca="1">[1]!cb_info_underlyingcode(B264)</f>
        <v>300655.SZ</v>
      </c>
      <c r="F264" s="124">
        <f ca="1">RTD("wdf.rtq",,B264,"LastPrice","Dirty_Price")</f>
        <v>134.16</v>
      </c>
      <c r="G264" s="124">
        <f ca="1">RTD("wdf.rtq",,E264,"LastPrice")</f>
        <v>48.9</v>
      </c>
      <c r="H264" s="226">
        <f ca="1">RTD("wdf.rtq",,B264,"PctChg","RT_Price")/100</f>
        <v>-6.2000000000000006E-3</v>
      </c>
      <c r="I264" s="226">
        <f ca="1">RTD("wdf.rtq",,E264,"PctChg")/100</f>
        <v>1.8700000000000001E-2</v>
      </c>
      <c r="J264" s="125">
        <f ca="1">_xlfn.IFNA([1]!b_anal_ptmyear(B264,$B$2),"未发行或发行失败")</f>
        <v>5.9369863013698634</v>
      </c>
      <c r="K264" s="125">
        <f ca="1">RTD("wdf.rtq",,B264,"Amount","Dirty_Price")/100000000</f>
        <v>5.1254534100000004</v>
      </c>
      <c r="L264" s="125">
        <f ca="1">[1]!cb_anal_convprice(B264,$B$2)</f>
        <v>50.31</v>
      </c>
      <c r="M264" s="125">
        <f t="shared" ca="1" si="16"/>
        <v>97.19737626714371</v>
      </c>
      <c r="N264" s="126">
        <f t="shared" ca="1" si="17"/>
        <v>38.028417177914122</v>
      </c>
      <c r="O264" s="126">
        <f t="array" aca="1" ref="O264" ca="1">_xlfn.IFNA(RTD("wdf.rtq",,B264,"LastPrice","Yield_To_Maturity"),[1]!cb_anal_ytm(B264,$C$2))</f>
        <v>-3.1491000000000002</v>
      </c>
      <c r="P264" s="126">
        <f ca="1">[1]!cb_anal_straightbondvalue(B264,$B$2)</f>
        <v>67.145399999999995</v>
      </c>
      <c r="Q264" s="126">
        <f t="shared" ca="1" si="18"/>
        <v>99.805198866936536</v>
      </c>
      <c r="R264" s="126" t="str">
        <f ca="1">[1]!b_rate_latestcredit(B264)</f>
        <v>A+</v>
      </c>
      <c r="S264" s="126">
        <f ca="1">[1]!cb_info_outstandingbalance(B264,$B$2)</f>
        <v>5.23</v>
      </c>
      <c r="T264" s="126">
        <f ca="1">[1]!cb_info_issueamount(B264,100000000)</f>
        <v>5.23</v>
      </c>
      <c r="U264" s="126">
        <f t="shared" ca="1" si="19"/>
        <v>99.999999999999986</v>
      </c>
      <c r="V264" s="230">
        <f ca="1">IF([1]!cb_anal_ldiluterate(B264,$B$2)=100,"-",[1]!cb_anal_ldiluterate(B264,$B$2))</f>
        <v>3.4939944604456166</v>
      </c>
      <c r="W264" s="127" t="str">
        <f ca="1">[1]!cb_info_listeddate(B264)</f>
        <v>2021-09-07</v>
      </c>
      <c r="X264" s="127" t="str">
        <f ca="1">[1]!cb_info_carrydate(B264)</f>
        <v>2021-08-16</v>
      </c>
      <c r="Y264" s="125" t="str">
        <f ca="1">[1]!cb_clause_conversion_2_swapsharestartdate(B264)</f>
        <v>2022-02-21</v>
      </c>
      <c r="Z264" s="125" t="str">
        <f ca="1">[1]!cb_clause_putoption_conditionalputbackstartenddate(B264)</f>
        <v>2025-08-16</v>
      </c>
      <c r="AA264" s="230">
        <f ca="1">[1]!cb_info_maturitycallprice(B264)</f>
        <v>107</v>
      </c>
      <c r="AB264" s="230">
        <f ca="1">IF(ISNUMBER([1]!cb_info_conditionalputprice(B264)),[1]!cb_info_conditionalputprice(B264),"-")</f>
        <v>0</v>
      </c>
      <c r="AC264" s="230">
        <f ca="1">[1]!cb_info_interest(B264)</f>
        <v>0.2</v>
      </c>
      <c r="AD264" s="263" t="str">
        <f ca="1">IFERROR(couponlist([1]!cb_clause_interest(B264,"4")),"-")</f>
        <v>0.2%，0.3%，0.4%，1.5%，1.8%，2.0%</v>
      </c>
      <c r="AE264" s="129"/>
      <c r="AF264" s="129"/>
      <c r="AG264" s="129"/>
      <c r="AH264" s="129"/>
      <c r="AI264" s="129"/>
      <c r="AJ264" s="129"/>
      <c r="AK264" s="129"/>
      <c r="AL264" s="129"/>
      <c r="AM264" s="129"/>
      <c r="AN264" s="129"/>
      <c r="AO264" s="129"/>
      <c r="AP264" s="129"/>
      <c r="AQ264" s="129"/>
    </row>
    <row r="265" spans="1:43" s="191" customFormat="1" x14ac:dyDescent="0.35">
      <c r="A265" s="182" t="s">
        <v>5</v>
      </c>
      <c r="B265" s="182" t="s">
        <v>1745</v>
      </c>
      <c r="C265" s="182" t="s">
        <v>1746</v>
      </c>
      <c r="D265" s="235" t="str">
        <f ca="1">IF([1]!s_info_industry_sw(B265,1)=0,"-",[1]!s_info_industry_sw(B265,1))</f>
        <v>化工</v>
      </c>
      <c r="E265" s="183" t="str">
        <f ca="1">[1]!cb_info_underlyingcode(B265)</f>
        <v>300174.SZ</v>
      </c>
      <c r="F265" s="185">
        <f ca="1">RTD("wdf.rtq",,B265,"LastPrice","Dirty_Price")</f>
        <v>0</v>
      </c>
      <c r="G265" s="185">
        <f ca="1">RTD("wdf.rtq",,E265,"LastPrice")</f>
        <v>17.080000000000002</v>
      </c>
      <c r="H265" s="225">
        <f ca="1">RTD("wdf.rtq",,B265,"PctChg","RT_Price")/100</f>
        <v>0</v>
      </c>
      <c r="I265" s="225">
        <f ca="1">RTD("wdf.rtq",,E265,"PctChg")/100</f>
        <v>-7.6E-3</v>
      </c>
      <c r="J265" s="186">
        <f ca="1">_xlfn.IFNA([1]!b_anal_ptmyear(B265,$B$2),"未发行或发行失败")</f>
        <v>5.9945205479452053</v>
      </c>
      <c r="K265" s="186">
        <f ca="1">RTD("wdf.rtq",,B265,"Amount","Dirty_Price")/100000000</f>
        <v>0</v>
      </c>
      <c r="L265" s="186">
        <f ca="1">[1]!cb_anal_convprice(B265,$B$2)</f>
        <v>17.61</v>
      </c>
      <c r="M265" s="186">
        <f t="shared" ca="1" si="16"/>
        <v>96.990346394094274</v>
      </c>
      <c r="N265" s="187" t="str">
        <f t="shared" si="17"/>
        <v>-</v>
      </c>
      <c r="O265" s="187">
        <f t="array" aca="1" ref="O265" ca="1">_xlfn.IFNA(RTD("wdf.rtq",,B265,"LastPrice","Yield_To_Maturity"),[1]!cb_anal_ytm(B265,$C$2))</f>
        <v>0</v>
      </c>
      <c r="P265" s="187">
        <f ca="1">[1]!cb_anal_straightbondvalue(B265,$B$2)</f>
        <v>74.099699999999999</v>
      </c>
      <c r="Q265" s="187" t="str">
        <f t="shared" ca="1" si="18"/>
        <v>-</v>
      </c>
      <c r="R265" s="187" t="str">
        <f ca="1">[1]!b_rate_latestcredit(B265)</f>
        <v>AA-</v>
      </c>
      <c r="S265" s="187">
        <f ca="1">[1]!cb_info_outstandingbalance(B265,$B$2)</f>
        <v>9</v>
      </c>
      <c r="T265" s="187">
        <f ca="1">[1]!cb_info_issueamount(B265,100000000)</f>
        <v>9</v>
      </c>
      <c r="U265" s="187">
        <f t="shared" ca="1" si="19"/>
        <v>100</v>
      </c>
      <c r="V265" s="240">
        <f ca="1">IF([1]!cb_anal_ldiluterate(B265,$B$2)=100,"-",[1]!cb_anal_ldiluterate(B265,$B$2))</f>
        <v>14.171673593616262</v>
      </c>
      <c r="W265" s="188">
        <f ca="1">[1]!cb_info_listeddate(B265)</f>
        <v>0</v>
      </c>
      <c r="X265" s="188" t="str">
        <f ca="1">[1]!cb_info_carrydate(B265)</f>
        <v>2021-09-06</v>
      </c>
      <c r="Y265" s="186" t="str">
        <f ca="1">[1]!cb_clause_conversion_2_swapsharestartdate(B265)</f>
        <v>2022-03-10</v>
      </c>
      <c r="Z265" s="186" t="str">
        <f ca="1">[1]!cb_clause_putoption_conditionalputbackstartenddate(B265)</f>
        <v>2025-09-06</v>
      </c>
      <c r="AA265" s="240">
        <f ca="1">[1]!cb_info_maturitycallprice(B265)</f>
        <v>105</v>
      </c>
      <c r="AB265" s="240">
        <f ca="1">IF(ISNUMBER([1]!cb_info_conditionalputprice(B265)),[1]!cb_info_conditionalputprice(B265),"-")</f>
        <v>0</v>
      </c>
      <c r="AC265" s="240">
        <f ca="1">[1]!cb_info_interest(B265)</f>
        <v>0.1</v>
      </c>
      <c r="AD265" s="262" t="str">
        <f ca="1">IFERROR(couponlist([1]!cb_clause_interest(B265,"4")),"-")</f>
        <v>0.1%，0.3%，0.8%，1.3%，1.8%，2.3%</v>
      </c>
      <c r="AE265" s="189"/>
      <c r="AF265" s="189"/>
      <c r="AG265" s="189"/>
      <c r="AH265" s="189"/>
      <c r="AI265" s="189"/>
      <c r="AJ265" s="189"/>
      <c r="AK265" s="189"/>
      <c r="AL265" s="189"/>
      <c r="AM265" s="189"/>
      <c r="AN265" s="189"/>
      <c r="AO265" s="189"/>
      <c r="AP265" s="189"/>
      <c r="AQ265" s="189"/>
    </row>
    <row r="266" spans="1:43" s="130" customFormat="1" x14ac:dyDescent="0.35">
      <c r="A266" s="121" t="s">
        <v>5</v>
      </c>
      <c r="B266" s="121" t="s">
        <v>1769</v>
      </c>
      <c r="C266" s="121" t="s">
        <v>1770</v>
      </c>
      <c r="D266" s="236" t="str">
        <f ca="1">IF([1]!s_info_industry_sw(B266,1)=0,"-",[1]!s_info_industry_sw(B266,1))</f>
        <v>化工</v>
      </c>
      <c r="E266" s="122" t="str">
        <f ca="1">[1]!cb_info_underlyingcode(B266)</f>
        <v>002895.SZ</v>
      </c>
      <c r="F266" s="124">
        <f ca="1">RTD("wdf.rtq",,B266,"LastPrice","Dirty_Price")</f>
        <v>0</v>
      </c>
      <c r="G266" s="124">
        <f ca="1">RTD("wdf.rtq",,E266,"LastPrice")</f>
        <v>38.31</v>
      </c>
      <c r="H266" s="226">
        <f ca="1">RTD("wdf.rtq",,B266,"PctChg","RT_Price")/100</f>
        <v>0</v>
      </c>
      <c r="I266" s="226">
        <f ca="1">RTD("wdf.rtq",,E266,"PctChg")/100</f>
        <v>9.9900000000000003E-2</v>
      </c>
      <c r="J266" s="125">
        <f ca="1">_xlfn.IFNA([1]!b_anal_ptmyear(B266,$B$2),"未发行或发行失败")</f>
        <v>5.9260273972602739</v>
      </c>
      <c r="K266" s="125">
        <f ca="1">RTD("wdf.rtq",,B266,"Amount","Dirty_Price")/100000000</f>
        <v>0</v>
      </c>
      <c r="L266" s="125">
        <f ca="1">[1]!cb_anal_convprice(B266,$B$2)</f>
        <v>21.02</v>
      </c>
      <c r="M266" s="125">
        <f t="shared" ca="1" si="16"/>
        <v>182.25499524262608</v>
      </c>
      <c r="N266" s="126" t="str">
        <f t="shared" si="17"/>
        <v>-</v>
      </c>
      <c r="O266" s="126">
        <f t="array" aca="1" ref="O266" ca="1">_xlfn.IFNA(RTD("wdf.rtq",,B266,"LastPrice","Yield_To_Maturity"),[1]!cb_anal_ytm(B266,$C$2))</f>
        <v>0</v>
      </c>
      <c r="P266" s="126">
        <f ca="1">[1]!cb_anal_straightbondvalue(B266,$B$2)</f>
        <v>82.639899999999997</v>
      </c>
      <c r="Q266" s="126" t="str">
        <f t="shared" ca="1" si="18"/>
        <v>-</v>
      </c>
      <c r="R266" s="126" t="str">
        <f ca="1">[1]!b_rate_latestcredit(B266)</f>
        <v>AA-</v>
      </c>
      <c r="S266" s="126">
        <f ca="1">[1]!cb_info_outstandingbalance(B266,$B$2)</f>
        <v>11.6</v>
      </c>
      <c r="T266" s="126">
        <f ca="1">[1]!cb_info_issueamount(B266,100000000)</f>
        <v>11.6</v>
      </c>
      <c r="U266" s="126">
        <f t="shared" ca="1" si="19"/>
        <v>100</v>
      </c>
      <c r="V266" s="230">
        <f ca="1">IF([1]!cb_anal_ldiluterate(B266,$B$2)=100,"-",[1]!cb_anal_ldiluterate(B266,$B$2))</f>
        <v>10.249951472885995</v>
      </c>
      <c r="W266" s="127">
        <f ca="1">[1]!cb_info_listeddate(B266)</f>
        <v>0</v>
      </c>
      <c r="X266" s="127" t="str">
        <f ca="1">[1]!cb_info_carrydate(B266)</f>
        <v>2021-08-12</v>
      </c>
      <c r="Y266" s="125" t="str">
        <f ca="1">[1]!cb_clause_conversion_2_swapsharestartdate(B266)</f>
        <v>2022-02-18</v>
      </c>
      <c r="Z266" s="125" t="str">
        <f ca="1">[1]!cb_clause_putoption_conditionalputbackstartenddate(B266)</f>
        <v>2025-08-12</v>
      </c>
      <c r="AA266" s="230">
        <f ca="1">[1]!cb_info_maturitycallprice(B266)</f>
        <v>115</v>
      </c>
      <c r="AB266" s="230">
        <f ca="1">IF(ISNUMBER([1]!cb_info_conditionalputprice(B266)),[1]!cb_info_conditionalputprice(B266),"-")</f>
        <v>0</v>
      </c>
      <c r="AC266" s="230">
        <f ca="1">[1]!cb_info_interest(B266)</f>
        <v>0.4</v>
      </c>
      <c r="AD266" s="263" t="str">
        <f ca="1">IFERROR(couponlist([1]!cb_clause_interest(B266,"4")),"-")</f>
        <v>0.4%，0.6%，1.5%，2.5%</v>
      </c>
      <c r="AE266" s="129"/>
      <c r="AF266" s="129"/>
      <c r="AG266" s="129"/>
      <c r="AH266" s="129"/>
      <c r="AI266" s="129"/>
      <c r="AJ266" s="129"/>
      <c r="AK266" s="129"/>
      <c r="AL266" s="129"/>
      <c r="AM266" s="129"/>
      <c r="AN266" s="129"/>
      <c r="AO266" s="129"/>
      <c r="AP266" s="129"/>
      <c r="AQ266" s="129"/>
    </row>
    <row r="267" spans="1:43" s="191" customFormat="1" x14ac:dyDescent="0.35">
      <c r="A267" s="182" t="s">
        <v>5</v>
      </c>
      <c r="B267" s="182" t="s">
        <v>597</v>
      </c>
      <c r="C267" s="182" t="s">
        <v>598</v>
      </c>
      <c r="D267" s="235" t="str">
        <f ca="1">IF([1]!s_info_industry_sw(B267,1)=0,"-",[1]!s_info_industry_sw(B267,1))</f>
        <v>化工</v>
      </c>
      <c r="E267" s="183" t="str">
        <f ca="1">[1]!cb_info_underlyingcode(B267)</f>
        <v>300398.SZ</v>
      </c>
      <c r="F267" s="185">
        <f ca="1">RTD("wdf.rtq",,B267,"LastPrice","Dirty_Price")</f>
        <v>138.18</v>
      </c>
      <c r="G267" s="185">
        <f ca="1">RTD("wdf.rtq",,E267,"LastPrice")</f>
        <v>19.16</v>
      </c>
      <c r="H267" s="225">
        <f ca="1">RTD("wdf.rtq",,B267,"PctChg","RT_Price")/100</f>
        <v>-2.3E-3</v>
      </c>
      <c r="I267" s="225">
        <f ca="1">RTD("wdf.rtq",,E267,"PctChg")/100</f>
        <v>1.9700000000000002E-2</v>
      </c>
      <c r="J267" s="186">
        <f ca="1">_xlfn.IFNA([1]!b_anal_ptmyear(B267,$B$2),"未发行或发行失败")</f>
        <v>5.2191780821917808</v>
      </c>
      <c r="K267" s="186">
        <f ca="1">RTD("wdf.rtq",,B267,"Amount","Dirty_Price")/100000000</f>
        <v>0.27447840000000001</v>
      </c>
      <c r="L267" s="186">
        <f ca="1">[1]!cb_anal_convprice(B267,$B$2)</f>
        <v>15.56</v>
      </c>
      <c r="M267" s="186">
        <f t="shared" ca="1" si="16"/>
        <v>123.13624678663238</v>
      </c>
      <c r="N267" s="187">
        <f t="shared" ca="1" si="17"/>
        <v>12.217160751565771</v>
      </c>
      <c r="O267" s="187">
        <f t="array" aca="1" ref="O267" ca="1">_xlfn.IFNA(RTD("wdf.rtq",,B267,"LastPrice","Yield_To_Maturity"),[1]!cb_anal_ytm(B267,$C$2))</f>
        <v>-3.4885000000000002</v>
      </c>
      <c r="P267" s="187">
        <f ca="1">[1]!cb_anal_straightbondvalue(B267,$B$2)</f>
        <v>92.596299999999999</v>
      </c>
      <c r="Q267" s="187">
        <f t="shared" ca="1" si="18"/>
        <v>49.228424893867242</v>
      </c>
      <c r="R267" s="187" t="str">
        <f ca="1">[1]!b_rate_latestcredit(B267)</f>
        <v>AA</v>
      </c>
      <c r="S267" s="187">
        <f ca="1">[1]!cb_info_outstandingbalance(B267,$B$2)</f>
        <v>8.1464429999999997</v>
      </c>
      <c r="T267" s="187">
        <f ca="1">[1]!cb_info_issueamount(B267,100000000)</f>
        <v>8.25</v>
      </c>
      <c r="U267" s="187">
        <f t="shared" ca="1" si="19"/>
        <v>98.744763636363629</v>
      </c>
      <c r="V267" s="240">
        <f ca="1">IF([1]!cb_anal_ldiluterate(B267,$B$2)=100,"-",[1]!cb_anal_ldiluterate(B267,$B$2))</f>
        <v>9.3199809324511254</v>
      </c>
      <c r="W267" s="188" t="str">
        <f ca="1">[1]!cb_info_listeddate(B267)</f>
        <v>2020-12-16</v>
      </c>
      <c r="X267" s="188" t="str">
        <f ca="1">[1]!cb_info_carrydate(B267)</f>
        <v>2020-11-27</v>
      </c>
      <c r="Y267" s="186" t="str">
        <f ca="1">[1]!cb_clause_conversion_2_swapsharestartdate(B267)</f>
        <v>2021-06-03</v>
      </c>
      <c r="Z267" s="186" t="str">
        <f ca="1">[1]!cb_clause_putoption_conditionalputbackstartenddate(B267)</f>
        <v>2024-11-27</v>
      </c>
      <c r="AA267" s="240">
        <f ca="1">[1]!cb_info_maturitycallprice(B267)</f>
        <v>110</v>
      </c>
      <c r="AB267" s="240">
        <f ca="1">IF(ISNUMBER([1]!cb_info_conditionalputprice(B267)),[1]!cb_info_conditionalputprice(B267),"-")</f>
        <v>100.078</v>
      </c>
      <c r="AC267" s="240">
        <f ca="1">[1]!cb_info_interest(B267)</f>
        <v>0.3</v>
      </c>
      <c r="AD267" s="262" t="str">
        <f ca="1">IFERROR(couponlist([1]!cb_clause_interest(B267,"4")),"-")</f>
        <v>0.30%，0.60%，1.00%，1.50%，1.80%，2.00%</v>
      </c>
      <c r="AE267" s="189"/>
      <c r="AF267" s="189"/>
      <c r="AG267" s="189"/>
      <c r="AH267" s="189"/>
      <c r="AI267" s="189"/>
      <c r="AJ267" s="189"/>
      <c r="AK267" s="189"/>
      <c r="AL267" s="189"/>
      <c r="AM267" s="189"/>
      <c r="AN267" s="189"/>
      <c r="AO267" s="189"/>
      <c r="AP267" s="189"/>
      <c r="AQ267" s="189"/>
    </row>
    <row r="268" spans="1:43" s="130" customFormat="1" x14ac:dyDescent="0.35">
      <c r="A268" s="121" t="s">
        <v>5</v>
      </c>
      <c r="B268" s="121" t="s">
        <v>66</v>
      </c>
      <c r="C268" s="121" t="s">
        <v>67</v>
      </c>
      <c r="D268" s="236" t="str">
        <f ca="1">IF([1]!s_info_industry_sw(B268,1)=0,"-",[1]!s_info_industry_sw(B268,1))</f>
        <v>化工</v>
      </c>
      <c r="E268" s="122" t="str">
        <f ca="1">[1]!cb_info_underlyingcode(B268)</f>
        <v>002749.SZ</v>
      </c>
      <c r="F268" s="124">
        <f ca="1">RTD("wdf.rtq",,B268,"LastPrice","Dirty_Price")</f>
        <v>109.76100000000001</v>
      </c>
      <c r="G268" s="124">
        <f ca="1">RTD("wdf.rtq",,E268,"LastPrice")</f>
        <v>9.5299999999999994</v>
      </c>
      <c r="H268" s="226">
        <f ca="1">RTD("wdf.rtq",,B268,"PctChg","RT_Price")/100</f>
        <v>-1E-4</v>
      </c>
      <c r="I268" s="226">
        <f ca="1">RTD("wdf.rtq",,E268,"PctChg")/100</f>
        <v>5.3E-3</v>
      </c>
      <c r="J268" s="125">
        <f ca="1">_xlfn.IFNA([1]!b_anal_ptmyear(B268,$B$2),"未发行或发行失败")</f>
        <v>4.882191780821918</v>
      </c>
      <c r="K268" s="125">
        <f ca="1">RTD("wdf.rtq",,B268,"Amount","Dirty_Price")/100000000</f>
        <v>6.9640600000000002E-3</v>
      </c>
      <c r="L268" s="125">
        <f ca="1">[1]!cb_anal_convprice(B268,$B$2)</f>
        <v>13.48</v>
      </c>
      <c r="M268" s="125">
        <f t="shared" ca="1" si="16"/>
        <v>70.697329376854583</v>
      </c>
      <c r="N268" s="126">
        <f t="shared" ca="1" si="17"/>
        <v>55.254803777544623</v>
      </c>
      <c r="O268" s="126">
        <f t="array" aca="1" ref="O268" ca="1">_xlfn.IFNA(RTD("wdf.rtq",,B268,"LastPrice","Yield_To_Maturity"),[1]!cb_anal_ytm(B268,$C$2))</f>
        <v>1.1078000000000001</v>
      </c>
      <c r="P268" s="126">
        <f ca="1">[1]!cb_anal_straightbondvalue(B268,$B$2)</f>
        <v>85.082999999999998</v>
      </c>
      <c r="Q268" s="126">
        <f t="shared" ca="1" si="18"/>
        <v>29.004619019075506</v>
      </c>
      <c r="R268" s="126" t="str">
        <f ca="1">[1]!b_rate_latestcredit(B268)</f>
        <v>AA-</v>
      </c>
      <c r="S268" s="126">
        <f ca="1">[1]!cb_info_outstandingbalance(B268,$B$2)</f>
        <v>3.199579</v>
      </c>
      <c r="T268" s="126">
        <f ca="1">[1]!cb_info_issueamount(B268,100000000)</f>
        <v>3.2</v>
      </c>
      <c r="U268" s="126">
        <f t="shared" ca="1" si="19"/>
        <v>99.986843749999991</v>
      </c>
      <c r="V268" s="230">
        <f ca="1">IF([1]!cb_anal_ldiluterate(B268,$B$2)=100,"-",[1]!cb_anal_ldiluterate(B268,$B$2))</f>
        <v>7.8870568550795994</v>
      </c>
      <c r="W268" s="127" t="str">
        <f ca="1">[1]!cb_info_listeddate(B268)</f>
        <v>2020-08-19</v>
      </c>
      <c r="X268" s="127" t="str">
        <f ca="1">[1]!cb_info_carrydate(B268)</f>
        <v>2020-07-27</v>
      </c>
      <c r="Y268" s="125" t="str">
        <f ca="1">[1]!cb_clause_conversion_2_swapsharestartdate(B268)</f>
        <v>2021-02-01</v>
      </c>
      <c r="Z268" s="125" t="str">
        <f ca="1">[1]!cb_clause_putoption_conditionalputbackstartenddate(B268)</f>
        <v>2024-07-27</v>
      </c>
      <c r="AA268" s="230">
        <f ca="1">[1]!cb_info_maturitycallprice(B268)</f>
        <v>110</v>
      </c>
      <c r="AB268" s="230">
        <f ca="1">IF(ISNUMBER([1]!cb_info_conditionalputprice(B268)),[1]!cb_info_conditionalputprice(B268),"-")</f>
        <v>0</v>
      </c>
      <c r="AC268" s="230">
        <f ca="1">[1]!cb_info_interest(B268)</f>
        <v>0.5</v>
      </c>
      <c r="AD268" s="263" t="str">
        <f ca="1">IFERROR(couponlist([1]!cb_clause_interest(B268,"4")),"-")</f>
        <v>0.50%，0.70%，1.00%，1.50%，2.50%，3.00%</v>
      </c>
      <c r="AE268" s="129"/>
      <c r="AF268" s="129"/>
      <c r="AG268" s="129"/>
      <c r="AH268" s="129"/>
      <c r="AI268" s="129"/>
      <c r="AJ268" s="129"/>
      <c r="AK268" s="129"/>
      <c r="AL268" s="129"/>
      <c r="AM268" s="129"/>
      <c r="AN268" s="129"/>
      <c r="AO268" s="129"/>
      <c r="AP268" s="129"/>
      <c r="AQ268" s="129"/>
    </row>
    <row r="269" spans="1:43" s="191" customFormat="1" x14ac:dyDescent="0.35">
      <c r="A269" s="182" t="s">
        <v>5</v>
      </c>
      <c r="B269" s="182" t="s">
        <v>282</v>
      </c>
      <c r="C269" s="182" t="s">
        <v>283</v>
      </c>
      <c r="D269" s="235" t="str">
        <f ca="1">IF([1]!s_info_industry_sw(B269,1)=0,"-",[1]!s_info_industry_sw(B269,1))</f>
        <v>化工</v>
      </c>
      <c r="E269" s="183" t="str">
        <f ca="1">[1]!cb_info_underlyingcode(B269)</f>
        <v>300655.SZ</v>
      </c>
      <c r="F269" s="185">
        <f ca="1">RTD("wdf.rtq",,B269,"LastPrice","Dirty_Price")</f>
        <v>514.16200000000003</v>
      </c>
      <c r="G269" s="185">
        <f ca="1">RTD("wdf.rtq",,E269,"LastPrice")</f>
        <v>48.9</v>
      </c>
      <c r="H269" s="225">
        <f ca="1">RTD("wdf.rtq",,B269,"PctChg","RT_Price")/100</f>
        <v>3.2000000000000002E-3</v>
      </c>
      <c r="I269" s="225">
        <f ca="1">RTD("wdf.rtq",,E269,"PctChg")/100</f>
        <v>1.8700000000000001E-2</v>
      </c>
      <c r="J269" s="186">
        <f ca="1">_xlfn.IFNA([1]!b_anal_ptmyear(B269,$B$2),"未发行或发行失败")</f>
        <v>3.9726027397260273</v>
      </c>
      <c r="K269" s="186">
        <f ca="1">RTD("wdf.rtq",,B269,"Amount","Dirty_Price")/100000000</f>
        <v>2.9267303099999999</v>
      </c>
      <c r="L269" s="186">
        <f ca="1">[1]!cb_anal_convprice(B269,$B$2)</f>
        <v>10.130000000000001</v>
      </c>
      <c r="M269" s="186">
        <f t="shared" ca="1" si="16"/>
        <v>482.72458045409672</v>
      </c>
      <c r="N269" s="187">
        <f t="shared" ca="1" si="17"/>
        <v>6.5124961145194362</v>
      </c>
      <c r="O269" s="187">
        <f t="array" aca="1" ref="O269" ca="1">_xlfn.IFNA(RTD("wdf.rtq",,B269,"LastPrice","Yield_To_Maturity"),[1]!cb_anal_ytm(B269,$C$2))</f>
        <v>-31.671600000000002</v>
      </c>
      <c r="P269" s="187">
        <f ca="1">[1]!cb_anal_straightbondvalue(B269,$B$2)</f>
        <v>83.534400000000005</v>
      </c>
      <c r="Q269" s="187">
        <f t="shared" ca="1" si="18"/>
        <v>515.50929916297957</v>
      </c>
      <c r="R269" s="187" t="str">
        <f ca="1">[1]!b_rate_latestcredit(B269)</f>
        <v>A+</v>
      </c>
      <c r="S269" s="187">
        <f ca="1">[1]!cb_info_outstandingbalance(B269,$B$2)</f>
        <v>0.53335999999999995</v>
      </c>
      <c r="T269" s="187">
        <f ca="1">[1]!cb_info_issueamount(B269,100000000)</f>
        <v>1.85</v>
      </c>
      <c r="U269" s="187">
        <f t="shared" ca="1" si="19"/>
        <v>28.830270270270265</v>
      </c>
      <c r="V269" s="240">
        <f ca="1">IF([1]!cb_anal_ldiluterate(B269,$B$2)=100,"-",[1]!cb_anal_ldiluterate(B269,$B$2))</f>
        <v>1.8037871059870105</v>
      </c>
      <c r="W269" s="188" t="str">
        <f ca="1">[1]!cb_info_listeddate(B269)</f>
        <v>2019-09-26</v>
      </c>
      <c r="X269" s="188" t="str">
        <f ca="1">[1]!cb_info_carrydate(B269)</f>
        <v>2019-08-29</v>
      </c>
      <c r="Y269" s="186" t="str">
        <f ca="1">[1]!cb_clause_conversion_2_swapsharestartdate(B269)</f>
        <v>2020-03-05</v>
      </c>
      <c r="Z269" s="186" t="str">
        <f ca="1">[1]!cb_clause_putoption_conditionalputbackstartenddate(B269)</f>
        <v>2023-08-29</v>
      </c>
      <c r="AA269" s="240">
        <f ca="1">[1]!cb_info_maturitycallprice(B269)</f>
        <v>111</v>
      </c>
      <c r="AB269" s="240">
        <f ca="1">IF(ISNUMBER([1]!cb_info_conditionalputprice(B269)),[1]!cb_info_conditionalputprice(B269),"-")</f>
        <v>0</v>
      </c>
      <c r="AC269" s="240">
        <f ca="1">[1]!cb_info_interest(B269)</f>
        <v>0.4</v>
      </c>
      <c r="AD269" s="262" t="str">
        <f ca="1">IFERROR(couponlist([1]!cb_clause_interest(B269,"4")),"-")</f>
        <v>0.4%，0.5%，1.0%，1.5%，1.8%</v>
      </c>
      <c r="AE269" s="189"/>
      <c r="AF269" s="189"/>
      <c r="AG269" s="189"/>
      <c r="AH269" s="189"/>
      <c r="AI269" s="189"/>
      <c r="AJ269" s="189"/>
      <c r="AK269" s="189"/>
      <c r="AL269" s="189"/>
      <c r="AM269" s="189"/>
      <c r="AN269" s="189"/>
      <c r="AO269" s="189"/>
      <c r="AP269" s="189"/>
      <c r="AQ269" s="189"/>
    </row>
    <row r="270" spans="1:43" s="130" customFormat="1" x14ac:dyDescent="0.35">
      <c r="A270" s="121" t="s">
        <v>5</v>
      </c>
      <c r="B270" s="121" t="s">
        <v>126</v>
      </c>
      <c r="C270" s="121" t="s">
        <v>127</v>
      </c>
      <c r="D270" s="236" t="str">
        <f ca="1">IF([1]!s_info_industry_sw(B270,1)=0,"-",[1]!s_info_industry_sw(B270,1))</f>
        <v>化工</v>
      </c>
      <c r="E270" s="122" t="str">
        <f ca="1">[1]!cb_info_underlyingcode(B270)</f>
        <v>300665.SZ</v>
      </c>
      <c r="F270" s="124">
        <f ca="1">RTD("wdf.rtq",,B270,"LastPrice","Dirty_Price")</f>
        <v>146.88300000000001</v>
      </c>
      <c r="G270" s="124">
        <f ca="1">RTD("wdf.rtq",,E270,"LastPrice")</f>
        <v>10.01</v>
      </c>
      <c r="H270" s="226">
        <f ca="1">RTD("wdf.rtq",,B270,"PctChg","RT_Price")/100</f>
        <v>2.1000000000000003E-3</v>
      </c>
      <c r="I270" s="226">
        <f ca="1">RTD("wdf.rtq",,E270,"PctChg")/100</f>
        <v>2E-3</v>
      </c>
      <c r="J270" s="125">
        <f ca="1">_xlfn.IFNA([1]!b_anal_ptmyear(B270,$B$2),"未发行或发行失败")</f>
        <v>4.7397260273972606</v>
      </c>
      <c r="K270" s="125">
        <f ca="1">RTD("wdf.rtq",,B270,"Amount","Dirty_Price")/100000000</f>
        <v>0.18551746</v>
      </c>
      <c r="L270" s="125">
        <f ca="1">[1]!cb_anal_convprice(B270,$B$2)</f>
        <v>7.05</v>
      </c>
      <c r="M270" s="125">
        <f t="shared" ca="1" si="16"/>
        <v>141.98581560283688</v>
      </c>
      <c r="N270" s="126">
        <f t="shared" ca="1" si="17"/>
        <v>3.449065934065942</v>
      </c>
      <c r="O270" s="126">
        <f t="array" aca="1" ref="O270" ca="1">_xlfn.IFNA(RTD("wdf.rtq",,B270,"LastPrice","Yield_To_Maturity"),[1]!cb_anal_ytm(B270,$C$2))</f>
        <v>-3.1243000000000003</v>
      </c>
      <c r="P270" s="126">
        <f ca="1">[1]!cb_anal_straightbondvalue(B270,$B$2)</f>
        <v>85.914699999999996</v>
      </c>
      <c r="Q270" s="126">
        <f t="shared" ca="1" si="18"/>
        <v>70.963758239276871</v>
      </c>
      <c r="R270" s="126" t="str">
        <f ca="1">[1]!b_rate_latestcredit(B270)</f>
        <v>A+</v>
      </c>
      <c r="S270" s="126">
        <f ca="1">[1]!cb_info_outstandingbalance(B270,$B$2)</f>
        <v>1.504087</v>
      </c>
      <c r="T270" s="126">
        <f ca="1">[1]!cb_info_issueamount(B270,100000000)</f>
        <v>1.77</v>
      </c>
      <c r="U270" s="126">
        <f t="shared" ca="1" si="19"/>
        <v>84.976666666666659</v>
      </c>
      <c r="V270" s="230">
        <f ca="1">IF([1]!cb_anal_ldiluterate(B270,$B$2)=100,"-",[1]!cb_anal_ldiluterate(B270,$B$2))</f>
        <v>14.283246577094674</v>
      </c>
      <c r="W270" s="127" t="str">
        <f ca="1">[1]!cb_info_listeddate(B270)</f>
        <v>2020-07-03</v>
      </c>
      <c r="X270" s="127" t="str">
        <f ca="1">[1]!cb_info_carrydate(B270)</f>
        <v>2020-06-05</v>
      </c>
      <c r="Y270" s="125" t="str">
        <f ca="1">[1]!cb_clause_conversion_2_swapsharestartdate(B270)</f>
        <v>2020-12-11</v>
      </c>
      <c r="Z270" s="125" t="str">
        <f ca="1">[1]!cb_clause_putoption_conditionalputbackstartenddate(B270)</f>
        <v>2024-06-05</v>
      </c>
      <c r="AA270" s="230">
        <f ca="1">[1]!cb_info_maturitycallprice(B270)</f>
        <v>120</v>
      </c>
      <c r="AB270" s="230">
        <f ca="1">IF(ISNUMBER([1]!cb_info_conditionalputprice(B270)),[1]!cb_info_conditionalputprice(B270),"-")</f>
        <v>0</v>
      </c>
      <c r="AC270" s="230">
        <f ca="1">[1]!cb_info_interest(B270)</f>
        <v>0.5</v>
      </c>
      <c r="AD270" s="263" t="str">
        <f ca="1">IFERROR(couponlist([1]!cb_clause_interest(B270,"4")),"-")</f>
        <v>0.5%，0.8%，1.5%，2.0%，2.5%，3.0%</v>
      </c>
      <c r="AE270" s="129"/>
      <c r="AF270" s="129"/>
      <c r="AG270" s="129"/>
      <c r="AH270" s="129"/>
      <c r="AI270" s="129"/>
      <c r="AJ270" s="129"/>
      <c r="AK270" s="129"/>
      <c r="AL270" s="129"/>
      <c r="AM270" s="129"/>
      <c r="AN270" s="129"/>
      <c r="AO270" s="129"/>
      <c r="AP270" s="129"/>
      <c r="AQ270" s="129"/>
    </row>
    <row r="271" spans="1:43" s="191" customFormat="1" x14ac:dyDescent="0.35">
      <c r="A271" s="182" t="s">
        <v>0</v>
      </c>
      <c r="B271" s="182" t="s">
        <v>479</v>
      </c>
      <c r="C271" s="182" t="s">
        <v>480</v>
      </c>
      <c r="D271" s="235" t="str">
        <f ca="1">IF([1]!s_info_industry_sw(B271,1)=0,"-",[1]!s_info_industry_sw(B271,1))</f>
        <v>化工</v>
      </c>
      <c r="E271" s="183" t="str">
        <f ca="1">[1]!cb_info_underlyingcode(B271)</f>
        <v>603822.SH</v>
      </c>
      <c r="F271" s="185">
        <f ca="1">RTD("wdf.rtq",,B271,"LastPrice","Dirty_Price")</f>
        <v>129.11000000000001</v>
      </c>
      <c r="G271" s="185">
        <f ca="1">RTD("wdf.rtq",,E271,"LastPrice")</f>
        <v>45.51</v>
      </c>
      <c r="H271" s="225">
        <f ca="1">RTD("wdf.rtq",,B271,"PctChg","RT_Price")/100</f>
        <v>-3.2000000000000002E-3</v>
      </c>
      <c r="I271" s="225">
        <f ca="1">RTD("wdf.rtq",,E271,"PctChg")/100</f>
        <v>-1.8000000000000002E-3</v>
      </c>
      <c r="J271" s="186">
        <f ca="1">_xlfn.IFNA([1]!b_anal_ptmyear(B271,$B$2),"未发行或发行失败")</f>
        <v>2.1726027397260275</v>
      </c>
      <c r="K271" s="186">
        <f ca="1">RTD("wdf.rtq",,B271,"Amount","Dirty_Price")/100000000</f>
        <v>0.11303874</v>
      </c>
      <c r="L271" s="186">
        <f ca="1">[1]!cb_anal_convprice(B271,$B$2)</f>
        <v>44.64</v>
      </c>
      <c r="M271" s="186">
        <f t="shared" ca="1" si="16"/>
        <v>101.9489247311828</v>
      </c>
      <c r="N271" s="187">
        <f t="shared" ca="1" si="17"/>
        <v>26.641845748187222</v>
      </c>
      <c r="O271" s="187">
        <f t="array" aca="1" ref="O271" ca="1">_xlfn.IFNA(RTD("wdf.rtq",,B271,"LastPrice","Yield_To_Maturity"),[1]!cb_anal_ytm(B271,$C$2))</f>
        <v>-6.7262000000000004</v>
      </c>
      <c r="P271" s="187">
        <f ca="1">[1]!cb_anal_straightbondvalue(B271,$B$2)</f>
        <v>98.943299999999994</v>
      </c>
      <c r="Q271" s="187">
        <f t="shared" ca="1" si="18"/>
        <v>30.488875952186788</v>
      </c>
      <c r="R271" s="187" t="str">
        <f ca="1">[1]!b_rate_latestcredit(B271)</f>
        <v>AA-</v>
      </c>
      <c r="S271" s="187">
        <f ca="1">[1]!cb_info_outstandingbalance(B271,$B$2)</f>
        <v>1.8453599999999999</v>
      </c>
      <c r="T271" s="187">
        <f ca="1">[1]!cb_info_issueamount(B271,100000000)</f>
        <v>1.85</v>
      </c>
      <c r="U271" s="187">
        <f t="shared" ca="1" si="19"/>
        <v>99.749189189189181</v>
      </c>
      <c r="V271" s="240">
        <f ca="1">IF([1]!cb_anal_ldiluterate(B271,$B$2)=100,"-",[1]!cb_anal_ldiluterate(B271,$B$2))</f>
        <v>5.3363747462171789</v>
      </c>
      <c r="W271" s="188" t="str">
        <f ca="1">[1]!cb_info_listeddate(B271)</f>
        <v>2017-11-27</v>
      </c>
      <c r="X271" s="188" t="str">
        <f ca="1">[1]!cb_info_carrydate(B271)</f>
        <v>2017-11-10</v>
      </c>
      <c r="Y271" s="186" t="str">
        <f ca="1">[1]!cb_clause_conversion_2_swapsharestartdate(B271)</f>
        <v>2018-05-17</v>
      </c>
      <c r="Z271" s="186" t="str">
        <f ca="1">[1]!cb_clause_putoption_conditionalputbackstartenddate(B271)</f>
        <v>2021-11-10</v>
      </c>
      <c r="AA271" s="240">
        <f ca="1">[1]!cb_info_maturitycallprice(B271)</f>
        <v>108</v>
      </c>
      <c r="AB271" s="240">
        <f ca="1">IF(ISNUMBER([1]!cb_info_conditionalputprice(B271)),[1]!cb_info_conditionalputprice(B271),"-")</f>
        <v>0</v>
      </c>
      <c r="AC271" s="240">
        <f ca="1">[1]!cb_info_interest(B271)</f>
        <v>0.4</v>
      </c>
      <c r="AD271" s="262" t="str">
        <f ca="1">IFERROR(couponlist([1]!cb_clause_interest(B271,"4")),"-")</f>
        <v>0.4%，0.6%，1.0%，1.5%，1.8%，2.0%</v>
      </c>
      <c r="AE271" s="189"/>
      <c r="AF271" s="189"/>
      <c r="AG271" s="189"/>
      <c r="AH271" s="189"/>
      <c r="AI271" s="189"/>
      <c r="AJ271" s="189"/>
      <c r="AK271" s="189"/>
      <c r="AL271" s="189"/>
      <c r="AM271" s="189"/>
      <c r="AN271" s="189"/>
      <c r="AO271" s="189"/>
      <c r="AP271" s="189"/>
      <c r="AQ271" s="189"/>
    </row>
    <row r="272" spans="1:43" s="130" customFormat="1" x14ac:dyDescent="0.35">
      <c r="A272" s="121" t="s">
        <v>5</v>
      </c>
      <c r="B272" s="121" t="s">
        <v>170</v>
      </c>
      <c r="C272" s="121" t="s">
        <v>171</v>
      </c>
      <c r="D272" s="236" t="str">
        <f ca="1">IF([1]!s_info_industry_sw(B272,1)=0,"-",[1]!s_info_industry_sw(B272,1))</f>
        <v>化工</v>
      </c>
      <c r="E272" s="122" t="str">
        <f ca="1">[1]!cb_info_underlyingcode(B272)</f>
        <v>300587.SZ</v>
      </c>
      <c r="F272" s="124">
        <f ca="1">RTD("wdf.rtq",,B272,"LastPrice","Dirty_Price")</f>
        <v>392.49700000000001</v>
      </c>
      <c r="G272" s="124">
        <f ca="1">RTD("wdf.rtq",,E272,"LastPrice")</f>
        <v>20.57</v>
      </c>
      <c r="H272" s="226">
        <f ca="1">RTD("wdf.rtq",,B272,"PctChg","RT_Price")/100</f>
        <v>-3.8E-3</v>
      </c>
      <c r="I272" s="226">
        <f ca="1">RTD("wdf.rtq",,E272,"PctChg")/100</f>
        <v>-1.9E-3</v>
      </c>
      <c r="J272" s="125">
        <f ca="1">_xlfn.IFNA([1]!b_anal_ptmyear(B272,$B$2),"未发行或发行失败")</f>
        <v>4.5260273972602736</v>
      </c>
      <c r="K272" s="125">
        <f ca="1">RTD("wdf.rtq",,B272,"Amount","Dirty_Price")/100000000</f>
        <v>0.68424518999999995</v>
      </c>
      <c r="L272" s="125">
        <f ca="1">[1]!cb_anal_convprice(B272,$B$2)</f>
        <v>5.9</v>
      </c>
      <c r="M272" s="125">
        <f t="shared" ca="1" si="16"/>
        <v>348.64406779661016</v>
      </c>
      <c r="N272" s="126">
        <f t="shared" ca="1" si="17"/>
        <v>12.578138065143435</v>
      </c>
      <c r="O272" s="126">
        <f t="array" aca="1" ref="O272" ca="1">_xlfn.IFNA(RTD("wdf.rtq",,B272,"LastPrice","Yield_To_Maturity"),[1]!cb_anal_ytm(B272,$C$2))</f>
        <v>-23.688200000000002</v>
      </c>
      <c r="P272" s="126">
        <f ca="1">[1]!cb_anal_straightbondvalue(B272,$B$2)</f>
        <v>88.860900000000001</v>
      </c>
      <c r="Q272" s="126">
        <f t="shared" ca="1" si="18"/>
        <v>341.69820472221193</v>
      </c>
      <c r="R272" s="126" t="str">
        <f ca="1">[1]!b_rate_latestcredit(B272)</f>
        <v>AA-</v>
      </c>
      <c r="S272" s="126">
        <f ca="1">[1]!cb_info_outstandingbalance(B272,$B$2)</f>
        <v>0.62178500000000003</v>
      </c>
      <c r="T272" s="126">
        <f ca="1">[1]!cb_info_issueamount(B272,100000000)</f>
        <v>3.99</v>
      </c>
      <c r="U272" s="126">
        <f t="shared" ca="1" si="19"/>
        <v>15.583583959899748</v>
      </c>
      <c r="V272" s="230">
        <f ca="1">IF([1]!cb_anal_ldiluterate(B272,$B$2)=100,"-",[1]!cb_anal_ldiluterate(B272,$B$2))</f>
        <v>2.1682009006936824</v>
      </c>
      <c r="W272" s="127" t="str">
        <f ca="1">[1]!cb_info_listeddate(B272)</f>
        <v>2020-04-17</v>
      </c>
      <c r="X272" s="127" t="str">
        <f ca="1">[1]!cb_info_carrydate(B272)</f>
        <v>2020-03-19</v>
      </c>
      <c r="Y272" s="125" t="str">
        <f ca="1">[1]!cb_clause_conversion_2_swapsharestartdate(B272)</f>
        <v>2020-09-25</v>
      </c>
      <c r="Z272" s="125" t="str">
        <f ca="1">[1]!cb_clause_putoption_conditionalputbackstartenddate(B272)</f>
        <v>2024-03-19</v>
      </c>
      <c r="AA272" s="230">
        <f ca="1">[1]!cb_info_maturitycallprice(B272)</f>
        <v>112</v>
      </c>
      <c r="AB272" s="230">
        <f ca="1">IF(ISNUMBER([1]!cb_info_conditionalputprice(B272)),[1]!cb_info_conditionalputprice(B272),"-")</f>
        <v>0</v>
      </c>
      <c r="AC272" s="230">
        <f ca="1">[1]!cb_info_interest(B272)</f>
        <v>0.5</v>
      </c>
      <c r="AD272" s="263" t="str">
        <f ca="1">IFERROR(couponlist([1]!cb_clause_interest(B272,"4")),"-")</f>
        <v>0.50%，0.70%，1.00%，1.50%，2.50%，3.00%</v>
      </c>
      <c r="AE272" s="129"/>
      <c r="AF272" s="129"/>
      <c r="AG272" s="129"/>
      <c r="AH272" s="129"/>
      <c r="AI272" s="129"/>
      <c r="AJ272" s="129"/>
      <c r="AK272" s="129"/>
      <c r="AL272" s="129"/>
      <c r="AM272" s="129"/>
      <c r="AN272" s="129"/>
      <c r="AO272" s="129"/>
      <c r="AP272" s="129"/>
      <c r="AQ272" s="129"/>
    </row>
    <row r="273" spans="1:43" s="191" customFormat="1" x14ac:dyDescent="0.35">
      <c r="A273" s="182" t="s">
        <v>5</v>
      </c>
      <c r="B273" s="182" t="s">
        <v>382</v>
      </c>
      <c r="C273" s="182" t="s">
        <v>383</v>
      </c>
      <c r="D273" s="235" t="str">
        <f ca="1">IF([1]!s_info_industry_sw(B273,1)=0,"-",[1]!s_info_industry_sw(B273,1))</f>
        <v>化工</v>
      </c>
      <c r="E273" s="183" t="str">
        <f ca="1">[1]!cb_info_underlyingcode(B273)</f>
        <v>002741.SZ</v>
      </c>
      <c r="F273" s="185">
        <f ca="1">RTD("wdf.rtq",,B273,"LastPrice","Dirty_Price")</f>
        <v>184.60000000000002</v>
      </c>
      <c r="G273" s="185">
        <f ca="1">RTD("wdf.rtq",,E273,"LastPrice")</f>
        <v>23.28</v>
      </c>
      <c r="H273" s="225">
        <f ca="1">RTD("wdf.rtq",,B273,"PctChg","RT_Price")/100</f>
        <v>0</v>
      </c>
      <c r="I273" s="225">
        <f ca="1">RTD("wdf.rtq",,E273,"PctChg")/100</f>
        <v>-2.4300000000000002E-2</v>
      </c>
      <c r="J273" s="186">
        <f ca="1">_xlfn.IFNA([1]!b_anal_ptmyear(B273,$B$2),"未发行或发行失败")</f>
        <v>3.2657534246575342</v>
      </c>
      <c r="K273" s="186">
        <f ca="1">RTD("wdf.rtq",,B273,"Amount","Dirty_Price")/100000000</f>
        <v>0</v>
      </c>
      <c r="L273" s="186">
        <f ca="1">[1]!cb_anal_convprice(B273,$B$2)</f>
        <v>12.72</v>
      </c>
      <c r="M273" s="186">
        <f t="shared" ca="1" si="16"/>
        <v>183.01886792452828</v>
      </c>
      <c r="N273" s="187">
        <f t="shared" ca="1" si="17"/>
        <v>0.86391752577323189</v>
      </c>
      <c r="O273" s="187">
        <f t="array" aca="1" ref="O273" ca="1">_xlfn.IFNA(RTD("wdf.rtq",,B273,"LastPrice","Yield_To_Maturity"),[1]!cb_anal_ytm(B273,$C$2))</f>
        <v>-13.7796</v>
      </c>
      <c r="P273" s="187">
        <f ca="1">[1]!cb_anal_straightbondvalue(B273,$B$2)</f>
        <v>94.633399999999995</v>
      </c>
      <c r="Q273" s="187">
        <f t="shared" ca="1" si="18"/>
        <v>95.068548736492659</v>
      </c>
      <c r="R273" s="187" t="str">
        <f ca="1">[1]!b_rate_latestcredit(B273)</f>
        <v>AA-</v>
      </c>
      <c r="S273" s="187">
        <f ca="1">[1]!cb_info_outstandingbalance(B273,$B$2)</f>
        <v>0.35417999999999999</v>
      </c>
      <c r="T273" s="187">
        <f ca="1">[1]!cb_info_issueamount(B273,100000000)</f>
        <v>2.4929999999999999</v>
      </c>
      <c r="U273" s="187">
        <f t="shared" ca="1" si="19"/>
        <v>14.206979542719615</v>
      </c>
      <c r="V273" s="240">
        <f ca="1">IF([1]!cb_anal_ldiluterate(B273,$B$2)=100,"-",[1]!cb_anal_ldiluterate(B273,$B$2))</f>
        <v>4.9630797264577486</v>
      </c>
      <c r="W273" s="188" t="str">
        <f ca="1">[1]!cb_info_listeddate(B273)</f>
        <v>2019-01-09</v>
      </c>
      <c r="X273" s="188" t="str">
        <f ca="1">[1]!cb_info_carrydate(B273)</f>
        <v>2018-12-14</v>
      </c>
      <c r="Y273" s="186" t="str">
        <f ca="1">[1]!cb_clause_conversion_2_swapsharestartdate(B273)</f>
        <v>2019-06-21</v>
      </c>
      <c r="Z273" s="186" t="str">
        <f ca="1">[1]!cb_clause_putoption_conditionalputbackstartenddate(B273)</f>
        <v>2022-12-14</v>
      </c>
      <c r="AA273" s="240">
        <f ca="1">[1]!cb_info_maturitycallprice(B273)</f>
        <v>110</v>
      </c>
      <c r="AB273" s="240">
        <f ca="1">IF(ISNUMBER([1]!cb_info_conditionalputprice(B273)),[1]!cb_info_conditionalputprice(B273),"-")</f>
        <v>0</v>
      </c>
      <c r="AC273" s="240">
        <f ca="1">[1]!cb_info_interest(B273)</f>
        <v>0.5</v>
      </c>
      <c r="AD273" s="262" t="str">
        <f ca="1">IFERROR(couponlist([1]!cb_clause_interest(B273,"4")),"-")</f>
        <v>0.50%，0.70%，1.00%，1.80%，2.00%，3.00%</v>
      </c>
      <c r="AE273" s="189"/>
      <c r="AF273" s="189"/>
      <c r="AG273" s="189"/>
      <c r="AH273" s="189"/>
      <c r="AI273" s="189"/>
      <c r="AJ273" s="189"/>
      <c r="AK273" s="189"/>
      <c r="AL273" s="189"/>
      <c r="AM273" s="189"/>
      <c r="AN273" s="189"/>
      <c r="AO273" s="189"/>
      <c r="AP273" s="189"/>
      <c r="AQ273" s="189"/>
    </row>
    <row r="274" spans="1:43" s="130" customFormat="1" x14ac:dyDescent="0.35">
      <c r="A274" s="121" t="s">
        <v>5</v>
      </c>
      <c r="B274" s="121" t="s">
        <v>613</v>
      </c>
      <c r="C274" s="121" t="s">
        <v>614</v>
      </c>
      <c r="D274" s="236" t="str">
        <f ca="1">IF([1]!s_info_industry_sw(B274,1)=0,"-",[1]!s_info_industry_sw(B274,1))</f>
        <v>国防军工</v>
      </c>
      <c r="E274" s="122" t="str">
        <f ca="1">[1]!cb_info_underlyingcode(B274)</f>
        <v>300065.SZ</v>
      </c>
      <c r="F274" s="124">
        <f ca="1">RTD("wdf.rtq",,B274,"LastPrice","Dirty_Price")</f>
        <v>165.8</v>
      </c>
      <c r="G274" s="124">
        <f ca="1">RTD("wdf.rtq",,E274,"LastPrice")</f>
        <v>11.02</v>
      </c>
      <c r="H274" s="226">
        <f ca="1">RTD("wdf.rtq",,B274,"PctChg","RT_Price")/100</f>
        <v>-3.04E-2</v>
      </c>
      <c r="I274" s="226">
        <f ca="1">RTD("wdf.rtq",,E274,"PctChg")/100</f>
        <v>-3.5000000000000003E-2</v>
      </c>
      <c r="J274" s="125">
        <f ca="1">_xlfn.IFNA([1]!b_anal_ptmyear(B274,$B$2),"未发行或发行失败")</f>
        <v>5.2575342465753421</v>
      </c>
      <c r="K274" s="125">
        <f ca="1">RTD("wdf.rtq",,B274,"Amount","Dirty_Price")/100000000</f>
        <v>1.83444999</v>
      </c>
      <c r="L274" s="125">
        <f ca="1">[1]!cb_anal_convprice(B274,$B$2)</f>
        <v>7.27</v>
      </c>
      <c r="M274" s="125">
        <f t="shared" ca="1" si="16"/>
        <v>151.5818431911967</v>
      </c>
      <c r="N274" s="126">
        <f t="shared" ca="1" si="17"/>
        <v>9.3798548094373899</v>
      </c>
      <c r="O274" s="126">
        <f t="array" aca="1" ref="O274" ca="1">_xlfn.IFNA(RTD("wdf.rtq",,B274,"LastPrice","Yield_To_Maturity"),[1]!cb_anal_ytm(B274,$C$2))</f>
        <v>-5.5433000000000003</v>
      </c>
      <c r="P274" s="126">
        <f ca="1">[1]!cb_anal_straightbondvalue(B274,$B$2)</f>
        <v>88.397000000000006</v>
      </c>
      <c r="Q274" s="126">
        <f t="shared" ca="1" si="18"/>
        <v>87.562926343654198</v>
      </c>
      <c r="R274" s="126" t="str">
        <f ca="1">[1]!b_rate_latestcredit(B274)</f>
        <v>AA-</v>
      </c>
      <c r="S274" s="126">
        <f ca="1">[1]!cb_info_outstandingbalance(B274,$B$2)</f>
        <v>6.0781549999999998</v>
      </c>
      <c r="T274" s="126">
        <f ca="1">[1]!cb_info_issueamount(B274,100000000)</f>
        <v>7.3</v>
      </c>
      <c r="U274" s="126">
        <f t="shared" ca="1" si="19"/>
        <v>83.262397260273971</v>
      </c>
      <c r="V274" s="230">
        <f ca="1">IF([1]!cb_anal_ldiluterate(B274,$B$2)=100,"-",[1]!cb_anal_ldiluterate(B274,$B$2))</f>
        <v>16.344416769616089</v>
      </c>
      <c r="W274" s="127" t="str">
        <f ca="1">[1]!cb_info_listeddate(B274)</f>
        <v>2021-02-08</v>
      </c>
      <c r="X274" s="127" t="str">
        <f ca="1">[1]!cb_info_carrydate(B274)</f>
        <v>2020-12-11</v>
      </c>
      <c r="Y274" s="125" t="str">
        <f ca="1">[1]!cb_clause_conversion_2_swapsharestartdate(B274)</f>
        <v>2021-06-17</v>
      </c>
      <c r="Z274" s="125" t="str">
        <f ca="1">[1]!cb_clause_putoption_conditionalputbackstartenddate(B274)</f>
        <v>2024-12-11</v>
      </c>
      <c r="AA274" s="230">
        <f ca="1">[1]!cb_info_maturitycallprice(B274)</f>
        <v>118</v>
      </c>
      <c r="AB274" s="230">
        <f ca="1">IF(ISNUMBER([1]!cb_info_conditionalputprice(B274)),[1]!cb_info_conditionalputprice(B274),"-")</f>
        <v>0</v>
      </c>
      <c r="AC274" s="230">
        <f ca="1">[1]!cb_info_interest(B274)</f>
        <v>0.4</v>
      </c>
      <c r="AD274" s="263" t="str">
        <f ca="1">IFERROR(couponlist([1]!cb_clause_interest(B274,"4")),"-")</f>
        <v>0.4%，0.6%，1.0%，1.5%</v>
      </c>
      <c r="AE274" s="129"/>
      <c r="AF274" s="129"/>
      <c r="AG274" s="129"/>
      <c r="AH274" s="129"/>
      <c r="AI274" s="129"/>
      <c r="AJ274" s="129"/>
      <c r="AK274" s="129"/>
      <c r="AL274" s="129"/>
      <c r="AM274" s="129"/>
      <c r="AN274" s="129"/>
      <c r="AO274" s="129"/>
      <c r="AP274" s="129"/>
      <c r="AQ274" s="129"/>
    </row>
    <row r="275" spans="1:43" s="191" customFormat="1" x14ac:dyDescent="0.35">
      <c r="A275" s="182" t="s">
        <v>0</v>
      </c>
      <c r="B275" s="182" t="s">
        <v>138</v>
      </c>
      <c r="C275" s="182" t="s">
        <v>139</v>
      </c>
      <c r="D275" s="235" t="str">
        <f ca="1">IF([1]!s_info_industry_sw(B275,1)=0,"-",[1]!s_info_industry_sw(B275,1))</f>
        <v>国防军工</v>
      </c>
      <c r="E275" s="183" t="str">
        <f ca="1">[1]!cb_info_underlyingcode(B275)</f>
        <v>603678.SH</v>
      </c>
      <c r="F275" s="185">
        <f ca="1">RTD("wdf.rtq",,B275,"LastPrice","Dirty_Price")</f>
        <v>345.33000000000004</v>
      </c>
      <c r="G275" s="185">
        <f ca="1">RTD("wdf.rtq",,E275,"LastPrice")</f>
        <v>72.2</v>
      </c>
      <c r="H275" s="225">
        <f ca="1">RTD("wdf.rtq",,B275,"PctChg","RT_Price")/100</f>
        <v>-1.9400000000000001E-2</v>
      </c>
      <c r="I275" s="225">
        <f ca="1">RTD("wdf.rtq",,E275,"PctChg")/100</f>
        <v>-2.3E-2</v>
      </c>
      <c r="J275" s="186">
        <f ca="1">_xlfn.IFNA([1]!b_anal_ptmyear(B275,$B$2),"未发行或发行失败")</f>
        <v>4.7150684931506852</v>
      </c>
      <c r="K275" s="186">
        <f ca="1">RTD("wdf.rtq",,B275,"Amount","Dirty_Price")/100000000</f>
        <v>1.60089747</v>
      </c>
      <c r="L275" s="186">
        <f ca="1">[1]!cb_anal_convprice(B275,$B$2)</f>
        <v>24.99</v>
      </c>
      <c r="M275" s="186">
        <f t="shared" ca="1" si="16"/>
        <v>288.91556622649063</v>
      </c>
      <c r="N275" s="187">
        <f t="shared" ca="1" si="17"/>
        <v>19.526270083102503</v>
      </c>
      <c r="O275" s="187">
        <f t="array" aca="1" ref="O275" ca="1">_xlfn.IFNA(RTD("wdf.rtq",,B275,"LastPrice","Yield_To_Maturity"),[1]!cb_anal_ytm(B275,$C$2))</f>
        <v>-21.083200000000001</v>
      </c>
      <c r="P275" s="187">
        <f ca="1">[1]!cb_anal_straightbondvalue(B275,$B$2)</f>
        <v>94.655100000000004</v>
      </c>
      <c r="Q275" s="187">
        <f t="shared" ca="1" si="18"/>
        <v>264.8297873014767</v>
      </c>
      <c r="R275" s="187" t="str">
        <f ca="1">[1]!b_rate_latestcredit(B275)</f>
        <v>AA</v>
      </c>
      <c r="S275" s="187">
        <f ca="1">[1]!cb_info_outstandingbalance(B275,$B$2)</f>
        <v>4.1784600000000003</v>
      </c>
      <c r="T275" s="187">
        <f ca="1">[1]!cb_info_issueamount(B275,100000000)</f>
        <v>6</v>
      </c>
      <c r="U275" s="187">
        <f t="shared" ca="1" si="19"/>
        <v>69.641000000000005</v>
      </c>
      <c r="V275" s="240">
        <f ca="1">IF([1]!cb_anal_ldiluterate(B275,$B$2)=100,"-",[1]!cb_anal_ldiluterate(B275,$B$2))</f>
        <v>3.5148937528678093</v>
      </c>
      <c r="W275" s="188" t="str">
        <f ca="1">[1]!cb_info_listeddate(B275)</f>
        <v>2020-06-23</v>
      </c>
      <c r="X275" s="188" t="str">
        <f ca="1">[1]!cb_info_carrydate(B275)</f>
        <v>2020-05-27</v>
      </c>
      <c r="Y275" s="186" t="str">
        <f ca="1">[1]!cb_clause_conversion_2_swapsharestartdate(B275)</f>
        <v>2020-12-02</v>
      </c>
      <c r="Z275" s="186" t="str">
        <f ca="1">[1]!cb_clause_putoption_conditionalputbackstartenddate(B275)</f>
        <v>2024-05-27</v>
      </c>
      <c r="AA275" s="240">
        <f ca="1">[1]!cb_info_maturitycallprice(B275)</f>
        <v>110</v>
      </c>
      <c r="AB275" s="240">
        <f ca="1">IF(ISNUMBER([1]!cb_info_conditionalputprice(B275)),[1]!cb_info_conditionalputprice(B275),"-")</f>
        <v>0</v>
      </c>
      <c r="AC275" s="240">
        <f ca="1">[1]!cb_info_interest(B275)</f>
        <v>0.4</v>
      </c>
      <c r="AD275" s="262" t="str">
        <f ca="1">IFERROR(couponlist([1]!cb_clause_interest(B275,"4")),"-")</f>
        <v>0.40%，0.60%，1.00%，1.50%，1.80%，2.00%</v>
      </c>
      <c r="AE275" s="189"/>
      <c r="AF275" s="189"/>
      <c r="AG275" s="189"/>
      <c r="AH275" s="189"/>
      <c r="AI275" s="189"/>
      <c r="AJ275" s="189"/>
      <c r="AK275" s="189"/>
      <c r="AL275" s="189"/>
      <c r="AM275" s="189"/>
      <c r="AN275" s="189"/>
      <c r="AO275" s="189"/>
      <c r="AP275" s="189"/>
      <c r="AQ275" s="189"/>
    </row>
    <row r="276" spans="1:43" s="130" customFormat="1" x14ac:dyDescent="0.35">
      <c r="A276" s="121" t="s">
        <v>5</v>
      </c>
      <c r="B276" s="121" t="s">
        <v>70</v>
      </c>
      <c r="C276" s="121" t="s">
        <v>71</v>
      </c>
      <c r="D276" s="236" t="str">
        <f ca="1">IF([1]!s_info_industry_sw(B276,1)=0,"-",[1]!s_info_industry_sw(B276,1))</f>
        <v>国防军工</v>
      </c>
      <c r="E276" s="122" t="str">
        <f ca="1">[1]!cb_info_underlyingcode(B276)</f>
        <v>300424.SZ</v>
      </c>
      <c r="F276" s="124">
        <f ca="1">RTD("wdf.rtq",,B276,"LastPrice","Dirty_Price")</f>
        <v>131.91200000000001</v>
      </c>
      <c r="G276" s="124">
        <f ca="1">RTD("wdf.rtq",,E276,"LastPrice")</f>
        <v>17.690000000000001</v>
      </c>
      <c r="H276" s="226">
        <f ca="1">RTD("wdf.rtq",,B276,"PctChg","RT_Price")/100</f>
        <v>-8.0000000000000004E-4</v>
      </c>
      <c r="I276" s="226">
        <f ca="1">RTD("wdf.rtq",,E276,"PctChg")/100</f>
        <v>-1.1000000000000001E-3</v>
      </c>
      <c r="J276" s="125">
        <f ca="1">_xlfn.IFNA([1]!b_anal_ptmyear(B276,$B$2),"未发行或发行失败")</f>
        <v>4.8684931506849312</v>
      </c>
      <c r="K276" s="125">
        <f ca="1">RTD("wdf.rtq",,B276,"Amount","Dirty_Price")/100000000</f>
        <v>0.44121150999999997</v>
      </c>
      <c r="L276" s="125">
        <f ca="1">[1]!cb_anal_convprice(B276,$B$2)</f>
        <v>14.85</v>
      </c>
      <c r="M276" s="125">
        <f t="shared" ca="1" si="16"/>
        <v>119.12457912457914</v>
      </c>
      <c r="N276" s="126">
        <f t="shared" ca="1" si="17"/>
        <v>10.734494064443183</v>
      </c>
      <c r="O276" s="126">
        <f t="array" aca="1" ref="O276" ca="1">_xlfn.IFNA(RTD("wdf.rtq",,B276,"LastPrice","Yield_To_Maturity"),[1]!cb_anal_ytm(B276,$C$2))</f>
        <v>-1.2393000000000001</v>
      </c>
      <c r="P276" s="126">
        <f ca="1">[1]!cb_anal_straightbondvalue(B276,$B$2)</f>
        <v>83.099500000000006</v>
      </c>
      <c r="Q276" s="126">
        <f t="shared" ca="1" si="18"/>
        <v>58.739823945992441</v>
      </c>
      <c r="R276" s="126" t="str">
        <f ca="1">[1]!b_rate_latestcredit(B276)</f>
        <v>A+</v>
      </c>
      <c r="S276" s="126">
        <f ca="1">[1]!cb_info_outstandingbalance(B276,$B$2)</f>
        <v>2.49681</v>
      </c>
      <c r="T276" s="126">
        <f ca="1">[1]!cb_info_issueamount(B276,100000000)</f>
        <v>2.5</v>
      </c>
      <c r="U276" s="126">
        <f t="shared" ca="1" si="19"/>
        <v>99.872399999999999</v>
      </c>
      <c r="V276" s="230">
        <f ca="1">IF([1]!cb_anal_ldiluterate(B276,$B$2)=100,"-",[1]!cb_anal_ldiluterate(B276,$B$2))</f>
        <v>7.7376906405680925</v>
      </c>
      <c r="W276" s="127" t="str">
        <f ca="1">[1]!cb_info_listeddate(B276)</f>
        <v>2020-08-18</v>
      </c>
      <c r="X276" s="127" t="str">
        <f ca="1">[1]!cb_info_carrydate(B276)</f>
        <v>2020-07-22</v>
      </c>
      <c r="Y276" s="125" t="str">
        <f ca="1">[1]!cb_clause_conversion_2_swapsharestartdate(B276)</f>
        <v>2021-01-28</v>
      </c>
      <c r="Z276" s="125" t="str">
        <f ca="1">[1]!cb_clause_putoption_conditionalputbackstartenddate(B276)</f>
        <v>2024-07-22</v>
      </c>
      <c r="AA276" s="230">
        <f ca="1">[1]!cb_info_maturitycallprice(B276)</f>
        <v>118</v>
      </c>
      <c r="AB276" s="230">
        <f ca="1">IF(ISNUMBER([1]!cb_info_conditionalputprice(B276)),[1]!cb_info_conditionalputprice(B276),"-")</f>
        <v>0</v>
      </c>
      <c r="AC276" s="230">
        <f ca="1">[1]!cb_info_interest(B276)</f>
        <v>0.5</v>
      </c>
      <c r="AD276" s="263" t="str">
        <f ca="1">IFERROR(couponlist([1]!cb_clause_interest(B276,"4")),"-")</f>
        <v>0.5%，0.8%，1.2%，1.8%，2.5%，3.0%</v>
      </c>
      <c r="AE276" s="129"/>
      <c r="AF276" s="129"/>
      <c r="AG276" s="129"/>
      <c r="AH276" s="129"/>
      <c r="AI276" s="129"/>
      <c r="AJ276" s="129"/>
      <c r="AK276" s="129"/>
      <c r="AL276" s="129"/>
      <c r="AM276" s="129"/>
      <c r="AN276" s="129"/>
      <c r="AO276" s="129"/>
      <c r="AP276" s="129"/>
      <c r="AQ276" s="129"/>
    </row>
    <row r="277" spans="1:43" s="191" customFormat="1" x14ac:dyDescent="0.35">
      <c r="A277" s="182" t="s">
        <v>5</v>
      </c>
      <c r="B277" s="182" t="s">
        <v>1723</v>
      </c>
      <c r="C277" s="182" t="s">
        <v>1724</v>
      </c>
      <c r="D277" s="235" t="str">
        <f ca="1">IF([1]!s_info_industry_sw(B277,1)=0,"-",[1]!s_info_industry_sw(B277,1))</f>
        <v>国防军工</v>
      </c>
      <c r="E277" s="183" t="str">
        <f ca="1">[1]!cb_info_underlyingcode(B277)</f>
        <v>300775.SZ</v>
      </c>
      <c r="F277" s="185">
        <f ca="1">RTD("wdf.rtq",,B277,"LastPrice","Dirty_Price")</f>
        <v>189.20000000000002</v>
      </c>
      <c r="G277" s="185">
        <f ca="1">RTD("wdf.rtq",,E277,"LastPrice")</f>
        <v>47.38</v>
      </c>
      <c r="H277" s="225">
        <f ca="1">RTD("wdf.rtq",,B277,"PctChg","RT_Price")/100</f>
        <v>-1.3000000000000001E-2</v>
      </c>
      <c r="I277" s="225">
        <f ca="1">RTD("wdf.rtq",,E277,"PctChg")/100</f>
        <v>-2.7900000000000001E-2</v>
      </c>
      <c r="J277" s="186">
        <f ca="1">_xlfn.IFNA([1]!b_anal_ptmyear(B277,$B$2),"未发行或发行失败")</f>
        <v>5.7095890410958905</v>
      </c>
      <c r="K277" s="186">
        <f ca="1">RTD("wdf.rtq",,B277,"Amount","Dirty_Price")/100000000</f>
        <v>0.44816906000000001</v>
      </c>
      <c r="L277" s="186">
        <f ca="1">[1]!cb_anal_convprice(B277,$B$2)</f>
        <v>31.82</v>
      </c>
      <c r="M277" s="186">
        <f t="shared" ca="1" si="16"/>
        <v>148.90006285355122</v>
      </c>
      <c r="N277" s="187">
        <f t="shared" ca="1" si="17"/>
        <v>27.065090755593076</v>
      </c>
      <c r="O277" s="187">
        <f t="array" aca="1" ref="O277" ca="1">_xlfn.IFNA(RTD("wdf.rtq",,B277,"LastPrice","Yield_To_Maturity"),[1]!cb_anal_ytm(B277,$C$2))</f>
        <v>-7.6540000000000008</v>
      </c>
      <c r="P277" s="187">
        <f ca="1">[1]!cb_anal_straightbondvalue(B277,$B$2)</f>
        <v>83.920100000000005</v>
      </c>
      <c r="Q277" s="187">
        <f t="shared" ca="1" si="18"/>
        <v>125.45254355035323</v>
      </c>
      <c r="R277" s="187" t="str">
        <f ca="1">[1]!b_rate_latestcredit(B277)</f>
        <v>AA-</v>
      </c>
      <c r="S277" s="187">
        <f ca="1">[1]!cb_info_outstandingbalance(B277,$B$2)</f>
        <v>9.0437270000000005</v>
      </c>
      <c r="T277" s="187">
        <f ca="1">[1]!cb_info_issueamount(B277,100000000)</f>
        <v>9.0437270000000005</v>
      </c>
      <c r="U277" s="187">
        <f t="shared" ca="1" si="19"/>
        <v>100</v>
      </c>
      <c r="V277" s="240">
        <f ca="1">IF([1]!cb_anal_ldiluterate(B277,$B$2)=100,"-",[1]!cb_anal_ldiluterate(B277,$B$2))</f>
        <v>9.7193661109756189</v>
      </c>
      <c r="W277" s="188" t="str">
        <f ca="1">[1]!cb_info_listeddate(B277)</f>
        <v>2021-06-11</v>
      </c>
      <c r="X277" s="188" t="str">
        <f ca="1">[1]!cb_info_carrydate(B277)</f>
        <v>2021-05-25</v>
      </c>
      <c r="Y277" s="186" t="str">
        <f ca="1">[1]!cb_clause_conversion_2_swapsharestartdate(B277)</f>
        <v>2021-11-30</v>
      </c>
      <c r="Z277" s="186" t="str">
        <f ca="1">[1]!cb_clause_putoption_conditionalputbackstartenddate(B277)</f>
        <v>2025-05-25</v>
      </c>
      <c r="AA277" s="240">
        <f ca="1">[1]!cb_info_maturitycallprice(B277)</f>
        <v>115</v>
      </c>
      <c r="AB277" s="240">
        <f ca="1">IF(ISNUMBER([1]!cb_info_conditionalputprice(B277)),[1]!cb_info_conditionalputprice(B277),"-")</f>
        <v>0</v>
      </c>
      <c r="AC277" s="240">
        <f ca="1">[1]!cb_info_interest(B277)</f>
        <v>0.4</v>
      </c>
      <c r="AD277" s="262" t="str">
        <f ca="1">IFERROR(couponlist([1]!cb_clause_interest(B277,"4")),"-")</f>
        <v>0.40%，0.60%，1.00%，1.50%，2.50%，3.00%</v>
      </c>
      <c r="AE277" s="189"/>
      <c r="AF277" s="189"/>
      <c r="AG277" s="189"/>
      <c r="AH277" s="189"/>
      <c r="AI277" s="189"/>
      <c r="AJ277" s="189"/>
      <c r="AK277" s="189"/>
      <c r="AL277" s="189"/>
      <c r="AM277" s="189"/>
      <c r="AN277" s="189"/>
      <c r="AO277" s="189"/>
      <c r="AP277" s="189"/>
      <c r="AQ277" s="189"/>
    </row>
    <row r="278" spans="1:43" s="130" customFormat="1" x14ac:dyDescent="0.35">
      <c r="A278" s="121" t="s">
        <v>5</v>
      </c>
      <c r="B278" s="121" t="s">
        <v>148</v>
      </c>
      <c r="C278" s="121" t="s">
        <v>149</v>
      </c>
      <c r="D278" s="236" t="str">
        <f ca="1">IF([1]!s_info_industry_sw(B278,1)=0,"-",[1]!s_info_industry_sw(B278,1))</f>
        <v>国防军工</v>
      </c>
      <c r="E278" s="122" t="str">
        <f ca="1">[1]!cb_info_underlyingcode(B278)</f>
        <v>300527.SZ</v>
      </c>
      <c r="F278" s="124">
        <f ca="1">RTD("wdf.rtq",,B278,"LastPrice","Dirty_Price")</f>
        <v>141.423</v>
      </c>
      <c r="G278" s="124">
        <f ca="1">RTD("wdf.rtq",,E278,"LastPrice")</f>
        <v>10.210000000000001</v>
      </c>
      <c r="H278" s="226">
        <f ca="1">RTD("wdf.rtq",,B278,"PctChg","RT_Price")/100</f>
        <v>0</v>
      </c>
      <c r="I278" s="226">
        <f ca="1">RTD("wdf.rtq",,E278,"PctChg")/100</f>
        <v>6.9000000000000008E-3</v>
      </c>
      <c r="J278" s="125">
        <f ca="1">_xlfn.IFNA([1]!b_anal_ptmyear(B278,$B$2),"未发行或发行失败")</f>
        <v>4.5863013698630137</v>
      </c>
      <c r="K278" s="125">
        <f ca="1">RTD("wdf.rtq",,B278,"Amount","Dirty_Price")/100000000</f>
        <v>0.99614784000000001</v>
      </c>
      <c r="L278" s="125">
        <f ca="1">[1]!cb_anal_convprice(B278,$B$2)</f>
        <v>8.8800000000000008</v>
      </c>
      <c r="M278" s="125">
        <f t="shared" ca="1" si="16"/>
        <v>114.97747747747748</v>
      </c>
      <c r="N278" s="126">
        <f t="shared" ca="1" si="17"/>
        <v>23.000611165523992</v>
      </c>
      <c r="O278" s="126">
        <f t="array" aca="1" ref="O278" ca="1">_xlfn.IFNA(RTD("wdf.rtq",,B278,"LastPrice","Yield_To_Maturity"),[1]!cb_anal_ytm(B278,$C$2))</f>
        <v>-4.8963000000000001</v>
      </c>
      <c r="P278" s="126">
        <f ca="1">[1]!cb_anal_straightbondvalue(B278,$B$2)</f>
        <v>96.280199999999994</v>
      </c>
      <c r="Q278" s="126">
        <f t="shared" ca="1" si="18"/>
        <v>46.886898863940871</v>
      </c>
      <c r="R278" s="126" t="str">
        <f ca="1">[1]!b_rate_latestcredit(B278)</f>
        <v>AA+</v>
      </c>
      <c r="S278" s="126">
        <f ca="1">[1]!cb_info_outstandingbalance(B278,$B$2)</f>
        <v>3.7929110000000001</v>
      </c>
      <c r="T278" s="126">
        <f ca="1">[1]!cb_info_issueamount(B278,100000000)</f>
        <v>8.1893119999999993</v>
      </c>
      <c r="U278" s="126">
        <f t="shared" ca="1" si="19"/>
        <v>46.315380339642701</v>
      </c>
      <c r="V278" s="230">
        <f ca="1">IF([1]!cb_anal_ldiluterate(B278,$B$2)=100,"-",[1]!cb_anal_ldiluterate(B278,$B$2))</f>
        <v>4.2479843417293077</v>
      </c>
      <c r="W278" s="127" t="str">
        <f ca="1">[1]!cb_info_listeddate(B278)</f>
        <v>2020-05-11</v>
      </c>
      <c r="X278" s="127" t="str">
        <f ca="1">[1]!cb_info_carrydate(B278)</f>
        <v>2020-04-10</v>
      </c>
      <c r="Y278" s="125" t="str">
        <f ca="1">[1]!cb_clause_conversion_2_swapsharestartdate(B278)</f>
        <v>2020-10-16</v>
      </c>
      <c r="Z278" s="125" t="str">
        <f ca="1">[1]!cb_clause_putoption_conditionalputbackstartenddate(B278)</f>
        <v>2024-04-10</v>
      </c>
      <c r="AA278" s="230">
        <f ca="1">[1]!cb_info_maturitycallprice(B278)</f>
        <v>108</v>
      </c>
      <c r="AB278" s="230">
        <f ca="1">IF(ISNUMBER([1]!cb_info_conditionalputprice(B278)),[1]!cb_info_conditionalputprice(B278),"-")</f>
        <v>0</v>
      </c>
      <c r="AC278" s="230">
        <f ca="1">[1]!cb_info_interest(B278)</f>
        <v>0.3</v>
      </c>
      <c r="AD278" s="263" t="str">
        <f ca="1">IFERROR(couponlist([1]!cb_clause_interest(B278,"4")),"-")</f>
        <v>0.30%，0.50%，1.00%，1.50%，1.80%，2.00%</v>
      </c>
      <c r="AE278" s="129"/>
      <c r="AF278" s="129"/>
      <c r="AG278" s="129"/>
      <c r="AH278" s="129"/>
      <c r="AI278" s="129"/>
      <c r="AJ278" s="129"/>
      <c r="AK278" s="129"/>
      <c r="AL278" s="129"/>
      <c r="AM278" s="129"/>
      <c r="AN278" s="129"/>
      <c r="AO278" s="129"/>
      <c r="AP278" s="129"/>
      <c r="AQ278" s="129"/>
    </row>
    <row r="279" spans="1:43" s="191" customFormat="1" x14ac:dyDescent="0.35">
      <c r="A279" s="182" t="s">
        <v>5</v>
      </c>
      <c r="B279" s="182" t="s">
        <v>624</v>
      </c>
      <c r="C279" s="182" t="s">
        <v>625</v>
      </c>
      <c r="D279" s="235" t="str">
        <f ca="1">IF([1]!s_info_industry_sw(B279,1)=0,"-",[1]!s_info_industry_sw(B279,1))</f>
        <v>公用事业</v>
      </c>
      <c r="E279" s="183" t="str">
        <f ca="1">[1]!cb_info_underlyingcode(B279)</f>
        <v>300332.SZ</v>
      </c>
      <c r="F279" s="185">
        <f ca="1">RTD("wdf.rtq",,B279,"LastPrice","Dirty_Price")</f>
        <v>167.07000000000002</v>
      </c>
      <c r="G279" s="185">
        <f ca="1">RTD("wdf.rtq",,E279,"LastPrice")</f>
        <v>7.61</v>
      </c>
      <c r="H279" s="225">
        <f ca="1">RTD("wdf.rtq",,B279,"PctChg","RT_Price")/100</f>
        <v>-2.3E-2</v>
      </c>
      <c r="I279" s="225">
        <f ca="1">RTD("wdf.rtq",,E279,"PctChg")/100</f>
        <v>-1.04E-2</v>
      </c>
      <c r="J279" s="186">
        <f ca="1">_xlfn.IFNA([1]!b_anal_ptmyear(B279,$B$2),"未发行或发行失败")</f>
        <v>5.2931506849315069</v>
      </c>
      <c r="K279" s="186">
        <f ca="1">RTD("wdf.rtq",,B279,"Amount","Dirty_Price")/100000000</f>
        <v>0.99911024999999998</v>
      </c>
      <c r="L279" s="186">
        <f ca="1">[1]!cb_anal_convprice(B279,$B$2)</f>
        <v>5.19</v>
      </c>
      <c r="M279" s="186">
        <f t="shared" ca="1" si="16"/>
        <v>146.6281310211946</v>
      </c>
      <c r="N279" s="187">
        <f t="shared" ca="1" si="17"/>
        <v>13.941300919842334</v>
      </c>
      <c r="O279" s="187">
        <f t="array" aca="1" ref="O279" ca="1">_xlfn.IFNA(RTD("wdf.rtq",,B279,"LastPrice","Yield_To_Maturity"),[1]!cb_anal_ytm(B279,$C$2))</f>
        <v>-5.9478</v>
      </c>
      <c r="P279" s="187">
        <f ca="1">[1]!cb_anal_straightbondvalue(B279,$B$2)</f>
        <v>78.3232</v>
      </c>
      <c r="Q279" s="187">
        <f t="shared" ca="1" si="18"/>
        <v>113.30844500735418</v>
      </c>
      <c r="R279" s="187" t="str">
        <f ca="1">[1]!b_rate_latestcredit(B279)</f>
        <v>A+</v>
      </c>
      <c r="S279" s="187">
        <f ca="1">[1]!cb_info_outstandingbalance(B279,$B$2)</f>
        <v>4.2288800000000002</v>
      </c>
      <c r="T279" s="187">
        <f ca="1">[1]!cb_info_issueamount(B279,100000000)</f>
        <v>4.2300000000000004</v>
      </c>
      <c r="U279" s="187">
        <f t="shared" ca="1" si="19"/>
        <v>99.973522458628835</v>
      </c>
      <c r="V279" s="240">
        <f ca="1">IF([1]!cb_anal_ldiluterate(B279,$B$2)=100,"-",[1]!cb_anal_ldiluterate(B279,$B$2))</f>
        <v>8.8370275484187371</v>
      </c>
      <c r="W279" s="188" t="str">
        <f ca="1">[1]!cb_info_listeddate(B279)</f>
        <v>2021-01-15</v>
      </c>
      <c r="X279" s="188" t="str">
        <f ca="1">[1]!cb_info_carrydate(B279)</f>
        <v>2020-12-24</v>
      </c>
      <c r="Y279" s="186" t="str">
        <f ca="1">[1]!cb_clause_conversion_2_swapsharestartdate(B279)</f>
        <v>2021-06-30</v>
      </c>
      <c r="Z279" s="186" t="str">
        <f ca="1">[1]!cb_clause_putoption_conditionalputbackstartenddate(B279)</f>
        <v>2024-12-24</v>
      </c>
      <c r="AA279" s="240">
        <f ca="1">[1]!cb_info_maturitycallprice(B279)</f>
        <v>115</v>
      </c>
      <c r="AB279" s="240">
        <f ca="1">IF(ISNUMBER([1]!cb_info_conditionalputprice(B279)),[1]!cb_info_conditionalputprice(B279),"-")</f>
        <v>0</v>
      </c>
      <c r="AC279" s="240">
        <f ca="1">[1]!cb_info_interest(B279)</f>
        <v>0.5</v>
      </c>
      <c r="AD279" s="262" t="str">
        <f ca="1">IFERROR(couponlist([1]!cb_clause_interest(B279,"4")),"-")</f>
        <v>0.50%，0.70%，1.20%，1.80%，2.40%，2.80%</v>
      </c>
      <c r="AE279" s="189"/>
      <c r="AF279" s="189"/>
      <c r="AG279" s="189"/>
      <c r="AH279" s="189"/>
      <c r="AI279" s="189"/>
      <c r="AJ279" s="189"/>
      <c r="AK279" s="189"/>
      <c r="AL279" s="189"/>
      <c r="AM279" s="189"/>
      <c r="AN279" s="189"/>
      <c r="AO279" s="189"/>
      <c r="AP279" s="189"/>
      <c r="AQ279" s="189"/>
    </row>
    <row r="280" spans="1:43" s="130" customFormat="1" x14ac:dyDescent="0.35">
      <c r="A280" s="121" t="s">
        <v>0</v>
      </c>
      <c r="B280" s="121" t="s">
        <v>370</v>
      </c>
      <c r="C280" s="121" t="s">
        <v>371</v>
      </c>
      <c r="D280" s="236" t="str">
        <f ca="1">IF([1]!s_info_industry_sw(B280,1)=0,"-",[1]!s_info_industry_sw(B280,1))</f>
        <v>公用事业</v>
      </c>
      <c r="E280" s="122" t="str">
        <f ca="1">[1]!cb_info_underlyingcode(B280)</f>
        <v>603797.SH</v>
      </c>
      <c r="F280" s="124">
        <f ca="1">RTD("wdf.rtq",,B280,"LastPrice","Dirty_Price")</f>
        <v>279.62</v>
      </c>
      <c r="G280" s="124">
        <f ca="1">RTD("wdf.rtq",,E280,"LastPrice")</f>
        <v>7.11</v>
      </c>
      <c r="H280" s="226">
        <f ca="1">RTD("wdf.rtq",,B280,"PctChg","RT_Price")/100</f>
        <v>3.1400000000000004E-2</v>
      </c>
      <c r="I280" s="226">
        <f ca="1">RTD("wdf.rtq",,E280,"PctChg")/100</f>
        <v>2.7999999999999995E-3</v>
      </c>
      <c r="J280" s="125">
        <f ca="1">_xlfn.IFNA([1]!b_anal_ptmyear(B280,$B$2),"未发行或发行失败")</f>
        <v>3.3753424657534246</v>
      </c>
      <c r="K280" s="125">
        <f ca="1">RTD("wdf.rtq",,B280,"Amount","Dirty_Price")/100000000</f>
        <v>7.0879483900000002</v>
      </c>
      <c r="L280" s="125">
        <f ca="1">[1]!cb_anal_convprice(B280,$B$2)</f>
        <v>6.11</v>
      </c>
      <c r="M280" s="125">
        <f t="shared" ca="1" si="16"/>
        <v>116.36661211129295</v>
      </c>
      <c r="N280" s="126">
        <f t="shared" ca="1" si="17"/>
        <v>140.2922925457103</v>
      </c>
      <c r="O280" s="126">
        <f t="array" aca="1" ref="O280" ca="1">_xlfn.IFNA(RTD("wdf.rtq",,B280,"LastPrice","Yield_To_Maturity"),[1]!cb_anal_ytm(B280,$C$2))</f>
        <v>-24.426500000000001</v>
      </c>
      <c r="P280" s="126">
        <f ca="1">[1]!cb_anal_straightbondvalue(B280,$B$2)</f>
        <v>98.987099999999998</v>
      </c>
      <c r="Q280" s="126">
        <f t="shared" ca="1" si="18"/>
        <v>182.48125260766301</v>
      </c>
      <c r="R280" s="126" t="str">
        <f ca="1">[1]!b_rate_latestcredit(B280)</f>
        <v>AA+</v>
      </c>
      <c r="S280" s="126">
        <f ca="1">[1]!cb_info_outstandingbalance(B280,$B$2)</f>
        <v>1.9306099999999999</v>
      </c>
      <c r="T280" s="126">
        <f ca="1">[1]!cb_info_issueamount(B280,100000000)</f>
        <v>3.9</v>
      </c>
      <c r="U280" s="126">
        <f t="shared" ca="1" si="19"/>
        <v>49.502820512820513</v>
      </c>
      <c r="V280" s="230">
        <f ca="1">IF([1]!cb_anal_ldiluterate(B280,$B$2)=100,"-",[1]!cb_anal_ldiluterate(B280,$B$2))</f>
        <v>6.5637765189686554</v>
      </c>
      <c r="W280" s="127" t="str">
        <f ca="1">[1]!cb_info_listeddate(B280)</f>
        <v>2019-02-18</v>
      </c>
      <c r="X280" s="127" t="str">
        <f ca="1">[1]!cb_info_carrydate(B280)</f>
        <v>2019-01-23</v>
      </c>
      <c r="Y280" s="125" t="str">
        <f ca="1">[1]!cb_clause_conversion_2_swapsharestartdate(B280)</f>
        <v>2019-07-29</v>
      </c>
      <c r="Z280" s="125" t="str">
        <f ca="1">[1]!cb_clause_putoption_conditionalputbackstartenddate(B280)</f>
        <v>2023-01-23</v>
      </c>
      <c r="AA280" s="230">
        <f ca="1">[1]!cb_info_maturitycallprice(B280)</f>
        <v>106</v>
      </c>
      <c r="AB280" s="230">
        <f ca="1">IF(ISNUMBER([1]!cb_info_conditionalputprice(B280)),[1]!cb_info_conditionalputprice(B280),"-")</f>
        <v>0</v>
      </c>
      <c r="AC280" s="230">
        <f ca="1">[1]!cb_info_interest(B280)</f>
        <v>0.3</v>
      </c>
      <c r="AD280" s="263" t="str">
        <f ca="1">IFERROR(couponlist([1]!cb_clause_interest(B280,"4")),"-")</f>
        <v>0.3%，0.5%，1.0%，1.5%，1.8%，2.0%</v>
      </c>
      <c r="AE280" s="129"/>
      <c r="AF280" s="129"/>
      <c r="AG280" s="129"/>
      <c r="AH280" s="129"/>
      <c r="AI280" s="129"/>
      <c r="AJ280" s="129"/>
      <c r="AK280" s="129"/>
      <c r="AL280" s="129"/>
      <c r="AM280" s="129"/>
      <c r="AN280" s="129"/>
      <c r="AO280" s="129"/>
      <c r="AP280" s="129"/>
      <c r="AQ280" s="129"/>
    </row>
    <row r="281" spans="1:43" s="191" customFormat="1" x14ac:dyDescent="0.35">
      <c r="A281" s="182" t="s">
        <v>0</v>
      </c>
      <c r="B281" s="182" t="s">
        <v>461</v>
      </c>
      <c r="C281" s="182" t="s">
        <v>462</v>
      </c>
      <c r="D281" s="235" t="str">
        <f ca="1">IF([1]!s_info_industry_sw(B281,1)=0,"-",[1]!s_info_industry_sw(B281,1))</f>
        <v>公用事业</v>
      </c>
      <c r="E281" s="183" t="str">
        <f ca="1">[1]!cb_info_underlyingcode(B281)</f>
        <v>600863.SH</v>
      </c>
      <c r="F281" s="185">
        <f ca="1">RTD("wdf.rtq",,B281,"LastPrice","Dirty_Price")</f>
        <v>146.77000000000001</v>
      </c>
      <c r="G281" s="185">
        <f ca="1">RTD("wdf.rtq",,E281,"LastPrice")</f>
        <v>3.7600000000000002</v>
      </c>
      <c r="H281" s="225">
        <f ca="1">RTD("wdf.rtq",,B281,"PctChg","RT_Price")/100</f>
        <v>5.4600000000000003E-2</v>
      </c>
      <c r="I281" s="225">
        <f ca="1">RTD("wdf.rtq",,E281,"PctChg")/100</f>
        <v>9.3000000000000013E-2</v>
      </c>
      <c r="J281" s="186">
        <f ca="1">_xlfn.IFNA([1]!b_anal_ptmyear(B281,$B$2),"未发行或发行失败")</f>
        <v>2.2876712328767121</v>
      </c>
      <c r="K281" s="186">
        <f ca="1">RTD("wdf.rtq",,B281,"Amount","Dirty_Price")/100000000</f>
        <v>8.7426186500000007</v>
      </c>
      <c r="L281" s="186">
        <f ca="1">[1]!cb_anal_convprice(B281,$B$2)</f>
        <v>2.56</v>
      </c>
      <c r="M281" s="186">
        <f t="shared" ca="1" si="16"/>
        <v>146.875</v>
      </c>
      <c r="N281" s="187">
        <f t="shared" ca="1" si="17"/>
        <v>-7.1489361702120391E-2</v>
      </c>
      <c r="O281" s="187">
        <f t="array" aca="1" ref="O281" ca="1">_xlfn.IFNA(RTD("wdf.rtq",,B281,"LastPrice","Yield_To_Maturity"),[1]!cb_anal_ytm(B281,$C$2))</f>
        <v>-12.289300000000001</v>
      </c>
      <c r="P281" s="187">
        <f ca="1">[1]!cb_anal_straightbondvalue(B281,$B$2)</f>
        <v>102.4106</v>
      </c>
      <c r="Q281" s="187">
        <f t="shared" ca="1" si="18"/>
        <v>43.315242758073879</v>
      </c>
      <c r="R281" s="187" t="str">
        <f ca="1">[1]!b_rate_latestcredit(B281)</f>
        <v>AAA</v>
      </c>
      <c r="S281" s="187">
        <f ca="1">[1]!cb_info_outstandingbalance(B281,$B$2)</f>
        <v>18.72851</v>
      </c>
      <c r="T281" s="187">
        <f ca="1">[1]!cb_info_issueamount(B281,100000000)</f>
        <v>18.752199999999998</v>
      </c>
      <c r="U281" s="187">
        <f t="shared" ca="1" si="19"/>
        <v>99.873668156269673</v>
      </c>
      <c r="V281" s="240">
        <f ca="1">IF([1]!cb_anal_ldiluterate(B281,$B$2)=100,"-",[1]!cb_anal_ldiluterate(B281,$B$2))</f>
        <v>11.186291796794894</v>
      </c>
      <c r="W281" s="188" t="str">
        <f ca="1">[1]!cb_info_listeddate(B281)</f>
        <v>2018-01-09</v>
      </c>
      <c r="X281" s="188" t="str">
        <f ca="1">[1]!cb_info_carrydate(B281)</f>
        <v>2017-12-22</v>
      </c>
      <c r="Y281" s="186" t="str">
        <f ca="1">[1]!cb_clause_conversion_2_swapsharestartdate(B281)</f>
        <v>2018-06-28</v>
      </c>
      <c r="Z281" s="186" t="str">
        <f ca="1">[1]!cb_clause_putoption_conditionalputbackstartenddate(B281)</f>
        <v>2021-12-22</v>
      </c>
      <c r="AA281" s="240">
        <f ca="1">[1]!cb_info_maturitycallprice(B281)</f>
        <v>106</v>
      </c>
      <c r="AB281" s="240">
        <f ca="1">IF(ISNUMBER([1]!cb_info_conditionalputprice(B281)),[1]!cb_info_conditionalputprice(B281),"-")</f>
        <v>0</v>
      </c>
      <c r="AC281" s="240">
        <f ca="1">[1]!cb_info_interest(B281)</f>
        <v>0.4</v>
      </c>
      <c r="AD281" s="262" t="str">
        <f ca="1">IFERROR(couponlist([1]!cb_clause_interest(B281,"4")),"-")</f>
        <v>0.4%，0.6%，1.0%，1.5%，1.8%，2.0%</v>
      </c>
      <c r="AE281" s="189"/>
      <c r="AF281" s="189"/>
      <c r="AG281" s="189"/>
      <c r="AH281" s="189"/>
      <c r="AI281" s="189"/>
      <c r="AJ281" s="189"/>
      <c r="AK281" s="189"/>
      <c r="AL281" s="189"/>
      <c r="AM281" s="189"/>
      <c r="AN281" s="189"/>
      <c r="AO281" s="189"/>
      <c r="AP281" s="189"/>
      <c r="AQ281" s="189"/>
    </row>
    <row r="282" spans="1:43" s="130" customFormat="1" x14ac:dyDescent="0.35">
      <c r="A282" s="121" t="s">
        <v>0</v>
      </c>
      <c r="B282" s="121" t="s">
        <v>30</v>
      </c>
      <c r="C282" s="121" t="s">
        <v>31</v>
      </c>
      <c r="D282" s="236" t="str">
        <f ca="1">IF([1]!s_info_industry_sw(B282,1)=0,"-",[1]!s_info_industry_sw(B282,1))</f>
        <v>公用事业</v>
      </c>
      <c r="E282" s="122" t="str">
        <f ca="1">[1]!cb_info_underlyingcode(B282)</f>
        <v>601619.SH</v>
      </c>
      <c r="F282" s="124">
        <f ca="1">RTD("wdf.rtq",,B282,"LastPrice","Dirty_Price")</f>
        <v>162.43</v>
      </c>
      <c r="G282" s="124">
        <f ca="1">RTD("wdf.rtq",,E282,"LastPrice")</f>
        <v>5.66</v>
      </c>
      <c r="H282" s="226">
        <f ca="1">RTD("wdf.rtq",,B282,"PctChg","RT_Price")/100</f>
        <v>5.96E-2</v>
      </c>
      <c r="I282" s="226">
        <f ca="1">RTD("wdf.rtq",,E282,"PctChg")/100</f>
        <v>6.3899999999999998E-2</v>
      </c>
      <c r="J282" s="125">
        <f ca="1">_xlfn.IFNA([1]!b_anal_ptmyear(B282,$B$2),"未发行或发行失败")</f>
        <v>4.9589041095890414</v>
      </c>
      <c r="K282" s="125">
        <f ca="1">RTD("wdf.rtq",,B282,"Amount","Dirty_Price")/100000000</f>
        <v>20.947354900000001</v>
      </c>
      <c r="L282" s="125">
        <f ca="1">[1]!cb_anal_convprice(B282,$B$2)</f>
        <v>3.46</v>
      </c>
      <c r="M282" s="125">
        <f t="shared" ca="1" si="16"/>
        <v>163.58381502890174</v>
      </c>
      <c r="N282" s="126">
        <f t="shared" ca="1" si="17"/>
        <v>-0.70533568904593835</v>
      </c>
      <c r="O282" s="126">
        <f t="array" aca="1" ref="O282" ca="1">_xlfn.IFNA(RTD("wdf.rtq",,B282,"LastPrice","Yield_To_Maturity"),[1]!cb_anal_ytm(B282,$C$2))</f>
        <v>-7.2004000000000001</v>
      </c>
      <c r="P282" s="126">
        <f ca="1">[1]!cb_anal_straightbondvalue(B282,$B$2)</f>
        <v>91.735399999999998</v>
      </c>
      <c r="Q282" s="126">
        <f t="shared" ca="1" si="18"/>
        <v>77.063598131146762</v>
      </c>
      <c r="R282" s="126" t="str">
        <f ca="1">[1]!b_rate_latestcredit(B282)</f>
        <v>AA</v>
      </c>
      <c r="S282" s="126">
        <f ca="1">[1]!cb_info_outstandingbalance(B282,$B$2)</f>
        <v>5.3912699999999996</v>
      </c>
      <c r="T282" s="126">
        <f ca="1">[1]!cb_info_issueamount(B282,100000000)</f>
        <v>13</v>
      </c>
      <c r="U282" s="126">
        <f t="shared" ca="1" si="19"/>
        <v>41.47130769230769</v>
      </c>
      <c r="V282" s="230">
        <f ca="1">IF([1]!cb_anal_ldiluterate(B282,$B$2)=100,"-",[1]!cb_anal_ldiluterate(B282,$B$2))</f>
        <v>6.3796665345993349</v>
      </c>
      <c r="W282" s="127" t="str">
        <f ca="1">[1]!cb_info_listeddate(B282)</f>
        <v>2020-09-17</v>
      </c>
      <c r="X282" s="127" t="str">
        <f ca="1">[1]!cb_info_carrydate(B282)</f>
        <v>2020-08-24</v>
      </c>
      <c r="Y282" s="125" t="str">
        <f ca="1">[1]!cb_clause_conversion_2_swapsharestartdate(B282)</f>
        <v>2021-03-01</v>
      </c>
      <c r="Z282" s="125" t="str">
        <f ca="1">[1]!cb_clause_putoption_conditionalputbackstartenddate(B282)</f>
        <v>2024-08-24</v>
      </c>
      <c r="AA282" s="230">
        <f ca="1">[1]!cb_info_maturitycallprice(B282)</f>
        <v>108</v>
      </c>
      <c r="AB282" s="230">
        <f ca="1">IF(ISNUMBER([1]!cb_info_conditionalputprice(B282)),[1]!cb_info_conditionalputprice(B282),"-")</f>
        <v>0</v>
      </c>
      <c r="AC282" s="230">
        <f ca="1">[1]!cb_info_interest(B282)</f>
        <v>0.3</v>
      </c>
      <c r="AD282" s="263" t="str">
        <f ca="1">IFERROR(couponlist([1]!cb_clause_interest(B282,"4")),"-")</f>
        <v>0.3%，0.5%，1.0%，1.5%，1.8%，2.0%</v>
      </c>
      <c r="AE282" s="129"/>
      <c r="AF282" s="129"/>
      <c r="AG282" s="129"/>
      <c r="AH282" s="129"/>
      <c r="AI282" s="129"/>
      <c r="AJ282" s="129"/>
      <c r="AK282" s="129"/>
      <c r="AL282" s="129"/>
      <c r="AM282" s="129"/>
      <c r="AN282" s="129"/>
      <c r="AO282" s="129"/>
      <c r="AP282" s="129"/>
      <c r="AQ282" s="129"/>
    </row>
    <row r="283" spans="1:43" s="191" customFormat="1" x14ac:dyDescent="0.35">
      <c r="A283" s="182" t="s">
        <v>0</v>
      </c>
      <c r="B283" s="182" t="s">
        <v>256</v>
      </c>
      <c r="C283" s="182" t="s">
        <v>257</v>
      </c>
      <c r="D283" s="235" t="str">
        <f ca="1">IF([1]!s_info_industry_sw(B283,1)=0,"-",[1]!s_info_industry_sw(B283,1))</f>
        <v>公用事业</v>
      </c>
      <c r="E283" s="183" t="str">
        <f ca="1">[1]!cb_info_underlyingcode(B283)</f>
        <v>600674.SH</v>
      </c>
      <c r="F283" s="185">
        <f ca="1">RTD("wdf.rtq",,B283,"LastPrice","Dirty_Price")</f>
        <v>148.86000000000001</v>
      </c>
      <c r="G283" s="185">
        <f ca="1">RTD("wdf.rtq",,E283,"LastPrice")</f>
        <v>12.82</v>
      </c>
      <c r="H283" s="225">
        <f ca="1">RTD("wdf.rtq",,B283,"PctChg","RT_Price")/100</f>
        <v>3.85E-2</v>
      </c>
      <c r="I283" s="225">
        <f ca="1">RTD("wdf.rtq",,E283,"PctChg")/100</f>
        <v>5.2500000000000012E-2</v>
      </c>
      <c r="J283" s="186">
        <f ca="1">_xlfn.IFNA([1]!b_anal_ptmyear(B283,$B$2),"未发行或发行失败")</f>
        <v>4.1753424657534248</v>
      </c>
      <c r="K283" s="186">
        <f ca="1">RTD("wdf.rtq",,B283,"Amount","Dirty_Price")/100000000</f>
        <v>0.88585269</v>
      </c>
      <c r="L283" s="186">
        <f ca="1">[1]!cb_anal_convprice(B283,$B$2)</f>
        <v>9.1999999999999993</v>
      </c>
      <c r="M283" s="186">
        <f t="shared" ca="1" si="16"/>
        <v>139.34782608695653</v>
      </c>
      <c r="N283" s="187">
        <f t="shared" ca="1" si="17"/>
        <v>6.826209048361946</v>
      </c>
      <c r="O283" s="187">
        <f t="array" aca="1" ref="O283" ca="1">_xlfn.IFNA(RTD("wdf.rtq",,B283,"LastPrice","Yield_To_Maturity"),[1]!cb_anal_ytm(B283,$C$2))</f>
        <v>-6.9582000000000006</v>
      </c>
      <c r="P283" s="187">
        <f ca="1">[1]!cb_anal_straightbondvalue(B283,$B$2)</f>
        <v>97.070499999999996</v>
      </c>
      <c r="Q283" s="187">
        <f t="shared" ca="1" si="18"/>
        <v>53.352460325227554</v>
      </c>
      <c r="R283" s="187" t="str">
        <f ca="1">[1]!b_rate_latestcredit(B283)</f>
        <v>AAA</v>
      </c>
      <c r="S283" s="187">
        <f ca="1">[1]!cb_info_outstandingbalance(B283,$B$2)</f>
        <v>39.623989999999999</v>
      </c>
      <c r="T283" s="187">
        <f ca="1">[1]!cb_info_issueamount(B283,100000000)</f>
        <v>40</v>
      </c>
      <c r="U283" s="187">
        <f t="shared" ca="1" si="19"/>
        <v>99.059974999999994</v>
      </c>
      <c r="V283" s="240">
        <f ca="1">IF([1]!cb_anal_ldiluterate(B283,$B$2)=100,"-",[1]!cb_anal_ldiluterate(B283,$B$2))</f>
        <v>8.9047194054410603</v>
      </c>
      <c r="W283" s="188" t="str">
        <f ca="1">[1]!cb_info_listeddate(B283)</f>
        <v>2019-12-02</v>
      </c>
      <c r="X283" s="188" t="str">
        <f ca="1">[1]!cb_info_carrydate(B283)</f>
        <v>2019-11-11</v>
      </c>
      <c r="Y283" s="186" t="str">
        <f ca="1">[1]!cb_clause_conversion_2_swapsharestartdate(B283)</f>
        <v>2020-05-15</v>
      </c>
      <c r="Z283" s="186" t="str">
        <f ca="1">[1]!cb_clause_putoption_conditionalputbackstartenddate(B283)</f>
        <v>2023-11-11</v>
      </c>
      <c r="AA283" s="240">
        <f ca="1">[1]!cb_info_maturitycallprice(B283)</f>
        <v>106</v>
      </c>
      <c r="AB283" s="240">
        <f ca="1">IF(ISNUMBER([1]!cb_info_conditionalputprice(B283)),[1]!cb_info_conditionalputprice(B283),"-")</f>
        <v>0</v>
      </c>
      <c r="AC283" s="240">
        <f ca="1">[1]!cb_info_interest(B283)</f>
        <v>0.2</v>
      </c>
      <c r="AD283" s="262" t="str">
        <f ca="1">IFERROR(couponlist([1]!cb_clause_interest(B283,"4")),"-")</f>
        <v>0.20%，0.50%，1.00%，1.50%，1.80%，2.00%</v>
      </c>
      <c r="AE283" s="189"/>
      <c r="AF283" s="189"/>
      <c r="AG283" s="189"/>
      <c r="AH283" s="189"/>
      <c r="AI283" s="189"/>
      <c r="AJ283" s="189"/>
      <c r="AK283" s="189"/>
      <c r="AL283" s="189"/>
      <c r="AM283" s="189"/>
      <c r="AN283" s="189"/>
      <c r="AO283" s="189"/>
      <c r="AP283" s="189"/>
      <c r="AQ283" s="189"/>
    </row>
    <row r="284" spans="1:43" s="130" customFormat="1" x14ac:dyDescent="0.35">
      <c r="A284" s="121" t="s">
        <v>0</v>
      </c>
      <c r="B284" s="121" t="s">
        <v>386</v>
      </c>
      <c r="C284" s="121" t="s">
        <v>387</v>
      </c>
      <c r="D284" s="236" t="str">
        <f ca="1">IF([1]!s_info_industry_sw(B284,1)=0,"-",[1]!s_info_industry_sw(B284,1))</f>
        <v>公用事业</v>
      </c>
      <c r="E284" s="122" t="str">
        <f ca="1">[1]!cb_info_underlyingcode(B284)</f>
        <v>600483.SH</v>
      </c>
      <c r="F284" s="124">
        <f ca="1">RTD("wdf.rtq",,B284,"LastPrice","Dirty_Price")</f>
        <v>211.68</v>
      </c>
      <c r="G284" s="124">
        <f ca="1">RTD("wdf.rtq",,E284,"LastPrice")</f>
        <v>15.44</v>
      </c>
      <c r="H284" s="226">
        <f ca="1">RTD("wdf.rtq",,B284,"PctChg","RT_Price")/100</f>
        <v>3.4000000000000002E-2</v>
      </c>
      <c r="I284" s="226">
        <f ca="1">RTD("wdf.rtq",,E284,"PctChg")/100</f>
        <v>2.6600000000000002E-2</v>
      </c>
      <c r="J284" s="125">
        <f ca="1">_xlfn.IFNA([1]!b_anal_ptmyear(B284,$B$2),"未发行或发行失败")</f>
        <v>3.2465753424657535</v>
      </c>
      <c r="K284" s="125">
        <f ca="1">RTD("wdf.rtq",,B284,"Amount","Dirty_Price")/100000000</f>
        <v>2.7053004199999999</v>
      </c>
      <c r="L284" s="125">
        <f ca="1">[1]!cb_anal_convprice(B284,$B$2)</f>
        <v>7.85</v>
      </c>
      <c r="M284" s="125">
        <f t="shared" ca="1" si="16"/>
        <v>196.68789808917199</v>
      </c>
      <c r="N284" s="126">
        <f t="shared" ca="1" si="17"/>
        <v>7.6222797927460988</v>
      </c>
      <c r="O284" s="126">
        <f t="array" aca="1" ref="O284" ca="1">_xlfn.IFNA(RTD("wdf.rtq",,B284,"LastPrice","Yield_To_Maturity"),[1]!cb_anal_ytm(B284,$C$2))</f>
        <v>-17.794</v>
      </c>
      <c r="P284" s="126">
        <f ca="1">[1]!cb_anal_straightbondvalue(B284,$B$2)</f>
        <v>102.2646</v>
      </c>
      <c r="Q284" s="126">
        <f t="shared" ca="1" si="18"/>
        <v>106.99244899994719</v>
      </c>
      <c r="R284" s="126" t="str">
        <f ca="1">[1]!b_rate_latestcredit(B284)</f>
        <v>AA+</v>
      </c>
      <c r="S284" s="126">
        <f ca="1">[1]!cb_info_outstandingbalance(B284,$B$2)</f>
        <v>19.484919999999999</v>
      </c>
      <c r="T284" s="126">
        <f ca="1">[1]!cb_info_issueamount(B284,100000000)</f>
        <v>28.3</v>
      </c>
      <c r="U284" s="126">
        <f t="shared" ca="1" si="19"/>
        <v>68.851307420494692</v>
      </c>
      <c r="V284" s="230">
        <f ca="1">IF([1]!cb_anal_ldiluterate(B284,$B$2)=100,"-",[1]!cb_anal_ldiluterate(B284,$B$2))</f>
        <v>13.012257573239836</v>
      </c>
      <c r="W284" s="127" t="str">
        <f ca="1">[1]!cb_info_listeddate(B284)</f>
        <v>2018-12-28</v>
      </c>
      <c r="X284" s="127" t="str">
        <f ca="1">[1]!cb_info_carrydate(B284)</f>
        <v>2018-12-07</v>
      </c>
      <c r="Y284" s="125" t="str">
        <f ca="1">[1]!cb_clause_conversion_2_swapsharestartdate(B284)</f>
        <v>2019-06-14</v>
      </c>
      <c r="Z284" s="125" t="str">
        <f ca="1">[1]!cb_clause_putoption_conditionalputbackstartenddate(B284)</f>
        <v>2022-12-07</v>
      </c>
      <c r="AA284" s="230">
        <f ca="1">[1]!cb_info_maturitycallprice(B284)</f>
        <v>109</v>
      </c>
      <c r="AB284" s="230">
        <f ca="1">IF(ISNUMBER([1]!cb_info_conditionalputprice(B284)),[1]!cb_info_conditionalputprice(B284),"-")</f>
        <v>0</v>
      </c>
      <c r="AC284" s="230">
        <f ca="1">[1]!cb_info_interest(B284)</f>
        <v>0.4</v>
      </c>
      <c r="AD284" s="263" t="str">
        <f ca="1">IFERROR(couponlist([1]!cb_clause_interest(B284,"4")),"-")</f>
        <v>0.4%，0.6%，1.0%，1.5%，1.8%，2.0%</v>
      </c>
      <c r="AE284" s="129"/>
      <c r="AF284" s="129"/>
      <c r="AG284" s="129"/>
      <c r="AH284" s="129"/>
      <c r="AI284" s="129"/>
      <c r="AJ284" s="129"/>
      <c r="AK284" s="129"/>
      <c r="AL284" s="129"/>
      <c r="AM284" s="129"/>
      <c r="AN284" s="129"/>
      <c r="AO284" s="129"/>
      <c r="AP284" s="129"/>
      <c r="AQ284" s="129"/>
    </row>
    <row r="285" spans="1:43" s="191" customFormat="1" x14ac:dyDescent="0.35">
      <c r="A285" s="182" t="s">
        <v>0</v>
      </c>
      <c r="B285" s="182" t="s">
        <v>543</v>
      </c>
      <c r="C285" s="182" t="s">
        <v>544</v>
      </c>
      <c r="D285" s="235" t="str">
        <f ca="1">IF([1]!s_info_industry_sw(B285,1)=0,"-",[1]!s_info_industry_sw(B285,1))</f>
        <v>公用事业</v>
      </c>
      <c r="E285" s="183" t="str">
        <f ca="1">[1]!cb_info_underlyingcode(B285)</f>
        <v>600461.SH</v>
      </c>
      <c r="F285" s="185">
        <f ca="1">RTD("wdf.rtq",,B285,"LastPrice","Dirty_Price")</f>
        <v>135.6</v>
      </c>
      <c r="G285" s="185">
        <f ca="1">RTD("wdf.rtq",,E285,"LastPrice")</f>
        <v>8.64</v>
      </c>
      <c r="H285" s="225">
        <f ca="1">RTD("wdf.rtq",,B285,"PctChg","RT_Price")/100</f>
        <v>2.4000000000000002E-3</v>
      </c>
      <c r="I285" s="225">
        <f ca="1">RTD("wdf.rtq",,E285,"PctChg")/100</f>
        <v>5.8000000000000005E-3</v>
      </c>
      <c r="J285" s="186">
        <f ca="1">_xlfn.IFNA([1]!b_anal_ptmyear(B285,$B$2),"未发行或发行失败")</f>
        <v>5.2</v>
      </c>
      <c r="K285" s="186">
        <f ca="1">RTD("wdf.rtq",,B285,"Amount","Dirty_Price")/100000000</f>
        <v>0.28729534000000001</v>
      </c>
      <c r="L285" s="186">
        <f ca="1">[1]!cb_anal_convprice(B285,$B$2)</f>
        <v>6.71</v>
      </c>
      <c r="M285" s="186">
        <f t="shared" ca="1" si="16"/>
        <v>128.76304023845009</v>
      </c>
      <c r="N285" s="187">
        <f t="shared" ca="1" si="17"/>
        <v>5.3097222222222058</v>
      </c>
      <c r="O285" s="187">
        <f t="array" aca="1" ref="O285" ca="1">_xlfn.IFNA(RTD("wdf.rtq",,B285,"LastPrice","Yield_To_Maturity"),[1]!cb_anal_ytm(B285,$C$2))</f>
        <v>-3.4040000000000004</v>
      </c>
      <c r="P285" s="187">
        <f ca="1">[1]!cb_anal_straightbondvalue(B285,$B$2)</f>
        <v>94.262500000000003</v>
      </c>
      <c r="Q285" s="187">
        <f t="shared" ca="1" si="18"/>
        <v>43.853600318260163</v>
      </c>
      <c r="R285" s="187" t="str">
        <f ca="1">[1]!b_rate_latestcredit(B285)</f>
        <v>AA+</v>
      </c>
      <c r="S285" s="187">
        <f ca="1">[1]!cb_info_outstandingbalance(B285,$B$2)</f>
        <v>17.994910000000001</v>
      </c>
      <c r="T285" s="187">
        <f ca="1">[1]!cb_info_issueamount(B285,100000000)</f>
        <v>18</v>
      </c>
      <c r="U285" s="187">
        <f t="shared" ca="1" si="19"/>
        <v>99.971722222222226</v>
      </c>
      <c r="V285" s="240">
        <f ca="1">IF([1]!cb_anal_ldiluterate(B285,$B$2)=100,"-",[1]!cb_anal_ldiluterate(B285,$B$2))</f>
        <v>22.750065171475299</v>
      </c>
      <c r="W285" s="188" t="str">
        <f ca="1">[1]!cb_info_listeddate(B285)</f>
        <v>2020-12-17</v>
      </c>
      <c r="X285" s="188" t="str">
        <f ca="1">[1]!cb_info_carrydate(B285)</f>
        <v>2020-11-20</v>
      </c>
      <c r="Y285" s="186" t="str">
        <f ca="1">[1]!cb_clause_conversion_2_swapsharestartdate(B285)</f>
        <v>2021-05-26</v>
      </c>
      <c r="Z285" s="186" t="str">
        <f ca="1">[1]!cb_clause_putoption_conditionalputbackstartenddate(B285)</f>
        <v>2024-11-20</v>
      </c>
      <c r="AA285" s="240">
        <f ca="1">[1]!cb_info_maturitycallprice(B285)</f>
        <v>110</v>
      </c>
      <c r="AB285" s="240">
        <f ca="1">IF(ISNUMBER([1]!cb_info_conditionalputprice(B285)),[1]!cb_info_conditionalputprice(B285),"-")</f>
        <v>0</v>
      </c>
      <c r="AC285" s="240">
        <f ca="1">[1]!cb_info_interest(B285)</f>
        <v>0.2</v>
      </c>
      <c r="AD285" s="262" t="str">
        <f ca="1">IFERROR(couponlist([1]!cb_clause_interest(B285,"4")),"-")</f>
        <v>0.2%，0.4%，0.6%，0.8%，1.5%，2.0%</v>
      </c>
      <c r="AE285" s="189"/>
      <c r="AF285" s="189"/>
      <c r="AG285" s="189"/>
      <c r="AH285" s="189"/>
      <c r="AI285" s="189"/>
      <c r="AJ285" s="189"/>
      <c r="AK285" s="189"/>
      <c r="AL285" s="189"/>
      <c r="AM285" s="189"/>
      <c r="AN285" s="189"/>
      <c r="AO285" s="189"/>
      <c r="AP285" s="189"/>
      <c r="AQ285" s="189"/>
    </row>
    <row r="286" spans="1:43" s="130" customFormat="1" x14ac:dyDescent="0.35">
      <c r="A286" s="121" t="s">
        <v>5</v>
      </c>
      <c r="B286" s="121" t="s">
        <v>419</v>
      </c>
      <c r="C286" s="121" t="s">
        <v>420</v>
      </c>
      <c r="D286" s="236" t="str">
        <f ca="1">IF([1]!s_info_industry_sw(B286,1)=0,"-",[1]!s_info_industry_sw(B286,1))</f>
        <v>公用事业</v>
      </c>
      <c r="E286" s="122" t="str">
        <f ca="1">[1]!cb_info_underlyingcode(B286)</f>
        <v>300422.SZ</v>
      </c>
      <c r="F286" s="124">
        <f ca="1">RTD("wdf.rtq",,B286,"LastPrice","Dirty_Price")</f>
        <v>109.28400000000001</v>
      </c>
      <c r="G286" s="124">
        <f ca="1">RTD("wdf.rtq",,E286,"LastPrice")</f>
        <v>9.32</v>
      </c>
      <c r="H286" s="226">
        <f ca="1">RTD("wdf.rtq",,B286,"PctChg","RT_Price")/100</f>
        <v>2.7000000000000001E-3</v>
      </c>
      <c r="I286" s="226">
        <f ca="1">RTD("wdf.rtq",,E286,"PctChg")/100</f>
        <v>-4.3E-3</v>
      </c>
      <c r="J286" s="125">
        <f ca="1">_xlfn.IFNA([1]!b_anal_ptmyear(B286,$B$2),"未发行或发行失败")</f>
        <v>2.8219178082191778</v>
      </c>
      <c r="K286" s="125">
        <f ca="1">RTD("wdf.rtq",,B286,"Amount","Dirty_Price")/100000000</f>
        <v>3.1005970000000001E-2</v>
      </c>
      <c r="L286" s="125">
        <f ca="1">[1]!cb_anal_convprice(B286,$B$2)</f>
        <v>12.15</v>
      </c>
      <c r="M286" s="125">
        <f t="shared" ca="1" si="16"/>
        <v>76.707818930041157</v>
      </c>
      <c r="N286" s="126">
        <f t="shared" ca="1" si="17"/>
        <v>42.467875536480705</v>
      </c>
      <c r="O286" s="126">
        <f t="array" aca="1" ref="O286" ca="1">_xlfn.IFNA(RTD("wdf.rtq",,B286,"LastPrice","Yield_To_Maturity"),[1]!cb_anal_ytm(B286,$C$2))</f>
        <v>0.66</v>
      </c>
      <c r="P286" s="126">
        <f ca="1">[1]!cb_anal_straightbondvalue(B286,$B$2)</f>
        <v>94.620699999999999</v>
      </c>
      <c r="Q286" s="126">
        <f t="shared" ca="1" si="18"/>
        <v>15.496926148295259</v>
      </c>
      <c r="R286" s="126" t="str">
        <f ca="1">[1]!b_rate_latestcredit(B286)</f>
        <v>AA-</v>
      </c>
      <c r="S286" s="126">
        <f ca="1">[1]!cb_info_outstandingbalance(B286,$B$2)</f>
        <v>4.2960060000000002</v>
      </c>
      <c r="T286" s="126">
        <f ca="1">[1]!cb_info_issueamount(B286,100000000)</f>
        <v>4.3</v>
      </c>
      <c r="U286" s="126">
        <f t="shared" ca="1" si="19"/>
        <v>99.907116279069783</v>
      </c>
      <c r="V286" s="230">
        <f ca="1">IF([1]!cb_anal_ldiluterate(B286,$B$2)=100,"-",[1]!cb_anal_ldiluterate(B286,$B$2))</f>
        <v>8.5818290816368101</v>
      </c>
      <c r="W286" s="127" t="str">
        <f ca="1">[1]!cb_info_listeddate(B286)</f>
        <v>2018-08-14</v>
      </c>
      <c r="X286" s="127" t="str">
        <f ca="1">[1]!cb_info_carrydate(B286)</f>
        <v>2018-07-05</v>
      </c>
      <c r="Y286" s="125" t="str">
        <f ca="1">[1]!cb_clause_conversion_2_swapsharestartdate(B286)</f>
        <v>2019-01-11</v>
      </c>
      <c r="Z286" s="125" t="str">
        <f ca="1">[1]!cb_clause_putoption_conditionalputbackstartenddate(B286)</f>
        <v>2022-07-05</v>
      </c>
      <c r="AA286" s="230">
        <f ca="1">[1]!cb_info_maturitycallprice(B286)</f>
        <v>108</v>
      </c>
      <c r="AB286" s="230">
        <f ca="1">IF(ISNUMBER([1]!cb_info_conditionalputprice(B286)),[1]!cb_info_conditionalputprice(B286),"-")</f>
        <v>100.3112</v>
      </c>
      <c r="AC286" s="230">
        <f ca="1">[1]!cb_info_interest(B286)</f>
        <v>0.4</v>
      </c>
      <c r="AD286" s="263" t="str">
        <f ca="1">IFERROR(couponlist([1]!cb_clause_interest(B286,"4")),"-")</f>
        <v>0.4%，0.6%，1.0%，1.5%，1.8%，2.0%</v>
      </c>
      <c r="AE286" s="129"/>
      <c r="AF286" s="129"/>
      <c r="AG286" s="129"/>
      <c r="AH286" s="129"/>
      <c r="AI286" s="129"/>
      <c r="AJ286" s="129"/>
      <c r="AK286" s="129"/>
      <c r="AL286" s="129"/>
      <c r="AM286" s="129"/>
      <c r="AN286" s="129"/>
      <c r="AO286" s="129"/>
      <c r="AP286" s="129"/>
      <c r="AQ286" s="129"/>
    </row>
    <row r="287" spans="1:43" s="191" customFormat="1" x14ac:dyDescent="0.35">
      <c r="A287" s="182" t="s">
        <v>5</v>
      </c>
      <c r="B287" s="182" t="s">
        <v>142</v>
      </c>
      <c r="C287" s="182" t="s">
        <v>143</v>
      </c>
      <c r="D287" s="235" t="str">
        <f ca="1">IF([1]!s_info_industry_sw(B287,1)=0,"-",[1]!s_info_industry_sw(B287,1))</f>
        <v>公用事业</v>
      </c>
      <c r="E287" s="183" t="str">
        <f ca="1">[1]!cb_info_underlyingcode(B287)</f>
        <v>300190.SZ</v>
      </c>
      <c r="F287" s="185">
        <f ca="1">RTD("wdf.rtq",,B287,"LastPrice","Dirty_Price")</f>
        <v>114.06</v>
      </c>
      <c r="G287" s="185">
        <f ca="1">RTD("wdf.rtq",,E287,"LastPrice")</f>
        <v>6.66</v>
      </c>
      <c r="H287" s="225">
        <f ca="1">RTD("wdf.rtq",,B287,"PctChg","RT_Price")/100</f>
        <v>6.7000000000000002E-3</v>
      </c>
      <c r="I287" s="225">
        <f ca="1">RTD("wdf.rtq",,E287,"PctChg")/100</f>
        <v>1.5E-3</v>
      </c>
      <c r="J287" s="186">
        <f ca="1">_xlfn.IFNA([1]!b_anal_ptmyear(B287,$B$2),"未发行或发行失败")</f>
        <v>4.5945205479452058</v>
      </c>
      <c r="K287" s="186">
        <f ca="1">RTD("wdf.rtq",,B287,"Amount","Dirty_Price")/100000000</f>
        <v>6.0069600000000001E-2</v>
      </c>
      <c r="L287" s="186">
        <f ca="1">[1]!cb_anal_convprice(B287,$B$2)</f>
        <v>7.38</v>
      </c>
      <c r="M287" s="186">
        <f t="shared" ca="1" si="16"/>
        <v>90.243902439024396</v>
      </c>
      <c r="N287" s="187">
        <f t="shared" ca="1" si="17"/>
        <v>26.390810810810805</v>
      </c>
      <c r="O287" s="187">
        <f t="array" aca="1" ref="O287" ca="1">_xlfn.IFNA(RTD("wdf.rtq",,B287,"LastPrice","Yield_To_Maturity"),[1]!cb_anal_ytm(B287,$C$2))</f>
        <v>1.9340000000000002</v>
      </c>
      <c r="P287" s="187">
        <f ca="1">[1]!cb_anal_straightbondvalue(B287,$B$2)</f>
        <v>93.400800000000004</v>
      </c>
      <c r="Q287" s="187">
        <f t="shared" ca="1" si="18"/>
        <v>22.118868360870565</v>
      </c>
      <c r="R287" s="187" t="str">
        <f ca="1">[1]!b_rate_latestcredit(B287)</f>
        <v>AA-</v>
      </c>
      <c r="S287" s="187">
        <f ca="1">[1]!cb_info_outstandingbalance(B287,$B$2)</f>
        <v>9.1699149999999996</v>
      </c>
      <c r="T287" s="187">
        <f ca="1">[1]!cb_info_issueamount(B287,100000000)</f>
        <v>9.1723870000000005</v>
      </c>
      <c r="U287" s="187">
        <f t="shared" ca="1" si="19"/>
        <v>99.973049545336451</v>
      </c>
      <c r="V287" s="240">
        <f ca="1">IF([1]!cb_anal_ldiluterate(B287,$B$2)=100,"-",[1]!cb_anal_ldiluterate(B287,$B$2))</f>
        <v>13.762985516574458</v>
      </c>
      <c r="W287" s="188" t="str">
        <f ca="1">[1]!cb_info_listeddate(B287)</f>
        <v>2020-05-12</v>
      </c>
      <c r="X287" s="188" t="str">
        <f ca="1">[1]!cb_info_carrydate(B287)</f>
        <v>2020-04-13</v>
      </c>
      <c r="Y287" s="186" t="str">
        <f ca="1">[1]!cb_clause_conversion_2_swapsharestartdate(B287)</f>
        <v>2020-10-19</v>
      </c>
      <c r="Z287" s="186" t="str">
        <f ca="1">[1]!cb_clause_putoption_conditionalputbackstartenddate(B287)</f>
        <v>2024-04-13</v>
      </c>
      <c r="AA287" s="240">
        <f ca="1">[1]!cb_info_maturitycallprice(B287)</f>
        <v>118</v>
      </c>
      <c r="AB287" s="240">
        <f ca="1">IF(ISNUMBER([1]!cb_info_conditionalputprice(B287)),[1]!cb_info_conditionalputprice(B287),"-")</f>
        <v>0</v>
      </c>
      <c r="AC287" s="240">
        <f ca="1">[1]!cb_info_interest(B287)</f>
        <v>0.5</v>
      </c>
      <c r="AD287" s="262" t="str">
        <f ca="1">IFERROR(couponlist([1]!cb_clause_interest(B287,"4")),"-")</f>
        <v>0.50%，0.80%，1.20%，1.80%，2.50%，3.00%</v>
      </c>
      <c r="AE287" s="189"/>
      <c r="AF287" s="189"/>
      <c r="AG287" s="189"/>
      <c r="AH287" s="189"/>
      <c r="AI287" s="189"/>
      <c r="AJ287" s="189"/>
      <c r="AK287" s="189"/>
      <c r="AL287" s="189"/>
      <c r="AM287" s="189"/>
      <c r="AN287" s="189"/>
      <c r="AO287" s="189"/>
      <c r="AP287" s="189"/>
      <c r="AQ287" s="189"/>
    </row>
    <row r="288" spans="1:43" s="130" customFormat="1" x14ac:dyDescent="0.35">
      <c r="A288" s="121" t="s">
        <v>5</v>
      </c>
      <c r="B288" s="121" t="s">
        <v>630</v>
      </c>
      <c r="C288" s="121" t="s">
        <v>631</v>
      </c>
      <c r="D288" s="236" t="str">
        <f ca="1">IF([1]!s_info_industry_sw(B288,1)=0,"-",[1]!s_info_industry_sw(B288,1))</f>
        <v>公用事业</v>
      </c>
      <c r="E288" s="122" t="str">
        <f ca="1">[1]!cb_info_underlyingcode(B288)</f>
        <v>000967.SZ</v>
      </c>
      <c r="F288" s="124">
        <f ca="1">RTD("wdf.rtq",,B288,"LastPrice","Dirty_Price")</f>
        <v>115</v>
      </c>
      <c r="G288" s="124">
        <f ca="1">RTD("wdf.rtq",,E288,"LastPrice")</f>
        <v>6.53</v>
      </c>
      <c r="H288" s="226">
        <f ca="1">RTD("wdf.rtq",,B288,"PctChg","RT_Price")/100</f>
        <v>1.8000000000000002E-3</v>
      </c>
      <c r="I288" s="226">
        <f ca="1">RTD("wdf.rtq",,E288,"PctChg")/100</f>
        <v>4.5999999999999999E-3</v>
      </c>
      <c r="J288" s="125">
        <f ca="1">_xlfn.IFNA([1]!b_anal_ptmyear(B288,$B$2),"未发行或发行失败")</f>
        <v>5.1561643835616442</v>
      </c>
      <c r="K288" s="125">
        <f ca="1">RTD("wdf.rtq",,B288,"Amount","Dirty_Price")/100000000</f>
        <v>2.5566370000000001E-2</v>
      </c>
      <c r="L288" s="125">
        <f ca="1">[1]!cb_anal_convprice(B288,$B$2)</f>
        <v>8.19</v>
      </c>
      <c r="M288" s="125">
        <f t="shared" ca="1" si="16"/>
        <v>79.731379731379732</v>
      </c>
      <c r="N288" s="126">
        <f t="shared" ca="1" si="17"/>
        <v>44.234303215926502</v>
      </c>
      <c r="O288" s="126">
        <f t="array" aca="1" ref="O288" ca="1">_xlfn.IFNA(RTD("wdf.rtq",,B288,"LastPrice","Yield_To_Maturity"),[1]!cb_anal_ytm(B288,$C$2))</f>
        <v>-3.4300000000000004E-2</v>
      </c>
      <c r="P288" s="126">
        <f ca="1">[1]!cb_anal_straightbondvalue(B288,$B$2)</f>
        <v>95.587999999999994</v>
      </c>
      <c r="Q288" s="126">
        <f t="shared" ca="1" si="18"/>
        <v>20.307988450433115</v>
      </c>
      <c r="R288" s="126" t="str">
        <f ca="1">[1]!b_rate_latestcredit(B288)</f>
        <v>AA+</v>
      </c>
      <c r="S288" s="126">
        <f ca="1">[1]!cb_info_outstandingbalance(B288,$B$2)</f>
        <v>14.761353</v>
      </c>
      <c r="T288" s="126">
        <f ca="1">[1]!cb_info_issueamount(B288,100000000)</f>
        <v>14.761896</v>
      </c>
      <c r="U288" s="126">
        <f t="shared" ca="1" si="19"/>
        <v>99.996321610719917</v>
      </c>
      <c r="V288" s="230">
        <f ca="1">IF([1]!cb_anal_ldiluterate(B288,$B$2)=100,"-",[1]!cb_anal_ldiluterate(B288,$B$2))</f>
        <v>8.1787551620287395</v>
      </c>
      <c r="W288" s="127" t="str">
        <f ca="1">[1]!cb_info_listeddate(B288)</f>
        <v>2020-12-02</v>
      </c>
      <c r="X288" s="127" t="str">
        <f ca="1">[1]!cb_info_carrydate(B288)</f>
        <v>2020-11-04</v>
      </c>
      <c r="Y288" s="125" t="str">
        <f ca="1">[1]!cb_clause_conversion_2_swapsharestartdate(B288)</f>
        <v>2021-05-10</v>
      </c>
      <c r="Z288" s="125" t="str">
        <f ca="1">[1]!cb_clause_putoption_conditionalputbackstartenddate(B288)</f>
        <v>2024-11-04</v>
      </c>
      <c r="AA288" s="230">
        <f ca="1">[1]!cb_info_maturitycallprice(B288)</f>
        <v>110</v>
      </c>
      <c r="AB288" s="230">
        <f ca="1">IF(ISNUMBER([1]!cb_info_conditionalputprice(B288)),[1]!cb_info_conditionalputprice(B288),"-")</f>
        <v>0</v>
      </c>
      <c r="AC288" s="230">
        <f ca="1">[1]!cb_info_interest(B288)</f>
        <v>0.2</v>
      </c>
      <c r="AD288" s="263" t="str">
        <f ca="1">IFERROR(couponlist([1]!cb_clause_interest(B288,"4")),"-")</f>
        <v>0.20%，0.50%，0.80%，1.50%，1.80%，2.00%</v>
      </c>
      <c r="AE288" s="129"/>
      <c r="AF288" s="129"/>
      <c r="AG288" s="129"/>
      <c r="AH288" s="129"/>
      <c r="AI288" s="129"/>
      <c r="AJ288" s="129"/>
      <c r="AK288" s="129"/>
      <c r="AL288" s="129"/>
      <c r="AM288" s="129"/>
      <c r="AN288" s="129"/>
      <c r="AO288" s="129"/>
      <c r="AP288" s="129"/>
      <c r="AQ288" s="129"/>
    </row>
    <row r="289" spans="1:43" s="191" customFormat="1" x14ac:dyDescent="0.35">
      <c r="A289" s="182" t="s">
        <v>5</v>
      </c>
      <c r="B289" s="182" t="s">
        <v>168</v>
      </c>
      <c r="C289" s="182" t="s">
        <v>169</v>
      </c>
      <c r="D289" s="235" t="str">
        <f ca="1">IF([1]!s_info_industry_sw(B289,1)=0,"-",[1]!s_info_industry_sw(B289,1))</f>
        <v>公用事业</v>
      </c>
      <c r="E289" s="183" t="str">
        <f ca="1">[1]!cb_info_underlyingcode(B289)</f>
        <v>300631.SZ</v>
      </c>
      <c r="F289" s="185">
        <f ca="1">RTD("wdf.rtq",,B289,"LastPrice","Dirty_Price")</f>
        <v>324.31299999999999</v>
      </c>
      <c r="G289" s="185">
        <f ca="1">RTD("wdf.rtq",,E289,"LastPrice")</f>
        <v>47.050000000000004</v>
      </c>
      <c r="H289" s="225">
        <f ca="1">RTD("wdf.rtq",,B289,"PctChg","RT_Price")/100</f>
        <v>0.12840000000000001</v>
      </c>
      <c r="I289" s="225">
        <f ca="1">RTD("wdf.rtq",,E289,"PctChg")/100</f>
        <v>0.12290000000000001</v>
      </c>
      <c r="J289" s="186">
        <f ca="1">_xlfn.IFNA([1]!b_anal_ptmyear(B289,$B$2),"未发行或发行失败")</f>
        <v>4.5287671232876709</v>
      </c>
      <c r="K289" s="186">
        <f ca="1">RTD("wdf.rtq",,B289,"Amount","Dirty_Price")/100000000</f>
        <v>29.936602350000001</v>
      </c>
      <c r="L289" s="186">
        <f ca="1">[1]!cb_anal_convprice(B289,$B$2)</f>
        <v>17.43</v>
      </c>
      <c r="M289" s="186">
        <f t="shared" ca="1" si="16"/>
        <v>269.93689041881811</v>
      </c>
      <c r="N289" s="187">
        <f t="shared" ca="1" si="17"/>
        <v>20.144008289054199</v>
      </c>
      <c r="O289" s="187">
        <f t="array" aca="1" ref="O289" ca="1">_xlfn.IFNA(RTD("wdf.rtq",,B289,"LastPrice","Yield_To_Maturity"),[1]!cb_anal_ytm(B289,$C$2))</f>
        <v>-18.713000000000001</v>
      </c>
      <c r="P289" s="187">
        <f ca="1">[1]!cb_anal_straightbondvalue(B289,$B$2)</f>
        <v>89.679100000000005</v>
      </c>
      <c r="Q289" s="187">
        <f t="shared" ca="1" si="18"/>
        <v>261.63721536010058</v>
      </c>
      <c r="R289" s="187" t="str">
        <f ca="1">[1]!b_rate_latestcredit(B289)</f>
        <v>A+</v>
      </c>
      <c r="S289" s="187">
        <f ca="1">[1]!cb_info_outstandingbalance(B289,$B$2)</f>
        <v>1.5808359999999999</v>
      </c>
      <c r="T289" s="187">
        <f ca="1">[1]!cb_info_issueamount(B289,100000000)</f>
        <v>2.54</v>
      </c>
      <c r="U289" s="187">
        <f t="shared" ca="1" si="19"/>
        <v>62.237637795275589</v>
      </c>
      <c r="V289" s="240">
        <f ca="1">IF([1]!cb_anal_ldiluterate(B289,$B$2)=100,"-",[1]!cb_anal_ldiluterate(B289,$B$2))</f>
        <v>7.8743416309553895</v>
      </c>
      <c r="W289" s="188" t="str">
        <f ca="1">[1]!cb_info_listeddate(B289)</f>
        <v>2020-04-17</v>
      </c>
      <c r="X289" s="188" t="str">
        <f ca="1">[1]!cb_info_carrydate(B289)</f>
        <v>2020-03-20</v>
      </c>
      <c r="Y289" s="186" t="str">
        <f ca="1">[1]!cb_clause_conversion_2_swapsharestartdate(B289)</f>
        <v>2020-09-28</v>
      </c>
      <c r="Z289" s="186" t="str">
        <f ca="1">[1]!cb_clause_putoption_conditionalputbackstartenddate(B289)</f>
        <v>2024-03-20</v>
      </c>
      <c r="AA289" s="240">
        <f ca="1">[1]!cb_info_maturitycallprice(B289)</f>
        <v>121</v>
      </c>
      <c r="AB289" s="240">
        <f ca="1">IF(ISNUMBER([1]!cb_info_conditionalputprice(B289)),[1]!cb_info_conditionalputprice(B289),"-")</f>
        <v>0</v>
      </c>
      <c r="AC289" s="240">
        <f ca="1">[1]!cb_info_interest(B289)</f>
        <v>0.5</v>
      </c>
      <c r="AD289" s="262" t="str">
        <f ca="1">IFERROR(couponlist([1]!cb_clause_interest(B289,"4")),"-")</f>
        <v>0.5%，0.8%，1.2%，3.0%，3.6%，4.0%</v>
      </c>
      <c r="AE289" s="189"/>
      <c r="AF289" s="189"/>
      <c r="AG289" s="189"/>
      <c r="AH289" s="189"/>
      <c r="AI289" s="189"/>
      <c r="AJ289" s="189"/>
      <c r="AK289" s="189"/>
      <c r="AL289" s="189"/>
      <c r="AM289" s="189"/>
      <c r="AN289" s="189"/>
      <c r="AO289" s="189"/>
      <c r="AP289" s="189"/>
      <c r="AQ289" s="189"/>
    </row>
    <row r="290" spans="1:43" s="130" customFormat="1" x14ac:dyDescent="0.35">
      <c r="A290" s="121" t="s">
        <v>5</v>
      </c>
      <c r="B290" s="121" t="s">
        <v>156</v>
      </c>
      <c r="C290" s="121" t="s">
        <v>157</v>
      </c>
      <c r="D290" s="236" t="str">
        <f ca="1">IF([1]!s_info_industry_sw(B290,1)=0,"-",[1]!s_info_industry_sw(B290,1))</f>
        <v>公用事业</v>
      </c>
      <c r="E290" s="122" t="str">
        <f ca="1">[1]!cb_info_underlyingcode(B290)</f>
        <v>002616.SZ</v>
      </c>
      <c r="F290" s="124">
        <f ca="1">RTD("wdf.rtq",,B290,"LastPrice","Dirty_Price")</f>
        <v>107.68</v>
      </c>
      <c r="G290" s="124">
        <f ca="1">RTD("wdf.rtq",,E290,"LastPrice")</f>
        <v>5.9</v>
      </c>
      <c r="H290" s="226">
        <f ca="1">RTD("wdf.rtq",,B290,"PctChg","RT_Price")/100</f>
        <v>4.4000000000000003E-3</v>
      </c>
      <c r="I290" s="226">
        <f ca="1">RTD("wdf.rtq",,E290,"PctChg")/100</f>
        <v>2.0799999999999999E-2</v>
      </c>
      <c r="J290" s="125">
        <f ca="1">_xlfn.IFNA([1]!b_anal_ptmyear(B290,$B$2),"未发行或发行失败")</f>
        <v>4.5835616438356164</v>
      </c>
      <c r="K290" s="125">
        <f ca="1">RTD("wdf.rtq",,B290,"Amount","Dirty_Price")/100000000</f>
        <v>3.2873729999999997E-2</v>
      </c>
      <c r="L290" s="125">
        <f ca="1">[1]!cb_anal_convprice(B290,$B$2)</f>
        <v>7.91</v>
      </c>
      <c r="M290" s="125">
        <f t="shared" ca="1" si="16"/>
        <v>74.589127686472821</v>
      </c>
      <c r="N290" s="126">
        <f t="shared" ca="1" si="17"/>
        <v>44.364203389830493</v>
      </c>
      <c r="O290" s="126">
        <f t="array" aca="1" ref="O290" ca="1">_xlfn.IFNA(RTD("wdf.rtq",,B290,"LastPrice","Yield_To_Maturity"),[1]!cb_anal_ytm(B290,$C$2))</f>
        <v>1.4549000000000001</v>
      </c>
      <c r="P290" s="126">
        <f ca="1">[1]!cb_anal_straightbondvalue(B290,$B$2)</f>
        <v>95.268199999999993</v>
      </c>
      <c r="Q290" s="126">
        <f t="shared" ca="1" si="18"/>
        <v>13.028271763295635</v>
      </c>
      <c r="R290" s="126" t="str">
        <f ca="1">[1]!b_rate_latestcredit(B290)</f>
        <v>AA</v>
      </c>
      <c r="S290" s="126">
        <f ca="1">[1]!cb_info_outstandingbalance(B290,$B$2)</f>
        <v>7.9953209999999997</v>
      </c>
      <c r="T290" s="126">
        <f ca="1">[1]!cb_info_issueamount(B290,100000000)</f>
        <v>8</v>
      </c>
      <c r="U290" s="126">
        <f t="shared" ca="1" si="19"/>
        <v>99.941512500000002</v>
      </c>
      <c r="V290" s="230">
        <f ca="1">IF([1]!cb_anal_ldiluterate(B290,$B$2)=100,"-",[1]!cb_anal_ldiluterate(B290,$B$2))</f>
        <v>17.693245759639773</v>
      </c>
      <c r="W290" s="127" t="str">
        <f ca="1">[1]!cb_info_listeddate(B290)</f>
        <v>2020-05-13</v>
      </c>
      <c r="X290" s="127" t="str">
        <f ca="1">[1]!cb_info_carrydate(B290)</f>
        <v>2020-04-09</v>
      </c>
      <c r="Y290" s="125" t="str">
        <f ca="1">[1]!cb_clause_conversion_2_swapsharestartdate(B290)</f>
        <v>2020-10-15</v>
      </c>
      <c r="Z290" s="125" t="str">
        <f ca="1">[1]!cb_clause_putoption_conditionalputbackstartenddate(B290)</f>
        <v>2024-04-09</v>
      </c>
      <c r="AA290" s="230">
        <f ca="1">[1]!cb_info_maturitycallprice(B290)</f>
        <v>110</v>
      </c>
      <c r="AB290" s="230">
        <f ca="1">IF(ISNUMBER([1]!cb_info_conditionalputprice(B290)),[1]!cb_info_conditionalputprice(B290),"-")</f>
        <v>0</v>
      </c>
      <c r="AC290" s="230">
        <f ca="1">[1]!cb_info_interest(B290)</f>
        <v>0.4</v>
      </c>
      <c r="AD290" s="263" t="str">
        <f ca="1">IFERROR(couponlist([1]!cb_clause_interest(B290,"4")),"-")</f>
        <v>0.40%，0.60%，1.00%，1.50%，1.80%，2.00%</v>
      </c>
      <c r="AE290" s="129"/>
      <c r="AF290" s="129"/>
      <c r="AG290" s="129"/>
      <c r="AH290" s="129"/>
      <c r="AI290" s="129"/>
      <c r="AJ290" s="129"/>
      <c r="AK290" s="129"/>
      <c r="AL290" s="129"/>
      <c r="AM290" s="129"/>
      <c r="AN290" s="129"/>
      <c r="AO290" s="129"/>
      <c r="AP290" s="129"/>
      <c r="AQ290" s="129"/>
    </row>
    <row r="291" spans="1:43" s="191" customFormat="1" x14ac:dyDescent="0.35">
      <c r="A291" s="182" t="s">
        <v>5</v>
      </c>
      <c r="B291" s="182" t="s">
        <v>346</v>
      </c>
      <c r="C291" s="182" t="s">
        <v>347</v>
      </c>
      <c r="D291" s="235" t="str">
        <f ca="1">IF([1]!s_info_industry_sw(B291,1)=0,"-",[1]!s_info_industry_sw(B291,1))</f>
        <v>公用事业</v>
      </c>
      <c r="E291" s="183" t="str">
        <f ca="1">[1]!cb_info_underlyingcode(B291)</f>
        <v>300335.SZ</v>
      </c>
      <c r="F291" s="185">
        <f ca="1">RTD("wdf.rtq",,B291,"LastPrice","Dirty_Price")</f>
        <v>113.96900000000001</v>
      </c>
      <c r="G291" s="185">
        <f ca="1">RTD("wdf.rtq",,E291,"LastPrice")</f>
        <v>6.16</v>
      </c>
      <c r="H291" s="225">
        <f ca="1">RTD("wdf.rtq",,B291,"PctChg","RT_Price")/100</f>
        <v>1.5E-3</v>
      </c>
      <c r="I291" s="225">
        <f ca="1">RTD("wdf.rtq",,E291,"PctChg")/100</f>
        <v>-6.5000000000000006E-3</v>
      </c>
      <c r="J291" s="186">
        <f ca="1">_xlfn.IFNA([1]!b_anal_ptmyear(B291,$B$2),"未发行或发行失败")</f>
        <v>3.5287671232876714</v>
      </c>
      <c r="K291" s="186">
        <f ca="1">RTD("wdf.rtq",,B291,"Amount","Dirty_Price")/100000000</f>
        <v>7.6361380000000006E-2</v>
      </c>
      <c r="L291" s="186">
        <f ca="1">[1]!cb_anal_convprice(B291,$B$2)</f>
        <v>6.89</v>
      </c>
      <c r="M291" s="186">
        <f t="shared" ca="1" si="16"/>
        <v>89.404934687953556</v>
      </c>
      <c r="N291" s="187">
        <f t="shared" ca="1" si="17"/>
        <v>27.475066558441569</v>
      </c>
      <c r="O291" s="187">
        <f t="array" aca="1" ref="O291" ca="1">_xlfn.IFNA(RTD("wdf.rtq",,B291,"LastPrice","Yield_To_Maturity"),[1]!cb_anal_ytm(B291,$C$2))</f>
        <v>8.3799999999999999E-2</v>
      </c>
      <c r="P291" s="187">
        <f ca="1">[1]!cb_anal_straightbondvalue(B291,$B$2)</f>
        <v>92.473500000000001</v>
      </c>
      <c r="Q291" s="187">
        <f t="shared" ca="1" si="18"/>
        <v>23.245037767576676</v>
      </c>
      <c r="R291" s="187" t="str">
        <f ca="1">[1]!b_rate_latestcredit(B291)</f>
        <v>AA-</v>
      </c>
      <c r="S291" s="187">
        <f ca="1">[1]!cb_info_outstandingbalance(B291,$B$2)</f>
        <v>5.2942450000000001</v>
      </c>
      <c r="T291" s="187">
        <f ca="1">[1]!cb_info_issueamount(B291,100000000)</f>
        <v>6</v>
      </c>
      <c r="U291" s="187">
        <f t="shared" ca="1" si="19"/>
        <v>88.237416666666661</v>
      </c>
      <c r="V291" s="240">
        <f ca="1">IF([1]!cb_anal_ldiluterate(B291,$B$2)=100,"-",[1]!cb_anal_ldiluterate(B291,$B$2))</f>
        <v>21.388750593094162</v>
      </c>
      <c r="W291" s="188" t="str">
        <f ca="1">[1]!cb_info_listeddate(B291)</f>
        <v>2019-04-16</v>
      </c>
      <c r="X291" s="188" t="str">
        <f ca="1">[1]!cb_info_carrydate(B291)</f>
        <v>2019-03-20</v>
      </c>
      <c r="Y291" s="186" t="str">
        <f ca="1">[1]!cb_clause_conversion_2_swapsharestartdate(B291)</f>
        <v>2019-09-27</v>
      </c>
      <c r="Z291" s="186" t="str">
        <f ca="1">[1]!cb_clause_putoption_conditionalputbackstartenddate(B291)</f>
        <v>2024-03-20</v>
      </c>
      <c r="AA291" s="240">
        <f ca="1">[1]!cb_info_maturitycallprice(B291)</f>
        <v>110</v>
      </c>
      <c r="AB291" s="240">
        <f ca="1">IF(ISNUMBER([1]!cb_info_conditionalputprice(B291)),[1]!cb_info_conditionalputprice(B291),"-")</f>
        <v>0</v>
      </c>
      <c r="AC291" s="240">
        <f ca="1">[1]!cb_info_interest(B291)</f>
        <v>0.4</v>
      </c>
      <c r="AD291" s="262" t="str">
        <f ca="1">IFERROR(couponlist([1]!cb_clause_interest(B291,"4")),"-")</f>
        <v>0.4%，0.6%，1.0%，1.5%，1.8%，2.0%</v>
      </c>
      <c r="AE291" s="189"/>
      <c r="AF291" s="189"/>
      <c r="AG291" s="189"/>
      <c r="AH291" s="189"/>
      <c r="AI291" s="189"/>
      <c r="AJ291" s="189"/>
      <c r="AK291" s="189"/>
      <c r="AL291" s="189"/>
      <c r="AM291" s="189"/>
      <c r="AN291" s="189"/>
      <c r="AO291" s="189"/>
      <c r="AP291" s="189"/>
      <c r="AQ291" s="189"/>
    </row>
    <row r="292" spans="1:43" s="130" customFormat="1" x14ac:dyDescent="0.35">
      <c r="A292" s="121" t="s">
        <v>0</v>
      </c>
      <c r="B292" s="121" t="s">
        <v>1693</v>
      </c>
      <c r="C292" s="121" t="s">
        <v>1694</v>
      </c>
      <c r="D292" s="236" t="str">
        <f ca="1">IF([1]!s_info_industry_sw(B292,1)=0,"-",[1]!s_info_industry_sw(B292,1))</f>
        <v>公用事业</v>
      </c>
      <c r="E292" s="122" t="str">
        <f ca="1">[1]!cb_info_underlyingcode(B292)</f>
        <v>601778.SH</v>
      </c>
      <c r="F292" s="124">
        <f ca="1">RTD("wdf.rtq",,B292,"LastPrice","Dirty_Price")</f>
        <v>182.5</v>
      </c>
      <c r="G292" s="124">
        <f ca="1">RTD("wdf.rtq",,E292,"LastPrice")</f>
        <v>10.17</v>
      </c>
      <c r="H292" s="226">
        <f ca="1">RTD("wdf.rtq",,B292,"PctChg","RT_Price")/100</f>
        <v>-2.7400000000000001E-2</v>
      </c>
      <c r="I292" s="226">
        <f ca="1">RTD("wdf.rtq",,E292,"PctChg")/100</f>
        <v>-5.8299999999999998E-2</v>
      </c>
      <c r="J292" s="125">
        <f ca="1">_xlfn.IFNA([1]!b_anal_ptmyear(B292,$B$2),"未发行或发行失败")</f>
        <v>5.6219178082191785</v>
      </c>
      <c r="K292" s="125">
        <f ca="1">RTD("wdf.rtq",,B292,"Amount","Dirty_Price")/100000000</f>
        <v>7.1188998200000002</v>
      </c>
      <c r="L292" s="125">
        <f ca="1">[1]!cb_anal_convprice(B292,$B$2)</f>
        <v>5.48</v>
      </c>
      <c r="M292" s="125">
        <f t="shared" ca="1" si="16"/>
        <v>185.58394160583941</v>
      </c>
      <c r="N292" s="126">
        <f t="shared" ca="1" si="17"/>
        <v>-1.6617502458210396</v>
      </c>
      <c r="O292" s="126">
        <f t="array" aca="1" ref="O292" ca="1">_xlfn.IFNA(RTD("wdf.rtq",,B292,"LastPrice","Yield_To_Maturity"),[1]!cb_anal_ytm(B292,$C$2))</f>
        <v>-7.7034000000000002</v>
      </c>
      <c r="P292" s="126">
        <f ca="1">[1]!cb_anal_straightbondvalue(B292,$B$2)</f>
        <v>92.285899999999998</v>
      </c>
      <c r="Q292" s="126">
        <f t="shared" ca="1" si="18"/>
        <v>97.755019997637788</v>
      </c>
      <c r="R292" s="126" t="str">
        <f ca="1">[1]!b_rate_latestcredit(B292)</f>
        <v>AA</v>
      </c>
      <c r="S292" s="126">
        <f ca="1">[1]!cb_info_outstandingbalance(B292,$B$2)</f>
        <v>30</v>
      </c>
      <c r="T292" s="126">
        <f ca="1">[1]!cb_info_issueamount(B292,100000000)</f>
        <v>30</v>
      </c>
      <c r="U292" s="126">
        <f t="shared" ca="1" si="19"/>
        <v>100</v>
      </c>
      <c r="V292" s="230">
        <f ca="1">IF([1]!cb_anal_ldiluterate(B292,$B$2)=100,"-",[1]!cb_anal_ldiluterate(B292,$B$2))</f>
        <v>23.920131231865003</v>
      </c>
      <c r="W292" s="127" t="str">
        <f ca="1">[1]!cb_info_listeddate(B292)</f>
        <v>2021-05-31</v>
      </c>
      <c r="X292" s="127" t="str">
        <f ca="1">[1]!cb_info_carrydate(B292)</f>
        <v>2021-04-23</v>
      </c>
      <c r="Y292" s="125" t="str">
        <f ca="1">[1]!cb_clause_conversion_2_swapsharestartdate(B292)</f>
        <v>2021-10-29</v>
      </c>
      <c r="Z292" s="125" t="str">
        <f ca="1">[1]!cb_clause_putoption_conditionalputbackstartenddate(B292)</f>
        <v>2025-04-23</v>
      </c>
      <c r="AA292" s="230">
        <f ca="1">[1]!cb_info_maturitycallprice(B292)</f>
        <v>112</v>
      </c>
      <c r="AB292" s="230">
        <f ca="1">IF(ISNUMBER([1]!cb_info_conditionalputprice(B292)),[1]!cb_info_conditionalputprice(B292),"-")</f>
        <v>0</v>
      </c>
      <c r="AC292" s="230">
        <f ca="1">[1]!cb_info_interest(B292)</f>
        <v>0.3</v>
      </c>
      <c r="AD292" s="263" t="str">
        <f ca="1">IFERROR(couponlist([1]!cb_clause_interest(B292,"4")),"-")</f>
        <v>0.30%，0.50%，1.00%，1.50%，1.80%，2.00%</v>
      </c>
      <c r="AE292" s="129"/>
      <c r="AF292" s="129"/>
      <c r="AG292" s="129"/>
      <c r="AH292" s="129"/>
      <c r="AI292" s="129"/>
      <c r="AJ292" s="129"/>
      <c r="AK292" s="129"/>
      <c r="AL292" s="129"/>
      <c r="AM292" s="129"/>
      <c r="AN292" s="129"/>
      <c r="AO292" s="129"/>
      <c r="AP292" s="129"/>
      <c r="AQ292" s="129"/>
    </row>
    <row r="293" spans="1:43" s="191" customFormat="1" x14ac:dyDescent="0.35">
      <c r="A293" s="182" t="s">
        <v>0</v>
      </c>
      <c r="B293" s="182" t="s">
        <v>1699</v>
      </c>
      <c r="C293" s="182" t="s">
        <v>1700</v>
      </c>
      <c r="D293" s="235" t="str">
        <f ca="1">IF([1]!s_info_industry_sw(B293,1)=0,"-",[1]!s_info_industry_sw(B293,1))</f>
        <v>公用事业</v>
      </c>
      <c r="E293" s="183" t="str">
        <f ca="1">[1]!cb_info_underlyingcode(B293)</f>
        <v>601016.SH</v>
      </c>
      <c r="F293" s="185">
        <f ca="1">RTD("wdf.rtq",,B293,"LastPrice","Dirty_Price")</f>
        <v>149.77000000000001</v>
      </c>
      <c r="G293" s="185">
        <f ca="1">RTD("wdf.rtq",,E293,"LastPrice")</f>
        <v>5.5200000000000005</v>
      </c>
      <c r="H293" s="225">
        <f ca="1">RTD("wdf.rtq",,B293,"PctChg","RT_Price")/100</f>
        <v>2.1299999999999999E-2</v>
      </c>
      <c r="I293" s="225">
        <f ca="1">RTD("wdf.rtq",,E293,"PctChg")/100</f>
        <v>3.7600000000000001E-2</v>
      </c>
      <c r="J293" s="186">
        <f ca="1">_xlfn.IFNA([1]!b_anal_ptmyear(B293,$B$2),"未发行或发行失败")</f>
        <v>5.7835616438356166</v>
      </c>
      <c r="K293" s="186">
        <f ca="1">RTD("wdf.rtq",,B293,"Amount","Dirty_Price")/100000000</f>
        <v>3.9442656899999999</v>
      </c>
      <c r="L293" s="186">
        <f ca="1">[1]!cb_anal_convprice(B293,$B$2)</f>
        <v>4.05</v>
      </c>
      <c r="M293" s="186">
        <f t="shared" ca="1" si="16"/>
        <v>136.2962962962963</v>
      </c>
      <c r="N293" s="187">
        <f t="shared" ca="1" si="17"/>
        <v>9.8855978260869648</v>
      </c>
      <c r="O293" s="187">
        <f t="array" aca="1" ref="O293" ca="1">_xlfn.IFNA(RTD("wdf.rtq",,B293,"LastPrice","Yield_To_Maturity"),[1]!cb_anal_ytm(B293,$C$2))</f>
        <v>-4.5955000000000004</v>
      </c>
      <c r="P293" s="187">
        <f ca="1">[1]!cb_anal_straightbondvalue(B293,$B$2)</f>
        <v>92.695700000000002</v>
      </c>
      <c r="Q293" s="187">
        <f t="shared" ca="1" si="18"/>
        <v>61.571680239752226</v>
      </c>
      <c r="R293" s="187" t="str">
        <f ca="1">[1]!b_rate_latestcredit(B293)</f>
        <v>AA+</v>
      </c>
      <c r="S293" s="187">
        <f ca="1">[1]!cb_info_outstandingbalance(B293,$B$2)</f>
        <v>30</v>
      </c>
      <c r="T293" s="187">
        <f ca="1">[1]!cb_info_issueamount(B293,100000000)</f>
        <v>30</v>
      </c>
      <c r="U293" s="187">
        <f t="shared" ca="1" si="19"/>
        <v>100</v>
      </c>
      <c r="V293" s="240">
        <f ca="1">IF([1]!cb_anal_ldiluterate(B293,$B$2)=100,"-",[1]!cb_anal_ldiluterate(B293,$B$2))</f>
        <v>14.187221991254962</v>
      </c>
      <c r="W293" s="188" t="str">
        <f ca="1">[1]!cb_info_listeddate(B293)</f>
        <v>2021-07-22</v>
      </c>
      <c r="X293" s="188" t="str">
        <f ca="1">[1]!cb_info_carrydate(B293)</f>
        <v>2021-06-21</v>
      </c>
      <c r="Y293" s="186" t="str">
        <f ca="1">[1]!cb_clause_conversion_2_swapsharestartdate(B293)</f>
        <v>2021-12-25</v>
      </c>
      <c r="Z293" s="186" t="str">
        <f ca="1">[1]!cb_clause_putoption_conditionalputbackstartenddate(B293)</f>
        <v>2025-06-21</v>
      </c>
      <c r="AA293" s="240">
        <f ca="1">[1]!cb_info_maturitycallprice(B293)</f>
        <v>110</v>
      </c>
      <c r="AB293" s="240">
        <f ca="1">IF(ISNUMBER([1]!cb_info_conditionalputprice(B293)),[1]!cb_info_conditionalputprice(B293),"-")</f>
        <v>0</v>
      </c>
      <c r="AC293" s="240">
        <f ca="1">[1]!cb_info_interest(B293)</f>
        <v>0.2</v>
      </c>
      <c r="AD293" s="262" t="str">
        <f ca="1">IFERROR(couponlist([1]!cb_clause_interest(B293,"4")),"-")</f>
        <v>0.2%，0.4%，0.6%，1.5%，1.8%，2.0%</v>
      </c>
      <c r="AE293" s="189"/>
      <c r="AF293" s="189"/>
      <c r="AG293" s="189"/>
      <c r="AH293" s="189"/>
      <c r="AI293" s="189"/>
      <c r="AJ293" s="189"/>
      <c r="AK293" s="189"/>
      <c r="AL293" s="189"/>
      <c r="AM293" s="189"/>
      <c r="AN293" s="189"/>
      <c r="AO293" s="189"/>
      <c r="AP293" s="189"/>
      <c r="AQ293" s="189"/>
    </row>
    <row r="294" spans="1:43" s="130" customFormat="1" x14ac:dyDescent="0.35">
      <c r="A294" s="121" t="s">
        <v>5</v>
      </c>
      <c r="B294" s="121" t="s">
        <v>477</v>
      </c>
      <c r="C294" s="121" t="s">
        <v>478</v>
      </c>
      <c r="D294" s="236" t="str">
        <f ca="1">IF([1]!s_info_industry_sw(B294,1)=0,"-",[1]!s_info_industry_sw(B294,1))</f>
        <v>公用事业</v>
      </c>
      <c r="E294" s="122" t="str">
        <f ca="1">[1]!cb_info_underlyingcode(B294)</f>
        <v>300388.SZ</v>
      </c>
      <c r="F294" s="124">
        <f ca="1">RTD("wdf.rtq",,B294,"LastPrice","Dirty_Price")</f>
        <v>116.997</v>
      </c>
      <c r="G294" s="124">
        <f ca="1">RTD("wdf.rtq",,E294,"LastPrice")</f>
        <v>7.91</v>
      </c>
      <c r="H294" s="226">
        <f ca="1">RTD("wdf.rtq",,B294,"PctChg","RT_Price")/100</f>
        <v>6.9999999999999988E-4</v>
      </c>
      <c r="I294" s="226">
        <f ca="1">RTD("wdf.rtq",,E294,"PctChg")/100</f>
        <v>1.8000000000000002E-2</v>
      </c>
      <c r="J294" s="125">
        <f ca="1">_xlfn.IFNA([1]!b_anal_ptmyear(B294,$B$2),"未发行或发行失败")</f>
        <v>2.2109589041095892</v>
      </c>
      <c r="K294" s="125">
        <f ca="1">RTD("wdf.rtq",,B294,"Amount","Dirty_Price")/100000000</f>
        <v>4.3751489999999997E-2</v>
      </c>
      <c r="L294" s="125">
        <f ca="1">[1]!cb_anal_convprice(B294,$B$2)</f>
        <v>8.36</v>
      </c>
      <c r="M294" s="125">
        <f t="shared" ca="1" si="16"/>
        <v>94.617224880382778</v>
      </c>
      <c r="N294" s="126">
        <f t="shared" ca="1" si="17"/>
        <v>23.65296080910241</v>
      </c>
      <c r="O294" s="126">
        <f t="array" aca="1" ref="O294" ca="1">_xlfn.IFNA(RTD("wdf.rtq",,B294,"LastPrice","Yield_To_Maturity"),[1]!cb_anal_ytm(B294,$C$2))</f>
        <v>-3.2856000000000001</v>
      </c>
      <c r="P294" s="126">
        <f ca="1">[1]!cb_anal_straightbondvalue(B294,$B$2)</f>
        <v>101.3396</v>
      </c>
      <c r="Q294" s="126">
        <f t="shared" ca="1" si="18"/>
        <v>15.450426092070629</v>
      </c>
      <c r="R294" s="126" t="str">
        <f ca="1">[1]!b_rate_latestcredit(B294)</f>
        <v>AA</v>
      </c>
      <c r="S294" s="126">
        <f ca="1">[1]!cb_info_outstandingbalance(B294,$B$2)</f>
        <v>2.5216189999999998</v>
      </c>
      <c r="T294" s="126">
        <f ca="1">[1]!cb_info_issueamount(B294,100000000)</f>
        <v>5.97</v>
      </c>
      <c r="U294" s="126">
        <f t="shared" ca="1" si="19"/>
        <v>42.238174204355104</v>
      </c>
      <c r="V294" s="230">
        <f ca="1">IF([1]!cb_anal_ldiluterate(B294,$B$2)=100,"-",[1]!cb_anal_ldiluterate(B294,$B$2))</f>
        <v>4.1461984993977632</v>
      </c>
      <c r="W294" s="127" t="str">
        <f ca="1">[1]!cb_info_listeddate(B294)</f>
        <v>2017-12-25</v>
      </c>
      <c r="X294" s="127" t="str">
        <f ca="1">[1]!cb_info_carrydate(B294)</f>
        <v>2017-11-24</v>
      </c>
      <c r="Y294" s="125" t="str">
        <f ca="1">[1]!cb_clause_conversion_2_swapsharestartdate(B294)</f>
        <v>2018-05-30</v>
      </c>
      <c r="Z294" s="125" t="str">
        <f ca="1">[1]!cb_clause_putoption_conditionalputbackstartenddate(B294)</f>
        <v>2021-11-24</v>
      </c>
      <c r="AA294" s="230">
        <f ca="1">[1]!cb_info_maturitycallprice(B294)</f>
        <v>106</v>
      </c>
      <c r="AB294" s="230">
        <f ca="1">IF(ISNUMBER([1]!cb_info_conditionalputprice(B294)),[1]!cb_info_conditionalputprice(B294),"-")</f>
        <v>0</v>
      </c>
      <c r="AC294" s="230">
        <f ca="1">[1]!cb_info_interest(B294)</f>
        <v>0.3</v>
      </c>
      <c r="AD294" s="263" t="str">
        <f ca="1">IFERROR(couponlist([1]!cb_clause_interest(B294,"4")),"-")</f>
        <v>0.3%，0.5%，1.0%，1.3%，1.5%，1.8%</v>
      </c>
      <c r="AE294" s="129"/>
      <c r="AF294" s="129"/>
      <c r="AG294" s="129"/>
      <c r="AH294" s="129"/>
      <c r="AI294" s="129"/>
      <c r="AJ294" s="129"/>
      <c r="AK294" s="129"/>
      <c r="AL294" s="129"/>
      <c r="AM294" s="129"/>
      <c r="AN294" s="129"/>
      <c r="AO294" s="129"/>
      <c r="AP294" s="129"/>
      <c r="AQ294" s="129"/>
    </row>
    <row r="295" spans="1:43" s="191" customFormat="1" x14ac:dyDescent="0.35">
      <c r="A295" s="182" t="s">
        <v>5</v>
      </c>
      <c r="B295" s="182" t="s">
        <v>1731</v>
      </c>
      <c r="C295" s="182" t="s">
        <v>1732</v>
      </c>
      <c r="D295" s="235" t="str">
        <f ca="1">IF([1]!s_info_industry_sw(B295,1)=0,"-",[1]!s_info_industry_sw(B295,1))</f>
        <v>公用事业</v>
      </c>
      <c r="E295" s="183" t="str">
        <f ca="1">[1]!cb_info_underlyingcode(B295)</f>
        <v>300779.SZ</v>
      </c>
      <c r="F295" s="185">
        <f ca="1">RTD("wdf.rtq",,B295,"LastPrice","Dirty_Price")</f>
        <v>120.06500000000001</v>
      </c>
      <c r="G295" s="185">
        <f ca="1">RTD("wdf.rtq",,E295,"LastPrice")</f>
        <v>18.03</v>
      </c>
      <c r="H295" s="225">
        <f ca="1">RTD("wdf.rtq",,B295,"PctChg","RT_Price")/100</f>
        <v>-2.0000000000000001E-4</v>
      </c>
      <c r="I295" s="225">
        <f ca="1">RTD("wdf.rtq",,E295,"PctChg")/100</f>
        <v>2.2000000000000001E-3</v>
      </c>
      <c r="J295" s="186">
        <f ca="1">_xlfn.IFNA([1]!b_anal_ptmyear(B295,$B$2),"未发行或发行失败")</f>
        <v>5.8273972602739725</v>
      </c>
      <c r="K295" s="186">
        <f ca="1">RTD("wdf.rtq",,B295,"Amount","Dirty_Price")/100000000</f>
        <v>3.4132750000000003E-2</v>
      </c>
      <c r="L295" s="186">
        <f ca="1">[1]!cb_anal_convprice(B295,$B$2)</f>
        <v>17.11</v>
      </c>
      <c r="M295" s="186">
        <f t="shared" ca="1" si="16"/>
        <v>105.37697253068382</v>
      </c>
      <c r="N295" s="187">
        <f t="shared" ca="1" si="17"/>
        <v>13.938555185801448</v>
      </c>
      <c r="O295" s="187">
        <f t="array" aca="1" ref="O295" ca="1">_xlfn.IFNA(RTD("wdf.rtq",,B295,"LastPrice","Yield_To_Maturity"),[1]!cb_anal_ytm(B295,$C$2))</f>
        <v>0.2374</v>
      </c>
      <c r="P295" s="187">
        <f ca="1">[1]!cb_anal_straightbondvalue(B295,$B$2)</f>
        <v>74.623800000000003</v>
      </c>
      <c r="Q295" s="187">
        <f t="shared" ca="1" si="18"/>
        <v>60.893709513586828</v>
      </c>
      <c r="R295" s="187" t="str">
        <f ca="1">[1]!b_rate_latestcredit(B295)</f>
        <v>A+</v>
      </c>
      <c r="S295" s="187">
        <f ca="1">[1]!cb_info_outstandingbalance(B295,$B$2)</f>
        <v>3.2</v>
      </c>
      <c r="T295" s="187">
        <f ca="1">[1]!cb_info_issueamount(B295,100000000)</f>
        <v>3.2</v>
      </c>
      <c r="U295" s="187">
        <f t="shared" ca="1" si="19"/>
        <v>100</v>
      </c>
      <c r="V295" s="240">
        <f ca="1">IF([1]!cb_anal_ldiluterate(B295,$B$2)=100,"-",[1]!cb_anal_ldiluterate(B295,$B$2))</f>
        <v>21.112072599349926</v>
      </c>
      <c r="W295" s="188" t="str">
        <f ca="1">[1]!cb_info_listeddate(B295)</f>
        <v>2021-07-26</v>
      </c>
      <c r="X295" s="188" t="str">
        <f ca="1">[1]!cb_info_carrydate(B295)</f>
        <v>2021-07-07</v>
      </c>
      <c r="Y295" s="186" t="str">
        <f ca="1">[1]!cb_clause_conversion_2_swapsharestartdate(B295)</f>
        <v>2022-01-13</v>
      </c>
      <c r="Z295" s="186" t="str">
        <f ca="1">[1]!cb_clause_putoption_conditionalputbackstartenddate(B295)</f>
        <v>2025-07-07</v>
      </c>
      <c r="AA295" s="240">
        <f ca="1">[1]!cb_info_maturitycallprice(B295)</f>
        <v>115</v>
      </c>
      <c r="AB295" s="240">
        <f ca="1">IF(ISNUMBER([1]!cb_info_conditionalputprice(B295)),[1]!cb_info_conditionalputprice(B295),"-")</f>
        <v>0</v>
      </c>
      <c r="AC295" s="240">
        <f ca="1">[1]!cb_info_interest(B295)</f>
        <v>0.5</v>
      </c>
      <c r="AD295" s="262" t="str">
        <f ca="1">IFERROR(couponlist([1]!cb_clause_interest(B295,"4")),"-")</f>
        <v>0.5%，0.7%，1.2%，1.8%，2.5%，3.0%</v>
      </c>
      <c r="AE295" s="189"/>
      <c r="AF295" s="189"/>
      <c r="AG295" s="189"/>
      <c r="AH295" s="189"/>
      <c r="AI295" s="189"/>
      <c r="AJ295" s="189"/>
      <c r="AK295" s="189"/>
      <c r="AL295" s="189"/>
      <c r="AM295" s="189"/>
      <c r="AN295" s="189"/>
      <c r="AO295" s="189"/>
      <c r="AP295" s="189"/>
      <c r="AQ295" s="189"/>
    </row>
    <row r="296" spans="1:43" s="130" customFormat="1" x14ac:dyDescent="0.35">
      <c r="A296" s="121" t="s">
        <v>5</v>
      </c>
      <c r="B296" s="121" t="s">
        <v>1735</v>
      </c>
      <c r="C296" s="121" t="s">
        <v>1736</v>
      </c>
      <c r="D296" s="236" t="str">
        <f ca="1">IF([1]!s_info_industry_sw(B296,1)=0,"-",[1]!s_info_industry_sw(B296,1))</f>
        <v>公用事业</v>
      </c>
      <c r="E296" s="122" t="str">
        <f ca="1">[1]!cb_info_underlyingcode(B296)</f>
        <v>300263.SZ</v>
      </c>
      <c r="F296" s="124">
        <f ca="1">RTD("wdf.rtq",,B296,"LastPrice","Dirty_Price")</f>
        <v>200.64600000000002</v>
      </c>
      <c r="G296" s="124">
        <f ca="1">RTD("wdf.rtq",,E296,"LastPrice")</f>
        <v>13.52</v>
      </c>
      <c r="H296" s="226">
        <f ca="1">RTD("wdf.rtq",,B296,"PctChg","RT_Price")/100</f>
        <v>3.5099999999999999E-2</v>
      </c>
      <c r="I296" s="226">
        <f ca="1">RTD("wdf.rtq",,E296,"PctChg")/100</f>
        <v>2.8900000000000002E-2</v>
      </c>
      <c r="J296" s="125">
        <f ca="1">_xlfn.IFNA([1]!b_anal_ptmyear(B296,$B$2),"未发行或发行失败")</f>
        <v>5.8904109589041092</v>
      </c>
      <c r="K296" s="125">
        <f ca="1">RTD("wdf.rtq",,B296,"Amount","Dirty_Price")/100000000</f>
        <v>2.4003484500000001</v>
      </c>
      <c r="L296" s="125">
        <f ca="1">[1]!cb_anal_convprice(B296,$B$2)</f>
        <v>7.76</v>
      </c>
      <c r="M296" s="125">
        <f t="shared" ca="1" si="16"/>
        <v>174.22680412371133</v>
      </c>
      <c r="N296" s="126">
        <f t="shared" ca="1" si="17"/>
        <v>15.163680473372793</v>
      </c>
      <c r="O296" s="126">
        <f t="array" aca="1" ref="O296" ca="1">_xlfn.IFNA(RTD("wdf.rtq",,B296,"LastPrice","Yield_To_Maturity"),[1]!cb_anal_ytm(B296,$C$2))</f>
        <v>-8.3483999999999998</v>
      </c>
      <c r="P296" s="126">
        <f ca="1">[1]!cb_anal_straightbondvalue(B296,$B$2)</f>
        <v>82.928600000000003</v>
      </c>
      <c r="Q296" s="126">
        <f t="shared" ca="1" si="18"/>
        <v>141.95030423762131</v>
      </c>
      <c r="R296" s="126" t="str">
        <f ca="1">[1]!b_rate_latestcredit(B296)</f>
        <v>AA-</v>
      </c>
      <c r="S296" s="126">
        <f ca="1">[1]!cb_info_outstandingbalance(B296,$B$2)</f>
        <v>7.9892830000000004</v>
      </c>
      <c r="T296" s="126">
        <f ca="1">[1]!cb_info_issueamount(B296,100000000)</f>
        <v>7.9892830000000004</v>
      </c>
      <c r="U296" s="126">
        <f t="shared" ca="1" si="19"/>
        <v>100</v>
      </c>
      <c r="V296" s="230">
        <f ca="1">IF([1]!cb_anal_ldiluterate(B296,$B$2)=100,"-",[1]!cb_anal_ldiluterate(B296,$B$2))</f>
        <v>11.823455192478658</v>
      </c>
      <c r="W296" s="127" t="str">
        <f ca="1">[1]!cb_info_listeddate(B296)</f>
        <v>2021-08-23</v>
      </c>
      <c r="X296" s="127" t="str">
        <f ca="1">[1]!cb_info_carrydate(B296)</f>
        <v>2021-07-30</v>
      </c>
      <c r="Y296" s="125" t="str">
        <f ca="1">[1]!cb_clause_conversion_2_swapsharestartdate(B296)</f>
        <v>2022-02-07</v>
      </c>
      <c r="Z296" s="125" t="str">
        <f ca="1">[1]!cb_clause_putoption_conditionalputbackstartenddate(B296)</f>
        <v>2025-07-30</v>
      </c>
      <c r="AA296" s="230">
        <f ca="1">[1]!cb_info_maturitycallprice(B296)</f>
        <v>115</v>
      </c>
      <c r="AB296" s="230">
        <f ca="1">IF(ISNUMBER([1]!cb_info_conditionalputprice(B296)),[1]!cb_info_conditionalputprice(B296),"-")</f>
        <v>0</v>
      </c>
      <c r="AC296" s="230">
        <f ca="1">[1]!cb_info_interest(B296)</f>
        <v>0.4</v>
      </c>
      <c r="AD296" s="263" t="str">
        <f ca="1">IFERROR(couponlist([1]!cb_clause_interest(B296,"4")),"-")</f>
        <v>0.40%，0.70%，1.00%，1.60%，2.40%，3.00%</v>
      </c>
      <c r="AE296" s="129"/>
      <c r="AF296" s="129"/>
      <c r="AG296" s="129"/>
      <c r="AH296" s="129"/>
      <c r="AI296" s="129"/>
      <c r="AJ296" s="129"/>
      <c r="AK296" s="129"/>
      <c r="AL296" s="129"/>
      <c r="AM296" s="129"/>
      <c r="AN296" s="129"/>
      <c r="AO296" s="129"/>
      <c r="AP296" s="129"/>
      <c r="AQ296" s="129"/>
    </row>
    <row r="297" spans="1:43" s="191" customFormat="1" x14ac:dyDescent="0.35">
      <c r="A297" s="182" t="s">
        <v>5</v>
      </c>
      <c r="B297" s="182" t="s">
        <v>1751</v>
      </c>
      <c r="C297" s="182" t="s">
        <v>1752</v>
      </c>
      <c r="D297" s="235" t="str">
        <f ca="1">IF([1]!s_info_industry_sw(B297,1)=0,"-",[1]!s_info_industry_sw(B297,1))</f>
        <v>公用事业</v>
      </c>
      <c r="E297" s="183" t="str">
        <f ca="1">[1]!cb_info_underlyingcode(B297)</f>
        <v>002887.SZ</v>
      </c>
      <c r="F297" s="185">
        <f ca="1">RTD("wdf.rtq",,B297,"LastPrice","Dirty_Price")</f>
        <v>107.81500000000001</v>
      </c>
      <c r="G297" s="185">
        <f ca="1">RTD("wdf.rtq",,E297,"LastPrice")</f>
        <v>10.74</v>
      </c>
      <c r="H297" s="225">
        <f ca="1">RTD("wdf.rtq",,B297,"PctChg","RT_Price")/100</f>
        <v>3.7000000000000002E-3</v>
      </c>
      <c r="I297" s="225">
        <f ca="1">RTD("wdf.rtq",,E297,"PctChg")/100</f>
        <v>0</v>
      </c>
      <c r="J297" s="186">
        <f ca="1">_xlfn.IFNA([1]!b_anal_ptmyear(B297,$B$2),"未发行或发行失败")</f>
        <v>5.6410958904109592</v>
      </c>
      <c r="K297" s="186">
        <f ca="1">RTD("wdf.rtq",,B297,"Amount","Dirty_Price")/100000000</f>
        <v>4.7867960000000001E-2</v>
      </c>
      <c r="L297" s="186">
        <f ca="1">[1]!cb_anal_convprice(B297,$B$2)</f>
        <v>12.38</v>
      </c>
      <c r="M297" s="186">
        <f t="shared" ca="1" si="16"/>
        <v>86.752827140549272</v>
      </c>
      <c r="N297" s="187">
        <f t="shared" ca="1" si="17"/>
        <v>24.278370577281208</v>
      </c>
      <c r="O297" s="187">
        <f t="array" aca="1" ref="O297" ca="1">_xlfn.IFNA(RTD("wdf.rtq",,B297,"LastPrice","Yield_To_Maturity"),[1]!cb_anal_ytm(B297,$C$2))</f>
        <v>1.8010000000000002</v>
      </c>
      <c r="P297" s="187">
        <f ca="1">[1]!cb_anal_straightbondvalue(B297,$B$2)</f>
        <v>82.966099999999997</v>
      </c>
      <c r="Q297" s="187">
        <f t="shared" ca="1" si="18"/>
        <v>29.950666597562162</v>
      </c>
      <c r="R297" s="187" t="str">
        <f ca="1">[1]!b_rate_latestcredit(B297)</f>
        <v>AA-</v>
      </c>
      <c r="S297" s="187">
        <f ca="1">[1]!cb_info_outstandingbalance(B297,$B$2)</f>
        <v>7.12</v>
      </c>
      <c r="T297" s="187">
        <f ca="1">[1]!cb_info_issueamount(B297,100000000)</f>
        <v>7.12</v>
      </c>
      <c r="U297" s="187">
        <f t="shared" ca="1" si="19"/>
        <v>100</v>
      </c>
      <c r="V297" s="240">
        <f ca="1">IF([1]!cb_anal_ldiluterate(B297,$B$2)=100,"-",[1]!cb_anal_ldiluterate(B297,$B$2))</f>
        <v>26.408889374830917</v>
      </c>
      <c r="W297" s="188" t="str">
        <f ca="1">[1]!cb_info_listeddate(B297)</f>
        <v>2021-05-28</v>
      </c>
      <c r="X297" s="188" t="str">
        <f ca="1">[1]!cb_info_carrydate(B297)</f>
        <v>2021-04-30</v>
      </c>
      <c r="Y297" s="186" t="str">
        <f ca="1">[1]!cb_clause_conversion_2_swapsharestartdate(B297)</f>
        <v>2021-11-11</v>
      </c>
      <c r="Z297" s="186" t="str">
        <f ca="1">[1]!cb_clause_putoption_conditionalputbackstartenddate(B297)</f>
        <v>2025-04-30</v>
      </c>
      <c r="AA297" s="240">
        <f ca="1">[1]!cb_info_maturitycallprice(B297)</f>
        <v>113</v>
      </c>
      <c r="AB297" s="240">
        <f ca="1">IF(ISNUMBER([1]!cb_info_conditionalputprice(B297)),[1]!cb_info_conditionalputprice(B297),"-")</f>
        <v>0</v>
      </c>
      <c r="AC297" s="240">
        <f ca="1">[1]!cb_info_interest(B297)</f>
        <v>0.4</v>
      </c>
      <c r="AD297" s="262" t="str">
        <f ca="1">IFERROR(couponlist([1]!cb_clause_interest(B297,"4")),"-")</f>
        <v>0.40%，0.60%，1.00%，1.50%，2.50%，3.00%</v>
      </c>
      <c r="AE297" s="189"/>
      <c r="AF297" s="189"/>
      <c r="AG297" s="189"/>
      <c r="AH297" s="189"/>
      <c r="AI297" s="189"/>
      <c r="AJ297" s="189"/>
      <c r="AK297" s="189"/>
      <c r="AL297" s="189"/>
      <c r="AM297" s="189"/>
      <c r="AN297" s="189"/>
      <c r="AO297" s="189"/>
      <c r="AP297" s="189"/>
      <c r="AQ297" s="189"/>
    </row>
    <row r="298" spans="1:43" s="130" customFormat="1" x14ac:dyDescent="0.35">
      <c r="A298" s="121" t="s">
        <v>5</v>
      </c>
      <c r="B298" s="121" t="s">
        <v>455</v>
      </c>
      <c r="C298" s="121" t="s">
        <v>456</v>
      </c>
      <c r="D298" s="236" t="str">
        <f ca="1">IF([1]!s_info_industry_sw(B298,1)=0,"-",[1]!s_info_industry_sw(B298,1))</f>
        <v>公用事业</v>
      </c>
      <c r="E298" s="122" t="str">
        <f ca="1">[1]!cb_info_underlyingcode(B298)</f>
        <v>002658.SZ</v>
      </c>
      <c r="F298" s="124">
        <f ca="1">RTD("wdf.rtq",,B298,"LastPrice","Dirty_Price")</f>
        <v>131.14500000000001</v>
      </c>
      <c r="G298" s="124">
        <f ca="1">RTD("wdf.rtq",,E298,"LastPrice")</f>
        <v>9.65</v>
      </c>
      <c r="H298" s="226">
        <f ca="1">RTD("wdf.rtq",,B298,"PctChg","RT_Price")/100</f>
        <v>1.3500000000000002E-2</v>
      </c>
      <c r="I298" s="226">
        <f ca="1">RTD("wdf.rtq",,E298,"PctChg")/100</f>
        <v>2.7700000000000006E-2</v>
      </c>
      <c r="J298" s="125">
        <f ca="1">_xlfn.IFNA([1]!b_anal_ptmyear(B298,$B$2),"未发行或发行失败")</f>
        <v>2.3013698630136985</v>
      </c>
      <c r="K298" s="125">
        <f ca="1">RTD("wdf.rtq",,B298,"Amount","Dirty_Price")/100000000</f>
        <v>0.79542511000000005</v>
      </c>
      <c r="L298" s="125">
        <f ca="1">[1]!cb_anal_convprice(B298,$B$2)</f>
        <v>8.7100000000000009</v>
      </c>
      <c r="M298" s="125">
        <f t="shared" ca="1" si="16"/>
        <v>110.79219288174511</v>
      </c>
      <c r="N298" s="126">
        <f t="shared" ca="1" si="17"/>
        <v>18.370253886010389</v>
      </c>
      <c r="O298" s="126">
        <f t="array" aca="1" ref="O298" ca="1">_xlfn.IFNA(RTD("wdf.rtq",,B298,"LastPrice","Yield_To_Maturity"),[1]!cb_anal_ytm(B298,$C$2))</f>
        <v>-7.9125000000000005</v>
      </c>
      <c r="P298" s="126">
        <f ca="1">[1]!cb_anal_straightbondvalue(B298,$B$2)</f>
        <v>100.9173</v>
      </c>
      <c r="Q298" s="126">
        <f t="shared" ca="1" si="18"/>
        <v>29.952941666096905</v>
      </c>
      <c r="R298" s="126" t="str">
        <f ca="1">[1]!b_rate_latestcredit(B298)</f>
        <v>AA</v>
      </c>
      <c r="S298" s="126">
        <f ca="1">[1]!cb_info_outstandingbalance(B298,$B$2)</f>
        <v>2.9792040000000002</v>
      </c>
      <c r="T298" s="126">
        <f ca="1">[1]!cb_info_issueamount(B298,100000000)</f>
        <v>5.2</v>
      </c>
      <c r="U298" s="126">
        <f t="shared" ca="1" si="19"/>
        <v>57.29238461538462</v>
      </c>
      <c r="V298" s="230">
        <f ca="1">IF([1]!cb_anal_ldiluterate(B298,$B$2)=100,"-",[1]!cb_anal_ldiluterate(B298,$B$2))</f>
        <v>9.3229577332740323</v>
      </c>
      <c r="W298" s="127" t="str">
        <f ca="1">[1]!cb_info_listeddate(B298)</f>
        <v>2018-01-29</v>
      </c>
      <c r="X298" s="127" t="str">
        <f ca="1">[1]!cb_info_carrydate(B298)</f>
        <v>2017-12-27</v>
      </c>
      <c r="Y298" s="125" t="str">
        <f ca="1">[1]!cb_clause_conversion_2_swapsharestartdate(B298)</f>
        <v>2018-07-03</v>
      </c>
      <c r="Z298" s="125" t="str">
        <f ca="1">[1]!cb_clause_putoption_conditionalputbackstartenddate(B298)</f>
        <v>2021-12-27</v>
      </c>
      <c r="AA298" s="230">
        <f ca="1">[1]!cb_info_maturitycallprice(B298)</f>
        <v>106</v>
      </c>
      <c r="AB298" s="230">
        <f ca="1">IF(ISNUMBER([1]!cb_info_conditionalputprice(B298)),[1]!cb_info_conditionalputprice(B298),"-")</f>
        <v>0</v>
      </c>
      <c r="AC298" s="230">
        <f ca="1">[1]!cb_info_interest(B298)</f>
        <v>0.3</v>
      </c>
      <c r="AD298" s="263" t="str">
        <f ca="1">IFERROR(couponlist([1]!cb_clause_interest(B298,"4")),"-")</f>
        <v>0.3%，0.5%，1.0%，1.3%，1.5%，1.8%</v>
      </c>
      <c r="AE298" s="129"/>
      <c r="AF298" s="129"/>
      <c r="AG298" s="129"/>
      <c r="AH298" s="129"/>
      <c r="AI298" s="129"/>
      <c r="AJ298" s="129"/>
      <c r="AK298" s="129"/>
      <c r="AL298" s="129"/>
      <c r="AM298" s="129"/>
      <c r="AN298" s="129"/>
      <c r="AO298" s="129"/>
      <c r="AP298" s="129"/>
      <c r="AQ298" s="129"/>
    </row>
    <row r="299" spans="1:43" s="191" customFormat="1" x14ac:dyDescent="0.35">
      <c r="A299" s="182" t="s">
        <v>0</v>
      </c>
      <c r="B299" s="182" t="s">
        <v>334</v>
      </c>
      <c r="C299" s="182" t="s">
        <v>335</v>
      </c>
      <c r="D299" s="235" t="str">
        <f ca="1">IF([1]!s_info_industry_sw(B299,1)=0,"-",[1]!s_info_industry_sw(B299,1))</f>
        <v>公用事业</v>
      </c>
      <c r="E299" s="183" t="str">
        <f ca="1">[1]!cb_info_underlyingcode(B299)</f>
        <v>603817.SH</v>
      </c>
      <c r="F299" s="185">
        <f ca="1">RTD("wdf.rtq",,B299,"LastPrice","Dirty_Price")</f>
        <v>107.30000000000001</v>
      </c>
      <c r="G299" s="185">
        <f ca="1">RTD("wdf.rtq",,E299,"LastPrice")</f>
        <v>5.94</v>
      </c>
      <c r="H299" s="225">
        <f ca="1">RTD("wdf.rtq",,B299,"PctChg","RT_Price")/100</f>
        <v>4.8999999999999998E-3</v>
      </c>
      <c r="I299" s="225">
        <f ca="1">RTD("wdf.rtq",,E299,"PctChg")/100</f>
        <v>6.8000000000000005E-3</v>
      </c>
      <c r="J299" s="186">
        <f ca="1">_xlfn.IFNA([1]!b_anal_ptmyear(B299,$B$2),"未发行或发行失败")</f>
        <v>3.5643835616438357</v>
      </c>
      <c r="K299" s="186">
        <f ca="1">RTD("wdf.rtq",,B299,"Amount","Dirty_Price")/100000000</f>
        <v>3.3802640000000002E-2</v>
      </c>
      <c r="L299" s="186">
        <f ca="1">[1]!cb_anal_convprice(B299,$B$2)</f>
        <v>7.63</v>
      </c>
      <c r="M299" s="186">
        <f t="shared" ca="1" si="16"/>
        <v>77.850589777195282</v>
      </c>
      <c r="N299" s="187">
        <f t="shared" ca="1" si="17"/>
        <v>37.828114478114514</v>
      </c>
      <c r="O299" s="187">
        <f t="array" aca="1" ref="O299" ca="1">_xlfn.IFNA(RTD("wdf.rtq",,B299,"LastPrice","Yield_To_Maturity"),[1]!cb_anal_ytm(B299,$C$2))</f>
        <v>1.3121</v>
      </c>
      <c r="P299" s="187">
        <f ca="1">[1]!cb_anal_straightbondvalue(B299,$B$2)</f>
        <v>97.933800000000005</v>
      </c>
      <c r="Q299" s="187">
        <f t="shared" ca="1" si="18"/>
        <v>9.5638073882561656</v>
      </c>
      <c r="R299" s="187" t="str">
        <f ca="1">[1]!b_rate_latestcredit(B299)</f>
        <v>AA</v>
      </c>
      <c r="S299" s="187">
        <f ca="1">[1]!cb_info_outstandingbalance(B299,$B$2)</f>
        <v>4.58711</v>
      </c>
      <c r="T299" s="187">
        <f ca="1">[1]!cb_info_issueamount(B299,100000000)</f>
        <v>4.5999999999999996</v>
      </c>
      <c r="U299" s="187">
        <f t="shared" ca="1" si="19"/>
        <v>99.719782608695667</v>
      </c>
      <c r="V299" s="240">
        <f ca="1">IF([1]!cb_anal_ldiluterate(B299,$B$2)=100,"-",[1]!cb_anal_ldiluterate(B299,$B$2))</f>
        <v>11.781539023952195</v>
      </c>
      <c r="W299" s="188" t="str">
        <f ca="1">[1]!cb_info_listeddate(B299)</f>
        <v>2019-04-24</v>
      </c>
      <c r="X299" s="188" t="str">
        <f ca="1">[1]!cb_info_carrydate(B299)</f>
        <v>2019-04-02</v>
      </c>
      <c r="Y299" s="186" t="str">
        <f ca="1">[1]!cb_clause_conversion_2_swapsharestartdate(B299)</f>
        <v>2019-10-09</v>
      </c>
      <c r="Z299" s="186" t="str">
        <f ca="1">[1]!cb_clause_putoption_conditionalputbackstartenddate(B299)</f>
        <v>2023-04-02</v>
      </c>
      <c r="AA299" s="240">
        <f ca="1">[1]!cb_info_maturitycallprice(B299)</f>
        <v>108</v>
      </c>
      <c r="AB299" s="240">
        <f ca="1">IF(ISNUMBER([1]!cb_info_conditionalputprice(B299)),[1]!cb_info_conditionalputprice(B299),"-")</f>
        <v>0</v>
      </c>
      <c r="AC299" s="240">
        <f ca="1">[1]!cb_info_interest(B299)</f>
        <v>0.4</v>
      </c>
      <c r="AD299" s="262" t="str">
        <f ca="1">IFERROR(couponlist([1]!cb_clause_interest(B299,"4")),"-")</f>
        <v>0.40%，0.60%，1.00%，1.50%，1.80%，2.00%</v>
      </c>
      <c r="AE299" s="189"/>
      <c r="AF299" s="189"/>
      <c r="AG299" s="189"/>
      <c r="AH299" s="189"/>
      <c r="AI299" s="189"/>
      <c r="AJ299" s="189"/>
      <c r="AK299" s="189"/>
      <c r="AL299" s="189"/>
      <c r="AM299" s="189"/>
      <c r="AN299" s="189"/>
      <c r="AO299" s="189"/>
      <c r="AP299" s="189"/>
      <c r="AQ299" s="189"/>
    </row>
    <row r="300" spans="1:43" s="130" customFormat="1" x14ac:dyDescent="0.35">
      <c r="A300" s="121" t="s">
        <v>0</v>
      </c>
      <c r="B300" s="121" t="s">
        <v>320</v>
      </c>
      <c r="C300" s="121" t="s">
        <v>321</v>
      </c>
      <c r="D300" s="236" t="str">
        <f ca="1">IF([1]!s_info_industry_sw(B300,1)=0,"-",[1]!s_info_industry_sw(B300,1))</f>
        <v>公用事业</v>
      </c>
      <c r="E300" s="122" t="str">
        <f ca="1">[1]!cb_info_underlyingcode(B300)</f>
        <v>601985.SH</v>
      </c>
      <c r="F300" s="124">
        <f ca="1">RTD("wdf.rtq",,B300,"LastPrice","Dirty_Price")</f>
        <v>130.13</v>
      </c>
      <c r="G300" s="124">
        <f ca="1">RTD("wdf.rtq",,E300,"LastPrice")</f>
        <v>6.48</v>
      </c>
      <c r="H300" s="226">
        <f ca="1">RTD("wdf.rtq",,B300,"PctChg","RT_Price")/100</f>
        <v>5.0300000000000004E-2</v>
      </c>
      <c r="I300" s="226">
        <f ca="1">RTD("wdf.rtq",,E300,"PctChg")/100</f>
        <v>0.10020000000000001</v>
      </c>
      <c r="J300" s="125">
        <f ca="1">_xlfn.IFNA([1]!b_anal_ptmyear(B300,$B$2),"未发行或发行失败")</f>
        <v>3.6</v>
      </c>
      <c r="K300" s="125">
        <f ca="1">RTD("wdf.rtq",,B300,"Amount","Dirty_Price")/100000000</f>
        <v>6.9809856400000001</v>
      </c>
      <c r="L300" s="125">
        <f ca="1">[1]!cb_anal_convprice(B300,$B$2)</f>
        <v>5.73</v>
      </c>
      <c r="M300" s="125">
        <f t="shared" ca="1" si="16"/>
        <v>113.08900523560209</v>
      </c>
      <c r="N300" s="126">
        <f t="shared" ca="1" si="17"/>
        <v>15.068657407407414</v>
      </c>
      <c r="O300" s="126">
        <f t="array" aca="1" ref="O300" ca="1">_xlfn.IFNA(RTD("wdf.rtq",,B300,"LastPrice","Yield_To_Maturity"),[1]!cb_anal_ytm(B300,$C$2))</f>
        <v>-4.8186</v>
      </c>
      <c r="P300" s="126">
        <f ca="1">[1]!cb_anal_straightbondvalue(B300,$B$2)</f>
        <v>97.784800000000004</v>
      </c>
      <c r="Q300" s="126">
        <f t="shared" ca="1" si="18"/>
        <v>33.077942584123491</v>
      </c>
      <c r="R300" s="126" t="str">
        <f ca="1">[1]!b_rate_latestcredit(B300)</f>
        <v>AAA</v>
      </c>
      <c r="S300" s="126">
        <f ca="1">[1]!cb_info_outstandingbalance(B300,$B$2)</f>
        <v>77.997190000000003</v>
      </c>
      <c r="T300" s="126">
        <f ca="1">[1]!cb_info_issueamount(B300,100000000)</f>
        <v>78</v>
      </c>
      <c r="U300" s="126">
        <f t="shared" ca="1" si="19"/>
        <v>99.996397435897435</v>
      </c>
      <c r="V300" s="230">
        <f ca="1">IF([1]!cb_anal_ldiluterate(B300,$B$2)=100,"-",[1]!cb_anal_ldiluterate(B300,$B$2))</f>
        <v>7.4101841609414967</v>
      </c>
      <c r="W300" s="127" t="str">
        <f ca="1">[1]!cb_info_listeddate(B300)</f>
        <v>2019-05-08</v>
      </c>
      <c r="X300" s="127" t="str">
        <f ca="1">[1]!cb_info_carrydate(B300)</f>
        <v>2019-04-15</v>
      </c>
      <c r="Y300" s="125" t="str">
        <f ca="1">[1]!cb_clause_conversion_2_swapsharestartdate(B300)</f>
        <v>2019-10-21</v>
      </c>
      <c r="Z300" s="125" t="str">
        <f ca="1">[1]!cb_clause_putoption_conditionalputbackstartenddate(B300)</f>
        <v>2023-04-15</v>
      </c>
      <c r="AA300" s="230">
        <f ca="1">[1]!cb_info_maturitycallprice(B300)</f>
        <v>105</v>
      </c>
      <c r="AB300" s="230">
        <f ca="1">IF(ISNUMBER([1]!cb_info_conditionalputprice(B300)),[1]!cb_info_conditionalputprice(B300),"-")</f>
        <v>0</v>
      </c>
      <c r="AC300" s="230">
        <f ca="1">[1]!cb_info_interest(B300)</f>
        <v>0.2</v>
      </c>
      <c r="AD300" s="263" t="str">
        <f ca="1">IFERROR(couponlist([1]!cb_clause_interest(B300,"4")),"-")</f>
        <v>0.2%，0.5%，1.0%，1.5%，1.8%，2.0%</v>
      </c>
      <c r="AE300" s="129"/>
      <c r="AF300" s="129"/>
      <c r="AG300" s="129"/>
      <c r="AH300" s="129"/>
      <c r="AI300" s="129"/>
      <c r="AJ300" s="129"/>
      <c r="AK300" s="129"/>
      <c r="AL300" s="129"/>
      <c r="AM300" s="129"/>
      <c r="AN300" s="129"/>
      <c r="AO300" s="129"/>
      <c r="AP300" s="129"/>
      <c r="AQ300" s="129"/>
    </row>
    <row r="301" spans="1:43" s="191" customFormat="1" x14ac:dyDescent="0.35">
      <c r="A301" s="182" t="s">
        <v>0</v>
      </c>
      <c r="B301" s="182" t="s">
        <v>559</v>
      </c>
      <c r="C301" s="182" t="s">
        <v>560</v>
      </c>
      <c r="D301" s="235" t="str">
        <f ca="1">IF([1]!s_info_industry_sw(B301,1)=0,"-",[1]!s_info_industry_sw(B301,1))</f>
        <v>公用事业</v>
      </c>
      <c r="E301" s="183" t="str">
        <f ca="1">[1]!cb_info_underlyingcode(B301)</f>
        <v>603568.SH</v>
      </c>
      <c r="F301" s="185">
        <f ca="1">RTD("wdf.rtq",,B301,"LastPrice","Dirty_Price")</f>
        <v>136.9</v>
      </c>
      <c r="G301" s="185">
        <f ca="1">RTD("wdf.rtq",,E301,"LastPrice")</f>
        <v>29.54</v>
      </c>
      <c r="H301" s="225">
        <f ca="1">RTD("wdf.rtq",,B301,"PctChg","RT_Price")/100</f>
        <v>3.2000000000000002E-3</v>
      </c>
      <c r="I301" s="225">
        <f ca="1">RTD("wdf.rtq",,E301,"PctChg")/100</f>
        <v>4.1000000000000003E-3</v>
      </c>
      <c r="J301" s="186">
        <f ca="1">_xlfn.IFNA([1]!b_anal_ptmyear(B301,$B$2),"未发行或发行失败")</f>
        <v>5.1506849315068495</v>
      </c>
      <c r="K301" s="186">
        <f ca="1">RTD("wdf.rtq",,B301,"Amount","Dirty_Price")/100000000</f>
        <v>0.55979161</v>
      </c>
      <c r="L301" s="186">
        <f ca="1">[1]!cb_anal_convprice(B301,$B$2)</f>
        <v>21.71</v>
      </c>
      <c r="M301" s="186">
        <f t="shared" ca="1" si="16"/>
        <v>136.06632888070013</v>
      </c>
      <c r="N301" s="187">
        <f t="shared" ca="1" si="17"/>
        <v>0.61269465132025402</v>
      </c>
      <c r="O301" s="187">
        <f t="array" aca="1" ref="O301" ca="1">_xlfn.IFNA(RTD("wdf.rtq",,B301,"LastPrice","Yield_To_Maturity"),[1]!cb_anal_ytm(B301,$C$2))</f>
        <v>-3.3717000000000001</v>
      </c>
      <c r="P301" s="187">
        <f ca="1">[1]!cb_anal_straightbondvalue(B301,$B$2)</f>
        <v>92.7697</v>
      </c>
      <c r="Q301" s="187">
        <f t="shared" ca="1" si="18"/>
        <v>47.569734514609848</v>
      </c>
      <c r="R301" s="187" t="str">
        <f ca="1">[1]!b_rate_latestcredit(B301)</f>
        <v>AA</v>
      </c>
      <c r="S301" s="187">
        <f ca="1">[1]!cb_info_outstandingbalance(B301,$B$2)</f>
        <v>11.944929999999999</v>
      </c>
      <c r="T301" s="187">
        <f ca="1">[1]!cb_info_issueamount(B301,100000000)</f>
        <v>12</v>
      </c>
      <c r="U301" s="187">
        <f t="shared" ca="1" si="19"/>
        <v>99.541083333333333</v>
      </c>
      <c r="V301" s="240">
        <f ca="1">IF([1]!cb_anal_ldiluterate(B301,$B$2)=100,"-",[1]!cb_anal_ldiluterate(B301,$B$2))</f>
        <v>4.2128417116272816</v>
      </c>
      <c r="W301" s="188" t="str">
        <f ca="1">[1]!cb_info_listeddate(B301)</f>
        <v>2020-11-27</v>
      </c>
      <c r="X301" s="188" t="str">
        <f ca="1">[1]!cb_info_carrydate(B301)</f>
        <v>2020-11-02</v>
      </c>
      <c r="Y301" s="186" t="str">
        <f ca="1">[1]!cb_clause_conversion_2_swapsharestartdate(B301)</f>
        <v>2021-05-06</v>
      </c>
      <c r="Z301" s="186" t="str">
        <f ca="1">[1]!cb_clause_putoption_conditionalputbackstartenddate(B301)</f>
        <v>2024-11-02</v>
      </c>
      <c r="AA301" s="240">
        <f ca="1">[1]!cb_info_maturitycallprice(B301)</f>
        <v>110</v>
      </c>
      <c r="AB301" s="240">
        <f ca="1">IF(ISNUMBER([1]!cb_info_conditionalputprice(B301)),[1]!cb_info_conditionalputprice(B301),"-")</f>
        <v>0</v>
      </c>
      <c r="AC301" s="240">
        <f ca="1">[1]!cb_info_interest(B301)</f>
        <v>0.3</v>
      </c>
      <c r="AD301" s="262" t="str">
        <f ca="1">IFERROR(couponlist([1]!cb_clause_interest(B301,"4")),"-")</f>
        <v>0.30%，0.50%，1.00%，1.50%，1.80%，2.00%</v>
      </c>
      <c r="AE301" s="189"/>
      <c r="AF301" s="189"/>
      <c r="AG301" s="189"/>
      <c r="AH301" s="189"/>
      <c r="AI301" s="189"/>
      <c r="AJ301" s="189"/>
      <c r="AK301" s="189"/>
      <c r="AL301" s="189"/>
      <c r="AM301" s="189"/>
      <c r="AN301" s="189"/>
      <c r="AO301" s="189"/>
      <c r="AP301" s="189"/>
      <c r="AQ301" s="189"/>
    </row>
    <row r="302" spans="1:43" s="130" customFormat="1" x14ac:dyDescent="0.35">
      <c r="A302" s="121" t="s">
        <v>5</v>
      </c>
      <c r="B302" s="121" t="s">
        <v>106</v>
      </c>
      <c r="C302" s="121" t="s">
        <v>107</v>
      </c>
      <c r="D302" s="236" t="str">
        <f ca="1">IF([1]!s_info_industry_sw(B302,1)=0,"-",[1]!s_info_industry_sw(B302,1))</f>
        <v>钢铁</v>
      </c>
      <c r="E302" s="122" t="str">
        <f ca="1">[1]!cb_info_underlyingcode(B302)</f>
        <v>000761.SZ</v>
      </c>
      <c r="F302" s="124">
        <f ca="1">RTD("wdf.rtq",,B302,"LastPrice","Dirty_Price")</f>
        <v>139.44400000000002</v>
      </c>
      <c r="G302" s="124">
        <f ca="1">RTD("wdf.rtq",,E302,"LastPrice")</f>
        <v>6.97</v>
      </c>
      <c r="H302" s="226">
        <f ca="1">RTD("wdf.rtq",,B302,"PctChg","RT_Price")/100</f>
        <v>-2.9600000000000001E-2</v>
      </c>
      <c r="I302" s="226">
        <f ca="1">RTD("wdf.rtq",,E302,"PctChg")/100</f>
        <v>-5.9400000000000001E-2</v>
      </c>
      <c r="J302" s="125">
        <f ca="1">_xlfn.IFNA([1]!b_anal_ptmyear(B302,$B$2),"未发行或发行失败")</f>
        <v>4.8054794520547945</v>
      </c>
      <c r="K302" s="125">
        <f ca="1">RTD("wdf.rtq",,B302,"Amount","Dirty_Price")/100000000</f>
        <v>4.6775098599999998</v>
      </c>
      <c r="L302" s="125">
        <f ca="1">[1]!cb_anal_convprice(B302,$B$2)</f>
        <v>5.0199999999999996</v>
      </c>
      <c r="M302" s="125">
        <f t="shared" ca="1" si="16"/>
        <v>138.84462151394425</v>
      </c>
      <c r="N302" s="126">
        <f t="shared" ca="1" si="17"/>
        <v>0.43169010043041567</v>
      </c>
      <c r="O302" s="126">
        <f t="array" aca="1" ref="O302" ca="1">_xlfn.IFNA(RTD("wdf.rtq",,B302,"LastPrice","Yield_To_Maturity"),[1]!cb_anal_ytm(B302,$C$2))</f>
        <v>-1.8158000000000001</v>
      </c>
      <c r="P302" s="126">
        <f ca="1">[1]!cb_anal_straightbondvalue(B302,$B$2)</f>
        <v>109.5579</v>
      </c>
      <c r="Q302" s="126">
        <f t="shared" ca="1" si="18"/>
        <v>27.278817867082168</v>
      </c>
      <c r="R302" s="126" t="str">
        <f ca="1">[1]!b_rate_latestcredit(B302)</f>
        <v>AAA</v>
      </c>
      <c r="S302" s="126">
        <f ca="1">[1]!cb_info_outstandingbalance(B302,$B$2)</f>
        <v>65.212048999999993</v>
      </c>
      <c r="T302" s="126">
        <f ca="1">[1]!cb_info_issueamount(B302,100000000)</f>
        <v>68</v>
      </c>
      <c r="U302" s="126">
        <f t="shared" ca="1" si="19"/>
        <v>95.900072058823525</v>
      </c>
      <c r="V302" s="230">
        <f ca="1">IF([1]!cb_anal_ldiluterate(B302,$B$2)=100,"-",[1]!cb_anal_ldiluterate(B302,$B$2))</f>
        <v>27.844087374254332</v>
      </c>
      <c r="W302" s="127" t="str">
        <f ca="1">[1]!cb_info_listeddate(B302)</f>
        <v>2020-08-04</v>
      </c>
      <c r="X302" s="127" t="str">
        <f ca="1">[1]!cb_info_carrydate(B302)</f>
        <v>2020-06-29</v>
      </c>
      <c r="Y302" s="125" t="str">
        <f ca="1">[1]!cb_clause_conversion_2_swapsharestartdate(B302)</f>
        <v>2021-01-04</v>
      </c>
      <c r="Z302" s="125" t="str">
        <f ca="1">[1]!cb_clause_putoption_conditionalputbackstartenddate(B302)</f>
        <v>2024-06-29</v>
      </c>
      <c r="AA302" s="230">
        <f ca="1">[1]!cb_info_maturitycallprice(B302)</f>
        <v>119</v>
      </c>
      <c r="AB302" s="230">
        <f ca="1">IF(ISNUMBER([1]!cb_info_conditionalputprice(B302)),[1]!cb_info_conditionalputprice(B302),"-")</f>
        <v>0</v>
      </c>
      <c r="AC302" s="230">
        <f ca="1">[1]!cb_info_interest(B302)</f>
        <v>0.6</v>
      </c>
      <c r="AD302" s="263" t="str">
        <f ca="1">IFERROR(couponlist([1]!cb_clause_interest(B302,"4")),"-")</f>
        <v>0.6%，0.8%，1.5%，2.9%，3.8%，5.0%</v>
      </c>
      <c r="AE302" s="129"/>
      <c r="AF302" s="129"/>
      <c r="AG302" s="129"/>
      <c r="AH302" s="129"/>
      <c r="AI302" s="129"/>
      <c r="AJ302" s="129"/>
      <c r="AK302" s="129"/>
      <c r="AL302" s="129"/>
      <c r="AM302" s="129"/>
      <c r="AN302" s="129"/>
      <c r="AO302" s="129"/>
      <c r="AP302" s="129"/>
      <c r="AQ302" s="129"/>
    </row>
    <row r="303" spans="1:43" s="191" customFormat="1" x14ac:dyDescent="0.35">
      <c r="A303" s="182" t="s">
        <v>0</v>
      </c>
      <c r="B303" s="182" t="s">
        <v>140</v>
      </c>
      <c r="C303" s="182" t="s">
        <v>141</v>
      </c>
      <c r="D303" s="235" t="str">
        <f ca="1">IF([1]!s_info_industry_sw(B303,1)=0,"-",[1]!s_info_industry_sw(B303,1))</f>
        <v>钢铁</v>
      </c>
      <c r="E303" s="183" t="str">
        <f ca="1">[1]!cb_info_underlyingcode(B303)</f>
        <v>600231.SH</v>
      </c>
      <c r="F303" s="185">
        <f ca="1">RTD("wdf.rtq",,B303,"LastPrice","Dirty_Price")</f>
        <v>145.62</v>
      </c>
      <c r="G303" s="185">
        <f ca="1">RTD("wdf.rtq",,E303,"LastPrice")</f>
        <v>3.7</v>
      </c>
      <c r="H303" s="225">
        <f ca="1">RTD("wdf.rtq",,B303,"PctChg","RT_Price")/100</f>
        <v>1.3999999999999998E-3</v>
      </c>
      <c r="I303" s="225">
        <f ca="1">RTD("wdf.rtq",,E303,"PctChg")/100</f>
        <v>5.4000000000000003E-3</v>
      </c>
      <c r="J303" s="186">
        <f ca="1">_xlfn.IFNA([1]!b_anal_ptmyear(B303,$B$2),"未发行或发行失败")</f>
        <v>4.5945205479452058</v>
      </c>
      <c r="K303" s="186">
        <f ca="1">RTD("wdf.rtq",,B303,"Amount","Dirty_Price")/100000000</f>
        <v>0.85636420000000002</v>
      </c>
      <c r="L303" s="186">
        <f ca="1">[1]!cb_anal_convprice(B303,$B$2)</f>
        <v>2.69</v>
      </c>
      <c r="M303" s="186">
        <f t="shared" ca="1" si="16"/>
        <v>137.546468401487</v>
      </c>
      <c r="N303" s="187">
        <f t="shared" ca="1" si="17"/>
        <v>5.8696756756756656</v>
      </c>
      <c r="O303" s="187">
        <f t="array" aca="1" ref="O303" ca="1">_xlfn.IFNA(RTD("wdf.rtq",,B303,"LastPrice","Yield_To_Maturity"),[1]!cb_anal_ytm(B303,$C$2))</f>
        <v>-4.6703000000000001</v>
      </c>
      <c r="P303" s="187">
        <f ca="1">[1]!cb_anal_straightbondvalue(B303,$B$2)</f>
        <v>97.333399999999997</v>
      </c>
      <c r="Q303" s="187">
        <f t="shared" ca="1" si="18"/>
        <v>49.609486568844829</v>
      </c>
      <c r="R303" s="187" t="str">
        <f ca="1">[1]!b_rate_latestcredit(B303)</f>
        <v>AA</v>
      </c>
      <c r="S303" s="187">
        <f ca="1">[1]!cb_info_outstandingbalance(B303,$B$2)</f>
        <v>2.17123</v>
      </c>
      <c r="T303" s="187">
        <f ca="1">[1]!cb_info_issueamount(B303,100000000)</f>
        <v>4.4000000000000004</v>
      </c>
      <c r="U303" s="187">
        <f t="shared" ca="1" si="19"/>
        <v>49.346136363636354</v>
      </c>
      <c r="V303" s="240">
        <f ca="1">IF([1]!cb_anal_ldiluterate(B303,$B$2)=100,"-",[1]!cb_anal_ldiluterate(B303,$B$2))</f>
        <v>2.752216982939705</v>
      </c>
      <c r="W303" s="188" t="str">
        <f ca="1">[1]!cb_info_listeddate(B303)</f>
        <v>2020-05-13</v>
      </c>
      <c r="X303" s="188" t="str">
        <f ca="1">[1]!cb_info_carrydate(B303)</f>
        <v>2020-04-13</v>
      </c>
      <c r="Y303" s="186" t="str">
        <f ca="1">[1]!cb_clause_conversion_2_swapsharestartdate(B303)</f>
        <v>2020-10-19</v>
      </c>
      <c r="Z303" s="186" t="str">
        <f ca="1">[1]!cb_clause_putoption_conditionalputbackstartenddate(B303)</f>
        <v>2024-04-13</v>
      </c>
      <c r="AA303" s="240">
        <f ca="1">[1]!cb_info_maturitycallprice(B303)</f>
        <v>112</v>
      </c>
      <c r="AB303" s="240">
        <f ca="1">IF(ISNUMBER([1]!cb_info_conditionalputprice(B303)),[1]!cb_info_conditionalputprice(B303),"-")</f>
        <v>0</v>
      </c>
      <c r="AC303" s="240">
        <f ca="1">[1]!cb_info_interest(B303)</f>
        <v>0.4</v>
      </c>
      <c r="AD303" s="262" t="str">
        <f ca="1">IFERROR(couponlist([1]!cb_clause_interest(B303,"4")),"-")</f>
        <v>0.40%，0.70%，1.10%，1.60%，2.00%，2.20%</v>
      </c>
      <c r="AE303" s="189"/>
      <c r="AF303" s="189"/>
      <c r="AG303" s="189"/>
      <c r="AH303" s="189"/>
      <c r="AI303" s="189"/>
      <c r="AJ303" s="189"/>
      <c r="AK303" s="189"/>
      <c r="AL303" s="189"/>
      <c r="AM303" s="189"/>
      <c r="AN303" s="189"/>
      <c r="AO303" s="189"/>
      <c r="AP303" s="189"/>
      <c r="AQ303" s="189"/>
    </row>
    <row r="304" spans="1:43" s="130" customFormat="1" x14ac:dyDescent="0.35">
      <c r="A304" s="121" t="s">
        <v>5</v>
      </c>
      <c r="B304" s="121" t="s">
        <v>887</v>
      </c>
      <c r="C304" s="121" t="s">
        <v>888</v>
      </c>
      <c r="D304" s="236" t="str">
        <f ca="1">IF([1]!s_info_industry_sw(B304,1)=0,"-",[1]!s_info_industry_sw(B304,1))</f>
        <v>非银金融</v>
      </c>
      <c r="E304" s="122" t="str">
        <f ca="1">[1]!cb_info_underlyingcode(B304)</f>
        <v>002961.SZ</v>
      </c>
      <c r="F304" s="124">
        <f ca="1">RTD("wdf.rtq",,B304,"LastPrice","Dirty_Price")</f>
        <v>123.212</v>
      </c>
      <c r="G304" s="124">
        <f ca="1">RTD("wdf.rtq",,E304,"LastPrice")</f>
        <v>26.97</v>
      </c>
      <c r="H304" s="226">
        <f ca="1">RTD("wdf.rtq",,B304,"PctChg","RT_Price")/100</f>
        <v>3.2000000000000002E-3</v>
      </c>
      <c r="I304" s="226">
        <f ca="1">RTD("wdf.rtq",,E304,"PctChg")/100</f>
        <v>-1.43E-2</v>
      </c>
      <c r="J304" s="125">
        <f ca="1">_xlfn.IFNA([1]!b_anal_ptmyear(B304,$B$2),"未发行或发行失败")</f>
        <v>4.8054794520547945</v>
      </c>
      <c r="K304" s="125">
        <f ca="1">RTD("wdf.rtq",,B304,"Amount","Dirty_Price")/100000000</f>
        <v>0.18218783</v>
      </c>
      <c r="L304" s="125">
        <f ca="1">[1]!cb_anal_convprice(B304,$B$2)</f>
        <v>29.55</v>
      </c>
      <c r="M304" s="125">
        <f t="shared" ca="1" si="16"/>
        <v>91.26903553299492</v>
      </c>
      <c r="N304" s="126">
        <f t="shared" ca="1" si="17"/>
        <v>34.998687430478327</v>
      </c>
      <c r="O304" s="126">
        <f t="array" aca="1" ref="O304" ca="1">_xlfn.IFNA(RTD("wdf.rtq",,B304,"LastPrice","Yield_To_Maturity"),[1]!cb_anal_ytm(B304,$C$2))</f>
        <v>-1.4686000000000001</v>
      </c>
      <c r="P304" s="126">
        <f ca="1">[1]!cb_anal_straightbondvalue(B304,$B$2)</f>
        <v>94.197400000000002</v>
      </c>
      <c r="Q304" s="126">
        <f t="shared" ca="1" si="18"/>
        <v>30.801911730047749</v>
      </c>
      <c r="R304" s="126" t="str">
        <f ca="1">[1]!b_rate_latestcredit(B304)</f>
        <v>AA</v>
      </c>
      <c r="S304" s="126">
        <f ca="1">[1]!cb_info_outstandingbalance(B304,$B$2)</f>
        <v>6.4928910000000002</v>
      </c>
      <c r="T304" s="126">
        <f ca="1">[1]!cb_info_issueamount(B304,100000000)</f>
        <v>6.5</v>
      </c>
      <c r="U304" s="126">
        <f t="shared" ca="1" si="19"/>
        <v>99.890630769230768</v>
      </c>
      <c r="V304" s="230">
        <f ca="1">IF([1]!cb_anal_ldiluterate(B304,$B$2)=100,"-",[1]!cb_anal_ldiluterate(B304,$B$2))</f>
        <v>16.827968569507807</v>
      </c>
      <c r="W304" s="127" t="str">
        <f ca="1">[1]!cb_info_listeddate(B304)</f>
        <v>2020-07-24</v>
      </c>
      <c r="X304" s="127" t="str">
        <f ca="1">[1]!cb_info_carrydate(B304)</f>
        <v>2020-06-29</v>
      </c>
      <c r="Y304" s="125" t="str">
        <f ca="1">[1]!cb_clause_conversion_2_swapsharestartdate(B304)</f>
        <v>2021-01-04</v>
      </c>
      <c r="Z304" s="125" t="str">
        <f ca="1">[1]!cb_clause_putoption_conditionalputbackstartenddate(B304)</f>
        <v>2024-06-29</v>
      </c>
      <c r="AA304" s="230">
        <f ca="1">[1]!cb_info_maturitycallprice(B304)</f>
        <v>110</v>
      </c>
      <c r="AB304" s="230">
        <f ca="1">IF(ISNUMBER([1]!cb_info_conditionalputprice(B304)),[1]!cb_info_conditionalputprice(B304),"-")</f>
        <v>0</v>
      </c>
      <c r="AC304" s="230">
        <f ca="1">[1]!cb_info_interest(B304)</f>
        <v>0.4</v>
      </c>
      <c r="AD304" s="263" t="str">
        <f ca="1">IFERROR(couponlist([1]!cb_clause_interest(B304,"4")),"-")</f>
        <v>0.4%，0.5%，1.0%，1.5%，1.9%，2.0%</v>
      </c>
      <c r="AE304" s="129"/>
      <c r="AF304" s="129"/>
      <c r="AG304" s="129"/>
      <c r="AH304" s="129"/>
      <c r="AI304" s="129"/>
      <c r="AJ304" s="129"/>
      <c r="AK304" s="129"/>
      <c r="AL304" s="129"/>
      <c r="AM304" s="129"/>
      <c r="AN304" s="129"/>
      <c r="AO304" s="129"/>
      <c r="AP304" s="129"/>
      <c r="AQ304" s="129"/>
    </row>
    <row r="305" spans="1:43" s="191" customFormat="1" x14ac:dyDescent="0.35">
      <c r="A305" s="182" t="s">
        <v>0</v>
      </c>
      <c r="B305" s="182" t="s">
        <v>68</v>
      </c>
      <c r="C305" s="182" t="s">
        <v>69</v>
      </c>
      <c r="D305" s="235" t="str">
        <f ca="1">IF([1]!s_info_industry_sw(B305,1)=0,"-",[1]!s_info_industry_sw(B305,1))</f>
        <v>非银金融</v>
      </c>
      <c r="E305" s="183" t="str">
        <f ca="1">[1]!cb_info_underlyingcode(B305)</f>
        <v>600061.SH</v>
      </c>
      <c r="F305" s="185">
        <f ca="1">RTD("wdf.rtq",,B305,"LastPrice","Dirty_Price")</f>
        <v>122.07000000000001</v>
      </c>
      <c r="G305" s="185">
        <f ca="1">RTD("wdf.rtq",,E305,"LastPrice")</f>
        <v>9.7100000000000009</v>
      </c>
      <c r="H305" s="225">
        <f ca="1">RTD("wdf.rtq",,B305,"PctChg","RT_Price")/100</f>
        <v>9.7000000000000003E-3</v>
      </c>
      <c r="I305" s="225">
        <f ca="1">RTD("wdf.rtq",,E305,"PctChg")/100</f>
        <v>-6.0999999999999995E-3</v>
      </c>
      <c r="J305" s="186">
        <f ca="1">_xlfn.IFNA([1]!b_anal_ptmyear(B305,$B$2),"未发行或发行失败")</f>
        <v>4.8739726027397259</v>
      </c>
      <c r="K305" s="186">
        <f ca="1">RTD("wdf.rtq",,B305,"Amount","Dirty_Price")/100000000</f>
        <v>1.37296722</v>
      </c>
      <c r="L305" s="186">
        <f ca="1">[1]!cb_anal_convprice(B305,$B$2)</f>
        <v>9.9</v>
      </c>
      <c r="M305" s="186">
        <f t="shared" ca="1" si="16"/>
        <v>98.080808080808083</v>
      </c>
      <c r="N305" s="187">
        <f t="shared" ca="1" si="17"/>
        <v>24.458599382080322</v>
      </c>
      <c r="O305" s="187">
        <f t="array" aca="1" ref="O305" ca="1">_xlfn.IFNA(RTD("wdf.rtq",,B305,"LastPrice","Yield_To_Maturity"),[1]!cb_anal_ytm(B305,$C$2))</f>
        <v>-2.0830000000000002</v>
      </c>
      <c r="P305" s="187">
        <f ca="1">[1]!cb_anal_straightbondvalue(B305,$B$2)</f>
        <v>93.843699999999998</v>
      </c>
      <c r="Q305" s="187">
        <f t="shared" ca="1" si="18"/>
        <v>30.077991383545196</v>
      </c>
      <c r="R305" s="187" t="str">
        <f ca="1">[1]!b_rate_latestcredit(B305)</f>
        <v>AAA</v>
      </c>
      <c r="S305" s="187">
        <f ca="1">[1]!cb_info_outstandingbalance(B305,$B$2)</f>
        <v>79.993970000000004</v>
      </c>
      <c r="T305" s="187">
        <f ca="1">[1]!cb_info_issueamount(B305,100000000)</f>
        <v>80</v>
      </c>
      <c r="U305" s="187">
        <f t="shared" ca="1" si="19"/>
        <v>99.992462500000016</v>
      </c>
      <c r="V305" s="240">
        <f ca="1">IF([1]!cb_anal_ldiluterate(B305,$B$2)=100,"-",[1]!cb_anal_ldiluterate(B305,$B$2))</f>
        <v>11.171062406807323</v>
      </c>
      <c r="W305" s="188" t="str">
        <f ca="1">[1]!cb_info_listeddate(B305)</f>
        <v>2020-08-20</v>
      </c>
      <c r="X305" s="188" t="str">
        <f ca="1">[1]!cb_info_carrydate(B305)</f>
        <v>2020-07-24</v>
      </c>
      <c r="Y305" s="186" t="str">
        <f ca="1">[1]!cb_clause_conversion_2_swapsharestartdate(B305)</f>
        <v>2021-02-01</v>
      </c>
      <c r="Z305" s="186">
        <f ca="1">[1]!cb_clause_putoption_conditionalputbackstartenddate(B305)</f>
        <v>0</v>
      </c>
      <c r="AA305" s="240">
        <f ca="1">[1]!cb_info_maturitycallprice(B305)</f>
        <v>107</v>
      </c>
      <c r="AB305" s="240">
        <f ca="1">IF(ISNUMBER([1]!cb_info_conditionalputprice(B305)),[1]!cb_info_conditionalputprice(B305),"-")</f>
        <v>0</v>
      </c>
      <c r="AC305" s="240">
        <f ca="1">[1]!cb_info_interest(B305)</f>
        <v>0.2</v>
      </c>
      <c r="AD305" s="262" t="str">
        <f ca="1">IFERROR(couponlist([1]!cb_clause_interest(B305,"4")),"-")</f>
        <v>0.2%，0.4%，0.6%，0.8%，1.5%，2.0%</v>
      </c>
      <c r="AE305" s="189"/>
      <c r="AF305" s="189"/>
      <c r="AG305" s="189"/>
      <c r="AH305" s="189"/>
      <c r="AI305" s="189"/>
      <c r="AJ305" s="189"/>
      <c r="AK305" s="189"/>
      <c r="AL305" s="189"/>
      <c r="AM305" s="189"/>
      <c r="AN305" s="189"/>
      <c r="AO305" s="189"/>
      <c r="AP305" s="189"/>
      <c r="AQ305" s="189"/>
    </row>
    <row r="306" spans="1:43" s="130" customFormat="1" x14ac:dyDescent="0.35">
      <c r="A306" s="121" t="s">
        <v>0</v>
      </c>
      <c r="B306" s="121" t="s">
        <v>862</v>
      </c>
      <c r="C306" s="121" t="s">
        <v>863</v>
      </c>
      <c r="D306" s="236" t="str">
        <f ca="1">IF([1]!s_info_industry_sw(B306,1)=0,"-",[1]!s_info_industry_sw(B306,1))</f>
        <v>非银金融</v>
      </c>
      <c r="E306" s="122" t="str">
        <f ca="1">[1]!cb_info_underlyingcode(B306)</f>
        <v>600909.SH</v>
      </c>
      <c r="F306" s="124">
        <f ca="1">RTD("wdf.rtq",,B306,"LastPrice","Dirty_Price")</f>
        <v>118.10000000000001</v>
      </c>
      <c r="G306" s="124">
        <f ca="1">RTD("wdf.rtq",,E306,"LastPrice")</f>
        <v>5.83</v>
      </c>
      <c r="H306" s="226">
        <f ca="1">RTD("wdf.rtq",,B306,"PctChg","RT_Price")/100</f>
        <v>1.06E-2</v>
      </c>
      <c r="I306" s="226">
        <f ca="1">RTD("wdf.rtq",,E306,"PctChg")/100</f>
        <v>1.5700000000000002E-2</v>
      </c>
      <c r="J306" s="125">
        <f ca="1">_xlfn.IFNA([1]!b_anal_ptmyear(B306,$B$2),"未发行或发行失败")</f>
        <v>4.506849315068493</v>
      </c>
      <c r="K306" s="125">
        <f ca="1">RTD("wdf.rtq",,B306,"Amount","Dirty_Price")/100000000</f>
        <v>0.64675258000000002</v>
      </c>
      <c r="L306" s="125">
        <f ca="1">[1]!cb_anal_convprice(B306,$B$2)</f>
        <v>6.22</v>
      </c>
      <c r="M306" s="125">
        <f t="shared" ca="1" si="16"/>
        <v>93.729903536977503</v>
      </c>
      <c r="N306" s="126">
        <f t="shared" ca="1" si="17"/>
        <v>26.000343053173225</v>
      </c>
      <c r="O306" s="126">
        <f t="array" aca="1" ref="O306" ca="1">_xlfn.IFNA(RTD("wdf.rtq",,B306,"LastPrice","Yield_To_Maturity"),[1]!cb_anal_ytm(B306,$C$2))</f>
        <v>-1.5241</v>
      </c>
      <c r="P306" s="126">
        <f ca="1">[1]!cb_anal_straightbondvalue(B306,$B$2)</f>
        <v>95.2654</v>
      </c>
      <c r="Q306" s="126">
        <f t="shared" ca="1" si="18"/>
        <v>23.9694579564039</v>
      </c>
      <c r="R306" s="126" t="str">
        <f ca="1">[1]!b_rate_latestcredit(B306)</f>
        <v>AAA</v>
      </c>
      <c r="S306" s="126">
        <f ca="1">[1]!cb_info_outstandingbalance(B306,$B$2)</f>
        <v>27.9953</v>
      </c>
      <c r="T306" s="126">
        <f ca="1">[1]!cb_info_issueamount(B306,100000000)</f>
        <v>28</v>
      </c>
      <c r="U306" s="126">
        <f t="shared" ca="1" si="19"/>
        <v>99.983214285714297</v>
      </c>
      <c r="V306" s="230">
        <f ca="1">IF([1]!cb_anal_ldiluterate(B306,$B$2)=100,"-",[1]!cb_anal_ldiluterate(B306,$B$2))</f>
        <v>8.7434097190027398</v>
      </c>
      <c r="W306" s="127" t="str">
        <f ca="1">[1]!cb_info_listeddate(B306)</f>
        <v>2020-04-09</v>
      </c>
      <c r="X306" s="127" t="str">
        <f ca="1">[1]!cb_info_carrydate(B306)</f>
        <v>2020-03-12</v>
      </c>
      <c r="Y306" s="125" t="str">
        <f ca="1">[1]!cb_clause_conversion_2_swapsharestartdate(B306)</f>
        <v>2020-09-18</v>
      </c>
      <c r="Z306" s="125">
        <f ca="1">[1]!cb_clause_putoption_conditionalputbackstartenddate(B306)</f>
        <v>0</v>
      </c>
      <c r="AA306" s="230">
        <f ca="1">[1]!cb_info_maturitycallprice(B306)</f>
        <v>107</v>
      </c>
      <c r="AB306" s="230">
        <f ca="1">IF(ISNUMBER([1]!cb_info_conditionalputprice(B306)),[1]!cb_info_conditionalputprice(B306),"-")</f>
        <v>0</v>
      </c>
      <c r="AC306" s="230">
        <f ca="1">[1]!cb_info_interest(B306)</f>
        <v>0.2</v>
      </c>
      <c r="AD306" s="263" t="str">
        <f ca="1">IFERROR(couponlist([1]!cb_clause_interest(B306,"4")),"-")</f>
        <v>0.20%，0.40%，0.60%，0.80%，1.50%，2.00%</v>
      </c>
      <c r="AE306" s="129"/>
      <c r="AF306" s="129"/>
      <c r="AG306" s="129"/>
      <c r="AH306" s="129"/>
      <c r="AI306" s="129"/>
      <c r="AJ306" s="129"/>
      <c r="AK306" s="129"/>
      <c r="AL306" s="129"/>
      <c r="AM306" s="129"/>
      <c r="AN306" s="129"/>
      <c r="AO306" s="129"/>
      <c r="AP306" s="129"/>
      <c r="AQ306" s="129"/>
    </row>
    <row r="307" spans="1:43" s="191" customFormat="1" x14ac:dyDescent="0.35">
      <c r="A307" s="182" t="s">
        <v>0</v>
      </c>
      <c r="B307" s="182" t="s">
        <v>874</v>
      </c>
      <c r="C307" s="182" t="s">
        <v>875</v>
      </c>
      <c r="D307" s="235" t="str">
        <f ca="1">IF([1]!s_info_industry_sw(B307,1)=0,"-",[1]!s_info_industry_sw(B307,1))</f>
        <v>非银金融</v>
      </c>
      <c r="E307" s="183" t="str">
        <f ca="1">[1]!cb_info_underlyingcode(B307)</f>
        <v>601108.SH</v>
      </c>
      <c r="F307" s="185">
        <f ca="1">RTD("wdf.rtq",,B307,"LastPrice","Dirty_Price")</f>
        <v>119.14</v>
      </c>
      <c r="G307" s="185">
        <f ca="1">RTD("wdf.rtq",,E307,"LastPrice")</f>
        <v>11.65</v>
      </c>
      <c r="H307" s="225">
        <f ca="1">RTD("wdf.rtq",,B307,"PctChg","RT_Price")/100</f>
        <v>-2.7000000000000001E-3</v>
      </c>
      <c r="I307" s="225">
        <f ca="1">RTD("wdf.rtq",,E307,"PctChg")/100</f>
        <v>-6.0000000000000001E-3</v>
      </c>
      <c r="J307" s="186">
        <f ca="1">_xlfn.IFNA([1]!b_anal_ptmyear(B307,$B$2),"未发行或发行失败")</f>
        <v>5.2547945205479456</v>
      </c>
      <c r="K307" s="186">
        <f ca="1">RTD("wdf.rtq",,B307,"Amount","Dirty_Price")/100000000</f>
        <v>0.68711354000000002</v>
      </c>
      <c r="L307" s="186">
        <f ca="1">[1]!cb_anal_convprice(B307,$B$2)</f>
        <v>13.13</v>
      </c>
      <c r="M307" s="186">
        <f t="shared" ca="1" si="16"/>
        <v>88.728103579588719</v>
      </c>
      <c r="N307" s="187">
        <f t="shared" ca="1" si="17"/>
        <v>34.275381974248944</v>
      </c>
      <c r="O307" s="187">
        <f t="array" aca="1" ref="O307" ca="1">_xlfn.IFNA(RTD("wdf.rtq",,B307,"LastPrice","Yield_To_Maturity"),[1]!cb_anal_ytm(B307,$C$2))</f>
        <v>-1.4945000000000002</v>
      </c>
      <c r="P307" s="187">
        <f ca="1">[1]!cb_anal_straightbondvalue(B307,$B$2)</f>
        <v>92.3459</v>
      </c>
      <c r="Q307" s="187">
        <f t="shared" ca="1" si="18"/>
        <v>29.014931902769916</v>
      </c>
      <c r="R307" s="187" t="str">
        <f ca="1">[1]!b_rate_latestcredit(B307)</f>
        <v>AAA</v>
      </c>
      <c r="S307" s="187">
        <f ca="1">[1]!cb_info_outstandingbalance(B307,$B$2)</f>
        <v>37.998330000000003</v>
      </c>
      <c r="T307" s="187">
        <f ca="1">[1]!cb_info_issueamount(B307,100000000)</f>
        <v>38</v>
      </c>
      <c r="U307" s="187">
        <f t="shared" ca="1" si="19"/>
        <v>99.995605263157898</v>
      </c>
      <c r="V307" s="240">
        <f ca="1">IF([1]!cb_anal_ldiluterate(B307,$B$2)=100,"-",[1]!cb_anal_ldiluterate(B307,$B$2))</f>
        <v>7.4619179526024677</v>
      </c>
      <c r="W307" s="188" t="str">
        <f ca="1">[1]!cb_info_listeddate(B307)</f>
        <v>2020-12-28</v>
      </c>
      <c r="X307" s="188" t="str">
        <f ca="1">[1]!cb_info_carrydate(B307)</f>
        <v>2020-12-10</v>
      </c>
      <c r="Y307" s="186" t="str">
        <f ca="1">[1]!cb_clause_conversion_2_swapsharestartdate(B307)</f>
        <v>2021-06-16</v>
      </c>
      <c r="Z307" s="186">
        <f ca="1">[1]!cb_clause_putoption_conditionalputbackstartenddate(B307)</f>
        <v>0</v>
      </c>
      <c r="AA307" s="240">
        <f ca="1">[1]!cb_info_maturitycallprice(B307)</f>
        <v>106</v>
      </c>
      <c r="AB307" s="240">
        <f ca="1">IF(ISNUMBER([1]!cb_info_conditionalputprice(B307)),[1]!cb_info_conditionalputprice(B307),"-")</f>
        <v>0</v>
      </c>
      <c r="AC307" s="240">
        <f ca="1">[1]!cb_info_interest(B307)</f>
        <v>0.2</v>
      </c>
      <c r="AD307" s="262" t="str">
        <f ca="1">IFERROR(couponlist([1]!cb_clause_interest(B307,"4")),"-")</f>
        <v>0.20%，0.40%，0.60%，1.00%，2.00%，2.50%</v>
      </c>
      <c r="AE307" s="189"/>
      <c r="AF307" s="189"/>
      <c r="AG307" s="189"/>
      <c r="AH307" s="189"/>
      <c r="AI307" s="189"/>
      <c r="AJ307" s="189"/>
      <c r="AK307" s="189"/>
      <c r="AL307" s="189"/>
      <c r="AM307" s="189"/>
      <c r="AN307" s="189"/>
      <c r="AO307" s="189"/>
      <c r="AP307" s="189"/>
      <c r="AQ307" s="189"/>
    </row>
    <row r="308" spans="1:43" s="130" customFormat="1" x14ac:dyDescent="0.35">
      <c r="A308" s="121" t="s">
        <v>0</v>
      </c>
      <c r="B308" s="121" t="s">
        <v>866</v>
      </c>
      <c r="C308" s="121" t="s">
        <v>867</v>
      </c>
      <c r="D308" s="236" t="str">
        <f ca="1">IF([1]!s_info_industry_sw(B308,1)=0,"-",[1]!s_info_industry_sw(B308,1))</f>
        <v>非银金融</v>
      </c>
      <c r="E308" s="122" t="str">
        <f ca="1">[1]!cb_info_underlyingcode(B308)</f>
        <v>601211.SH</v>
      </c>
      <c r="F308" s="124">
        <f ca="1">RTD("wdf.rtq",,B308,"LastPrice","Dirty_Price")</f>
        <v>125.63000000000001</v>
      </c>
      <c r="G308" s="124">
        <f ca="1">RTD("wdf.rtq",,E308,"LastPrice")</f>
        <v>18.7</v>
      </c>
      <c r="H308" s="226">
        <f ca="1">RTD("wdf.rtq",,B308,"PctChg","RT_Price")/100</f>
        <v>-2.9000000000000002E-3</v>
      </c>
      <c r="I308" s="226">
        <f ca="1">RTD("wdf.rtq",,E308,"PctChg")/100</f>
        <v>-3.2000000000000002E-3</v>
      </c>
      <c r="J308" s="125">
        <f ca="1">_xlfn.IFNA([1]!b_anal_ptmyear(B308,$B$2),"未发行或发行失败")</f>
        <v>1.8273972602739725</v>
      </c>
      <c r="K308" s="125">
        <f ca="1">RTD("wdf.rtq",,B308,"Amount","Dirty_Price")/100000000</f>
        <v>1.62122933</v>
      </c>
      <c r="L308" s="125">
        <f ca="1">[1]!cb_anal_convprice(B308,$B$2)</f>
        <v>18.45</v>
      </c>
      <c r="M308" s="125">
        <f t="shared" ca="1" si="16"/>
        <v>101.35501355013551</v>
      </c>
      <c r="N308" s="126">
        <f t="shared" ca="1" si="17"/>
        <v>23.950454545454548</v>
      </c>
      <c r="O308" s="126">
        <f t="array" aca="1" ref="O308" ca="1">_xlfn.IFNA(RTD("wdf.rtq",,B308,"LastPrice","Yield_To_Maturity"),[1]!cb_anal_ytm(B308,$C$2))</f>
        <v>-8.5751000000000008</v>
      </c>
      <c r="P308" s="126">
        <f ca="1">[1]!cb_anal_straightbondvalue(B308,$B$2)</f>
        <v>101.52290000000001</v>
      </c>
      <c r="Q308" s="126">
        <f t="shared" ca="1" si="18"/>
        <v>23.745480083803756</v>
      </c>
      <c r="R308" s="126" t="str">
        <f ca="1">[1]!b_rate_latestcredit(B308)</f>
        <v>AAA</v>
      </c>
      <c r="S308" s="126">
        <f ca="1">[1]!cb_info_outstandingbalance(B308,$B$2)</f>
        <v>69.901809999999998</v>
      </c>
      <c r="T308" s="126">
        <f ca="1">[1]!cb_info_issueamount(B308,100000000)</f>
        <v>70</v>
      </c>
      <c r="U308" s="126">
        <f t="shared" ca="1" si="19"/>
        <v>99.859728571428562</v>
      </c>
      <c r="V308" s="230">
        <f ca="1">IF([1]!cb_anal_ldiluterate(B308,$B$2)=100,"-",[1]!cb_anal_ldiluterate(B308,$B$2))</f>
        <v>4.8470890773493602</v>
      </c>
      <c r="W308" s="127" t="str">
        <f ca="1">[1]!cb_info_listeddate(B308)</f>
        <v>2017-07-24</v>
      </c>
      <c r="X308" s="127" t="str">
        <f ca="1">[1]!cb_info_carrydate(B308)</f>
        <v>2017-07-07</v>
      </c>
      <c r="Y308" s="125" t="str">
        <f ca="1">[1]!cb_clause_conversion_2_swapsharestartdate(B308)</f>
        <v>2018-01-08</v>
      </c>
      <c r="Z308" s="125">
        <f ca="1">[1]!cb_clause_putoption_conditionalputbackstartenddate(B308)</f>
        <v>0</v>
      </c>
      <c r="AA308" s="230">
        <f ca="1">[1]!cb_info_maturitycallprice(B308)</f>
        <v>105</v>
      </c>
      <c r="AB308" s="230">
        <f ca="1">IF(ISNUMBER([1]!cb_info_conditionalputprice(B308)),[1]!cb_info_conditionalputprice(B308),"-")</f>
        <v>0</v>
      </c>
      <c r="AC308" s="230">
        <f ca="1">[1]!cb_info_interest(B308)</f>
        <v>0.2</v>
      </c>
      <c r="AD308" s="263" t="str">
        <f ca="1">IFERROR(couponlist([1]!cb_clause_interest(B308,"4")),"-")</f>
        <v>0.2%，0.5%，1.0%，1.5%，1.8%，2.0%</v>
      </c>
      <c r="AE308" s="129"/>
      <c r="AF308" s="129"/>
      <c r="AG308" s="129"/>
      <c r="AH308" s="129"/>
      <c r="AI308" s="129"/>
      <c r="AJ308" s="129"/>
      <c r="AK308" s="129"/>
      <c r="AL308" s="129"/>
      <c r="AM308" s="129"/>
      <c r="AN308" s="129"/>
      <c r="AO308" s="129"/>
      <c r="AP308" s="129"/>
      <c r="AQ308" s="129"/>
    </row>
    <row r="309" spans="1:43" s="191" customFormat="1" x14ac:dyDescent="0.35">
      <c r="A309" s="182" t="s">
        <v>5</v>
      </c>
      <c r="B309" s="182" t="s">
        <v>881</v>
      </c>
      <c r="C309" s="182" t="s">
        <v>882</v>
      </c>
      <c r="D309" s="235" t="str">
        <f ca="1">IF([1]!s_info_industry_sw(B309,1)=0,"-",[1]!s_info_industry_sw(B309,1))</f>
        <v>非银金融</v>
      </c>
      <c r="E309" s="183" t="str">
        <f ca="1">[1]!cb_info_underlyingcode(B309)</f>
        <v>000783.SZ</v>
      </c>
      <c r="F309" s="185">
        <f ca="1">RTD("wdf.rtq",,B309,"LastPrice","Dirty_Price")</f>
        <v>130.71800000000002</v>
      </c>
      <c r="G309" s="185">
        <f ca="1">RTD("wdf.rtq",,E309,"LastPrice")</f>
        <v>8.08</v>
      </c>
      <c r="H309" s="225">
        <f ca="1">RTD("wdf.rtq",,B309,"PctChg","RT_Price")/100</f>
        <v>3.2000000000000002E-3</v>
      </c>
      <c r="I309" s="225">
        <f ca="1">RTD("wdf.rtq",,E309,"PctChg")/100</f>
        <v>1.2000000000000001E-3</v>
      </c>
      <c r="J309" s="186">
        <f ca="1">_xlfn.IFNA([1]!b_anal_ptmyear(B309,$B$2),"未发行或发行失败")</f>
        <v>2.506849315068493</v>
      </c>
      <c r="K309" s="186">
        <f ca="1">RTD("wdf.rtq",,B309,"Amount","Dirty_Price")/100000000</f>
        <v>1.31453105</v>
      </c>
      <c r="L309" s="186">
        <f ca="1">[1]!cb_anal_convprice(B309,$B$2)</f>
        <v>7.13</v>
      </c>
      <c r="M309" s="186">
        <f t="shared" ca="1" si="16"/>
        <v>113.32398316970547</v>
      </c>
      <c r="N309" s="187">
        <f t="shared" ca="1" si="17"/>
        <v>15.348928217821793</v>
      </c>
      <c r="O309" s="187">
        <f t="array" aca="1" ref="O309" ca="1">_xlfn.IFNA(RTD("wdf.rtq",,B309,"LastPrice","Yield_To_Maturity"),[1]!cb_anal_ytm(B309,$C$2))</f>
        <v>-7.3481000000000005</v>
      </c>
      <c r="P309" s="187">
        <f ca="1">[1]!cb_anal_straightbondvalue(B309,$B$2)</f>
        <v>100.7223</v>
      </c>
      <c r="Q309" s="187">
        <f t="shared" ca="1" si="18"/>
        <v>29.780594764019497</v>
      </c>
      <c r="R309" s="187" t="str">
        <f ca="1">[1]!b_rate_latestcredit(B309)</f>
        <v>AAA</v>
      </c>
      <c r="S309" s="187">
        <f ca="1">[1]!cb_info_outstandingbalance(B309,$B$2)</f>
        <v>49.965007</v>
      </c>
      <c r="T309" s="187">
        <f ca="1">[1]!cb_info_issueamount(B309,100000000)</f>
        <v>50</v>
      </c>
      <c r="U309" s="187">
        <f t="shared" ca="1" si="19"/>
        <v>99.930013999999986</v>
      </c>
      <c r="V309" s="240">
        <f ca="1">IF([1]!cb_anal_ldiluterate(B309,$B$2)=100,"-",[1]!cb_anal_ldiluterate(B309,$B$2))</f>
        <v>11.247107199112579</v>
      </c>
      <c r="W309" s="188" t="str">
        <f ca="1">[1]!cb_info_listeddate(B309)</f>
        <v>2018-04-11</v>
      </c>
      <c r="X309" s="188" t="str">
        <f ca="1">[1]!cb_info_carrydate(B309)</f>
        <v>2018-03-12</v>
      </c>
      <c r="Y309" s="186" t="str">
        <f ca="1">[1]!cb_clause_conversion_2_swapsharestartdate(B309)</f>
        <v>2018-09-17</v>
      </c>
      <c r="Z309" s="186">
        <f ca="1">[1]!cb_clause_putoption_conditionalputbackstartenddate(B309)</f>
        <v>0</v>
      </c>
      <c r="AA309" s="240">
        <f ca="1">[1]!cb_info_maturitycallprice(B309)</f>
        <v>105</v>
      </c>
      <c r="AB309" s="240">
        <f ca="1">IF(ISNUMBER([1]!cb_info_conditionalputprice(B309)),[1]!cb_info_conditionalputprice(B309),"-")</f>
        <v>0</v>
      </c>
      <c r="AC309" s="240">
        <f ca="1">[1]!cb_info_interest(B309)</f>
        <v>0.2</v>
      </c>
      <c r="AD309" s="262" t="str">
        <f ca="1">IFERROR(couponlist([1]!cb_clause_interest(B309,"4")),"-")</f>
        <v>0.2%，0.4%，1.0%，1.5%，1.8%，2.0%</v>
      </c>
      <c r="AE309" s="189"/>
      <c r="AF309" s="189"/>
      <c r="AG309" s="189"/>
      <c r="AH309" s="189"/>
      <c r="AI309" s="189"/>
      <c r="AJ309" s="189"/>
      <c r="AK309" s="189"/>
      <c r="AL309" s="189"/>
      <c r="AM309" s="189"/>
      <c r="AN309" s="189"/>
      <c r="AO309" s="189"/>
      <c r="AP309" s="189"/>
      <c r="AQ309" s="189"/>
    </row>
    <row r="310" spans="1:43" s="130" customFormat="1" x14ac:dyDescent="0.35">
      <c r="A310" s="121" t="s">
        <v>5</v>
      </c>
      <c r="B310" s="121" t="s">
        <v>1717</v>
      </c>
      <c r="C310" s="121" t="s">
        <v>1718</v>
      </c>
      <c r="D310" s="236" t="str">
        <f ca="1">IF([1]!s_info_industry_sw(B310,1)=0,"-",[1]!s_info_industry_sw(B310,1))</f>
        <v>非银金融</v>
      </c>
      <c r="E310" s="122" t="str">
        <f ca="1">[1]!cb_info_underlyingcode(B310)</f>
        <v>300059.SZ</v>
      </c>
      <c r="F310" s="124">
        <f ca="1">RTD("wdf.rtq",,B310,"LastPrice","Dirty_Price")</f>
        <v>169.001</v>
      </c>
      <c r="G310" s="124">
        <f ca="1">RTD("wdf.rtq",,E310,"LastPrice")</f>
        <v>35.75</v>
      </c>
      <c r="H310" s="226">
        <f ca="1">RTD("wdf.rtq",,B310,"PctChg","RT_Price")/100</f>
        <v>2.64E-2</v>
      </c>
      <c r="I310" s="226">
        <f ca="1">RTD("wdf.rtq",,E310,"PctChg")/100</f>
        <v>4.53E-2</v>
      </c>
      <c r="J310" s="125">
        <f ca="1">_xlfn.IFNA([1]!b_anal_ptmyear(B310,$B$2),"未发行或发行失败")</f>
        <v>5.5780821917808217</v>
      </c>
      <c r="K310" s="125">
        <f ca="1">RTD("wdf.rtq",,B310,"Amount","Dirty_Price")/100000000</f>
        <v>11.02077613</v>
      </c>
      <c r="L310" s="125">
        <f ca="1">[1]!cb_anal_convprice(B310,$B$2)</f>
        <v>23.35</v>
      </c>
      <c r="M310" s="125">
        <f t="shared" ca="1" si="16"/>
        <v>153.10492505353318</v>
      </c>
      <c r="N310" s="126">
        <f t="shared" ca="1" si="17"/>
        <v>10.382471328671357</v>
      </c>
      <c r="O310" s="126">
        <f t="array" aca="1" ref="O310" ca="1">_xlfn.IFNA(RTD("wdf.rtq",,B310,"LastPrice","Yield_To_Maturity"),[1]!cb_anal_ytm(B310,$C$2))</f>
        <v>-7.4055</v>
      </c>
      <c r="P310" s="126">
        <f ca="1">[1]!cb_anal_straightbondvalue(B310,$B$2)</f>
        <v>90.211699999999993</v>
      </c>
      <c r="Q310" s="126">
        <f t="shared" ca="1" si="18"/>
        <v>87.338227746511848</v>
      </c>
      <c r="R310" s="126" t="str">
        <f ca="1">[1]!b_rate_latestcredit(B310)</f>
        <v>AA+</v>
      </c>
      <c r="S310" s="126">
        <f ca="1">[1]!cb_info_outstandingbalance(B310,$B$2)</f>
        <v>158</v>
      </c>
      <c r="T310" s="126">
        <f ca="1">[1]!cb_info_issueamount(B310,100000000)</f>
        <v>158</v>
      </c>
      <c r="U310" s="126">
        <f t="shared" ca="1" si="19"/>
        <v>100</v>
      </c>
      <c r="V310" s="230">
        <f ca="1">IF([1]!cb_anal_ldiluterate(B310,$B$2)=100,"-",[1]!cb_anal_ldiluterate(B310,$B$2))</f>
        <v>7.346832751955092</v>
      </c>
      <c r="W310" s="127" t="str">
        <f ca="1">[1]!cb_info_listeddate(B310)</f>
        <v>2021-04-23</v>
      </c>
      <c r="X310" s="127" t="str">
        <f ca="1">[1]!cb_info_carrydate(B310)</f>
        <v>2021-04-07</v>
      </c>
      <c r="Y310" s="125" t="str">
        <f ca="1">[1]!cb_clause_conversion_2_swapsharestartdate(B310)</f>
        <v>2021-10-13</v>
      </c>
      <c r="Z310" s="125" t="str">
        <f ca="1">[1]!cb_clause_putoption_conditionalputbackstartenddate(B310)</f>
        <v>2025-04-07</v>
      </c>
      <c r="AA310" s="230">
        <f ca="1">[1]!cb_info_maturitycallprice(B310)</f>
        <v>107</v>
      </c>
      <c r="AB310" s="230">
        <f ca="1">IF(ISNUMBER([1]!cb_info_conditionalputprice(B310)),[1]!cb_info_conditionalputprice(B310),"-")</f>
        <v>0</v>
      </c>
      <c r="AC310" s="230">
        <f ca="1">[1]!cb_info_interest(B310)</f>
        <v>0.2</v>
      </c>
      <c r="AD310" s="263" t="str">
        <f ca="1">IFERROR(couponlist([1]!cb_clause_interest(B310,"4")),"-")</f>
        <v>0.2%，0.3%，0.4%，0.8%，1.8%，2.0%</v>
      </c>
      <c r="AE310" s="129"/>
      <c r="AF310" s="129"/>
      <c r="AG310" s="129"/>
      <c r="AH310" s="129"/>
      <c r="AI310" s="129"/>
      <c r="AJ310" s="129"/>
      <c r="AK310" s="129"/>
      <c r="AL310" s="129"/>
      <c r="AM310" s="129"/>
      <c r="AN310" s="129"/>
      <c r="AO310" s="129"/>
      <c r="AP310" s="129"/>
      <c r="AQ310" s="129"/>
    </row>
    <row r="311" spans="1:43" s="191" customFormat="1" x14ac:dyDescent="0.35">
      <c r="A311" s="182" t="s">
        <v>0</v>
      </c>
      <c r="B311" s="182" t="s">
        <v>3</v>
      </c>
      <c r="C311" s="182" t="s">
        <v>4</v>
      </c>
      <c r="D311" s="235" t="str">
        <f ca="1">IF([1]!s_info_industry_sw(B311,1)=0,"-",[1]!s_info_industry_sw(B311,1))</f>
        <v>纺织服装</v>
      </c>
      <c r="E311" s="183" t="str">
        <f ca="1">[1]!cb_info_underlyingcode(B311)</f>
        <v>603665.SH</v>
      </c>
      <c r="F311" s="185">
        <f ca="1">RTD("wdf.rtq",,B311,"LastPrice","Dirty_Price")</f>
        <v>228.58</v>
      </c>
      <c r="G311" s="185">
        <f ca="1">RTD("wdf.rtq",,E311,"LastPrice")</f>
        <v>11.85</v>
      </c>
      <c r="H311" s="225">
        <f ca="1">RTD("wdf.rtq",,B311,"PctChg","RT_Price")/100</f>
        <v>4.3E-3</v>
      </c>
      <c r="I311" s="225">
        <f ca="1">RTD("wdf.rtq",,E311,"PctChg")/100</f>
        <v>4.2000000000000006E-3</v>
      </c>
      <c r="J311" s="186">
        <f ca="1">_xlfn.IFNA([1]!b_anal_ptmyear(B311,$B$2),"未发行或发行失败")</f>
        <v>4.6219178082191785</v>
      </c>
      <c r="K311" s="186">
        <f ca="1">RTD("wdf.rtq",,B311,"Amount","Dirty_Price")/100000000</f>
        <v>1.1260978699999999</v>
      </c>
      <c r="L311" s="186">
        <f ca="1">[1]!cb_anal_convprice(B311,$B$2)</f>
        <v>15.51</v>
      </c>
      <c r="M311" s="186">
        <f t="shared" ca="1" si="16"/>
        <v>76.402321083172154</v>
      </c>
      <c r="N311" s="187">
        <f t="shared" ca="1" si="17"/>
        <v>199.17939240506325</v>
      </c>
      <c r="O311" s="187">
        <f t="array" aca="1" ref="O311" ca="1">_xlfn.IFNA(RTD("wdf.rtq",,B311,"LastPrice","Yield_To_Maturity"),[1]!cb_anal_ytm(B311,$C$2))</f>
        <v>-13.105400000000001</v>
      </c>
      <c r="P311" s="187">
        <f ca="1">[1]!cb_anal_straightbondvalue(B311,$B$2)</f>
        <v>90.564300000000003</v>
      </c>
      <c r="Q311" s="187">
        <f t="shared" ca="1" si="18"/>
        <v>152.39525950070833</v>
      </c>
      <c r="R311" s="187" t="str">
        <f ca="1">[1]!b_rate_latestcredit(B311)</f>
        <v>AA-</v>
      </c>
      <c r="S311" s="187">
        <f ca="1">[1]!cb_info_outstandingbalance(B311,$B$2)</f>
        <v>0.41120000000000001</v>
      </c>
      <c r="T311" s="187">
        <f ca="1">[1]!cb_info_issueamount(B311,100000000)</f>
        <v>2</v>
      </c>
      <c r="U311" s="187">
        <f t="shared" ca="1" si="19"/>
        <v>20.560000000000002</v>
      </c>
      <c r="V311" s="240">
        <f ca="1">IF([1]!cb_anal_ldiluterate(B311,$B$2)=100,"-",[1]!cb_anal_ldiluterate(B311,$B$2))</f>
        <v>1.6479846003218304</v>
      </c>
      <c r="W311" s="188" t="str">
        <f ca="1">[1]!cb_info_listeddate(B311)</f>
        <v>2020-05-20</v>
      </c>
      <c r="X311" s="188" t="str">
        <f ca="1">[1]!cb_info_carrydate(B311)</f>
        <v>2020-04-23</v>
      </c>
      <c r="Y311" s="186" t="str">
        <f ca="1">[1]!cb_clause_conversion_2_swapsharestartdate(B311)</f>
        <v>2020-10-29</v>
      </c>
      <c r="Z311" s="186" t="str">
        <f ca="1">[1]!cb_clause_putoption_conditionalputbackstartenddate(B311)</f>
        <v>2024-04-23</v>
      </c>
      <c r="AA311" s="240">
        <f ca="1">[1]!cb_info_maturitycallprice(B311)</f>
        <v>115</v>
      </c>
      <c r="AB311" s="240">
        <f ca="1">IF(ISNUMBER([1]!cb_info_conditionalputprice(B311)),[1]!cb_info_conditionalputprice(B311),"-")</f>
        <v>0</v>
      </c>
      <c r="AC311" s="240">
        <f ca="1">[1]!cb_info_interest(B311)</f>
        <v>0.4</v>
      </c>
      <c r="AD311" s="262" t="str">
        <f ca="1">IFERROR(couponlist([1]!cb_clause_interest(B311,"4")),"-")</f>
        <v>0.40%，0.80%，1.00%，1.50%，2.50%，3.00%</v>
      </c>
      <c r="AE311" s="189"/>
      <c r="AF311" s="189"/>
      <c r="AG311" s="189"/>
      <c r="AH311" s="189"/>
      <c r="AI311" s="189"/>
      <c r="AJ311" s="189"/>
      <c r="AK311" s="189"/>
      <c r="AL311" s="189"/>
      <c r="AM311" s="189"/>
      <c r="AN311" s="189"/>
      <c r="AO311" s="189"/>
      <c r="AP311" s="189"/>
      <c r="AQ311" s="189"/>
    </row>
    <row r="312" spans="1:43" s="130" customFormat="1" x14ac:dyDescent="0.35">
      <c r="A312" s="121" t="s">
        <v>5</v>
      </c>
      <c r="B312" s="121" t="s">
        <v>180</v>
      </c>
      <c r="C312" s="121" t="s">
        <v>181</v>
      </c>
      <c r="D312" s="236" t="str">
        <f ca="1">IF([1]!s_info_industry_sw(B312,1)=0,"-",[1]!s_info_industry_sw(B312,1))</f>
        <v>纺织服装</v>
      </c>
      <c r="E312" s="122" t="str">
        <f ca="1">[1]!cb_info_underlyingcode(B312)</f>
        <v>002503.SZ</v>
      </c>
      <c r="F312" s="124">
        <f ca="1">RTD("wdf.rtq",,B312,"LastPrice","Dirty_Price")</f>
        <v>119.10300000000001</v>
      </c>
      <c r="G312" s="124">
        <f ca="1">RTD("wdf.rtq",,E312,"LastPrice")</f>
        <v>1.8</v>
      </c>
      <c r="H312" s="226">
        <f ca="1">RTD("wdf.rtq",,B312,"PctChg","RT_Price")/100</f>
        <v>8.2799999999999999E-2</v>
      </c>
      <c r="I312" s="226">
        <f ca="1">RTD("wdf.rtq",,E312,"PctChg")/100</f>
        <v>9.7599999999999992E-2</v>
      </c>
      <c r="J312" s="125">
        <f ca="1">_xlfn.IFNA([1]!b_anal_ptmyear(B312,$B$2),"未发行或发行失败")</f>
        <v>4.506849315068493</v>
      </c>
      <c r="K312" s="125">
        <f ca="1">RTD("wdf.rtq",,B312,"Amount","Dirty_Price")/100000000</f>
        <v>4.06577419</v>
      </c>
      <c r="L312" s="125">
        <f ca="1">[1]!cb_anal_convprice(B312,$B$2)</f>
        <v>1.62</v>
      </c>
      <c r="M312" s="125">
        <f t="shared" ca="1" si="16"/>
        <v>111.1111111111111</v>
      </c>
      <c r="N312" s="126">
        <f t="shared" ca="1" si="17"/>
        <v>7.1927000000000163</v>
      </c>
      <c r="O312" s="126">
        <f t="array" aca="1" ref="O312" ca="1">_xlfn.IFNA(RTD("wdf.rtq",,B312,"LastPrice","Yield_To_Maturity"),[1]!cb_anal_ytm(B312,$C$2))</f>
        <v>-0.42150000000000004</v>
      </c>
      <c r="P312" s="126">
        <f ca="1">[1]!cb_anal_straightbondvalue(B312,$B$2)</f>
        <v>73.932699999999997</v>
      </c>
      <c r="Q312" s="126">
        <f t="shared" ca="1" si="18"/>
        <v>61.096510745583515</v>
      </c>
      <c r="R312" s="126" t="str">
        <f ca="1">[1]!b_rate_latestcredit(B312)</f>
        <v>A</v>
      </c>
      <c r="S312" s="126">
        <f ca="1">[1]!cb_info_outstandingbalance(B312,$B$2)</f>
        <v>7.9934450000000004</v>
      </c>
      <c r="T312" s="126">
        <f ca="1">[1]!cb_info_issueamount(B312,100000000)</f>
        <v>8</v>
      </c>
      <c r="U312" s="126">
        <f t="shared" ca="1" si="19"/>
        <v>99.918062500000005</v>
      </c>
      <c r="V312" s="230">
        <f ca="1">IF([1]!cb_anal_ldiluterate(B312,$B$2)=100,"-",[1]!cb_anal_ldiluterate(B312,$B$2))</f>
        <v>16.251142391132696</v>
      </c>
      <c r="W312" s="127" t="str">
        <f ca="1">[1]!cb_info_listeddate(B312)</f>
        <v>2020-04-09</v>
      </c>
      <c r="X312" s="127" t="str">
        <f ca="1">[1]!cb_info_carrydate(B312)</f>
        <v>2020-03-12</v>
      </c>
      <c r="Y312" s="125" t="str">
        <f ca="1">[1]!cb_clause_conversion_2_swapsharestartdate(B312)</f>
        <v>2020-09-18</v>
      </c>
      <c r="Z312" s="125" t="str">
        <f ca="1">[1]!cb_clause_putoption_conditionalputbackstartenddate(B312)</f>
        <v>2024-03-12</v>
      </c>
      <c r="AA312" s="230">
        <f ca="1">[1]!cb_info_maturitycallprice(B312)</f>
        <v>112</v>
      </c>
      <c r="AB312" s="230">
        <f ca="1">IF(ISNUMBER([1]!cb_info_conditionalputprice(B312)),[1]!cb_info_conditionalputprice(B312),"-")</f>
        <v>0</v>
      </c>
      <c r="AC312" s="230">
        <f ca="1">[1]!cb_info_interest(B312)</f>
        <v>0.4</v>
      </c>
      <c r="AD312" s="263" t="str">
        <f ca="1">IFERROR(couponlist([1]!cb_clause_interest(B312,"4")),"-")</f>
        <v>0.4%，0.6%，1.0%，1.5%，1.8%，2.0%</v>
      </c>
      <c r="AE312" s="129"/>
      <c r="AF312" s="129"/>
      <c r="AG312" s="129"/>
      <c r="AH312" s="129"/>
      <c r="AI312" s="129"/>
      <c r="AJ312" s="129"/>
      <c r="AK312" s="129"/>
      <c r="AL312" s="129"/>
      <c r="AM312" s="129"/>
      <c r="AN312" s="129"/>
      <c r="AO312" s="129"/>
      <c r="AP312" s="129"/>
      <c r="AQ312" s="129"/>
    </row>
    <row r="313" spans="1:43" s="191" customFormat="1" x14ac:dyDescent="0.35">
      <c r="A313" s="182" t="s">
        <v>0</v>
      </c>
      <c r="B313" s="182" t="s">
        <v>417</v>
      </c>
      <c r="C313" s="182" t="s">
        <v>418</v>
      </c>
      <c r="D313" s="235" t="str">
        <f ca="1">IF([1]!s_info_industry_sw(B313,1)=0,"-",[1]!s_info_industry_sw(B313,1))</f>
        <v>纺织服装</v>
      </c>
      <c r="E313" s="183" t="str">
        <f ca="1">[1]!cb_info_underlyingcode(B313)</f>
        <v>600398.SH</v>
      </c>
      <c r="F313" s="185">
        <f ca="1">RTD("wdf.rtq",,B313,"LastPrice","Dirty_Price")</f>
        <v>128.5</v>
      </c>
      <c r="G313" s="185">
        <f ca="1">RTD("wdf.rtq",,E313,"LastPrice")</f>
        <v>7.9300000000000006</v>
      </c>
      <c r="H313" s="225">
        <f ca="1">RTD("wdf.rtq",,B313,"PctChg","RT_Price")/100</f>
        <v>3.5000000000000003E-2</v>
      </c>
      <c r="I313" s="225">
        <f ca="1">RTD("wdf.rtq",,E313,"PctChg")/100</f>
        <v>8.8999999999999999E-3</v>
      </c>
      <c r="J313" s="186">
        <f ca="1">_xlfn.IFNA([1]!b_anal_ptmyear(B313,$B$2),"未发行或发行失败")</f>
        <v>2.8438356164383563</v>
      </c>
      <c r="K313" s="186">
        <f ca="1">RTD("wdf.rtq",,B313,"Amount","Dirty_Price")/100000000</f>
        <v>0.48796509999999998</v>
      </c>
      <c r="L313" s="186">
        <f ca="1">[1]!cb_anal_convprice(B313,$B$2)</f>
        <v>7.04</v>
      </c>
      <c r="M313" s="186">
        <f t="shared" ca="1" si="16"/>
        <v>112.64204545454547</v>
      </c>
      <c r="N313" s="187">
        <f t="shared" ca="1" si="17"/>
        <v>14.07818411097098</v>
      </c>
      <c r="O313" s="187">
        <f t="array" aca="1" ref="O313" ca="1">_xlfn.IFNA(RTD("wdf.rtq",,B313,"LastPrice","Yield_To_Maturity"),[1]!cb_anal_ytm(B313,$C$2))</f>
        <v>-5.2806000000000006</v>
      </c>
      <c r="P313" s="187">
        <f ca="1">[1]!cb_anal_straightbondvalue(B313,$B$2)</f>
        <v>100.94199999999999</v>
      </c>
      <c r="Q313" s="187">
        <f t="shared" ca="1" si="18"/>
        <v>27.300826217035535</v>
      </c>
      <c r="R313" s="187" t="str">
        <f ca="1">[1]!b_rate_latestcredit(B313)</f>
        <v>AA+</v>
      </c>
      <c r="S313" s="187">
        <f ca="1">[1]!cb_info_outstandingbalance(B313,$B$2)</f>
        <v>29.49643</v>
      </c>
      <c r="T313" s="187">
        <f ca="1">[1]!cb_info_issueamount(B313,100000000)</f>
        <v>30</v>
      </c>
      <c r="U313" s="187">
        <f t="shared" ca="1" si="19"/>
        <v>98.321433333333331</v>
      </c>
      <c r="V313" s="240">
        <f ca="1">IF([1]!cb_anal_ldiluterate(B313,$B$2)=100,"-",[1]!cb_anal_ldiluterate(B313,$B$2))</f>
        <v>8.8419955234772143</v>
      </c>
      <c r="W313" s="188" t="str">
        <f ca="1">[1]!cb_info_listeddate(B313)</f>
        <v>2018-07-31</v>
      </c>
      <c r="X313" s="188" t="str">
        <f ca="1">[1]!cb_info_carrydate(B313)</f>
        <v>2018-07-13</v>
      </c>
      <c r="Y313" s="186" t="str">
        <f ca="1">[1]!cb_clause_conversion_2_swapsharestartdate(B313)</f>
        <v>2019-01-21</v>
      </c>
      <c r="Z313" s="186" t="str">
        <f ca="1">[1]!cb_clause_putoption_conditionalputbackstartenddate(B313)</f>
        <v>2022-07-13</v>
      </c>
      <c r="AA313" s="240">
        <f ca="1">[1]!cb_info_maturitycallprice(B313)</f>
        <v>108</v>
      </c>
      <c r="AB313" s="240">
        <f ca="1">IF(ISNUMBER([1]!cb_info_conditionalputprice(B313)),[1]!cb_info_conditionalputprice(B313),"-")</f>
        <v>100.13</v>
      </c>
      <c r="AC313" s="240">
        <f ca="1">[1]!cb_info_interest(B313)</f>
        <v>0.3</v>
      </c>
      <c r="AD313" s="262" t="str">
        <f ca="1">IFERROR(couponlist([1]!cb_clause_interest(B313,"4")),"-")</f>
        <v>0.3%，0.5%，0.8%，1.0%，1.3%，1.8%</v>
      </c>
      <c r="AE313" s="189"/>
      <c r="AF313" s="189"/>
      <c r="AG313" s="189"/>
      <c r="AH313" s="189"/>
      <c r="AI313" s="189"/>
      <c r="AJ313" s="189"/>
      <c r="AK313" s="189"/>
      <c r="AL313" s="189"/>
      <c r="AM313" s="189"/>
      <c r="AN313" s="189"/>
      <c r="AO313" s="189"/>
      <c r="AP313" s="189"/>
      <c r="AQ313" s="189"/>
    </row>
    <row r="314" spans="1:43" s="130" customFormat="1" x14ac:dyDescent="0.35">
      <c r="A314" s="121" t="s">
        <v>5</v>
      </c>
      <c r="B314" s="121" t="s">
        <v>236</v>
      </c>
      <c r="C314" s="121" t="s">
        <v>237</v>
      </c>
      <c r="D314" s="236" t="str">
        <f ca="1">IF([1]!s_info_industry_sw(B314,1)=0,"-",[1]!s_info_industry_sw(B314,1))</f>
        <v>纺织服装</v>
      </c>
      <c r="E314" s="122" t="str">
        <f ca="1">[1]!cb_info_underlyingcode(B314)</f>
        <v>002083.SZ</v>
      </c>
      <c r="F314" s="124">
        <f ca="1">RTD("wdf.rtq",,B314,"LastPrice","Dirty_Price")</f>
        <v>109.64800000000001</v>
      </c>
      <c r="G314" s="124">
        <f ca="1">RTD("wdf.rtq",,E314,"LastPrice")</f>
        <v>4.26</v>
      </c>
      <c r="H314" s="226">
        <f ca="1">RTD("wdf.rtq",,B314,"PctChg","RT_Price")/100</f>
        <v>6.9000000000000008E-3</v>
      </c>
      <c r="I314" s="226">
        <f ca="1">RTD("wdf.rtq",,E314,"PctChg")/100</f>
        <v>-2.3E-3</v>
      </c>
      <c r="J314" s="125">
        <f ca="1">_xlfn.IFNA([1]!b_anal_ptmyear(B314,$B$2),"未发行或发行失败")</f>
        <v>4.2739726027397262</v>
      </c>
      <c r="K314" s="125">
        <f ca="1">RTD("wdf.rtq",,B314,"Amount","Dirty_Price")/100000000</f>
        <v>6.9003430000000004E-2</v>
      </c>
      <c r="L314" s="125">
        <f ca="1">[1]!cb_anal_convprice(B314,$B$2)</f>
        <v>4.5</v>
      </c>
      <c r="M314" s="125">
        <f t="shared" ca="1" si="16"/>
        <v>94.666666666666671</v>
      </c>
      <c r="N314" s="126">
        <f t="shared" ca="1" si="17"/>
        <v>15.825352112676057</v>
      </c>
      <c r="O314" s="126">
        <f t="array" aca="1" ref="O314" ca="1">_xlfn.IFNA(RTD("wdf.rtq",,B314,"LastPrice","Yield_To_Maturity"),[1]!cb_anal_ytm(B314,$C$2))</f>
        <v>0.70120000000000005</v>
      </c>
      <c r="P314" s="126">
        <f ca="1">[1]!cb_anal_straightbondvalue(B314,$B$2)</f>
        <v>86.751599999999996</v>
      </c>
      <c r="Q314" s="126">
        <f t="shared" ca="1" si="18"/>
        <v>26.393057880200502</v>
      </c>
      <c r="R314" s="126" t="str">
        <f ca="1">[1]!b_rate_latestcredit(B314)</f>
        <v>AA-</v>
      </c>
      <c r="S314" s="126">
        <f ca="1">[1]!cb_info_outstandingbalance(B314,$B$2)</f>
        <v>6.4976190000000003</v>
      </c>
      <c r="T314" s="126">
        <f ca="1">[1]!cb_info_issueamount(B314,100000000)</f>
        <v>6.5</v>
      </c>
      <c r="U314" s="126">
        <f t="shared" ca="1" si="19"/>
        <v>99.963369230769231</v>
      </c>
      <c r="V314" s="230">
        <f ca="1">IF([1]!cb_anal_ldiluterate(B314,$B$2)=100,"-",[1]!cb_anal_ldiluterate(B314,$B$2))</f>
        <v>13.754683522645841</v>
      </c>
      <c r="W314" s="127" t="str">
        <f ca="1">[1]!cb_info_listeddate(B314)</f>
        <v>2020-01-16</v>
      </c>
      <c r="X314" s="127" t="str">
        <f ca="1">[1]!cb_info_carrydate(B314)</f>
        <v>2019-12-17</v>
      </c>
      <c r="Y314" s="125" t="str">
        <f ca="1">[1]!cb_clause_conversion_2_swapsharestartdate(B314)</f>
        <v>2020-06-23</v>
      </c>
      <c r="Z314" s="125" t="str">
        <f ca="1">[1]!cb_clause_putoption_conditionalputbackstartenddate(B314)</f>
        <v>2023-12-17</v>
      </c>
      <c r="AA314" s="230">
        <f ca="1">[1]!cb_info_maturitycallprice(B314)</f>
        <v>108</v>
      </c>
      <c r="AB314" s="230">
        <f ca="1">IF(ISNUMBER([1]!cb_info_conditionalputprice(B314)),[1]!cb_info_conditionalputprice(B314),"-")</f>
        <v>0</v>
      </c>
      <c r="AC314" s="230">
        <f ca="1">[1]!cb_info_interest(B314)</f>
        <v>0.4</v>
      </c>
      <c r="AD314" s="263" t="str">
        <f ca="1">IFERROR(couponlist([1]!cb_clause_interest(B314,"4")),"-")</f>
        <v>0.40%，0.60%，1.00%，1.50%，1.80%，2.00%</v>
      </c>
      <c r="AE314" s="129"/>
      <c r="AF314" s="129"/>
      <c r="AG314" s="129"/>
      <c r="AH314" s="129"/>
      <c r="AI314" s="129"/>
      <c r="AJ314" s="129"/>
      <c r="AK314" s="129"/>
      <c r="AL314" s="129"/>
      <c r="AM314" s="129"/>
      <c r="AN314" s="129"/>
      <c r="AO314" s="129"/>
      <c r="AP314" s="129"/>
      <c r="AQ314" s="129"/>
    </row>
    <row r="315" spans="1:43" s="191" customFormat="1" x14ac:dyDescent="0.35">
      <c r="A315" s="182" t="s">
        <v>0</v>
      </c>
      <c r="B315" s="182" t="s">
        <v>146</v>
      </c>
      <c r="C315" s="182" t="s">
        <v>147</v>
      </c>
      <c r="D315" s="235" t="str">
        <f ca="1">IF([1]!s_info_industry_sw(B315,1)=0,"-",[1]!s_info_industry_sw(B315,1))</f>
        <v>纺织服装</v>
      </c>
      <c r="E315" s="183" t="str">
        <f ca="1">[1]!cb_info_underlyingcode(B315)</f>
        <v>603557.SH</v>
      </c>
      <c r="F315" s="185">
        <f ca="1">RTD("wdf.rtq",,B315,"LastPrice","Dirty_Price")</f>
        <v>98.990000000000009</v>
      </c>
      <c r="G315" s="185">
        <f ca="1">RTD("wdf.rtq",,E315,"LastPrice")</f>
        <v>4.88</v>
      </c>
      <c r="H315" s="225">
        <f ca="1">RTD("wdf.rtq",,B315,"PctChg","RT_Price")/100</f>
        <v>7.8000000000000005E-3</v>
      </c>
      <c r="I315" s="225">
        <f ca="1">RTD("wdf.rtq",,E315,"PctChg")/100</f>
        <v>0</v>
      </c>
      <c r="J315" s="186">
        <f ca="1">_xlfn.IFNA([1]!b_anal_ptmyear(B315,$B$2),"未发行或发行失败")</f>
        <v>4.5863013698630137</v>
      </c>
      <c r="K315" s="186">
        <f ca="1">RTD("wdf.rtq",,B315,"Amount","Dirty_Price")/100000000</f>
        <v>8.8108720000000001E-2</v>
      </c>
      <c r="L315" s="186">
        <f ca="1">[1]!cb_anal_convprice(B315,$B$2)</f>
        <v>10.55</v>
      </c>
      <c r="M315" s="186">
        <f t="shared" ca="1" si="16"/>
        <v>46.255924170616112</v>
      </c>
      <c r="N315" s="187">
        <f t="shared" ca="1" si="17"/>
        <v>114.00502049180329</v>
      </c>
      <c r="O315" s="187">
        <f t="array" aca="1" ref="O315" ca="1">_xlfn.IFNA(RTD("wdf.rtq",,B315,"LastPrice","Yield_To_Maturity"),[1]!cb_anal_ytm(B315,$C$2))</f>
        <v>4.6478999999999999</v>
      </c>
      <c r="P315" s="187">
        <f ca="1">[1]!cb_anal_straightbondvalue(B315,$B$2)</f>
        <v>76.192800000000005</v>
      </c>
      <c r="Q315" s="187">
        <f t="shared" ca="1" si="18"/>
        <v>29.920412427420956</v>
      </c>
      <c r="R315" s="187" t="str">
        <f ca="1">[1]!b_rate_latestcredit(B315)</f>
        <v>A</v>
      </c>
      <c r="S315" s="187">
        <f ca="1">[1]!cb_info_outstandingbalance(B315,$B$2)</f>
        <v>2.6623700000000001</v>
      </c>
      <c r="T315" s="187">
        <f ca="1">[1]!cb_info_issueamount(B315,100000000)</f>
        <v>5.2</v>
      </c>
      <c r="U315" s="187">
        <f t="shared" ca="1" si="19"/>
        <v>51.199423076923082</v>
      </c>
      <c r="V315" s="240">
        <f ca="1">IF([1]!cb_anal_ldiluterate(B315,$B$2)=100,"-",[1]!cb_anal_ldiluterate(B315,$B$2))</f>
        <v>4.8603428380394602</v>
      </c>
      <c r="W315" s="188" t="str">
        <f ca="1">[1]!cb_info_listeddate(B315)</f>
        <v>2020-05-07</v>
      </c>
      <c r="X315" s="188" t="str">
        <f ca="1">[1]!cb_info_carrydate(B315)</f>
        <v>2020-04-10</v>
      </c>
      <c r="Y315" s="186" t="str">
        <f ca="1">[1]!cb_clause_conversion_2_swapsharestartdate(B315)</f>
        <v>2020-10-16</v>
      </c>
      <c r="Z315" s="186" t="str">
        <f ca="1">[1]!cb_clause_putoption_conditionalputbackstartenddate(B315)</f>
        <v>2024-04-10</v>
      </c>
      <c r="AA315" s="240">
        <f ca="1">[1]!cb_info_maturitycallprice(B315)</f>
        <v>115</v>
      </c>
      <c r="AB315" s="240">
        <f ca="1">IF(ISNUMBER([1]!cb_info_conditionalputprice(B315)),[1]!cb_info_conditionalputprice(B315),"-")</f>
        <v>0</v>
      </c>
      <c r="AC315" s="240">
        <f ca="1">[1]!cb_info_interest(B315)</f>
        <v>0.5</v>
      </c>
      <c r="AD315" s="262" t="str">
        <f ca="1">IFERROR(couponlist([1]!cb_clause_interest(B315,"4")),"-")</f>
        <v>0.5%，0.8%，1.2%，1.8%，2.5%，3.0%</v>
      </c>
      <c r="AE315" s="189"/>
      <c r="AF315" s="189"/>
      <c r="AG315" s="189"/>
      <c r="AH315" s="189"/>
      <c r="AI315" s="189"/>
      <c r="AJ315" s="189"/>
      <c r="AK315" s="189"/>
      <c r="AL315" s="189"/>
      <c r="AM315" s="189"/>
      <c r="AN315" s="189"/>
      <c r="AO315" s="189"/>
      <c r="AP315" s="189"/>
      <c r="AQ315" s="189"/>
    </row>
    <row r="316" spans="1:43" s="130" customFormat="1" x14ac:dyDescent="0.35">
      <c r="A316" s="121" t="s">
        <v>5</v>
      </c>
      <c r="B316" s="121" t="s">
        <v>154</v>
      </c>
      <c r="C316" s="121" t="s">
        <v>155</v>
      </c>
      <c r="D316" s="236" t="str">
        <f ca="1">IF([1]!s_info_industry_sw(B316,1)=0,"-",[1]!s_info_industry_sw(B316,1))</f>
        <v>纺织服装</v>
      </c>
      <c r="E316" s="122" t="str">
        <f ca="1">[1]!cb_info_underlyingcode(B316)</f>
        <v>000726.SZ</v>
      </c>
      <c r="F316" s="124">
        <f ca="1">RTD("wdf.rtq",,B316,"LastPrice","Dirty_Price")</f>
        <v>104.99000000000001</v>
      </c>
      <c r="G316" s="124">
        <f ca="1">RTD("wdf.rtq",,E316,"LastPrice")</f>
        <v>5.97</v>
      </c>
      <c r="H316" s="226">
        <f ca="1">RTD("wdf.rtq",,B316,"PctChg","RT_Price")/100</f>
        <v>5.7000000000000002E-3</v>
      </c>
      <c r="I316" s="226">
        <f ca="1">RTD("wdf.rtq",,E316,"PctChg")/100</f>
        <v>8.4000000000000012E-3</v>
      </c>
      <c r="J316" s="125">
        <f ca="1">_xlfn.IFNA([1]!b_anal_ptmyear(B316,$B$2),"未发行或发行失败")</f>
        <v>4.5835616438356164</v>
      </c>
      <c r="K316" s="125">
        <f ca="1">RTD("wdf.rtq",,B316,"Amount","Dirty_Price")/100000000</f>
        <v>3.2416100000000003E-2</v>
      </c>
      <c r="L316" s="125">
        <f ca="1">[1]!cb_anal_convprice(B316,$B$2)</f>
        <v>8.7100000000000009</v>
      </c>
      <c r="M316" s="125">
        <f t="shared" ca="1" si="16"/>
        <v>68.541905855338683</v>
      </c>
      <c r="N316" s="126">
        <f t="shared" ca="1" si="17"/>
        <v>53.176365159129006</v>
      </c>
      <c r="O316" s="126">
        <f t="array" aca="1" ref="O316" ca="1">_xlfn.IFNA(RTD("wdf.rtq",,B316,"LastPrice","Yield_To_Maturity"),[1]!cb_anal_ytm(B316,$C$2))</f>
        <v>2.2246999999999999</v>
      </c>
      <c r="P316" s="126">
        <f ca="1">[1]!cb_anal_straightbondvalue(B316,$B$2)</f>
        <v>98.939599999999999</v>
      </c>
      <c r="Q316" s="126">
        <f t="shared" ca="1" si="18"/>
        <v>6.1152460693190562</v>
      </c>
      <c r="R316" s="126" t="str">
        <f ca="1">[1]!b_rate_latestcredit(B316)</f>
        <v>AA+</v>
      </c>
      <c r="S316" s="126">
        <f ca="1">[1]!cb_info_outstandingbalance(B316,$B$2)</f>
        <v>13.998713</v>
      </c>
      <c r="T316" s="126">
        <f ca="1">[1]!cb_info_issueamount(B316,100000000)</f>
        <v>14</v>
      </c>
      <c r="U316" s="126">
        <f t="shared" ca="1" si="19"/>
        <v>99.99080714285715</v>
      </c>
      <c r="V316" s="230">
        <f ca="1">IF([1]!cb_anal_ldiluterate(B316,$B$2)=100,"-",[1]!cb_anal_ldiluterate(B316,$B$2))</f>
        <v>22.261292376866326</v>
      </c>
      <c r="W316" s="127" t="str">
        <f ca="1">[1]!cb_info_listeddate(B316)</f>
        <v>2020-05-13</v>
      </c>
      <c r="X316" s="127" t="str">
        <f ca="1">[1]!cb_info_carrydate(B316)</f>
        <v>2020-04-09</v>
      </c>
      <c r="Y316" s="125" t="str">
        <f ca="1">[1]!cb_clause_conversion_2_swapsharestartdate(B316)</f>
        <v>2020-10-15</v>
      </c>
      <c r="Z316" s="125" t="str">
        <f ca="1">[1]!cb_clause_putoption_conditionalputbackstartenddate(B316)</f>
        <v>2024-04-09</v>
      </c>
      <c r="AA316" s="230">
        <f ca="1">[1]!cb_info_maturitycallprice(B316)</f>
        <v>111</v>
      </c>
      <c r="AB316" s="230">
        <f ca="1">IF(ISNUMBER([1]!cb_info_conditionalputprice(B316)),[1]!cb_info_conditionalputprice(B316),"-")</f>
        <v>0</v>
      </c>
      <c r="AC316" s="230">
        <f ca="1">[1]!cb_info_interest(B316)</f>
        <v>0.3</v>
      </c>
      <c r="AD316" s="263" t="str">
        <f ca="1">IFERROR(couponlist([1]!cb_clause_interest(B316,"4")),"-")</f>
        <v>0.3%，0.6%，1.0%，1.5%，1.8%，2.0%</v>
      </c>
      <c r="AE316" s="129"/>
      <c r="AF316" s="129"/>
      <c r="AG316" s="129"/>
      <c r="AH316" s="129"/>
      <c r="AI316" s="129"/>
      <c r="AJ316" s="129"/>
      <c r="AK316" s="129"/>
      <c r="AL316" s="129"/>
      <c r="AM316" s="129"/>
      <c r="AN316" s="129"/>
      <c r="AO316" s="129"/>
      <c r="AP316" s="129"/>
      <c r="AQ316" s="129"/>
    </row>
    <row r="317" spans="1:43" s="191" customFormat="1" x14ac:dyDescent="0.35">
      <c r="A317" s="182" t="s">
        <v>5</v>
      </c>
      <c r="B317" s="182" t="s">
        <v>116</v>
      </c>
      <c r="C317" s="182" t="s">
        <v>117</v>
      </c>
      <c r="D317" s="235" t="str">
        <f ca="1">IF([1]!s_info_industry_sw(B317,1)=0,"-",[1]!s_info_industry_sw(B317,1))</f>
        <v>纺织服装</v>
      </c>
      <c r="E317" s="183" t="str">
        <f ca="1">[1]!cb_info_underlyingcode(B317)</f>
        <v>002832.SZ</v>
      </c>
      <c r="F317" s="185">
        <f ca="1">RTD("wdf.rtq",,B317,"LastPrice","Dirty_Price")</f>
        <v>190</v>
      </c>
      <c r="G317" s="185">
        <f ca="1">RTD("wdf.rtq",,E317,"LastPrice")</f>
        <v>26.73</v>
      </c>
      <c r="H317" s="225">
        <f ca="1">RTD("wdf.rtq",,B317,"PctChg","RT_Price")/100</f>
        <v>-7.8000000000000005E-3</v>
      </c>
      <c r="I317" s="225">
        <f ca="1">RTD("wdf.rtq",,E317,"PctChg")/100</f>
        <v>-9.300000000000001E-3</v>
      </c>
      <c r="J317" s="186">
        <f ca="1">_xlfn.IFNA([1]!b_anal_ptmyear(B317,$B$2),"未发行或发行失败")</f>
        <v>4.7671232876712324</v>
      </c>
      <c r="K317" s="186">
        <f ca="1">RTD("wdf.rtq",,B317,"Amount","Dirty_Price")/100000000</f>
        <v>0.48833676999999998</v>
      </c>
      <c r="L317" s="186">
        <f ca="1">[1]!cb_anal_convprice(B317,$B$2)</f>
        <v>14.6</v>
      </c>
      <c r="M317" s="186">
        <f t="shared" ca="1" si="16"/>
        <v>183.08219178082192</v>
      </c>
      <c r="N317" s="187">
        <f t="shared" ca="1" si="17"/>
        <v>3.7785260007482293</v>
      </c>
      <c r="O317" s="187">
        <f t="array" aca="1" ref="O317" ca="1">_xlfn.IFNA(RTD("wdf.rtq",,B317,"LastPrice","Yield_To_Maturity"),[1]!cb_anal_ytm(B317,$C$2))</f>
        <v>-9.8376999999999999</v>
      </c>
      <c r="P317" s="187">
        <f ca="1">[1]!cb_anal_straightbondvalue(B317,$B$2)</f>
        <v>95.995699999999999</v>
      </c>
      <c r="Q317" s="187">
        <f t="shared" ca="1" si="18"/>
        <v>97.925532081124459</v>
      </c>
      <c r="R317" s="187" t="str">
        <f ca="1">[1]!b_rate_latestcredit(B317)</f>
        <v>AA</v>
      </c>
      <c r="S317" s="187">
        <f ca="1">[1]!cb_info_outstandingbalance(B317,$B$2)</f>
        <v>3.0307710000000001</v>
      </c>
      <c r="T317" s="187">
        <f ca="1">[1]!cb_info_issueamount(B317,100000000)</f>
        <v>6.89</v>
      </c>
      <c r="U317" s="187">
        <f t="shared" ca="1" si="19"/>
        <v>43.987968069666188</v>
      </c>
      <c r="V317" s="240">
        <f ca="1">IF([1]!cb_anal_ldiluterate(B317,$B$2)=100,"-",[1]!cb_anal_ldiluterate(B317,$B$2))</f>
        <v>5.3310261629024014</v>
      </c>
      <c r="W317" s="188" t="str">
        <f ca="1">[1]!cb_info_listeddate(B317)</f>
        <v>2020-07-15</v>
      </c>
      <c r="X317" s="188" t="str">
        <f ca="1">[1]!cb_info_carrydate(B317)</f>
        <v>2020-06-15</v>
      </c>
      <c r="Y317" s="186" t="str">
        <f ca="1">[1]!cb_clause_conversion_2_swapsharestartdate(B317)</f>
        <v>2020-12-21</v>
      </c>
      <c r="Z317" s="186" t="str">
        <f ca="1">[1]!cb_clause_putoption_conditionalputbackstartenddate(B317)</f>
        <v>2024-06-15</v>
      </c>
      <c r="AA317" s="240">
        <f ca="1">[1]!cb_info_maturitycallprice(B317)</f>
        <v>112</v>
      </c>
      <c r="AB317" s="240">
        <f ca="1">IF(ISNUMBER([1]!cb_info_conditionalputprice(B317)),[1]!cb_info_conditionalputprice(B317),"-")</f>
        <v>0</v>
      </c>
      <c r="AC317" s="240">
        <f ca="1">[1]!cb_info_interest(B317)</f>
        <v>0.4</v>
      </c>
      <c r="AD317" s="262" t="str">
        <f ca="1">IFERROR(couponlist([1]!cb_clause_interest(B317,"4")),"-")</f>
        <v>0.4%，0.6%，1.0%，1.5%，1.8%，2.0%</v>
      </c>
      <c r="AE317" s="189"/>
      <c r="AF317" s="189"/>
      <c r="AG317" s="189"/>
      <c r="AH317" s="189"/>
      <c r="AI317" s="189"/>
      <c r="AJ317" s="189"/>
      <c r="AK317" s="189"/>
      <c r="AL317" s="189"/>
      <c r="AM317" s="189"/>
      <c r="AN317" s="189"/>
      <c r="AO317" s="189"/>
      <c r="AP317" s="189"/>
      <c r="AQ317" s="189"/>
    </row>
    <row r="318" spans="1:43" s="130" customFormat="1" x14ac:dyDescent="0.35">
      <c r="A318" s="121" t="s">
        <v>0</v>
      </c>
      <c r="B318" s="121" t="s">
        <v>1709</v>
      </c>
      <c r="C318" s="121" t="s">
        <v>1710</v>
      </c>
      <c r="D318" s="236" t="str">
        <f ca="1">IF([1]!s_info_industry_sw(B318,1)=0,"-",[1]!s_info_industry_sw(B318,1))</f>
        <v>纺织服装</v>
      </c>
      <c r="E318" s="122" t="str">
        <f ca="1">[1]!cb_info_underlyingcode(B318)</f>
        <v>603877.SH</v>
      </c>
      <c r="F318" s="124">
        <f ca="1">RTD("wdf.rtq",,B318,"LastPrice","Dirty_Price")</f>
        <v>130.15</v>
      </c>
      <c r="G318" s="124">
        <f ca="1">RTD("wdf.rtq",,E318,"LastPrice")</f>
        <v>46.88</v>
      </c>
      <c r="H318" s="226">
        <f ca="1">RTD("wdf.rtq",,B318,"PctChg","RT_Price")/100</f>
        <v>2.2000000000000001E-3</v>
      </c>
      <c r="I318" s="226">
        <f ca="1">RTD("wdf.rtq",,E318,"PctChg")/100</f>
        <v>-1.72E-2</v>
      </c>
      <c r="J318" s="125">
        <f ca="1">_xlfn.IFNA([1]!b_anal_ptmyear(B318,$B$2),"未发行或发行失败")</f>
        <v>5.8493150684931505</v>
      </c>
      <c r="K318" s="125">
        <f ca="1">RTD("wdf.rtq",,B318,"Amount","Dirty_Price")/100000000</f>
        <v>3.7578550000000002E-2</v>
      </c>
      <c r="L318" s="125">
        <f ca="1">[1]!cb_anal_convprice(B318,$B$2)</f>
        <v>50.32</v>
      </c>
      <c r="M318" s="125">
        <f t="shared" ca="1" si="16"/>
        <v>93.163751987281401</v>
      </c>
      <c r="N318" s="126">
        <f t="shared" ca="1" si="17"/>
        <v>39.700255972696255</v>
      </c>
      <c r="O318" s="126">
        <f t="array" aca="1" ref="O318" ca="1">_xlfn.IFNA(RTD("wdf.rtq",,B318,"LastPrice","Yield_To_Maturity"),[1]!cb_anal_ytm(B318,$C$2))</f>
        <v>-2.113</v>
      </c>
      <c r="P318" s="126">
        <f ca="1">[1]!cb_anal_straightbondvalue(B318,$B$2)</f>
        <v>89.681100000000001</v>
      </c>
      <c r="Q318" s="126">
        <f t="shared" ca="1" si="18"/>
        <v>45.125338560744694</v>
      </c>
      <c r="R318" s="126" t="str">
        <f ca="1">[1]!b_rate_latestcredit(B318)</f>
        <v>AA</v>
      </c>
      <c r="S318" s="126">
        <f ca="1">[1]!cb_info_outstandingbalance(B318,$B$2)</f>
        <v>8</v>
      </c>
      <c r="T318" s="126">
        <f ca="1">[1]!cb_info_issueamount(B318,100000000)</f>
        <v>8</v>
      </c>
      <c r="U318" s="126">
        <f t="shared" ca="1" si="19"/>
        <v>100</v>
      </c>
      <c r="V318" s="230">
        <f ca="1">IF([1]!cb_anal_ldiluterate(B318,$B$2)=100,"-",[1]!cb_anal_ldiluterate(B318,$B$2))</f>
        <v>3.2272453875739431</v>
      </c>
      <c r="W318" s="127" t="str">
        <f ca="1">[1]!cb_info_listeddate(B318)</f>
        <v>2021-08-06</v>
      </c>
      <c r="X318" s="127" t="str">
        <f ca="1">[1]!cb_info_carrydate(B318)</f>
        <v>2021-07-15</v>
      </c>
      <c r="Y318" s="125" t="str">
        <f ca="1">[1]!cb_clause_conversion_2_swapsharestartdate(B318)</f>
        <v>2022-01-21</v>
      </c>
      <c r="Z318" s="125" t="str">
        <f ca="1">[1]!cb_clause_putoption_conditionalputbackstartenddate(B318)</f>
        <v>2025-07-15</v>
      </c>
      <c r="AA318" s="230">
        <f ca="1">[1]!cb_info_maturitycallprice(B318)</f>
        <v>110</v>
      </c>
      <c r="AB318" s="230">
        <f ca="1">IF(ISNUMBER([1]!cb_info_conditionalputprice(B318)),[1]!cb_info_conditionalputprice(B318),"-")</f>
        <v>0</v>
      </c>
      <c r="AC318" s="230">
        <f ca="1">[1]!cb_info_interest(B318)</f>
        <v>0.3</v>
      </c>
      <c r="AD318" s="263" t="str">
        <f ca="1">IFERROR(couponlist([1]!cb_clause_interest(B318,"4")),"-")</f>
        <v>0.30%，0.50%，1.00%，1.50%，1.80%，2.00%</v>
      </c>
      <c r="AE318" s="129"/>
      <c r="AF318" s="129"/>
      <c r="AG318" s="129"/>
      <c r="AH318" s="129"/>
      <c r="AI318" s="129"/>
      <c r="AJ318" s="129"/>
      <c r="AK318" s="129"/>
      <c r="AL318" s="129"/>
      <c r="AM318" s="129"/>
      <c r="AN318" s="129"/>
      <c r="AO318" s="129"/>
      <c r="AP318" s="129"/>
      <c r="AQ318" s="129"/>
    </row>
    <row r="319" spans="1:43" s="191" customFormat="1" x14ac:dyDescent="0.35">
      <c r="A319" s="182" t="s">
        <v>0</v>
      </c>
      <c r="B319" s="182" t="s">
        <v>108</v>
      </c>
      <c r="C319" s="182" t="s">
        <v>109</v>
      </c>
      <c r="D319" s="235" t="str">
        <f ca="1">IF([1]!s_info_industry_sw(B319,1)=0,"-",[1]!s_info_industry_sw(B319,1))</f>
        <v>纺织服装</v>
      </c>
      <c r="E319" s="183" t="str">
        <f ca="1">[1]!cb_info_underlyingcode(B319)</f>
        <v>603608.SH</v>
      </c>
      <c r="F319" s="185">
        <f ca="1">RTD("wdf.rtq",,B319,"LastPrice","Dirty_Price")</f>
        <v>99.45</v>
      </c>
      <c r="G319" s="185">
        <f ca="1">RTD("wdf.rtq",,E319,"LastPrice")</f>
        <v>5.96</v>
      </c>
      <c r="H319" s="225">
        <f ca="1">RTD("wdf.rtq",,B319,"PctChg","RT_Price")/100</f>
        <v>5.8000000000000005E-3</v>
      </c>
      <c r="I319" s="225">
        <f ca="1">RTD("wdf.rtq",,E319,"PctChg")/100</f>
        <v>3.4000000000000002E-3</v>
      </c>
      <c r="J319" s="186">
        <f ca="1">_xlfn.IFNA([1]!b_anal_ptmyear(B319,$B$2),"未发行或发行失败")</f>
        <v>4.7917808219178077</v>
      </c>
      <c r="K319" s="186">
        <f ca="1">RTD("wdf.rtq",,B319,"Amount","Dirty_Price")/100000000</f>
        <v>0.12456575</v>
      </c>
      <c r="L319" s="186">
        <f ca="1">[1]!cb_anal_convprice(B319,$B$2)</f>
        <v>12.29</v>
      </c>
      <c r="M319" s="186">
        <f t="shared" ca="1" si="16"/>
        <v>48.494711147274209</v>
      </c>
      <c r="N319" s="187">
        <f t="shared" ca="1" si="17"/>
        <v>105.07390939597315</v>
      </c>
      <c r="O319" s="187">
        <f t="array" aca="1" ref="O319" ca="1">_xlfn.IFNA(RTD("wdf.rtq",,B319,"LastPrice","Yield_To_Maturity"),[1]!cb_anal_ytm(B319,$C$2))</f>
        <v>3.1205000000000003</v>
      </c>
      <c r="P319" s="187">
        <f ca="1">[1]!cb_anal_straightbondvalue(B319,$B$2)</f>
        <v>94.263300000000001</v>
      </c>
      <c r="Q319" s="187">
        <f t="shared" ca="1" si="18"/>
        <v>5.5023535140399247</v>
      </c>
      <c r="R319" s="187" t="str">
        <f ca="1">[1]!b_rate_latestcredit(B319)</f>
        <v>AA</v>
      </c>
      <c r="S319" s="187">
        <f ca="1">[1]!cb_info_outstandingbalance(B319,$B$2)</f>
        <v>5.9964700000000004</v>
      </c>
      <c r="T319" s="187">
        <f ca="1">[1]!cb_info_issueamount(B319,100000000)</f>
        <v>6</v>
      </c>
      <c r="U319" s="187">
        <f t="shared" ca="1" si="19"/>
        <v>99.941166666666675</v>
      </c>
      <c r="V319" s="240">
        <f ca="1">IF([1]!cb_anal_ldiluterate(B319,$B$2)=100,"-",[1]!cb_anal_ldiluterate(B319,$B$2))</f>
        <v>10.213703412313247</v>
      </c>
      <c r="W319" s="188" t="str">
        <f ca="1">[1]!cb_info_listeddate(B319)</f>
        <v>2020-07-16</v>
      </c>
      <c r="X319" s="188" t="str">
        <f ca="1">[1]!cb_info_carrydate(B319)</f>
        <v>2020-06-24</v>
      </c>
      <c r="Y319" s="186" t="str">
        <f ca="1">[1]!cb_clause_conversion_2_swapsharestartdate(B319)</f>
        <v>2021-01-04</v>
      </c>
      <c r="Z319" s="186" t="str">
        <f ca="1">[1]!cb_clause_putoption_conditionalputbackstartenddate(B319)</f>
        <v>2024-06-24</v>
      </c>
      <c r="AA319" s="240">
        <f ca="1">[1]!cb_info_maturitycallprice(B319)</f>
        <v>110</v>
      </c>
      <c r="AB319" s="240">
        <f ca="1">IF(ISNUMBER([1]!cb_info_conditionalputprice(B319)),[1]!cb_info_conditionalputprice(B319),"-")</f>
        <v>0</v>
      </c>
      <c r="AC319" s="240">
        <f ca="1">[1]!cb_info_interest(B319)</f>
        <v>0.4</v>
      </c>
      <c r="AD319" s="262" t="str">
        <f ca="1">IFERROR(couponlist([1]!cb_clause_interest(B319,"4")),"-")</f>
        <v>0.40%，0.60%，1.00%，1.50%，1.80%，2.00%</v>
      </c>
      <c r="AE319" s="189"/>
      <c r="AF319" s="189"/>
      <c r="AG319" s="189"/>
      <c r="AH319" s="189"/>
      <c r="AI319" s="189"/>
      <c r="AJ319" s="189"/>
      <c r="AK319" s="189"/>
      <c r="AL319" s="189"/>
      <c r="AM319" s="189"/>
      <c r="AN319" s="189"/>
      <c r="AO319" s="189"/>
      <c r="AP319" s="189"/>
      <c r="AQ319" s="189"/>
    </row>
    <row r="320" spans="1:43" s="130" customFormat="1" x14ac:dyDescent="0.35">
      <c r="A320" s="121" t="s">
        <v>5</v>
      </c>
      <c r="B320" s="121" t="s">
        <v>222</v>
      </c>
      <c r="C320" s="121" t="s">
        <v>223</v>
      </c>
      <c r="D320" s="236" t="str">
        <f ca="1">IF([1]!s_info_industry_sw(B320,1)=0,"-",[1]!s_info_industry_sw(B320,1))</f>
        <v>纺织服装</v>
      </c>
      <c r="E320" s="122" t="str">
        <f ca="1">[1]!cb_info_underlyingcode(B320)</f>
        <v>300577.SZ</v>
      </c>
      <c r="F320" s="124">
        <f ca="1">RTD("wdf.rtq",,B320,"LastPrice","Dirty_Price")</f>
        <v>111.32900000000001</v>
      </c>
      <c r="G320" s="124">
        <f ca="1">RTD("wdf.rtq",,E320,"LastPrice")</f>
        <v>19.79</v>
      </c>
      <c r="H320" s="226">
        <f ca="1">RTD("wdf.rtq",,B320,"PctChg","RT_Price")/100</f>
        <v>7.5000000000000015E-3</v>
      </c>
      <c r="I320" s="226">
        <f ca="1">RTD("wdf.rtq",,E320,"PctChg")/100</f>
        <v>1.18E-2</v>
      </c>
      <c r="J320" s="125">
        <f ca="1">_xlfn.IFNA([1]!b_anal_ptmyear(B320,$B$2),"未发行或发行失败")</f>
        <v>4.2986301369863016</v>
      </c>
      <c r="K320" s="125">
        <f ca="1">RTD("wdf.rtq",,B320,"Amount","Dirty_Price")/100000000</f>
        <v>3.4031209999999999E-2</v>
      </c>
      <c r="L320" s="125">
        <f ca="1">[1]!cb_anal_convprice(B320,$B$2)</f>
        <v>29.9</v>
      </c>
      <c r="M320" s="125">
        <f t="shared" ca="1" si="16"/>
        <v>66.187290969899664</v>
      </c>
      <c r="N320" s="126">
        <f t="shared" ca="1" si="17"/>
        <v>68.202986356745868</v>
      </c>
      <c r="O320" s="126">
        <f t="array" aca="1" ref="O320" ca="1">_xlfn.IFNA(RTD("wdf.rtq",,B320,"LastPrice","Yield_To_Maturity"),[1]!cb_anal_ytm(B320,$C$2))</f>
        <v>2.0058000000000002</v>
      </c>
      <c r="P320" s="126">
        <f ca="1">[1]!cb_anal_straightbondvalue(B320,$B$2)</f>
        <v>85.321200000000005</v>
      </c>
      <c r="Q320" s="126">
        <f t="shared" ca="1" si="18"/>
        <v>30.482224816341073</v>
      </c>
      <c r="R320" s="126" t="str">
        <f ca="1">[1]!b_rate_latestcredit(B320)</f>
        <v>A+</v>
      </c>
      <c r="S320" s="126">
        <f ca="1">[1]!cb_info_outstandingbalance(B320,$B$2)</f>
        <v>2.2172420000000002</v>
      </c>
      <c r="T320" s="126">
        <f ca="1">[1]!cb_info_issueamount(B320,100000000)</f>
        <v>2.23</v>
      </c>
      <c r="U320" s="126">
        <f t="shared" ca="1" si="19"/>
        <v>99.427892376681626</v>
      </c>
      <c r="V320" s="230">
        <f ca="1">IF([1]!cb_anal_ldiluterate(B320,$B$2)=100,"-",[1]!cb_anal_ldiluterate(B320,$B$2))</f>
        <v>5.4338235832016695</v>
      </c>
      <c r="W320" s="127" t="str">
        <f ca="1">[1]!cb_info_listeddate(B320)</f>
        <v>2020-01-23</v>
      </c>
      <c r="X320" s="127" t="str">
        <f ca="1">[1]!cb_info_carrydate(B320)</f>
        <v>2019-12-26</v>
      </c>
      <c r="Y320" s="125" t="str">
        <f ca="1">[1]!cb_clause_conversion_2_swapsharestartdate(B320)</f>
        <v>2020-07-02</v>
      </c>
      <c r="Z320" s="125" t="str">
        <f ca="1">[1]!cb_clause_putoption_conditionalputbackstartenddate(B320)</f>
        <v>2023-12-26</v>
      </c>
      <c r="AA320" s="230">
        <f ca="1">[1]!cb_info_maturitycallprice(B320)</f>
        <v>115</v>
      </c>
      <c r="AB320" s="230">
        <f ca="1">IF(ISNUMBER([1]!cb_info_conditionalputprice(B320)),[1]!cb_info_conditionalputprice(B320),"-")</f>
        <v>0</v>
      </c>
      <c r="AC320" s="230">
        <f ca="1">[1]!cb_info_interest(B320)</f>
        <v>0.5</v>
      </c>
      <c r="AD320" s="263" t="str">
        <f ca="1">IFERROR(couponlist([1]!cb_clause_interest(B320,"4")),"-")</f>
        <v>0.5%，0.7%，1.2%，1.8%，2.3%，2.8%</v>
      </c>
      <c r="AE320" s="129"/>
      <c r="AF320" s="129"/>
      <c r="AG320" s="129"/>
      <c r="AH320" s="129"/>
      <c r="AI320" s="129"/>
      <c r="AJ320" s="129"/>
      <c r="AK320" s="129"/>
      <c r="AL320" s="129"/>
      <c r="AM320" s="129"/>
      <c r="AN320" s="129"/>
      <c r="AO320" s="129"/>
      <c r="AP320" s="129"/>
      <c r="AQ320" s="129"/>
    </row>
    <row r="321" spans="1:43" s="191" customFormat="1" x14ac:dyDescent="0.35">
      <c r="A321" s="182" t="s">
        <v>0</v>
      </c>
      <c r="B321" s="182" t="s">
        <v>368</v>
      </c>
      <c r="C321" s="182" t="s">
        <v>369</v>
      </c>
      <c r="D321" s="235" t="str">
        <f ca="1">IF([1]!s_info_industry_sw(B321,1)=0,"-",[1]!s_info_industry_sw(B321,1))</f>
        <v>纺织服装</v>
      </c>
      <c r="E321" s="183" t="str">
        <f ca="1">[1]!cb_info_underlyingcode(B321)</f>
        <v>603518.SH</v>
      </c>
      <c r="F321" s="185">
        <f ca="1">RTD("wdf.rtq",,B321,"LastPrice","Dirty_Price")</f>
        <v>176.9</v>
      </c>
      <c r="G321" s="185">
        <f ca="1">RTD("wdf.rtq",,E321,"LastPrice")</f>
        <v>15.950000000000001</v>
      </c>
      <c r="H321" s="225">
        <f ca="1">RTD("wdf.rtq",,B321,"PctChg","RT_Price")/100</f>
        <v>3.3E-3</v>
      </c>
      <c r="I321" s="225">
        <f ca="1">RTD("wdf.rtq",,E321,"PctChg")/100</f>
        <v>-6.8000000000000005E-3</v>
      </c>
      <c r="J321" s="186">
        <f ca="1">_xlfn.IFNA([1]!b_anal_ptmyear(B321,$B$2),"未发行或发行失败")</f>
        <v>3.3780821917808219</v>
      </c>
      <c r="K321" s="186">
        <f ca="1">RTD("wdf.rtq",,B321,"Amount","Dirty_Price")/100000000</f>
        <v>0.84954267000000006</v>
      </c>
      <c r="L321" s="186">
        <f ca="1">[1]!cb_anal_convprice(B321,$B$2)</f>
        <v>9.85</v>
      </c>
      <c r="M321" s="186">
        <f t="shared" ca="1" si="16"/>
        <v>161.92893401015229</v>
      </c>
      <c r="N321" s="187">
        <f t="shared" ca="1" si="17"/>
        <v>9.2454545454545354</v>
      </c>
      <c r="O321" s="187">
        <f t="array" aca="1" ref="O321" ca="1">_xlfn.IFNA(RTD("wdf.rtq",,B321,"LastPrice","Yield_To_Maturity"),[1]!cb_anal_ytm(B321,$C$2))</f>
        <v>-11.148400000000001</v>
      </c>
      <c r="P321" s="187">
        <f ca="1">[1]!cb_anal_straightbondvalue(B321,$B$2)</f>
        <v>105.1884</v>
      </c>
      <c r="Q321" s="187">
        <f t="shared" ca="1" si="18"/>
        <v>68.17443748550221</v>
      </c>
      <c r="R321" s="187" t="str">
        <f ca="1">[1]!b_rate_latestcredit(B321)</f>
        <v>AA</v>
      </c>
      <c r="S321" s="187">
        <f ca="1">[1]!cb_info_outstandingbalance(B321,$B$2)</f>
        <v>2.8683169999999998</v>
      </c>
      <c r="T321" s="187">
        <f ca="1">[1]!cb_info_issueamount(B321,100000000)</f>
        <v>7.46</v>
      </c>
      <c r="U321" s="187">
        <f t="shared" ca="1" si="19"/>
        <v>38.449289544235917</v>
      </c>
      <c r="V321" s="240">
        <f ca="1">IF([1]!cb_anal_ldiluterate(B321,$B$2)=100,"-",[1]!cb_anal_ldiluterate(B321,$B$2))</f>
        <v>13.102818832357862</v>
      </c>
      <c r="W321" s="188" t="str">
        <f ca="1">[1]!cb_info_listeddate(B321)</f>
        <v>2019-02-19</v>
      </c>
      <c r="X321" s="188" t="str">
        <f ca="1">[1]!cb_info_carrydate(B321)</f>
        <v>2019-01-24</v>
      </c>
      <c r="Y321" s="186" t="str">
        <f ca="1">[1]!cb_clause_conversion_2_swapsharestartdate(B321)</f>
        <v>2019-07-30</v>
      </c>
      <c r="Z321" s="186" t="str">
        <f ca="1">[1]!cb_clause_putoption_conditionalputbackstartenddate(B321)</f>
        <v>2023-01-24</v>
      </c>
      <c r="AA321" s="240">
        <f ca="1">[1]!cb_info_maturitycallprice(B321)</f>
        <v>115</v>
      </c>
      <c r="AB321" s="240">
        <f ca="1">IF(ISNUMBER([1]!cb_info_conditionalputprice(B321)),[1]!cb_info_conditionalputprice(B321),"-")</f>
        <v>0</v>
      </c>
      <c r="AC321" s="240">
        <f ca="1">[1]!cb_info_interest(B321)</f>
        <v>0.5</v>
      </c>
      <c r="AD321" s="262" t="str">
        <f ca="1">IFERROR(couponlist([1]!cb_clause_interest(B321,"4")),"-")</f>
        <v>0.50%，0.70%，1.00%，1.50%，2.00%，2.50%</v>
      </c>
      <c r="AE321" s="189"/>
      <c r="AF321" s="189"/>
      <c r="AG321" s="189"/>
      <c r="AH321" s="189"/>
      <c r="AI321" s="189"/>
      <c r="AJ321" s="189"/>
      <c r="AK321" s="189"/>
      <c r="AL321" s="189"/>
      <c r="AM321" s="189"/>
      <c r="AN321" s="189"/>
      <c r="AO321" s="189"/>
      <c r="AP321" s="189"/>
      <c r="AQ321" s="189"/>
    </row>
    <row r="322" spans="1:43" s="130" customFormat="1" x14ac:dyDescent="0.35">
      <c r="A322" s="121" t="s">
        <v>0</v>
      </c>
      <c r="B322" s="121" t="s">
        <v>378</v>
      </c>
      <c r="C322" s="121" t="s">
        <v>379</v>
      </c>
      <c r="D322" s="236" t="str">
        <f ca="1">IF([1]!s_info_industry_sw(B322,1)=0,"-",[1]!s_info_industry_sw(B322,1))</f>
        <v>纺织服装</v>
      </c>
      <c r="E322" s="122" t="str">
        <f ca="1">[1]!cb_info_underlyingcode(B322)</f>
        <v>603055.SH</v>
      </c>
      <c r="F322" s="124">
        <f ca="1">RTD("wdf.rtq",,B322,"LastPrice","Dirty_Price")</f>
        <v>204.53</v>
      </c>
      <c r="G322" s="124">
        <f ca="1">RTD("wdf.rtq",,E322,"LastPrice")</f>
        <v>15.85</v>
      </c>
      <c r="H322" s="226">
        <f ca="1">RTD("wdf.rtq",,B322,"PctChg","RT_Price")/100</f>
        <v>2.2800000000000001E-2</v>
      </c>
      <c r="I322" s="226">
        <f ca="1">RTD("wdf.rtq",,E322,"PctChg")/100</f>
        <v>3.2000000000000002E-3</v>
      </c>
      <c r="J322" s="125">
        <f ca="1">_xlfn.IFNA([1]!b_anal_ptmyear(B322,$B$2),"未发行或发行失败")</f>
        <v>3.2739726027397262</v>
      </c>
      <c r="K322" s="125">
        <f ca="1">RTD("wdf.rtq",,B322,"Amount","Dirty_Price")/100000000</f>
        <v>5.5600743699999997</v>
      </c>
      <c r="L322" s="125">
        <f ca="1">[1]!cb_anal_convprice(B322,$B$2)</f>
        <v>7.78</v>
      </c>
      <c r="M322" s="125">
        <f t="shared" ca="1" si="16"/>
        <v>203.7275064267352</v>
      </c>
      <c r="N322" s="126">
        <f t="shared" ca="1" si="17"/>
        <v>0.39390536277603871</v>
      </c>
      <c r="O322" s="126">
        <f t="array" aca="1" ref="O322" ca="1">_xlfn.IFNA(RTD("wdf.rtq",,B322,"LastPrice","Yield_To_Maturity"),[1]!cb_anal_ytm(B322,$C$2))</f>
        <v>-16.546400000000002</v>
      </c>
      <c r="P322" s="126">
        <f ca="1">[1]!cb_anal_straightbondvalue(B322,$B$2)</f>
        <v>101.154</v>
      </c>
      <c r="Q322" s="126">
        <f t="shared" ca="1" si="18"/>
        <v>102.19665065148192</v>
      </c>
      <c r="R322" s="126" t="str">
        <f ca="1">[1]!b_rate_latestcredit(B322)</f>
        <v>AA</v>
      </c>
      <c r="S322" s="126">
        <f ca="1">[1]!cb_info_outstandingbalance(B322,$B$2)</f>
        <v>4.4908089999999996</v>
      </c>
      <c r="T322" s="126">
        <f ca="1">[1]!cb_info_issueamount(B322,100000000)</f>
        <v>5.33</v>
      </c>
      <c r="U322" s="126">
        <f t="shared" ca="1" si="19"/>
        <v>84.255328330206382</v>
      </c>
      <c r="V322" s="230">
        <f ca="1">IF([1]!cb_anal_ldiluterate(B322,$B$2)=100,"-",[1]!cb_anal_ldiluterate(B322,$B$2))</f>
        <v>7.2959815477561767</v>
      </c>
      <c r="W322" s="127" t="str">
        <f ca="1">[1]!cb_info_listeddate(B322)</f>
        <v>2019-01-11</v>
      </c>
      <c r="X322" s="127" t="str">
        <f ca="1">[1]!cb_info_carrydate(B322)</f>
        <v>2018-12-17</v>
      </c>
      <c r="Y322" s="125" t="str">
        <f ca="1">[1]!cb_clause_conversion_2_swapsharestartdate(B322)</f>
        <v>2019-06-21</v>
      </c>
      <c r="Z322" s="125" t="str">
        <f ca="1">[1]!cb_clause_putoption_conditionalputbackstartenddate(B322)</f>
        <v>2022-12-17</v>
      </c>
      <c r="AA322" s="230">
        <f ca="1">[1]!cb_info_maturitycallprice(B322)</f>
        <v>110</v>
      </c>
      <c r="AB322" s="230">
        <f ca="1">IF(ISNUMBER([1]!cb_info_conditionalputprice(B322)),[1]!cb_info_conditionalputprice(B322),"-")</f>
        <v>0</v>
      </c>
      <c r="AC322" s="230">
        <f ca="1">[1]!cb_info_interest(B322)</f>
        <v>0.4</v>
      </c>
      <c r="AD322" s="263" t="str">
        <f ca="1">IFERROR(couponlist([1]!cb_clause_interest(B322,"4")),"-")</f>
        <v>0.4%，0.6%，1.0%，1.5%，1.8%，3.0%</v>
      </c>
      <c r="AE322" s="129"/>
      <c r="AF322" s="129"/>
      <c r="AG322" s="129"/>
      <c r="AH322" s="129"/>
      <c r="AI322" s="129"/>
      <c r="AJ322" s="129"/>
      <c r="AK322" s="129"/>
      <c r="AL322" s="129"/>
      <c r="AM322" s="129"/>
      <c r="AN322" s="129"/>
      <c r="AO322" s="129"/>
      <c r="AP322" s="129"/>
      <c r="AQ322" s="129"/>
    </row>
    <row r="323" spans="1:43" s="191" customFormat="1" x14ac:dyDescent="0.35">
      <c r="A323" s="182" t="s">
        <v>0</v>
      </c>
      <c r="B323" s="182" t="s">
        <v>447</v>
      </c>
      <c r="C323" s="182" t="s">
        <v>448</v>
      </c>
      <c r="D323" s="235" t="str">
        <f ca="1">IF([1]!s_info_industry_sw(B323,1)=0,"-",[1]!s_info_industry_sw(B323,1))</f>
        <v>电子</v>
      </c>
      <c r="E323" s="183" t="str">
        <f ca="1">[1]!cb_info_underlyingcode(B323)</f>
        <v>603989.SH</v>
      </c>
      <c r="F323" s="185">
        <f ca="1">RTD("wdf.rtq",,B323,"LastPrice","Dirty_Price")</f>
        <v>160.16</v>
      </c>
      <c r="G323" s="185">
        <f ca="1">RTD("wdf.rtq",,E323,"LastPrice")</f>
        <v>31.41</v>
      </c>
      <c r="H323" s="225">
        <f ca="1">RTD("wdf.rtq",,B323,"PctChg","RT_Price")/100</f>
        <v>1.0200000000000001E-2</v>
      </c>
      <c r="I323" s="225">
        <f ca="1">RTD("wdf.rtq",,E323,"PctChg")/100</f>
        <v>3.5000000000000005E-3</v>
      </c>
      <c r="J323" s="186">
        <f ca="1">_xlfn.IFNA([1]!b_anal_ptmyear(B323,$B$2),"未发行或发行失败")</f>
        <v>2.4794520547945207</v>
      </c>
      <c r="K323" s="186">
        <f ca="1">RTD("wdf.rtq",,B323,"Amount","Dirty_Price")/100000000</f>
        <v>5.0522959999999999E-2</v>
      </c>
      <c r="L323" s="186">
        <f ca="1">[1]!cb_anal_convprice(B323,$B$2)</f>
        <v>20.81</v>
      </c>
      <c r="M323" s="186">
        <f t="shared" ca="1" si="16"/>
        <v>150.93704949543491</v>
      </c>
      <c r="N323" s="187">
        <f t="shared" ca="1" si="17"/>
        <v>6.1104616364215047</v>
      </c>
      <c r="O323" s="187">
        <f t="array" aca="1" ref="O323" ca="1">_xlfn.IFNA(RTD("wdf.rtq",,B323,"LastPrice","Yield_To_Maturity"),[1]!cb_anal_ytm(B323,$C$2))</f>
        <v>-14.4916</v>
      </c>
      <c r="P323" s="187">
        <f ca="1">[1]!cb_anal_straightbondvalue(B323,$B$2)</f>
        <v>100.53570000000001</v>
      </c>
      <c r="Q323" s="187">
        <f t="shared" ca="1" si="18"/>
        <v>59.306594572873109</v>
      </c>
      <c r="R323" s="187" t="str">
        <f ca="1">[1]!b_rate_latestcredit(B323)</f>
        <v>AA</v>
      </c>
      <c r="S323" s="187">
        <f ca="1">[1]!cb_info_outstandingbalance(B323,$B$2)</f>
        <v>4.8984800000000002</v>
      </c>
      <c r="T323" s="187">
        <f ca="1">[1]!cb_info_issueamount(B323,100000000)</f>
        <v>6.91</v>
      </c>
      <c r="U323" s="187">
        <f t="shared" ca="1" si="19"/>
        <v>70.889725036179456</v>
      </c>
      <c r="V323" s="240">
        <f ca="1">IF([1]!cb_anal_ldiluterate(B323,$B$2)=100,"-",[1]!cb_anal_ldiluterate(B323,$B$2))</f>
        <v>5.5644303133588915</v>
      </c>
      <c r="W323" s="188" t="str">
        <f ca="1">[1]!cb_info_listeddate(B323)</f>
        <v>2018-03-23</v>
      </c>
      <c r="X323" s="188" t="str">
        <f ca="1">[1]!cb_info_carrydate(B323)</f>
        <v>2018-03-02</v>
      </c>
      <c r="Y323" s="186" t="str">
        <f ca="1">[1]!cb_clause_conversion_2_swapsharestartdate(B323)</f>
        <v>2018-09-10</v>
      </c>
      <c r="Z323" s="186" t="str">
        <f ca="1">[1]!cb_clause_putoption_conditionalputbackstartenddate(B323)</f>
        <v>2022-03-02</v>
      </c>
      <c r="AA323" s="240">
        <f ca="1">[1]!cb_info_maturitycallprice(B323)</f>
        <v>106</v>
      </c>
      <c r="AB323" s="240">
        <f ca="1">IF(ISNUMBER([1]!cb_info_conditionalputprice(B323)),[1]!cb_info_conditionalputprice(B323),"-")</f>
        <v>0</v>
      </c>
      <c r="AC323" s="240">
        <f ca="1">[1]!cb_info_interest(B323)</f>
        <v>0.3</v>
      </c>
      <c r="AD323" s="262" t="str">
        <f ca="1">IFERROR(couponlist([1]!cb_clause_interest(B323,"4")),"-")</f>
        <v>0.30%，0.50%，1.00%，1.50%，1.80%，2.00%</v>
      </c>
      <c r="AE323" s="189"/>
      <c r="AF323" s="189"/>
      <c r="AG323" s="189"/>
      <c r="AH323" s="189"/>
      <c r="AI323" s="189"/>
      <c r="AJ323" s="189"/>
      <c r="AK323" s="189"/>
      <c r="AL323" s="189"/>
      <c r="AM323" s="189"/>
      <c r="AN323" s="189"/>
      <c r="AO323" s="189"/>
      <c r="AP323" s="189"/>
      <c r="AQ323" s="189"/>
    </row>
    <row r="324" spans="1:43" s="130" customFormat="1" x14ac:dyDescent="0.35">
      <c r="A324" s="121" t="s">
        <v>5</v>
      </c>
      <c r="B324" s="121" t="s">
        <v>854</v>
      </c>
      <c r="C324" s="121" t="s">
        <v>855</v>
      </c>
      <c r="D324" s="236" t="str">
        <f ca="1">IF([1]!s_info_industry_sw(B324,1)=0,"-",[1]!s_info_industry_sw(B324,1))</f>
        <v>电子</v>
      </c>
      <c r="E324" s="122" t="str">
        <f ca="1">[1]!cb_info_underlyingcode(B324)</f>
        <v>300543.SZ</v>
      </c>
      <c r="F324" s="124">
        <f ca="1">RTD("wdf.rtq",,B324,"LastPrice","Dirty_Price")</f>
        <v>133.94900000000001</v>
      </c>
      <c r="G324" s="124">
        <f ca="1">RTD("wdf.rtq",,E324,"LastPrice")</f>
        <v>13.780000000000001</v>
      </c>
      <c r="H324" s="226">
        <f ca="1">RTD("wdf.rtq",,B324,"PctChg","RT_Price")/100</f>
        <v>1.1900000000000001E-2</v>
      </c>
      <c r="I324" s="226">
        <f ca="1">RTD("wdf.rtq",,E324,"PctChg")/100</f>
        <v>-2.2000000000000001E-3</v>
      </c>
      <c r="J324" s="125">
        <f ca="1">_xlfn.IFNA([1]!b_anal_ptmyear(B324,$B$2),"未发行或发行失败")</f>
        <v>5.4219178082191783</v>
      </c>
      <c r="K324" s="125">
        <f ca="1">RTD("wdf.rtq",,B324,"Amount","Dirty_Price")/100000000</f>
        <v>0.22536624</v>
      </c>
      <c r="L324" s="125">
        <f ca="1">[1]!cb_anal_convprice(B324,$B$2)</f>
        <v>11.61</v>
      </c>
      <c r="M324" s="125">
        <f t="shared" ca="1" si="16"/>
        <v>118.69078380706289</v>
      </c>
      <c r="N324" s="126">
        <f t="shared" ca="1" si="17"/>
        <v>12.855434687953561</v>
      </c>
      <c r="O324" s="126">
        <f t="array" aca="1" ref="O324" ca="1">_xlfn.IFNA(RTD("wdf.rtq",,B324,"LastPrice","Yield_To_Maturity"),[1]!cb_anal_ytm(B324,$C$2))</f>
        <v>-2.4327000000000001</v>
      </c>
      <c r="P324" s="126">
        <f ca="1">[1]!cb_anal_straightbondvalue(B324,$B$2)</f>
        <v>83.187799999999996</v>
      </c>
      <c r="Q324" s="126">
        <f t="shared" ca="1" si="18"/>
        <v>61.020005337321123</v>
      </c>
      <c r="R324" s="126" t="str">
        <f ca="1">[1]!b_rate_latestcredit(B324)</f>
        <v>AA-</v>
      </c>
      <c r="S324" s="126">
        <f ca="1">[1]!cb_info_outstandingbalance(B324,$B$2)</f>
        <v>3.799188</v>
      </c>
      <c r="T324" s="126">
        <f ca="1">[1]!cb_info_issueamount(B324,100000000)</f>
        <v>3.8</v>
      </c>
      <c r="U324" s="126">
        <f t="shared" ca="1" si="19"/>
        <v>99.978631578947372</v>
      </c>
      <c r="V324" s="230">
        <f ca="1">IF([1]!cb_anal_ldiluterate(B324,$B$2)=100,"-",[1]!cb_anal_ldiluterate(B324,$B$2))</f>
        <v>13.726217718070291</v>
      </c>
      <c r="W324" s="127" t="str">
        <f ca="1">[1]!cb_info_listeddate(B324)</f>
        <v>2021-03-16</v>
      </c>
      <c r="X324" s="127" t="str">
        <f ca="1">[1]!cb_info_carrydate(B324)</f>
        <v>2021-02-09</v>
      </c>
      <c r="Y324" s="125" t="str">
        <f ca="1">[1]!cb_clause_conversion_2_swapsharestartdate(B324)</f>
        <v>2021-08-23</v>
      </c>
      <c r="Z324" s="125" t="str">
        <f ca="1">[1]!cb_clause_putoption_conditionalputbackstartenddate(B324)</f>
        <v>2025-02-09</v>
      </c>
      <c r="AA324" s="230">
        <f ca="1">[1]!cb_info_maturitycallprice(B324)</f>
        <v>112</v>
      </c>
      <c r="AB324" s="230">
        <f ca="1">IF(ISNUMBER([1]!cb_info_conditionalputprice(B324)),[1]!cb_info_conditionalputprice(B324),"-")</f>
        <v>0</v>
      </c>
      <c r="AC324" s="230">
        <f ca="1">[1]!cb_info_interest(B324)</f>
        <v>0.4</v>
      </c>
      <c r="AD324" s="263" t="str">
        <f ca="1">IFERROR(couponlist([1]!cb_clause_interest(B324,"4")),"-")</f>
        <v>0.4%，0.6%，1.0%，1.5%，2.0%，3.0%</v>
      </c>
      <c r="AE324" s="129"/>
      <c r="AF324" s="129"/>
      <c r="AG324" s="129"/>
      <c r="AH324" s="129"/>
      <c r="AI324" s="129"/>
      <c r="AJ324" s="129"/>
      <c r="AK324" s="129"/>
      <c r="AL324" s="129"/>
      <c r="AM324" s="129"/>
      <c r="AN324" s="129"/>
      <c r="AO324" s="129"/>
      <c r="AP324" s="129"/>
      <c r="AQ324" s="129"/>
    </row>
    <row r="325" spans="1:43" s="191" customFormat="1" x14ac:dyDescent="0.35">
      <c r="A325" s="182" t="s">
        <v>0</v>
      </c>
      <c r="B325" s="182" t="s">
        <v>838</v>
      </c>
      <c r="C325" s="182" t="s">
        <v>839</v>
      </c>
      <c r="D325" s="235" t="str">
        <f ca="1">IF([1]!s_info_industry_sw(B325,1)=0,"-",[1]!s_info_industry_sw(B325,1))</f>
        <v>电子</v>
      </c>
      <c r="E325" s="183" t="str">
        <f ca="1">[1]!cb_info_underlyingcode(B325)</f>
        <v>603920.SH</v>
      </c>
      <c r="F325" s="185">
        <f ca="1">RTD("wdf.rtq",,B325,"LastPrice","Dirty_Price")</f>
        <v>117.06</v>
      </c>
      <c r="G325" s="185">
        <f ca="1">RTD("wdf.rtq",,E325,"LastPrice")</f>
        <v>15.55</v>
      </c>
      <c r="H325" s="225">
        <f ca="1">RTD("wdf.rtq",,B325,"PctChg","RT_Price")/100</f>
        <v>-8.0000000000000002E-3</v>
      </c>
      <c r="I325" s="225">
        <f ca="1">RTD("wdf.rtq",,E325,"PctChg")/100</f>
        <v>-3.2399999999999998E-2</v>
      </c>
      <c r="J325" s="186">
        <f ca="1">_xlfn.IFNA([1]!b_anal_ptmyear(B325,$B$2),"未发行或发行失败")</f>
        <v>5.3671232876712329</v>
      </c>
      <c r="K325" s="186">
        <f ca="1">RTD("wdf.rtq",,B325,"Amount","Dirty_Price")/100000000</f>
        <v>0.18059330000000001</v>
      </c>
      <c r="L325" s="186">
        <f ca="1">[1]!cb_anal_convprice(B325,$B$2)</f>
        <v>19.920000000000002</v>
      </c>
      <c r="M325" s="186">
        <f t="shared" ca="1" si="16"/>
        <v>78.062248995983936</v>
      </c>
      <c r="N325" s="187">
        <f t="shared" ca="1" si="17"/>
        <v>49.957247588424451</v>
      </c>
      <c r="O325" s="187">
        <f t="array" aca="1" ref="O325" ca="1">_xlfn.IFNA(RTD("wdf.rtq",,B325,"LastPrice","Yield_To_Maturity"),[1]!cb_anal_ytm(B325,$C$2))</f>
        <v>-0.30370000000000003</v>
      </c>
      <c r="P325" s="187">
        <f ca="1">[1]!cb_anal_straightbondvalue(B325,$B$2)</f>
        <v>91.908000000000001</v>
      </c>
      <c r="Q325" s="187">
        <f t="shared" ca="1" si="18"/>
        <v>27.366496931714323</v>
      </c>
      <c r="R325" s="187" t="str">
        <f ca="1">[1]!b_rate_latestcredit(B325)</f>
        <v>AA</v>
      </c>
      <c r="S325" s="187">
        <f ca="1">[1]!cb_info_outstandingbalance(B325,$B$2)</f>
        <v>9.9987399999999997</v>
      </c>
      <c r="T325" s="187">
        <f ca="1">[1]!cb_info_issueamount(B325,100000000)</f>
        <v>10</v>
      </c>
      <c r="U325" s="187">
        <f t="shared" ca="1" si="19"/>
        <v>99.987400000000008</v>
      </c>
      <c r="V325" s="240">
        <f ca="1">IF([1]!cb_anal_ldiluterate(B325,$B$2)=100,"-",[1]!cb_anal_ldiluterate(B325,$B$2))</f>
        <v>8.6645675967462399</v>
      </c>
      <c r="W325" s="188" t="str">
        <f ca="1">[1]!cb_info_listeddate(B325)</f>
        <v>2021-02-19</v>
      </c>
      <c r="X325" s="188" t="str">
        <f ca="1">[1]!cb_info_carrydate(B325)</f>
        <v>2021-01-20</v>
      </c>
      <c r="Y325" s="186" t="str">
        <f ca="1">[1]!cb_clause_conversion_2_swapsharestartdate(B325)</f>
        <v>2021-07-26</v>
      </c>
      <c r="Z325" s="186" t="str">
        <f ca="1">[1]!cb_clause_putoption_conditionalputbackstartenddate(B325)</f>
        <v>2025-01-20</v>
      </c>
      <c r="AA325" s="240">
        <f ca="1">[1]!cb_info_maturitycallprice(B325)</f>
        <v>110</v>
      </c>
      <c r="AB325" s="240">
        <f ca="1">IF(ISNUMBER([1]!cb_info_conditionalputprice(B325)),[1]!cb_info_conditionalputprice(B325),"-")</f>
        <v>0</v>
      </c>
      <c r="AC325" s="240">
        <f ca="1">[1]!cb_info_interest(B325)</f>
        <v>0.3</v>
      </c>
      <c r="AD325" s="262" t="str">
        <f ca="1">IFERROR(couponlist([1]!cb_clause_interest(B325,"4")),"-")</f>
        <v>0.30%，0.60%，1.00%，1.50%，1.80%，2.00%</v>
      </c>
      <c r="AE325" s="189"/>
      <c r="AF325" s="189"/>
      <c r="AG325" s="189"/>
      <c r="AH325" s="189"/>
      <c r="AI325" s="189"/>
      <c r="AJ325" s="189"/>
      <c r="AK325" s="189"/>
      <c r="AL325" s="189"/>
      <c r="AM325" s="189"/>
      <c r="AN325" s="189"/>
      <c r="AO325" s="189"/>
      <c r="AP325" s="189"/>
      <c r="AQ325" s="189"/>
    </row>
    <row r="326" spans="1:43" s="130" customFormat="1" x14ac:dyDescent="0.35">
      <c r="A326" s="121" t="s">
        <v>5</v>
      </c>
      <c r="B326" s="121" t="s">
        <v>172</v>
      </c>
      <c r="C326" s="121" t="s">
        <v>173</v>
      </c>
      <c r="D326" s="236" t="str">
        <f ca="1">IF([1]!s_info_industry_sw(B326,1)=0,"-",[1]!s_info_industry_sw(B326,1))</f>
        <v>电子</v>
      </c>
      <c r="E326" s="122" t="str">
        <f ca="1">[1]!cb_info_underlyingcode(B326)</f>
        <v>002036.SZ</v>
      </c>
      <c r="F326" s="124">
        <f ca="1">RTD("wdf.rtq",,B326,"LastPrice","Dirty_Price")</f>
        <v>153.47</v>
      </c>
      <c r="G326" s="124">
        <f ca="1">RTD("wdf.rtq",,E326,"LastPrice")</f>
        <v>16.760000000000002</v>
      </c>
      <c r="H326" s="226">
        <f ca="1">RTD("wdf.rtq",,B326,"PctChg","RT_Price")/100</f>
        <v>1.4000000000000002E-2</v>
      </c>
      <c r="I326" s="226">
        <f ca="1">RTD("wdf.rtq",,E326,"PctChg")/100</f>
        <v>2.3200000000000002E-2</v>
      </c>
      <c r="J326" s="125">
        <f ca="1">_xlfn.IFNA([1]!b_anal_ptmyear(B326,$B$2),"未发行或发行失败")</f>
        <v>4.5178082191780824</v>
      </c>
      <c r="K326" s="125">
        <f ca="1">RTD("wdf.rtq",,B326,"Amount","Dirty_Price")/100000000</f>
        <v>0.86442275000000002</v>
      </c>
      <c r="L326" s="125">
        <f ca="1">[1]!cb_anal_convprice(B326,$B$2)</f>
        <v>13.72</v>
      </c>
      <c r="M326" s="125">
        <f t="shared" ca="1" si="16"/>
        <v>122.15743440233237</v>
      </c>
      <c r="N326" s="126">
        <f t="shared" ca="1" si="17"/>
        <v>25.632959427207624</v>
      </c>
      <c r="O326" s="126">
        <f t="array" aca="1" ref="O326" ca="1">_xlfn.IFNA(RTD("wdf.rtq",,B326,"LastPrice","Yield_To_Maturity"),[1]!cb_anal_ytm(B326,$C$2))</f>
        <v>-6.3310000000000004</v>
      </c>
      <c r="P326" s="126">
        <f ca="1">[1]!cb_anal_straightbondvalue(B326,$B$2)</f>
        <v>95.526300000000006</v>
      </c>
      <c r="Q326" s="126">
        <f t="shared" ca="1" si="18"/>
        <v>60.657326830412131</v>
      </c>
      <c r="R326" s="126" t="str">
        <f ca="1">[1]!b_rate_latestcredit(B326)</f>
        <v>AA</v>
      </c>
      <c r="S326" s="126">
        <f ca="1">[1]!cb_info_outstandingbalance(B326,$B$2)</f>
        <v>2.9972029999999998</v>
      </c>
      <c r="T326" s="126">
        <f ca="1">[1]!cb_info_issueamount(B326,100000000)</f>
        <v>3</v>
      </c>
      <c r="U326" s="126">
        <f t="shared" ca="1" si="19"/>
        <v>99.90676666666667</v>
      </c>
      <c r="V326" s="230">
        <f ca="1">IF([1]!cb_anal_ldiluterate(B326,$B$2)=100,"-",[1]!cb_anal_ldiluterate(B326,$B$2))</f>
        <v>2.0469394351285666</v>
      </c>
      <c r="W326" s="127" t="str">
        <f ca="1">[1]!cb_info_listeddate(B326)</f>
        <v>2020-04-13</v>
      </c>
      <c r="X326" s="127" t="str">
        <f ca="1">[1]!cb_info_carrydate(B326)</f>
        <v>2020-03-16</v>
      </c>
      <c r="Y326" s="125" t="str">
        <f ca="1">[1]!cb_clause_conversion_2_swapsharestartdate(B326)</f>
        <v>2020-09-21</v>
      </c>
      <c r="Z326" s="125" t="str">
        <f ca="1">[1]!cb_clause_putoption_conditionalputbackstartenddate(B326)</f>
        <v>2024-03-16</v>
      </c>
      <c r="AA326" s="230">
        <f ca="1">[1]!cb_info_maturitycallprice(B326)</f>
        <v>110</v>
      </c>
      <c r="AB326" s="230">
        <f ca="1">IF(ISNUMBER([1]!cb_info_conditionalputprice(B326)),[1]!cb_info_conditionalputprice(B326),"-")</f>
        <v>0</v>
      </c>
      <c r="AC326" s="230">
        <f ca="1">[1]!cb_info_interest(B326)</f>
        <v>0.3</v>
      </c>
      <c r="AD326" s="263" t="str">
        <f ca="1">IFERROR(couponlist([1]!cb_clause_interest(B326,"4")),"-")</f>
        <v>0.30%，0.50%，1.00%，1.50%，1.80%，2.00%</v>
      </c>
      <c r="AE326" s="129"/>
      <c r="AF326" s="129"/>
      <c r="AG326" s="129"/>
      <c r="AH326" s="129"/>
      <c r="AI326" s="129"/>
      <c r="AJ326" s="129"/>
      <c r="AK326" s="129"/>
      <c r="AL326" s="129"/>
      <c r="AM326" s="129"/>
      <c r="AN326" s="129"/>
      <c r="AO326" s="129"/>
      <c r="AP326" s="129"/>
      <c r="AQ326" s="129"/>
    </row>
    <row r="327" spans="1:43" s="191" customFormat="1" x14ac:dyDescent="0.35">
      <c r="A327" s="182" t="s">
        <v>5</v>
      </c>
      <c r="B327" s="182" t="s">
        <v>577</v>
      </c>
      <c r="C327" s="182" t="s">
        <v>578</v>
      </c>
      <c r="D327" s="235" t="str">
        <f ca="1">IF([1]!s_info_industry_sw(B327,1)=0,"-",[1]!s_info_industry_sw(B327,1))</f>
        <v>电子</v>
      </c>
      <c r="E327" s="183" t="str">
        <f ca="1">[1]!cb_info_underlyingcode(B327)</f>
        <v>300657.SZ</v>
      </c>
      <c r="F327" s="185">
        <f ca="1">RTD("wdf.rtq",,B327,"LastPrice","Dirty_Price")</f>
        <v>160.58799999999999</v>
      </c>
      <c r="G327" s="185">
        <f ca="1">RTD("wdf.rtq",,E327,"LastPrice")</f>
        <v>24.19</v>
      </c>
      <c r="H327" s="225">
        <f ca="1">RTD("wdf.rtq",,B327,"PctChg","RT_Price")/100</f>
        <v>-5.0300000000000004E-2</v>
      </c>
      <c r="I327" s="225">
        <f ca="1">RTD("wdf.rtq",,E327,"PctChg")/100</f>
        <v>-7.3200000000000001E-2</v>
      </c>
      <c r="J327" s="186">
        <f ca="1">_xlfn.IFNA([1]!b_anal_ptmyear(B327,$B$2),"未发行或发行失败")</f>
        <v>5.1013698630136988</v>
      </c>
      <c r="K327" s="186">
        <f ca="1">RTD("wdf.rtq",,B327,"Amount","Dirty_Price")/100000000</f>
        <v>4.4427763599999999</v>
      </c>
      <c r="L327" s="186">
        <f ca="1">[1]!cb_anal_convprice(B327,$B$2)</f>
        <v>15.34</v>
      </c>
      <c r="M327" s="186">
        <f t="shared" ref="M327:M381" ca="1" si="20">IFERROR(100*G327/L327,)</f>
        <v>157.69230769230771</v>
      </c>
      <c r="N327" s="187">
        <f t="shared" ref="N327:N381" ca="1" si="21">IF(F327=0,"-",100*F327/M327-100)</f>
        <v>1.8362926829268105</v>
      </c>
      <c r="O327" s="187">
        <f t="array" aca="1" ref="O327" ca="1">_xlfn.IFNA(RTD("wdf.rtq",,B327,"LastPrice","Yield_To_Maturity"),[1]!cb_anal_ytm(B327,$C$2))</f>
        <v>-5.476</v>
      </c>
      <c r="P327" s="187">
        <f ca="1">[1]!cb_anal_straightbondvalue(B327,$B$2)</f>
        <v>87.843699999999998</v>
      </c>
      <c r="Q327" s="187">
        <f t="shared" ref="Q327:Q381" ca="1" si="22">IF(F327=0,"-",100*F327/P327-100)</f>
        <v>82.811061009497536</v>
      </c>
      <c r="R327" s="187" t="str">
        <f ca="1">[1]!b_rate_latestcredit(B327)</f>
        <v>AA-</v>
      </c>
      <c r="S327" s="187">
        <f ca="1">[1]!cb_info_outstandingbalance(B327,$B$2)</f>
        <v>5.1745929999999998</v>
      </c>
      <c r="T327" s="187">
        <f ca="1">[1]!cb_info_issueamount(B327,100000000)</f>
        <v>5.7</v>
      </c>
      <c r="U327" s="187">
        <f t="shared" ref="U327:U381" ca="1" si="23">100*S327/T327</f>
        <v>90.782333333333327</v>
      </c>
      <c r="V327" s="240">
        <f ca="1">IF([1]!cb_anal_ldiluterate(B327,$B$2)=100,"-",[1]!cb_anal_ldiluterate(B327,$B$2))</f>
        <v>8.7448983569588474</v>
      </c>
      <c r="W327" s="188" t="str">
        <f ca="1">[1]!cb_info_listeddate(B327)</f>
        <v>2020-11-04</v>
      </c>
      <c r="X327" s="188" t="str">
        <f ca="1">[1]!cb_info_carrydate(B327)</f>
        <v>2020-10-15</v>
      </c>
      <c r="Y327" s="186" t="str">
        <f ca="1">[1]!cb_clause_conversion_2_swapsharestartdate(B327)</f>
        <v>2021-04-21</v>
      </c>
      <c r="Z327" s="186" t="str">
        <f ca="1">[1]!cb_clause_putoption_conditionalputbackstartenddate(B327)</f>
        <v>2024-10-15</v>
      </c>
      <c r="AA327" s="240">
        <f ca="1">[1]!cb_info_maturitycallprice(B327)</f>
        <v>115</v>
      </c>
      <c r="AB327" s="240">
        <f ca="1">IF(ISNUMBER([1]!cb_info_conditionalputprice(B327)),[1]!cb_info_conditionalputprice(B327),"-")</f>
        <v>0</v>
      </c>
      <c r="AC327" s="240">
        <f ca="1">[1]!cb_info_interest(B327)</f>
        <v>0.4</v>
      </c>
      <c r="AD327" s="262" t="str">
        <f ca="1">IFERROR(couponlist([1]!cb_clause_interest(B327,"4")),"-")</f>
        <v>0.4%，0.8%，1.0%，1.5%，2.5%，3.0%</v>
      </c>
      <c r="AE327" s="189"/>
      <c r="AF327" s="189"/>
      <c r="AG327" s="189"/>
      <c r="AH327" s="189"/>
      <c r="AI327" s="189"/>
      <c r="AJ327" s="189"/>
      <c r="AK327" s="189"/>
      <c r="AL327" s="189"/>
      <c r="AM327" s="189"/>
      <c r="AN327" s="189"/>
      <c r="AO327" s="189"/>
      <c r="AP327" s="189"/>
      <c r="AQ327" s="189"/>
    </row>
    <row r="328" spans="1:43" s="130" customFormat="1" x14ac:dyDescent="0.35">
      <c r="A328" s="121" t="s">
        <v>5</v>
      </c>
      <c r="B328" s="121" t="s">
        <v>14</v>
      </c>
      <c r="C328" s="121" t="s">
        <v>15</v>
      </c>
      <c r="D328" s="236" t="str">
        <f ca="1">IF([1]!s_info_industry_sw(B328,1)=0,"-",[1]!s_info_industry_sw(B328,1))</f>
        <v>电子</v>
      </c>
      <c r="E328" s="122" t="str">
        <f ca="1">[1]!cb_info_underlyingcode(B328)</f>
        <v>300303.SZ</v>
      </c>
      <c r="F328" s="124">
        <f ca="1">RTD("wdf.rtq",,B328,"LastPrice","Dirty_Price")</f>
        <v>141.18600000000001</v>
      </c>
      <c r="G328" s="124">
        <f ca="1">RTD("wdf.rtq",,E328,"LastPrice")</f>
        <v>6.32</v>
      </c>
      <c r="H328" s="226">
        <f ca="1">RTD("wdf.rtq",,B328,"PctChg","RT_Price")/100</f>
        <v>8.8000000000000005E-3</v>
      </c>
      <c r="I328" s="226">
        <f ca="1">RTD("wdf.rtq",,E328,"PctChg")/100</f>
        <v>1.1199999999999998E-2</v>
      </c>
      <c r="J328" s="125">
        <f ca="1">_xlfn.IFNA([1]!b_anal_ptmyear(B328,$B$2),"未发行或发行失败")</f>
        <v>4.5972602739726032</v>
      </c>
      <c r="K328" s="125">
        <f ca="1">RTD("wdf.rtq",,B328,"Amount","Dirty_Price")/100000000</f>
        <v>0.77962315000000004</v>
      </c>
      <c r="L328" s="125">
        <f ca="1">[1]!cb_anal_convprice(B328,$B$2)</f>
        <v>5.08</v>
      </c>
      <c r="M328" s="125">
        <f t="shared" ca="1" si="20"/>
        <v>124.40944881889763</v>
      </c>
      <c r="N328" s="126">
        <f t="shared" ca="1" si="21"/>
        <v>13.484949367088618</v>
      </c>
      <c r="O328" s="126">
        <f t="array" aca="1" ref="O328" ca="1">_xlfn.IFNA(RTD("wdf.rtq",,B328,"LastPrice","Yield_To_Maturity"),[1]!cb_anal_ytm(B328,$C$2))</f>
        <v>-2.8742000000000001</v>
      </c>
      <c r="P328" s="126">
        <f ca="1">[1]!cb_anal_straightbondvalue(B328,$B$2)</f>
        <v>92.942400000000006</v>
      </c>
      <c r="Q328" s="126">
        <f t="shared" ca="1" si="22"/>
        <v>51.906987553581558</v>
      </c>
      <c r="R328" s="126" t="str">
        <f ca="1">[1]!b_rate_latestcredit(B328)</f>
        <v>AA-</v>
      </c>
      <c r="S328" s="126">
        <f ca="1">[1]!cb_info_outstandingbalance(B328,$B$2)</f>
        <v>3.7469769999999998</v>
      </c>
      <c r="T328" s="126">
        <f ca="1">[1]!cb_info_issueamount(B328,100000000)</f>
        <v>7.046881</v>
      </c>
      <c r="U328" s="126">
        <f t="shared" ca="1" si="23"/>
        <v>53.172133884480239</v>
      </c>
      <c r="V328" s="230">
        <f ca="1">IF([1]!cb_anal_ldiluterate(B328,$B$2)=100,"-",[1]!cb_anal_ldiluterate(B328,$B$2))</f>
        <v>10.23089598323155</v>
      </c>
      <c r="W328" s="127" t="str">
        <f ca="1">[1]!cb_info_listeddate(B328)</f>
        <v>2020-05-15</v>
      </c>
      <c r="X328" s="127" t="str">
        <f ca="1">[1]!cb_info_carrydate(B328)</f>
        <v>2020-04-14</v>
      </c>
      <c r="Y328" s="125" t="str">
        <f ca="1">[1]!cb_clause_conversion_2_swapsharestartdate(B328)</f>
        <v>2020-10-20</v>
      </c>
      <c r="Z328" s="125" t="str">
        <f ca="1">[1]!cb_clause_putoption_conditionalputbackstartenddate(B328)</f>
        <v>2024-04-14</v>
      </c>
      <c r="AA328" s="230">
        <f ca="1">[1]!cb_info_maturitycallprice(B328)</f>
        <v>118</v>
      </c>
      <c r="AB328" s="230">
        <f ca="1">IF(ISNUMBER([1]!cb_info_conditionalputprice(B328)),[1]!cb_info_conditionalputprice(B328),"-")</f>
        <v>0</v>
      </c>
      <c r="AC328" s="230">
        <f ca="1">[1]!cb_info_interest(B328)</f>
        <v>0.4</v>
      </c>
      <c r="AD328" s="263" t="str">
        <f ca="1">IFERROR(couponlist([1]!cb_clause_interest(B328,"4")),"-")</f>
        <v>0.40%，0.80%，1.00%，1.50%，2.50%，3.50%</v>
      </c>
      <c r="AE328" s="129"/>
      <c r="AF328" s="129"/>
      <c r="AG328" s="129"/>
      <c r="AH328" s="129"/>
      <c r="AI328" s="129"/>
      <c r="AJ328" s="129"/>
      <c r="AK328" s="129"/>
      <c r="AL328" s="129"/>
      <c r="AM328" s="129"/>
      <c r="AN328" s="129"/>
      <c r="AO328" s="129"/>
      <c r="AP328" s="129"/>
      <c r="AQ328" s="129"/>
    </row>
    <row r="329" spans="1:43" s="191" customFormat="1" x14ac:dyDescent="0.35">
      <c r="A329" s="182" t="s">
        <v>5</v>
      </c>
      <c r="B329" s="182" t="s">
        <v>254</v>
      </c>
      <c r="C329" s="182" t="s">
        <v>255</v>
      </c>
      <c r="D329" s="235" t="str">
        <f ca="1">IF([1]!s_info_industry_sw(B329,1)=0,"-",[1]!s_info_industry_sw(B329,1))</f>
        <v>电子</v>
      </c>
      <c r="E329" s="183" t="str">
        <f ca="1">[1]!cb_info_underlyingcode(B329)</f>
        <v>300296.SZ</v>
      </c>
      <c r="F329" s="185">
        <f ca="1">RTD("wdf.rtq",,B329,"LastPrice","Dirty_Price")</f>
        <v>162.01000000000002</v>
      </c>
      <c r="G329" s="185">
        <f ca="1">RTD("wdf.rtq",,E329,"LastPrice")</f>
        <v>10.48</v>
      </c>
      <c r="H329" s="225">
        <f ca="1">RTD("wdf.rtq",,B329,"PctChg","RT_Price")/100</f>
        <v>1.26E-2</v>
      </c>
      <c r="I329" s="225">
        <f ca="1">RTD("wdf.rtq",,E329,"PctChg")/100</f>
        <v>2.2399999999999996E-2</v>
      </c>
      <c r="J329" s="186">
        <f ca="1">_xlfn.IFNA([1]!b_anal_ptmyear(B329,$B$2),"未发行或发行失败")</f>
        <v>4.183561643835616</v>
      </c>
      <c r="K329" s="186">
        <f ca="1">RTD("wdf.rtq",,B329,"Amount","Dirty_Price")/100000000</f>
        <v>1.8959707400000001</v>
      </c>
      <c r="L329" s="186">
        <f ca="1">[1]!cb_anal_convprice(B329,$B$2)</f>
        <v>6.96</v>
      </c>
      <c r="M329" s="186">
        <f t="shared" ca="1" si="20"/>
        <v>150.57471264367817</v>
      </c>
      <c r="N329" s="187">
        <f t="shared" ca="1" si="21"/>
        <v>7.594427480916039</v>
      </c>
      <c r="O329" s="187">
        <f t="array" aca="1" ref="O329" ca="1">_xlfn.IFNA(RTD("wdf.rtq",,B329,"LastPrice","Yield_To_Maturity"),[1]!cb_anal_ytm(B329,$C$2))</f>
        <v>-8.0044000000000004</v>
      </c>
      <c r="P329" s="187">
        <f ca="1">[1]!cb_anal_straightbondvalue(B329,$B$2)</f>
        <v>100.003</v>
      </c>
      <c r="Q329" s="187">
        <f t="shared" ca="1" si="22"/>
        <v>62.005139845804649</v>
      </c>
      <c r="R329" s="187" t="str">
        <f ca="1">[1]!b_rate_latestcredit(B329)</f>
        <v>AA+</v>
      </c>
      <c r="S329" s="187">
        <f ca="1">[1]!cb_info_outstandingbalance(B329,$B$2)</f>
        <v>7.9884740000000001</v>
      </c>
      <c r="T329" s="187">
        <f ca="1">[1]!cb_info_issueamount(B329,100000000)</f>
        <v>8</v>
      </c>
      <c r="U329" s="187">
        <f t="shared" ca="1" si="23"/>
        <v>99.855924999999999</v>
      </c>
      <c r="V329" s="240">
        <f ca="1">IF([1]!cb_anal_ldiluterate(B329,$B$2)=100,"-",[1]!cb_anal_ldiluterate(B329,$B$2))</f>
        <v>5.5527548825106381</v>
      </c>
      <c r="W329" s="188" t="str">
        <f ca="1">[1]!cb_info_listeddate(B329)</f>
        <v>2019-12-09</v>
      </c>
      <c r="X329" s="188" t="str">
        <f ca="1">[1]!cb_info_carrydate(B329)</f>
        <v>2019-11-14</v>
      </c>
      <c r="Y329" s="186" t="str">
        <f ca="1">[1]!cb_clause_conversion_2_swapsharestartdate(B329)</f>
        <v>2020-05-20</v>
      </c>
      <c r="Z329" s="186" t="str">
        <f ca="1">[1]!cb_clause_putoption_conditionalputbackstartenddate(B329)</f>
        <v>2023-11-14</v>
      </c>
      <c r="AA329" s="240">
        <f ca="1">[1]!cb_info_maturitycallprice(B329)</f>
        <v>110</v>
      </c>
      <c r="AB329" s="240">
        <f ca="1">IF(ISNUMBER([1]!cb_info_conditionalputprice(B329)),[1]!cb_info_conditionalputprice(B329),"-")</f>
        <v>100.541</v>
      </c>
      <c r="AC329" s="240">
        <f ca="1">[1]!cb_info_interest(B329)</f>
        <v>0.5</v>
      </c>
      <c r="AD329" s="262" t="str">
        <f ca="1">IFERROR(couponlist([1]!cb_clause_interest(B329,"4")),"-")</f>
        <v>0.50%，0.80%，1.00%，1.50%，1.80%，2.00%</v>
      </c>
      <c r="AE329" s="189"/>
      <c r="AF329" s="189"/>
      <c r="AG329" s="189"/>
      <c r="AH329" s="189"/>
      <c r="AI329" s="189"/>
      <c r="AJ329" s="189"/>
      <c r="AK329" s="189"/>
      <c r="AL329" s="189"/>
      <c r="AM329" s="189"/>
      <c r="AN329" s="189"/>
      <c r="AO329" s="189"/>
      <c r="AP329" s="189"/>
      <c r="AQ329" s="189"/>
    </row>
    <row r="330" spans="1:43" s="130" customFormat="1" x14ac:dyDescent="0.35">
      <c r="A330" s="121" t="s">
        <v>5</v>
      </c>
      <c r="B330" s="121" t="s">
        <v>100</v>
      </c>
      <c r="C330" s="121" t="s">
        <v>101</v>
      </c>
      <c r="D330" s="236" t="str">
        <f ca="1">IF([1]!s_info_industry_sw(B330,1)=0,"-",[1]!s_info_industry_sw(B330,1))</f>
        <v>电子</v>
      </c>
      <c r="E330" s="122" t="str">
        <f ca="1">[1]!cb_info_underlyingcode(B330)</f>
        <v>002861.SZ</v>
      </c>
      <c r="F330" s="124">
        <f ca="1">RTD("wdf.rtq",,B330,"LastPrice","Dirty_Price")</f>
        <v>107.268</v>
      </c>
      <c r="G330" s="124">
        <f ca="1">RTD("wdf.rtq",,E330,"LastPrice")</f>
        <v>12.370000000000001</v>
      </c>
      <c r="H330" s="226">
        <f ca="1">RTD("wdf.rtq",,B330,"PctChg","RT_Price")/100</f>
        <v>1E-3</v>
      </c>
      <c r="I330" s="226">
        <f ca="1">RTD("wdf.rtq",,E330,"PctChg")/100</f>
        <v>-2.4000000000000002E-3</v>
      </c>
      <c r="J330" s="125">
        <f ca="1">_xlfn.IFNA([1]!b_anal_ptmyear(B330,$B$2),"未发行或发行失败")</f>
        <v>4.8136986301369866</v>
      </c>
      <c r="K330" s="125">
        <f ca="1">RTD("wdf.rtq",,B330,"Amount","Dirty_Price")/100000000</f>
        <v>9.9378499999999998E-3</v>
      </c>
      <c r="L330" s="125">
        <f ca="1">[1]!cb_anal_convprice(B330,$B$2)</f>
        <v>21.12</v>
      </c>
      <c r="M330" s="125">
        <f t="shared" ca="1" si="20"/>
        <v>58.570075757575758</v>
      </c>
      <c r="N330" s="126">
        <f t="shared" ca="1" si="21"/>
        <v>83.144717865804353</v>
      </c>
      <c r="O330" s="126">
        <f t="array" aca="1" ref="O330" ca="1">_xlfn.IFNA(RTD("wdf.rtq",,B330,"LastPrice","Yield_To_Maturity"),[1]!cb_anal_ytm(B330,$C$2))</f>
        <v>2.7201</v>
      </c>
      <c r="P330" s="126">
        <f ca="1">[1]!cb_anal_straightbondvalue(B330,$B$2)</f>
        <v>90.030500000000004</v>
      </c>
      <c r="Q330" s="126">
        <f t="shared" ca="1" si="22"/>
        <v>19.14628931306612</v>
      </c>
      <c r="R330" s="126" t="str">
        <f ca="1">[1]!b_rate_latestcredit(B330)</f>
        <v>AA-</v>
      </c>
      <c r="S330" s="126">
        <f ca="1">[1]!cb_info_outstandingbalance(B330,$B$2)</f>
        <v>2.998481</v>
      </c>
      <c r="T330" s="126">
        <f ca="1">[1]!cb_info_issueamount(B330,100000000)</f>
        <v>3</v>
      </c>
      <c r="U330" s="126">
        <f t="shared" ca="1" si="23"/>
        <v>99.949366666666663</v>
      </c>
      <c r="V330" s="230">
        <f ca="1">IF([1]!cb_anal_ldiluterate(B330,$B$2)=100,"-",[1]!cb_anal_ldiluterate(B330,$B$2))</f>
        <v>11.620347671845611</v>
      </c>
      <c r="W330" s="127" t="str">
        <f ca="1">[1]!cb_info_listeddate(B330)</f>
        <v>2020-08-05</v>
      </c>
      <c r="X330" s="127" t="str">
        <f ca="1">[1]!cb_info_carrydate(B330)</f>
        <v>2020-07-02</v>
      </c>
      <c r="Y330" s="125" t="str">
        <f ca="1">[1]!cb_clause_conversion_2_swapsharestartdate(B330)</f>
        <v>2021-01-08</v>
      </c>
      <c r="Z330" s="125" t="str">
        <f ca="1">[1]!cb_clause_putoption_conditionalputbackstartenddate(B330)</f>
        <v>2024-07-02</v>
      </c>
      <c r="AA330" s="230">
        <f ca="1">[1]!cb_info_maturitycallprice(B330)</f>
        <v>115</v>
      </c>
      <c r="AB330" s="230">
        <f ca="1">IF(ISNUMBER([1]!cb_info_conditionalputprice(B330)),[1]!cb_info_conditionalputprice(B330),"-")</f>
        <v>0</v>
      </c>
      <c r="AC330" s="230">
        <f ca="1">[1]!cb_info_interest(B330)</f>
        <v>0.4</v>
      </c>
      <c r="AD330" s="263" t="str">
        <f ca="1">IFERROR(couponlist([1]!cb_clause_interest(B330,"4")),"-")</f>
        <v>0.4%，0.7%，1.2%，1.8%，3.0%，3.5%</v>
      </c>
      <c r="AE330" s="129"/>
      <c r="AF330" s="129"/>
      <c r="AG330" s="129"/>
      <c r="AH330" s="129"/>
      <c r="AI330" s="129"/>
      <c r="AJ330" s="129"/>
      <c r="AK330" s="129"/>
      <c r="AL330" s="129"/>
      <c r="AM330" s="129"/>
      <c r="AN330" s="129"/>
      <c r="AO330" s="129"/>
      <c r="AP330" s="129"/>
      <c r="AQ330" s="129"/>
    </row>
    <row r="331" spans="1:43" s="191" customFormat="1" x14ac:dyDescent="0.35">
      <c r="A331" s="182" t="s">
        <v>0</v>
      </c>
      <c r="B331" s="182" t="s">
        <v>32</v>
      </c>
      <c r="C331" s="182" t="s">
        <v>33</v>
      </c>
      <c r="D331" s="235" t="str">
        <f ca="1">IF([1]!s_info_industry_sw(B331,1)=0,"-",[1]!s_info_industry_sw(B331,1))</f>
        <v>电子</v>
      </c>
      <c r="E331" s="183" t="str">
        <f ca="1">[1]!cb_info_underlyingcode(B331)</f>
        <v>603228.SH</v>
      </c>
      <c r="F331" s="185">
        <f ca="1">RTD("wdf.rtq",,B331,"LastPrice","Dirty_Price")</f>
        <v>125.06</v>
      </c>
      <c r="G331" s="185">
        <f ca="1">RTD("wdf.rtq",,E331,"LastPrice")</f>
        <v>26.53</v>
      </c>
      <c r="H331" s="225">
        <f ca="1">RTD("wdf.rtq",,B331,"PctChg","RT_Price")/100</f>
        <v>-1.46E-2</v>
      </c>
      <c r="I331" s="225">
        <f ca="1">RTD("wdf.rtq",,E331,"PctChg")/100</f>
        <v>-2.46E-2</v>
      </c>
      <c r="J331" s="186">
        <f ca="1">_xlfn.IFNA([1]!b_anal_ptmyear(B331,$B$2),"未发行或发行失败")</f>
        <v>4.9589041095890414</v>
      </c>
      <c r="K331" s="186">
        <f ca="1">RTD("wdf.rtq",,B331,"Amount","Dirty_Price")/100000000</f>
        <v>3.4272219999999999E-2</v>
      </c>
      <c r="L331" s="186">
        <f ca="1">[1]!cb_anal_convprice(B331,$B$2)</f>
        <v>27.4</v>
      </c>
      <c r="M331" s="186">
        <f t="shared" ca="1" si="20"/>
        <v>96.824817518248182</v>
      </c>
      <c r="N331" s="187">
        <f t="shared" ca="1" si="21"/>
        <v>29.161100640784014</v>
      </c>
      <c r="O331" s="187">
        <f t="array" aca="1" ref="O331" ca="1">_xlfn.IFNA(RTD("wdf.rtq",,B331,"LastPrice","Yield_To_Maturity"),[1]!cb_anal_ytm(B331,$C$2))</f>
        <v>-2.0782000000000003</v>
      </c>
      <c r="P331" s="187">
        <f ca="1">[1]!cb_anal_straightbondvalue(B331,$B$2)</f>
        <v>91.832599999999999</v>
      </c>
      <c r="Q331" s="187">
        <f t="shared" ca="1" si="22"/>
        <v>36.182575686629804</v>
      </c>
      <c r="R331" s="187" t="str">
        <f ca="1">[1]!b_rate_latestcredit(B331)</f>
        <v>AA</v>
      </c>
      <c r="S331" s="187">
        <f ca="1">[1]!cb_info_outstandingbalance(B331,$B$2)</f>
        <v>17.798940000000002</v>
      </c>
      <c r="T331" s="187">
        <f ca="1">[1]!cb_info_issueamount(B331,100000000)</f>
        <v>17.8</v>
      </c>
      <c r="U331" s="187">
        <f t="shared" ca="1" si="23"/>
        <v>99.994044943820228</v>
      </c>
      <c r="V331" s="240">
        <f ca="1">IF([1]!cb_anal_ldiluterate(B331,$B$2)=100,"-",[1]!cb_anal_ldiluterate(B331,$B$2))</f>
        <v>7.1733657546624974</v>
      </c>
      <c r="W331" s="188" t="str">
        <f ca="1">[1]!cb_info_listeddate(B331)</f>
        <v>2020-09-22</v>
      </c>
      <c r="X331" s="188" t="str">
        <f ca="1">[1]!cb_info_carrydate(B331)</f>
        <v>2020-08-24</v>
      </c>
      <c r="Y331" s="186" t="str">
        <f ca="1">[1]!cb_clause_conversion_2_swapsharestartdate(B331)</f>
        <v>2021-03-01</v>
      </c>
      <c r="Z331" s="186" t="str">
        <f ca="1">[1]!cb_clause_putoption_conditionalputbackstartenddate(B331)</f>
        <v>2024-08-24</v>
      </c>
      <c r="AA331" s="240">
        <f ca="1">[1]!cb_info_maturitycallprice(B331)</f>
        <v>108</v>
      </c>
      <c r="AB331" s="240">
        <f ca="1">IF(ISNUMBER([1]!cb_info_conditionalputprice(B331)),[1]!cb_info_conditionalputprice(B331),"-")</f>
        <v>0</v>
      </c>
      <c r="AC331" s="240">
        <f ca="1">[1]!cb_info_interest(B331)</f>
        <v>0.4</v>
      </c>
      <c r="AD331" s="262" t="str">
        <f ca="1">IFERROR(couponlist([1]!cb_clause_interest(B331,"4")),"-")</f>
        <v>0.4%，0.6%，1.0%，1.5%，1.8%，2.0%</v>
      </c>
      <c r="AE331" s="189"/>
      <c r="AF331" s="189"/>
      <c r="AG331" s="189"/>
      <c r="AH331" s="189"/>
      <c r="AI331" s="189"/>
      <c r="AJ331" s="189"/>
      <c r="AK331" s="189"/>
      <c r="AL331" s="189"/>
      <c r="AM331" s="189"/>
      <c r="AN331" s="189"/>
      <c r="AO331" s="189"/>
      <c r="AP331" s="189"/>
      <c r="AQ331" s="189"/>
    </row>
    <row r="332" spans="1:43" s="130" customFormat="1" x14ac:dyDescent="0.35">
      <c r="A332" s="121" t="s">
        <v>0</v>
      </c>
      <c r="B332" s="121" t="s">
        <v>876</v>
      </c>
      <c r="C332" s="121" t="s">
        <v>877</v>
      </c>
      <c r="D332" s="236" t="str">
        <f ca="1">IF([1]!s_info_industry_sw(B332,1)=0,"-",[1]!s_info_industry_sw(B332,1))</f>
        <v>电子</v>
      </c>
      <c r="E332" s="122" t="str">
        <f ca="1">[1]!cb_info_underlyingcode(B332)</f>
        <v>601231.SH</v>
      </c>
      <c r="F332" s="124">
        <f ca="1">RTD("wdf.rtq",,B332,"LastPrice","Dirty_Price")</f>
        <v>116.84</v>
      </c>
      <c r="G332" s="124">
        <f ca="1">RTD("wdf.rtq",,E332,"LastPrice")</f>
        <v>15.18</v>
      </c>
      <c r="H332" s="226">
        <f ca="1">RTD("wdf.rtq",,B332,"PctChg","RT_Price")/100</f>
        <v>1.5900000000000001E-2</v>
      </c>
      <c r="I332" s="226">
        <f ca="1">RTD("wdf.rtq",,E332,"PctChg")/100</f>
        <v>-5.1999999999999998E-3</v>
      </c>
      <c r="J332" s="125">
        <f ca="1">_xlfn.IFNA([1]!b_anal_ptmyear(B332,$B$2),"未发行或发行失败")</f>
        <v>5.484931506849315</v>
      </c>
      <c r="K332" s="125">
        <f ca="1">RTD("wdf.rtq",,B332,"Amount","Dirty_Price")/100000000</f>
        <v>0.21115473000000001</v>
      </c>
      <c r="L332" s="125">
        <f ca="1">[1]!cb_anal_convprice(B332,$B$2)</f>
        <v>19.75</v>
      </c>
      <c r="M332" s="125">
        <f t="shared" ca="1" si="20"/>
        <v>76.860759493670884</v>
      </c>
      <c r="N332" s="126">
        <f t="shared" ca="1" si="21"/>
        <v>52.01515151515153</v>
      </c>
      <c r="O332" s="126">
        <f t="array" aca="1" ref="O332" ca="1">_xlfn.IFNA(RTD("wdf.rtq",,B332,"LastPrice","Yield_To_Maturity"),[1]!cb_anal_ytm(B332,$C$2))</f>
        <v>-0.77770000000000006</v>
      </c>
      <c r="P332" s="126">
        <f ca="1">[1]!cb_anal_straightbondvalue(B332,$B$2)</f>
        <v>91.847800000000007</v>
      </c>
      <c r="Q332" s="126">
        <f t="shared" ca="1" si="22"/>
        <v>27.210450331962221</v>
      </c>
      <c r="R332" s="126" t="str">
        <f ca="1">[1]!b_rate_latestcredit(B332)</f>
        <v>AA+</v>
      </c>
      <c r="S332" s="126">
        <f ca="1">[1]!cb_info_outstandingbalance(B332,$B$2)</f>
        <v>34.5</v>
      </c>
      <c r="T332" s="126">
        <f ca="1">[1]!cb_info_issueamount(B332,100000000)</f>
        <v>34.5</v>
      </c>
      <c r="U332" s="126">
        <f t="shared" ca="1" si="23"/>
        <v>100</v>
      </c>
      <c r="V332" s="230">
        <f ca="1">IF([1]!cb_anal_ldiluterate(B332,$B$2)=100,"-",[1]!cb_anal_ldiluterate(B332,$B$2))</f>
        <v>7.4069221526234186</v>
      </c>
      <c r="W332" s="127" t="str">
        <f ca="1">[1]!cb_info_listeddate(B332)</f>
        <v>2021-04-02</v>
      </c>
      <c r="X332" s="127" t="str">
        <f ca="1">[1]!cb_info_carrydate(B332)</f>
        <v>2021-03-04</v>
      </c>
      <c r="Y332" s="125" t="str">
        <f ca="1">[1]!cb_clause_conversion_2_swapsharestartdate(B332)</f>
        <v>2021-12-10</v>
      </c>
      <c r="Z332" s="125" t="str">
        <f ca="1">[1]!cb_clause_putoption_conditionalputbackstartenddate(B332)</f>
        <v>2025-03-04</v>
      </c>
      <c r="AA332" s="230">
        <f ca="1">[1]!cb_info_maturitycallprice(B332)</f>
        <v>108</v>
      </c>
      <c r="AB332" s="230">
        <f ca="1">IF(ISNUMBER([1]!cb_info_conditionalputprice(B332)),[1]!cb_info_conditionalputprice(B332),"-")</f>
        <v>0</v>
      </c>
      <c r="AC332" s="230">
        <f ca="1">[1]!cb_info_interest(B332)</f>
        <v>0.1</v>
      </c>
      <c r="AD332" s="263" t="str">
        <f ca="1">IFERROR(couponlist([1]!cb_clause_interest(B332,"4")),"-")</f>
        <v>0.10%，0.20%，0.60%，1.30%，1.80%，2.00%</v>
      </c>
      <c r="AE332" s="129"/>
      <c r="AF332" s="129"/>
      <c r="AG332" s="129"/>
      <c r="AH332" s="129"/>
      <c r="AI332" s="129"/>
      <c r="AJ332" s="129"/>
      <c r="AK332" s="129"/>
      <c r="AL332" s="129"/>
      <c r="AM332" s="129"/>
      <c r="AN332" s="129"/>
      <c r="AO332" s="129"/>
      <c r="AP332" s="129"/>
      <c r="AQ332" s="129"/>
    </row>
    <row r="333" spans="1:43" s="191" customFormat="1" x14ac:dyDescent="0.35">
      <c r="A333" s="182" t="s">
        <v>0</v>
      </c>
      <c r="B333" s="182" t="s">
        <v>162</v>
      </c>
      <c r="C333" s="182" t="s">
        <v>163</v>
      </c>
      <c r="D333" s="235" t="str">
        <f ca="1">IF([1]!s_info_industry_sw(B333,1)=0,"-",[1]!s_info_industry_sw(B333,1))</f>
        <v>电子</v>
      </c>
      <c r="E333" s="183" t="str">
        <f ca="1">[1]!cb_info_underlyingcode(B333)</f>
        <v>603679.SH</v>
      </c>
      <c r="F333" s="185">
        <f ca="1">RTD("wdf.rtq",,B333,"LastPrice","Dirty_Price")</f>
        <v>113.22</v>
      </c>
      <c r="G333" s="185">
        <f ca="1">RTD("wdf.rtq",,E333,"LastPrice")</f>
        <v>15.8</v>
      </c>
      <c r="H333" s="225">
        <f ca="1">RTD("wdf.rtq",,B333,"PctChg","RT_Price")/100</f>
        <v>1.1000000000000001E-3</v>
      </c>
      <c r="I333" s="225">
        <f ca="1">RTD("wdf.rtq",,E333,"PctChg")/100</f>
        <v>1.9E-3</v>
      </c>
      <c r="J333" s="186">
        <f ca="1">_xlfn.IFNA([1]!b_anal_ptmyear(B333,$B$2),"未发行或发行失败")</f>
        <v>4.558904109589041</v>
      </c>
      <c r="K333" s="186">
        <f ca="1">RTD("wdf.rtq",,B333,"Amount","Dirty_Price")/100000000</f>
        <v>7.0793799999999997E-3</v>
      </c>
      <c r="L333" s="186">
        <f ca="1">[1]!cb_anal_convprice(B333,$B$2)</f>
        <v>33.909999999999997</v>
      </c>
      <c r="M333" s="186">
        <f t="shared" ca="1" si="20"/>
        <v>46.593925095841939</v>
      </c>
      <c r="N333" s="187">
        <f t="shared" ca="1" si="21"/>
        <v>142.99305063291138</v>
      </c>
      <c r="O333" s="187">
        <f t="array" aca="1" ref="O333" ca="1">_xlfn.IFNA(RTD("wdf.rtq",,B333,"LastPrice","Yield_To_Maturity"),[1]!cb_anal_ytm(B333,$C$2))</f>
        <v>0.52680000000000005</v>
      </c>
      <c r="P333" s="187">
        <f ca="1">[1]!cb_anal_straightbondvalue(B333,$B$2)</f>
        <v>79.751000000000005</v>
      </c>
      <c r="Q333" s="187">
        <f t="shared" ca="1" si="22"/>
        <v>41.96687188875373</v>
      </c>
      <c r="R333" s="187" t="str">
        <f ca="1">[1]!b_rate_latestcredit(B333)</f>
        <v>A+</v>
      </c>
      <c r="S333" s="187">
        <f ca="1">[1]!cb_info_outstandingbalance(B333,$B$2)</f>
        <v>2.0878100000000002</v>
      </c>
      <c r="T333" s="187">
        <f ca="1">[1]!cb_info_issueamount(B333,100000000)</f>
        <v>2.0880000000000001</v>
      </c>
      <c r="U333" s="187">
        <f t="shared" ca="1" si="23"/>
        <v>99.990900383141764</v>
      </c>
      <c r="V333" s="240">
        <f ca="1">IF([1]!cb_anal_ldiluterate(B333,$B$2)=100,"-",[1]!cb_anal_ldiluterate(B333,$B$2))</f>
        <v>4.1680365932017409</v>
      </c>
      <c r="W333" s="188" t="str">
        <f ca="1">[1]!cb_info_listeddate(B333)</f>
        <v>2020-04-27</v>
      </c>
      <c r="X333" s="188" t="str">
        <f ca="1">[1]!cb_info_carrydate(B333)</f>
        <v>2020-03-31</v>
      </c>
      <c r="Y333" s="186" t="str">
        <f ca="1">[1]!cb_clause_conversion_2_swapsharestartdate(B333)</f>
        <v>2020-10-09</v>
      </c>
      <c r="Z333" s="186" t="str">
        <f ca="1">[1]!cb_clause_putoption_conditionalputbackstartenddate(B333)</f>
        <v>2024-03-31</v>
      </c>
      <c r="AA333" s="240">
        <f ca="1">[1]!cb_info_maturitycallprice(B333)</f>
        <v>110</v>
      </c>
      <c r="AB333" s="240">
        <f ca="1">IF(ISNUMBER([1]!cb_info_conditionalputprice(B333)),[1]!cb_info_conditionalputprice(B333),"-")</f>
        <v>0</v>
      </c>
      <c r="AC333" s="240">
        <f ca="1">[1]!cb_info_interest(B333)</f>
        <v>0.5</v>
      </c>
      <c r="AD333" s="262" t="str">
        <f ca="1">IFERROR(couponlist([1]!cb_clause_interest(B333,"4")),"-")</f>
        <v>0.50%，0.70%，1.20%，1.80%，2.20%，2.70%</v>
      </c>
      <c r="AE333" s="189"/>
      <c r="AF333" s="189"/>
      <c r="AG333" s="189"/>
      <c r="AH333" s="189"/>
      <c r="AI333" s="189"/>
      <c r="AJ333" s="189"/>
      <c r="AK333" s="189"/>
      <c r="AL333" s="189"/>
      <c r="AM333" s="189"/>
      <c r="AN333" s="189"/>
      <c r="AO333" s="189"/>
      <c r="AP333" s="189"/>
      <c r="AQ333" s="189"/>
    </row>
    <row r="334" spans="1:43" s="130" customFormat="1" x14ac:dyDescent="0.35">
      <c r="A334" s="121" t="s">
        <v>5</v>
      </c>
      <c r="B334" s="121" t="s">
        <v>646</v>
      </c>
      <c r="C334" s="121" t="s">
        <v>647</v>
      </c>
      <c r="D334" s="236" t="str">
        <f ca="1">IF([1]!s_info_industry_sw(B334,1)=0,"-",[1]!s_info_industry_sw(B334,1))</f>
        <v>电子</v>
      </c>
      <c r="E334" s="122" t="str">
        <f ca="1">[1]!cb_info_underlyingcode(B334)</f>
        <v>002475.SZ</v>
      </c>
      <c r="F334" s="124">
        <f ca="1">RTD("wdf.rtq",,B334,"LastPrice","Dirty_Price")</f>
        <v>117.31</v>
      </c>
      <c r="G334" s="124">
        <f ca="1">RTD("wdf.rtq",,E334,"LastPrice")</f>
        <v>35.840000000000003</v>
      </c>
      <c r="H334" s="226">
        <f ca="1">RTD("wdf.rtq",,B334,"PctChg","RT_Price")/100</f>
        <v>1.5700000000000002E-2</v>
      </c>
      <c r="I334" s="226">
        <f ca="1">RTD("wdf.rtq",,E334,"PctChg")/100</f>
        <v>2.0799999999999999E-2</v>
      </c>
      <c r="J334" s="125">
        <f ca="1">_xlfn.IFNA([1]!b_anal_ptmyear(B334,$B$2),"未发行或发行失败")</f>
        <v>5.1534246575342468</v>
      </c>
      <c r="K334" s="125">
        <f ca="1">RTD("wdf.rtq",,B334,"Amount","Dirty_Price")/100000000</f>
        <v>0.41847515000000002</v>
      </c>
      <c r="L334" s="125">
        <f ca="1">[1]!cb_anal_convprice(B334,$B$2)</f>
        <v>58.18</v>
      </c>
      <c r="M334" s="125">
        <f t="shared" ca="1" si="20"/>
        <v>61.601925060158138</v>
      </c>
      <c r="N334" s="126">
        <f t="shared" ca="1" si="21"/>
        <v>90.432360491071393</v>
      </c>
      <c r="O334" s="126">
        <f t="array" aca="1" ref="O334" ca="1">_xlfn.IFNA(RTD("wdf.rtq",,B334,"LastPrice","Yield_To_Maturity"),[1]!cb_anal_ytm(B334,$C$2))</f>
        <v>-0.92300000000000004</v>
      </c>
      <c r="P334" s="126">
        <f ca="1">[1]!cb_anal_straightbondvalue(B334,$B$2)</f>
        <v>93.079700000000003</v>
      </c>
      <c r="Q334" s="126">
        <f t="shared" ca="1" si="22"/>
        <v>26.031777068469282</v>
      </c>
      <c r="R334" s="126" t="str">
        <f ca="1">[1]!b_rate_latestcredit(B334)</f>
        <v>AA+</v>
      </c>
      <c r="S334" s="126">
        <f ca="1">[1]!cb_info_outstandingbalance(B334,$B$2)</f>
        <v>29.995813999999999</v>
      </c>
      <c r="T334" s="126">
        <f ca="1">[1]!cb_info_issueamount(B334,100000000)</f>
        <v>30</v>
      </c>
      <c r="U334" s="126">
        <f t="shared" ca="1" si="23"/>
        <v>99.986046666666667</v>
      </c>
      <c r="V334" s="230">
        <f ca="1">IF([1]!cb_anal_ldiluterate(B334,$B$2)=100,"-",[1]!cb_anal_ldiluterate(B334,$B$2))</f>
        <v>0.72860867152331377</v>
      </c>
      <c r="W334" s="127" t="str">
        <f ca="1">[1]!cb_info_listeddate(B334)</f>
        <v>2020-12-02</v>
      </c>
      <c r="X334" s="127" t="str">
        <f ca="1">[1]!cb_info_carrydate(B334)</f>
        <v>2020-11-03</v>
      </c>
      <c r="Y334" s="125" t="str">
        <f ca="1">[1]!cb_clause_conversion_2_swapsharestartdate(B334)</f>
        <v>2021-05-10</v>
      </c>
      <c r="Z334" s="125" t="str">
        <f ca="1">[1]!cb_clause_putoption_conditionalputbackstartenddate(B334)</f>
        <v>2024-11-03</v>
      </c>
      <c r="AA334" s="230">
        <f ca="1">[1]!cb_info_maturitycallprice(B334)</f>
        <v>108</v>
      </c>
      <c r="AB334" s="230">
        <f ca="1">IF(ISNUMBER([1]!cb_info_conditionalputprice(B334)),[1]!cb_info_conditionalputprice(B334),"-")</f>
        <v>0</v>
      </c>
      <c r="AC334" s="230">
        <f ca="1">[1]!cb_info_interest(B334)</f>
        <v>0.1</v>
      </c>
      <c r="AD334" s="263" t="str">
        <f ca="1">IFERROR(couponlist([1]!cb_clause_interest(B334,"4")),"-")</f>
        <v>0.10%，0.20%，0.30%，1.50%，1.80%，2.00%</v>
      </c>
      <c r="AE334" s="129"/>
      <c r="AF334" s="129"/>
      <c r="AG334" s="129"/>
      <c r="AH334" s="129"/>
      <c r="AI334" s="129"/>
      <c r="AJ334" s="129"/>
      <c r="AK334" s="129"/>
      <c r="AL334" s="129"/>
      <c r="AM334" s="129"/>
      <c r="AN334" s="129"/>
      <c r="AO334" s="129"/>
      <c r="AP334" s="129"/>
      <c r="AQ334" s="129"/>
    </row>
    <row r="335" spans="1:43" s="191" customFormat="1" x14ac:dyDescent="0.35">
      <c r="A335" s="182" t="s">
        <v>5</v>
      </c>
      <c r="B335" s="182" t="s">
        <v>634</v>
      </c>
      <c r="C335" s="182" t="s">
        <v>635</v>
      </c>
      <c r="D335" s="235" t="str">
        <f ca="1">IF([1]!s_info_industry_sw(B335,1)=0,"-",[1]!s_info_industry_sw(B335,1))</f>
        <v>电子</v>
      </c>
      <c r="E335" s="183" t="str">
        <f ca="1">[1]!cb_info_underlyingcode(B335)</f>
        <v>000823.SZ</v>
      </c>
      <c r="F335" s="185">
        <f ca="1">RTD("wdf.rtq",,B335,"LastPrice","Dirty_Price")</f>
        <v>117.149</v>
      </c>
      <c r="G335" s="185">
        <f ca="1">RTD("wdf.rtq",,E335,"LastPrice")</f>
        <v>11.72</v>
      </c>
      <c r="H335" s="225">
        <f ca="1">RTD("wdf.rtq",,B335,"PctChg","RT_Price")/100</f>
        <v>3.4000000000000002E-3</v>
      </c>
      <c r="I335" s="225">
        <f ca="1">RTD("wdf.rtq",,E335,"PctChg")/100</f>
        <v>2.5999999999999999E-3</v>
      </c>
      <c r="J335" s="186">
        <f ca="1">_xlfn.IFNA([1]!b_anal_ptmyear(B335,$B$2),"未发行或发行失败")</f>
        <v>5.2493150684931509</v>
      </c>
      <c r="K335" s="186">
        <f ca="1">RTD("wdf.rtq",,B335,"Amount","Dirty_Price")/100000000</f>
        <v>1.817059E-2</v>
      </c>
      <c r="L335" s="186">
        <f ca="1">[1]!cb_anal_convprice(B335,$B$2)</f>
        <v>12.72</v>
      </c>
      <c r="M335" s="186">
        <f t="shared" ca="1" si="20"/>
        <v>92.138364779874209</v>
      </c>
      <c r="N335" s="187">
        <f t="shared" ca="1" si="21"/>
        <v>27.144648464163822</v>
      </c>
      <c r="O335" s="187">
        <f t="array" aca="1" ref="O335" ca="1">_xlfn.IFNA(RTD("wdf.rtq",,B335,"LastPrice","Yield_To_Maturity"),[1]!cb_anal_ytm(B335,$C$2))</f>
        <v>-0.68059999999999998</v>
      </c>
      <c r="P335" s="187">
        <f ca="1">[1]!cb_anal_straightbondvalue(B335,$B$2)</f>
        <v>90.731700000000004</v>
      </c>
      <c r="Q335" s="187">
        <f t="shared" ca="1" si="22"/>
        <v>29.115843745901373</v>
      </c>
      <c r="R335" s="187" t="str">
        <f ca="1">[1]!b_rate_latestcredit(B335)</f>
        <v>AA</v>
      </c>
      <c r="S335" s="187">
        <f ca="1">[1]!cb_info_outstandingbalance(B335,$B$2)</f>
        <v>6.9980820000000001</v>
      </c>
      <c r="T335" s="187">
        <f ca="1">[1]!cb_info_issueamount(B335,100000000)</f>
        <v>7</v>
      </c>
      <c r="U335" s="187">
        <f t="shared" ca="1" si="23"/>
        <v>99.972600000000014</v>
      </c>
      <c r="V335" s="240">
        <f ca="1">IF([1]!cb_anal_ldiluterate(B335,$B$2)=100,"-",[1]!cb_anal_ldiluterate(B335,$B$2))</f>
        <v>9.2953608279661921</v>
      </c>
      <c r="W335" s="188" t="str">
        <f ca="1">[1]!cb_info_listeddate(B335)</f>
        <v>2021-01-14</v>
      </c>
      <c r="X335" s="188" t="str">
        <f ca="1">[1]!cb_info_carrydate(B335)</f>
        <v>2020-12-08</v>
      </c>
      <c r="Y335" s="186" t="str">
        <f ca="1">[1]!cb_clause_conversion_2_swapsharestartdate(B335)</f>
        <v>2021-06-15</v>
      </c>
      <c r="Z335" s="186" t="str">
        <f ca="1">[1]!cb_clause_putoption_conditionalputbackstartenddate(B335)</f>
        <v>2024-12-08</v>
      </c>
      <c r="AA335" s="240">
        <f ca="1">[1]!cb_info_maturitycallprice(B335)</f>
        <v>108</v>
      </c>
      <c r="AB335" s="240">
        <f ca="1">IF(ISNUMBER([1]!cb_info_conditionalputprice(B335)),[1]!cb_info_conditionalputprice(B335),"-")</f>
        <v>0</v>
      </c>
      <c r="AC335" s="240">
        <f ca="1">[1]!cb_info_interest(B335)</f>
        <v>0.3</v>
      </c>
      <c r="AD335" s="262" t="str">
        <f ca="1">IFERROR(couponlist([1]!cb_clause_interest(B335,"4")),"-")</f>
        <v>0.3%，0.5%，1.0%，1.5%，1.8%，2.0%</v>
      </c>
      <c r="AE335" s="189"/>
      <c r="AF335" s="189"/>
      <c r="AG335" s="189"/>
      <c r="AH335" s="189"/>
      <c r="AI335" s="189"/>
      <c r="AJ335" s="189"/>
      <c r="AK335" s="189"/>
      <c r="AL335" s="189"/>
      <c r="AM335" s="189"/>
      <c r="AN335" s="189"/>
      <c r="AO335" s="189"/>
      <c r="AP335" s="189"/>
      <c r="AQ335" s="189"/>
    </row>
    <row r="336" spans="1:43" s="130" customFormat="1" x14ac:dyDescent="0.35">
      <c r="A336" s="121" t="s">
        <v>0</v>
      </c>
      <c r="B336" s="121" t="s">
        <v>1687</v>
      </c>
      <c r="C336" s="121" t="s">
        <v>1688</v>
      </c>
      <c r="D336" s="236" t="str">
        <f ca="1">IF([1]!s_info_industry_sw(B336,1)=0,"-",[1]!s_info_industry_sw(B336,1))</f>
        <v>电子</v>
      </c>
      <c r="E336" s="122" t="str">
        <f ca="1">[1]!cb_info_underlyingcode(B336)</f>
        <v>600745.SH</v>
      </c>
      <c r="F336" s="124">
        <f ca="1">RTD("wdf.rtq",,B336,"LastPrice","Dirty_Price")</f>
        <v>149.1</v>
      </c>
      <c r="G336" s="124">
        <f ca="1">RTD("wdf.rtq",,E336,"LastPrice")</f>
        <v>109.62</v>
      </c>
      <c r="H336" s="226">
        <f ca="1">RTD("wdf.rtq",,B336,"PctChg","RT_Price")/100</f>
        <v>-4.0000000000000002E-4</v>
      </c>
      <c r="I336" s="226">
        <f ca="1">RTD("wdf.rtq",,E336,"PctChg")/100</f>
        <v>-3.0600000000000002E-2</v>
      </c>
      <c r="J336" s="125">
        <f ca="1">_xlfn.IFNA([1]!b_anal_ptmyear(B336,$B$2),"未发行或发行失败")</f>
        <v>5.8849315068493153</v>
      </c>
      <c r="K336" s="125">
        <f ca="1">RTD("wdf.rtq",,B336,"Amount","Dirty_Price")/100000000</f>
        <v>1.6668218699999999</v>
      </c>
      <c r="L336" s="125">
        <f ca="1">[1]!cb_anal_convprice(B336,$B$2)</f>
        <v>96.67</v>
      </c>
      <c r="M336" s="125">
        <f t="shared" ca="1" si="20"/>
        <v>113.39608979000724</v>
      </c>
      <c r="N336" s="126">
        <f t="shared" ca="1" si="21"/>
        <v>31.486015325670508</v>
      </c>
      <c r="O336" s="126">
        <f t="array" aca="1" ref="O336" ca="1">_xlfn.IFNA(RTD("wdf.rtq",,B336,"LastPrice","Yield_To_Maturity"),[1]!cb_anal_ytm(B336,$C$2))</f>
        <v>-4.8073000000000006</v>
      </c>
      <c r="P336" s="126">
        <f ca="1">[1]!cb_anal_straightbondvalue(B336,$B$2)</f>
        <v>90.101799999999997</v>
      </c>
      <c r="Q336" s="126">
        <f t="shared" ca="1" si="22"/>
        <v>65.479490975762985</v>
      </c>
      <c r="R336" s="126" t="str">
        <f ca="1">[1]!b_rate_latestcredit(B336)</f>
        <v>AA+</v>
      </c>
      <c r="S336" s="126">
        <f ca="1">[1]!cb_info_outstandingbalance(B336,$B$2)</f>
        <v>86</v>
      </c>
      <c r="T336" s="126">
        <f ca="1">[1]!cb_info_issueamount(B336,100000000)</f>
        <v>86</v>
      </c>
      <c r="U336" s="126">
        <f t="shared" ca="1" si="23"/>
        <v>100</v>
      </c>
      <c r="V336" s="230">
        <f ca="1">IF([1]!cb_anal_ldiluterate(B336,$B$2)=100,"-",[1]!cb_anal_ldiluterate(B336,$B$2))</f>
        <v>8.6844342919091648</v>
      </c>
      <c r="W336" s="127" t="str">
        <f ca="1">[1]!cb_info_listeddate(B336)</f>
        <v>2021-08-20</v>
      </c>
      <c r="X336" s="127" t="str">
        <f ca="1">[1]!cb_info_carrydate(B336)</f>
        <v>2021-07-28</v>
      </c>
      <c r="Y336" s="125" t="str">
        <f ca="1">[1]!cb_clause_conversion_2_swapsharestartdate(B336)</f>
        <v>2022-02-03</v>
      </c>
      <c r="Z336" s="125" t="str">
        <f ca="1">[1]!cb_clause_putoption_conditionalputbackstartenddate(B336)</f>
        <v>2025-07-28</v>
      </c>
      <c r="AA336" s="230">
        <f ca="1">[1]!cb_info_maturitycallprice(B336)</f>
        <v>108</v>
      </c>
      <c r="AB336" s="230">
        <f ca="1">IF(ISNUMBER([1]!cb_info_conditionalputprice(B336)),[1]!cb_info_conditionalputprice(B336),"-")</f>
        <v>0</v>
      </c>
      <c r="AC336" s="230">
        <f ca="1">[1]!cb_info_interest(B336)</f>
        <v>0.1</v>
      </c>
      <c r="AD336" s="263" t="str">
        <f ca="1">IFERROR(couponlist([1]!cb_clause_interest(B336,"4")),"-")</f>
        <v>0.10%，0.20%，0.30%，1.50%，1.80%，2.00%</v>
      </c>
      <c r="AE336" s="129"/>
      <c r="AF336" s="129"/>
      <c r="AG336" s="129"/>
      <c r="AH336" s="129"/>
      <c r="AI336" s="129"/>
      <c r="AJ336" s="129"/>
      <c r="AK336" s="129"/>
      <c r="AL336" s="129"/>
      <c r="AM336" s="129"/>
      <c r="AN336" s="129"/>
      <c r="AO336" s="129"/>
      <c r="AP336" s="129"/>
      <c r="AQ336" s="129"/>
    </row>
    <row r="337" spans="1:43" s="191" customFormat="1" x14ac:dyDescent="0.35">
      <c r="A337" s="182" t="s">
        <v>0</v>
      </c>
      <c r="B337" s="182" t="s">
        <v>1711</v>
      </c>
      <c r="C337" s="182" t="s">
        <v>1712</v>
      </c>
      <c r="D337" s="235" t="str">
        <f ca="1">IF([1]!s_info_industry_sw(B337,1)=0,"-",[1]!s_info_industry_sw(B337,1))</f>
        <v>电子</v>
      </c>
      <c r="E337" s="183" t="str">
        <f ca="1">[1]!cb_info_underlyingcode(B337)</f>
        <v>603685.SH</v>
      </c>
      <c r="F337" s="185">
        <f ca="1">RTD("wdf.rtq",,B337,"LastPrice","Dirty_Price")</f>
        <v>0</v>
      </c>
      <c r="G337" s="185">
        <f ca="1">RTD("wdf.rtq",,E337,"LastPrice")</f>
        <v>13.59</v>
      </c>
      <c r="H337" s="225">
        <f ca="1">RTD("wdf.rtq",,B337,"PctChg","RT_Price")/100</f>
        <v>0</v>
      </c>
      <c r="I337" s="225">
        <f ca="1">RTD("wdf.rtq",,E337,"PctChg")/100</f>
        <v>1.8000000000000002E-2</v>
      </c>
      <c r="J337" s="186">
        <f ca="1">_xlfn.IFNA([1]!b_anal_ptmyear(B337,$B$2),"未发行或发行失败")</f>
        <v>5.956164383561644</v>
      </c>
      <c r="K337" s="186">
        <f ca="1">RTD("wdf.rtq",,B337,"Amount","Dirty_Price")/100000000</f>
        <v>0</v>
      </c>
      <c r="L337" s="186">
        <f ca="1">[1]!cb_anal_convprice(B337,$B$2)</f>
        <v>13.06</v>
      </c>
      <c r="M337" s="186">
        <f t="shared" ca="1" si="20"/>
        <v>104.05819295558958</v>
      </c>
      <c r="N337" s="187" t="str">
        <f t="shared" si="21"/>
        <v>-</v>
      </c>
      <c r="O337" s="187">
        <f t="array" aca="1" ref="O337" ca="1">_xlfn.IFNA(RTD("wdf.rtq",,B337,"LastPrice","Yield_To_Maturity"),[1]!cb_anal_ytm(B337,$C$2))</f>
        <v>0</v>
      </c>
      <c r="P337" s="187">
        <f ca="1">[1]!cb_anal_straightbondvalue(B337,$B$2)</f>
        <v>65.626300000000001</v>
      </c>
      <c r="Q337" s="187" t="str">
        <f t="shared" ca="1" si="22"/>
        <v>-</v>
      </c>
      <c r="R337" s="187" t="str">
        <f ca="1">[1]!b_rate_latestcredit(B337)</f>
        <v>A</v>
      </c>
      <c r="S337" s="187">
        <f ca="1">[1]!cb_info_outstandingbalance(B337,$B$2)</f>
        <v>4.1500000000000004</v>
      </c>
      <c r="T337" s="187">
        <f ca="1">[1]!cb_info_issueamount(B337,100000000)</f>
        <v>4.1500000000000004</v>
      </c>
      <c r="U337" s="187">
        <f t="shared" ca="1" si="23"/>
        <v>100</v>
      </c>
      <c r="V337" s="240">
        <f ca="1">IF([1]!cb_anal_ldiluterate(B337,$B$2)=100,"-",[1]!cb_anal_ldiluterate(B337,$B$2))</f>
        <v>15.826767449487825</v>
      </c>
      <c r="W337" s="188">
        <f ca="1">[1]!cb_info_listeddate(B337)</f>
        <v>0</v>
      </c>
      <c r="X337" s="188" t="str">
        <f ca="1">[1]!cb_info_carrydate(B337)</f>
        <v>2021-08-23</v>
      </c>
      <c r="Y337" s="186" t="str">
        <f ca="1">[1]!cb_clause_conversion_2_swapsharestartdate(B337)</f>
        <v>2022-02-28</v>
      </c>
      <c r="Z337" s="186" t="str">
        <f ca="1">[1]!cb_clause_putoption_conditionalputbackstartenddate(B337)</f>
        <v>2025-08-23</v>
      </c>
      <c r="AA337" s="240">
        <f ca="1">[1]!cb_info_maturitycallprice(B337)</f>
        <v>115</v>
      </c>
      <c r="AB337" s="240">
        <f ca="1">IF(ISNUMBER([1]!cb_info_conditionalputprice(B337)),[1]!cb_info_conditionalputprice(B337),"-")</f>
        <v>0</v>
      </c>
      <c r="AC337" s="240">
        <f ca="1">[1]!cb_info_interest(B337)</f>
        <v>0.5</v>
      </c>
      <c r="AD337" s="262" t="str">
        <f ca="1">IFERROR(couponlist([1]!cb_clause_interest(B337,"4")),"-")</f>
        <v>0.5%，0.7%，1.0%，2.0%，2.5%，3.0%</v>
      </c>
      <c r="AE337" s="189"/>
      <c r="AF337" s="189"/>
      <c r="AG337" s="189"/>
      <c r="AH337" s="189"/>
      <c r="AI337" s="189"/>
      <c r="AJ337" s="189"/>
      <c r="AK337" s="189"/>
      <c r="AL337" s="189"/>
      <c r="AM337" s="189"/>
      <c r="AN337" s="189"/>
      <c r="AO337" s="189"/>
      <c r="AP337" s="189"/>
      <c r="AQ337" s="189"/>
    </row>
    <row r="338" spans="1:43" s="130" customFormat="1" x14ac:dyDescent="0.35">
      <c r="A338" s="121" t="s">
        <v>5</v>
      </c>
      <c r="B338" s="121" t="s">
        <v>1725</v>
      </c>
      <c r="C338" s="121" t="s">
        <v>1726</v>
      </c>
      <c r="D338" s="236" t="str">
        <f ca="1">IF([1]!s_info_industry_sw(B338,1)=0,"-",[1]!s_info_industry_sw(B338,1))</f>
        <v>电子</v>
      </c>
      <c r="E338" s="122" t="str">
        <f ca="1">[1]!cb_info_underlyingcode(B338)</f>
        <v>300623.SZ</v>
      </c>
      <c r="F338" s="124">
        <f ca="1">RTD("wdf.rtq",,B338,"LastPrice","Dirty_Price")</f>
        <v>137.72800000000001</v>
      </c>
      <c r="G338" s="124">
        <f ca="1">RTD("wdf.rtq",,E338,"LastPrice")</f>
        <v>30.25</v>
      </c>
      <c r="H338" s="226">
        <f ca="1">RTD("wdf.rtq",,B338,"PctChg","RT_Price")/100</f>
        <v>-2E-3</v>
      </c>
      <c r="I338" s="226">
        <f ca="1">RTD("wdf.rtq",,E338,"PctChg")/100</f>
        <v>-3.0000000000000003E-4</v>
      </c>
      <c r="J338" s="125">
        <f ca="1">_xlfn.IFNA([1]!b_anal_ptmyear(B338,$B$2),"未发行或发行失败")</f>
        <v>5.7479452054794518</v>
      </c>
      <c r="K338" s="125">
        <f ca="1">RTD("wdf.rtq",,B338,"Amount","Dirty_Price")/100000000</f>
        <v>0.17275541</v>
      </c>
      <c r="L338" s="125">
        <f ca="1">[1]!cb_anal_convprice(B338,$B$2)</f>
        <v>29</v>
      </c>
      <c r="M338" s="125">
        <f t="shared" ca="1" si="20"/>
        <v>104.31034482758621</v>
      </c>
      <c r="N338" s="126">
        <f t="shared" ca="1" si="21"/>
        <v>32.036760330578517</v>
      </c>
      <c r="O338" s="126">
        <f t="array" aca="1" ref="O338" ca="1">_xlfn.IFNA(RTD("wdf.rtq",,B338,"LastPrice","Yield_To_Maturity"),[1]!cb_anal_ytm(B338,$C$2))</f>
        <v>-2.6276000000000002</v>
      </c>
      <c r="P338" s="126">
        <f ca="1">[1]!cb_anal_straightbondvalue(B338,$B$2)</f>
        <v>81.919499999999999</v>
      </c>
      <c r="Q338" s="126">
        <f t="shared" ca="1" si="22"/>
        <v>68.12602615982766</v>
      </c>
      <c r="R338" s="126" t="str">
        <f ca="1">[1]!b_rate_latestcredit(B338)</f>
        <v>AA-</v>
      </c>
      <c r="S338" s="126">
        <f ca="1">[1]!cb_info_outstandingbalance(B338,$B$2)</f>
        <v>11.95</v>
      </c>
      <c r="T338" s="126">
        <f ca="1">[1]!cb_info_issueamount(B338,100000000)</f>
        <v>11.95</v>
      </c>
      <c r="U338" s="126">
        <f t="shared" ca="1" si="23"/>
        <v>100</v>
      </c>
      <c r="V338" s="230">
        <f ca="1">IF([1]!cb_anal_ldiluterate(B338,$B$2)=100,"-",[1]!cb_anal_ldiluterate(B338,$B$2))</f>
        <v>6.0430396903542656</v>
      </c>
      <c r="W338" s="127" t="str">
        <f ca="1">[1]!cb_info_listeddate(B338)</f>
        <v>2021-06-29</v>
      </c>
      <c r="X338" s="127" t="str">
        <f ca="1">[1]!cb_info_carrydate(B338)</f>
        <v>2021-06-08</v>
      </c>
      <c r="Y338" s="125" t="str">
        <f ca="1">[1]!cb_clause_conversion_2_swapsharestartdate(B338)</f>
        <v>2021-12-15</v>
      </c>
      <c r="Z338" s="125" t="str">
        <f ca="1">[1]!cb_clause_putoption_conditionalputbackstartenddate(B338)</f>
        <v>2025-06-08</v>
      </c>
      <c r="AA338" s="230">
        <f ca="1">[1]!cb_info_maturitycallprice(B338)</f>
        <v>113</v>
      </c>
      <c r="AB338" s="230">
        <f ca="1">IF(ISNUMBER([1]!cb_info_conditionalputprice(B338)),[1]!cb_info_conditionalputprice(B338),"-")</f>
        <v>0</v>
      </c>
      <c r="AC338" s="230">
        <f ca="1">[1]!cb_info_interest(B338)</f>
        <v>0.4</v>
      </c>
      <c r="AD338" s="263" t="str">
        <f ca="1">IFERROR(couponlist([1]!cb_clause_interest(B338,"4")),"-")</f>
        <v>0.4%，0.6%，1.5%</v>
      </c>
      <c r="AE338" s="129"/>
      <c r="AF338" s="129"/>
      <c r="AG338" s="129"/>
      <c r="AH338" s="129"/>
      <c r="AI338" s="129"/>
      <c r="AJ338" s="129"/>
      <c r="AK338" s="129"/>
      <c r="AL338" s="129"/>
      <c r="AM338" s="129"/>
      <c r="AN338" s="129"/>
      <c r="AO338" s="129"/>
      <c r="AP338" s="129"/>
      <c r="AQ338" s="129"/>
    </row>
    <row r="339" spans="1:43" s="191" customFormat="1" x14ac:dyDescent="0.35">
      <c r="A339" s="182" t="s">
        <v>5</v>
      </c>
      <c r="B339" s="182" t="s">
        <v>1739</v>
      </c>
      <c r="C339" s="182" t="s">
        <v>1740</v>
      </c>
      <c r="D339" s="235" t="str">
        <f ca="1">IF([1]!s_info_industry_sw(B339,1)=0,"-",[1]!s_info_industry_sw(B339,1))</f>
        <v>电子</v>
      </c>
      <c r="E339" s="183" t="str">
        <f ca="1">[1]!cb_info_underlyingcode(B339)</f>
        <v>300613.SZ</v>
      </c>
      <c r="F339" s="185">
        <f ca="1">RTD("wdf.rtq",,B339,"LastPrice","Dirty_Price")</f>
        <v>150.5</v>
      </c>
      <c r="G339" s="185">
        <f ca="1">RTD("wdf.rtq",,E339,"LastPrice")</f>
        <v>202</v>
      </c>
      <c r="H339" s="225">
        <f ca="1">RTD("wdf.rtq",,B339,"PctChg","RT_Price")/100</f>
        <v>-1.2E-2</v>
      </c>
      <c r="I339" s="225">
        <f ca="1">RTD("wdf.rtq",,E339,"PctChg")/100</f>
        <v>-3.8400000000000004E-2</v>
      </c>
      <c r="J339" s="186">
        <f ca="1">_xlfn.IFNA([1]!b_anal_ptmyear(B339,$B$2),"未发行或发行失败")</f>
        <v>5.9095890410958907</v>
      </c>
      <c r="K339" s="186">
        <f ca="1">RTD("wdf.rtq",,B339,"Amount","Dirty_Price")/100000000</f>
        <v>0.32006739000000001</v>
      </c>
      <c r="L339" s="186">
        <f ca="1">[1]!cb_anal_convprice(B339,$B$2)</f>
        <v>177.04</v>
      </c>
      <c r="M339" s="186">
        <f t="shared" ca="1" si="20"/>
        <v>114.09850881156801</v>
      </c>
      <c r="N339" s="187">
        <f t="shared" ca="1" si="21"/>
        <v>31.903564356435652</v>
      </c>
      <c r="O339" s="187">
        <f t="array" aca="1" ref="O339" ca="1">_xlfn.IFNA(RTD("wdf.rtq",,B339,"LastPrice","Yield_To_Maturity"),[1]!cb_anal_ytm(B339,$C$2))</f>
        <v>-3.7760000000000002</v>
      </c>
      <c r="P339" s="187">
        <f ca="1">[1]!cb_anal_straightbondvalue(B339,$B$2)</f>
        <v>72.983599999999996</v>
      </c>
      <c r="Q339" s="187">
        <f t="shared" ca="1" si="22"/>
        <v>106.21071035136663</v>
      </c>
      <c r="R339" s="187" t="str">
        <f ca="1">[1]!b_rate_latestcredit(B339)</f>
        <v>A+</v>
      </c>
      <c r="S339" s="187">
        <f ca="1">[1]!cb_info_outstandingbalance(B339,$B$2)</f>
        <v>5.8118999999999996</v>
      </c>
      <c r="T339" s="187">
        <f ca="1">[1]!cb_info_issueamount(B339,100000000)</f>
        <v>5.8118999999999996</v>
      </c>
      <c r="U339" s="187">
        <f t="shared" ca="1" si="23"/>
        <v>100</v>
      </c>
      <c r="V339" s="240">
        <f ca="1">IF([1]!cb_anal_ldiluterate(B339,$B$2)=100,"-",[1]!cb_anal_ldiluterate(B339,$B$2))</f>
        <v>2.8153091854629197</v>
      </c>
      <c r="W339" s="188" t="str">
        <f ca="1">[1]!cb_info_listeddate(B339)</f>
        <v>2021-08-24</v>
      </c>
      <c r="X339" s="188" t="str">
        <f ca="1">[1]!cb_info_carrydate(B339)</f>
        <v>2021-08-06</v>
      </c>
      <c r="Y339" s="186" t="str">
        <f ca="1">[1]!cb_clause_conversion_2_swapsharestartdate(B339)</f>
        <v>2022-02-14</v>
      </c>
      <c r="Z339" s="186" t="str">
        <f ca="1">[1]!cb_clause_putoption_conditionalputbackstartenddate(B339)</f>
        <v>2025-08-06</v>
      </c>
      <c r="AA339" s="240">
        <f ca="1">[1]!cb_info_maturitycallprice(B339)</f>
        <v>115</v>
      </c>
      <c r="AB339" s="240">
        <f ca="1">IF(ISNUMBER([1]!cb_info_conditionalputprice(B339)),[1]!cb_info_conditionalputprice(B339),"-")</f>
        <v>0</v>
      </c>
      <c r="AC339" s="240">
        <f ca="1">[1]!cb_info_interest(B339)</f>
        <v>0.3</v>
      </c>
      <c r="AD339" s="262" t="str">
        <f ca="1">IFERROR(couponlist([1]!cb_clause_interest(B339,"4")),"-")</f>
        <v>0.3%，0.5%，1.0%，1.5%，2.0%，2.5%</v>
      </c>
      <c r="AE339" s="189"/>
      <c r="AF339" s="189"/>
      <c r="AG339" s="189"/>
      <c r="AH339" s="189"/>
      <c r="AI339" s="189"/>
      <c r="AJ339" s="189"/>
      <c r="AK339" s="189"/>
      <c r="AL339" s="189"/>
      <c r="AM339" s="189"/>
      <c r="AN339" s="189"/>
      <c r="AO339" s="189"/>
      <c r="AP339" s="189"/>
      <c r="AQ339" s="189"/>
    </row>
    <row r="340" spans="1:43" s="130" customFormat="1" x14ac:dyDescent="0.35">
      <c r="A340" s="121" t="s">
        <v>5</v>
      </c>
      <c r="B340" s="121" t="s">
        <v>1741</v>
      </c>
      <c r="C340" s="121" t="s">
        <v>1742</v>
      </c>
      <c r="D340" s="236" t="str">
        <f ca="1">IF([1]!s_info_industry_sw(B340,1)=0,"-",[1]!s_info_industry_sw(B340,1))</f>
        <v>电子</v>
      </c>
      <c r="E340" s="122" t="str">
        <f ca="1">[1]!cb_info_underlyingcode(B340)</f>
        <v>300666.SZ</v>
      </c>
      <c r="F340" s="124">
        <f ca="1">RTD("wdf.rtq",,B340,"LastPrice","Dirty_Price")</f>
        <v>125.32000000000001</v>
      </c>
      <c r="G340" s="124">
        <f ca="1">RTD("wdf.rtq",,E340,"LastPrice")</f>
        <v>48.92</v>
      </c>
      <c r="H340" s="226">
        <f ca="1">RTD("wdf.rtq",,B340,"PctChg","RT_Price")/100</f>
        <v>-3.0000000000000001E-3</v>
      </c>
      <c r="I340" s="226">
        <f ca="1">RTD("wdf.rtq",,E340,"PctChg")/100</f>
        <v>1.6000000000000001E-3</v>
      </c>
      <c r="J340" s="125">
        <f ca="1">_xlfn.IFNA([1]!b_anal_ptmyear(B340,$B$2),"未发行或发行失败")</f>
        <v>5.9260273972602739</v>
      </c>
      <c r="K340" s="125">
        <f ca="1">RTD("wdf.rtq",,B340,"Amount","Dirty_Price")/100000000</f>
        <v>0.40083408999999998</v>
      </c>
      <c r="L340" s="125">
        <f ca="1">[1]!cb_anal_convprice(B340,$B$2)</f>
        <v>51.93</v>
      </c>
      <c r="M340" s="125">
        <f t="shared" ca="1" si="20"/>
        <v>94.203735798189868</v>
      </c>
      <c r="N340" s="126">
        <f t="shared" ca="1" si="21"/>
        <v>33.030817661488157</v>
      </c>
      <c r="O340" s="126">
        <f t="array" aca="1" ref="O340" ca="1">_xlfn.IFNA(RTD("wdf.rtq",,B340,"LastPrice","Yield_To_Maturity"),[1]!cb_anal_ytm(B340,$C$2))</f>
        <v>-0.53129999999999999</v>
      </c>
      <c r="P340" s="126">
        <f ca="1">[1]!cb_anal_straightbondvalue(B340,$B$2)</f>
        <v>73.765299999999996</v>
      </c>
      <c r="Q340" s="126">
        <f t="shared" ca="1" si="22"/>
        <v>69.890178715466504</v>
      </c>
      <c r="R340" s="126" t="str">
        <f ca="1">[1]!b_rate_latestcredit(B340)</f>
        <v>A+</v>
      </c>
      <c r="S340" s="126">
        <f ca="1">[1]!cb_info_outstandingbalance(B340,$B$2)</f>
        <v>5.165</v>
      </c>
      <c r="T340" s="126">
        <f ca="1">[1]!cb_info_issueamount(B340,100000000)</f>
        <v>5.165</v>
      </c>
      <c r="U340" s="126">
        <f t="shared" ca="1" si="23"/>
        <v>100</v>
      </c>
      <c r="V340" s="230">
        <f ca="1">IF([1]!cb_anal_ldiluterate(B340,$B$2)=100,"-",[1]!cb_anal_ldiluterate(B340,$B$2))</f>
        <v>6.1168040044635728</v>
      </c>
      <c r="W340" s="127" t="str">
        <f ca="1">[1]!cb_info_listeddate(B340)</f>
        <v>2021-09-01</v>
      </c>
      <c r="X340" s="127" t="str">
        <f ca="1">[1]!cb_info_carrydate(B340)</f>
        <v>2021-08-12</v>
      </c>
      <c r="Y340" s="125" t="str">
        <f ca="1">[1]!cb_clause_conversion_2_swapsharestartdate(B340)</f>
        <v>2022-02-18</v>
      </c>
      <c r="Z340" s="125" t="str">
        <f ca="1">[1]!cb_clause_putoption_conditionalputbackstartenddate(B340)</f>
        <v>2025-08-12</v>
      </c>
      <c r="AA340" s="230">
        <f ca="1">[1]!cb_info_maturitycallprice(B340)</f>
        <v>115</v>
      </c>
      <c r="AB340" s="230">
        <f ca="1">IF(ISNUMBER([1]!cb_info_conditionalputprice(B340)),[1]!cb_info_conditionalputprice(B340),"-")</f>
        <v>0</v>
      </c>
      <c r="AC340" s="230">
        <f ca="1">[1]!cb_info_interest(B340)</f>
        <v>0.4</v>
      </c>
      <c r="AD340" s="263" t="str">
        <f ca="1">IFERROR(couponlist([1]!cb_clause_interest(B340,"4")),"-")</f>
        <v>0.40%，0.60%，1.20%，1.80%，2.50%，3.00%</v>
      </c>
      <c r="AE340" s="129"/>
      <c r="AF340" s="129"/>
      <c r="AG340" s="129"/>
      <c r="AH340" s="129"/>
      <c r="AI340" s="129"/>
      <c r="AJ340" s="129"/>
      <c r="AK340" s="129"/>
      <c r="AL340" s="129"/>
      <c r="AM340" s="129"/>
      <c r="AN340" s="129"/>
      <c r="AO340" s="129"/>
      <c r="AP340" s="129"/>
      <c r="AQ340" s="129"/>
    </row>
    <row r="341" spans="1:43" s="191" customFormat="1" x14ac:dyDescent="0.35">
      <c r="A341" s="182" t="s">
        <v>5</v>
      </c>
      <c r="B341" s="182" t="s">
        <v>1759</v>
      </c>
      <c r="C341" s="182" t="s">
        <v>1760</v>
      </c>
      <c r="D341" s="235" t="str">
        <f ca="1">IF([1]!s_info_industry_sw(B341,1)=0,"-",[1]!s_info_industry_sw(B341,1))</f>
        <v>电子</v>
      </c>
      <c r="E341" s="183" t="str">
        <f ca="1">[1]!cb_info_underlyingcode(B341)</f>
        <v>002049.SZ</v>
      </c>
      <c r="F341" s="185">
        <f ca="1">RTD("wdf.rtq",,B341,"LastPrice","Dirty_Price")</f>
        <v>198.70000000000002</v>
      </c>
      <c r="G341" s="185">
        <f ca="1">RTD("wdf.rtq",,E341,"LastPrice")</f>
        <v>214.5</v>
      </c>
      <c r="H341" s="225">
        <f ca="1">RTD("wdf.rtq",,B341,"PctChg","RT_Price")/100</f>
        <v>-1.78E-2</v>
      </c>
      <c r="I341" s="225">
        <f ca="1">RTD("wdf.rtq",,E341,"PctChg")/100</f>
        <v>-2.8900000000000002E-2</v>
      </c>
      <c r="J341" s="186">
        <f ca="1">_xlfn.IFNA([1]!b_anal_ptmyear(B341,$B$2),"未发行或发行失败")</f>
        <v>5.7534246575342465</v>
      </c>
      <c r="K341" s="186">
        <f ca="1">RTD("wdf.rtq",,B341,"Amount","Dirty_Price")/100000000</f>
        <v>0.81464327999999997</v>
      </c>
      <c r="L341" s="186">
        <f ca="1">[1]!cb_anal_convprice(B341,$B$2)</f>
        <v>137.78</v>
      </c>
      <c r="M341" s="186">
        <f t="shared" ca="1" si="20"/>
        <v>155.68297285527652</v>
      </c>
      <c r="N341" s="187">
        <f t="shared" ca="1" si="21"/>
        <v>27.631170163170168</v>
      </c>
      <c r="O341" s="187">
        <f t="array" aca="1" ref="O341" ca="1">_xlfn.IFNA(RTD("wdf.rtq",,B341,"LastPrice","Yield_To_Maturity"),[1]!cb_anal_ytm(B341,$C$2))</f>
        <v>-9.2451000000000008</v>
      </c>
      <c r="P341" s="187">
        <f ca="1">[1]!cb_anal_straightbondvalue(B341,$B$2)</f>
        <v>92.799000000000007</v>
      </c>
      <c r="Q341" s="187">
        <f t="shared" ca="1" si="22"/>
        <v>114.11868662377825</v>
      </c>
      <c r="R341" s="187" t="str">
        <f ca="1">[1]!b_rate_latestcredit(B341)</f>
        <v>AA+</v>
      </c>
      <c r="S341" s="187">
        <f ca="1">[1]!cb_info_outstandingbalance(B341,$B$2)</f>
        <v>15</v>
      </c>
      <c r="T341" s="187">
        <f ca="1">[1]!cb_info_issueamount(B341,100000000)</f>
        <v>15</v>
      </c>
      <c r="U341" s="187">
        <f t="shared" ca="1" si="23"/>
        <v>100</v>
      </c>
      <c r="V341" s="240">
        <f ca="1">IF([1]!cb_anal_ldiluterate(B341,$B$2)=100,"-",[1]!cb_anal_ldiluterate(B341,$B$2))</f>
        <v>1.7624793601951367</v>
      </c>
      <c r="W341" s="188" t="str">
        <f ca="1">[1]!cb_info_listeddate(B341)</f>
        <v>2021-07-14</v>
      </c>
      <c r="X341" s="188" t="str">
        <f ca="1">[1]!cb_info_carrydate(B341)</f>
        <v>2021-06-10</v>
      </c>
      <c r="Y341" s="186" t="str">
        <f ca="1">[1]!cb_clause_conversion_2_swapsharestartdate(B341)</f>
        <v>2021-12-17</v>
      </c>
      <c r="Z341" s="186" t="str">
        <f ca="1">[1]!cb_clause_putoption_conditionalputbackstartenddate(B341)</f>
        <v>2025-06-10</v>
      </c>
      <c r="AA341" s="240">
        <f ca="1">[1]!cb_info_maturitycallprice(B341)</f>
        <v>110</v>
      </c>
      <c r="AB341" s="240">
        <f ca="1">IF(ISNUMBER([1]!cb_info_conditionalputprice(B341)),[1]!cb_info_conditionalputprice(B341),"-")</f>
        <v>0</v>
      </c>
      <c r="AC341" s="240">
        <f ca="1">[1]!cb_info_interest(B341)</f>
        <v>0.2</v>
      </c>
      <c r="AD341" s="262" t="str">
        <f ca="1">IFERROR(couponlist([1]!cb_clause_interest(B341,"4")),"-")</f>
        <v>0.20%，0.40%，0.60%，1.50%，1.80%，2.00%</v>
      </c>
      <c r="AE341" s="189"/>
      <c r="AF341" s="189"/>
      <c r="AG341" s="189"/>
      <c r="AH341" s="189"/>
      <c r="AI341" s="189"/>
      <c r="AJ341" s="189"/>
      <c r="AK341" s="189"/>
      <c r="AL341" s="189"/>
      <c r="AM341" s="189"/>
      <c r="AN341" s="189"/>
      <c r="AO341" s="189"/>
      <c r="AP341" s="189"/>
      <c r="AQ341" s="189"/>
    </row>
    <row r="342" spans="1:43" s="130" customFormat="1" x14ac:dyDescent="0.35">
      <c r="A342" s="121" t="s">
        <v>5</v>
      </c>
      <c r="B342" s="121" t="s">
        <v>449</v>
      </c>
      <c r="C342" s="121" t="s">
        <v>450</v>
      </c>
      <c r="D342" s="236" t="str">
        <f ca="1">IF([1]!s_info_industry_sw(B342,1)=0,"-",[1]!s_info_industry_sw(B342,1))</f>
        <v>电子</v>
      </c>
      <c r="E342" s="122" t="str">
        <f ca="1">[1]!cb_info_underlyingcode(B342)</f>
        <v>002008.SZ</v>
      </c>
      <c r="F342" s="124">
        <f ca="1">RTD("wdf.rtq",,B342,"LastPrice","Dirty_Price")</f>
        <v>121.60000000000001</v>
      </c>
      <c r="G342" s="124">
        <f ca="1">RTD("wdf.rtq",,E342,"LastPrice")</f>
        <v>43.660000000000004</v>
      </c>
      <c r="H342" s="226">
        <f ca="1">RTD("wdf.rtq",,B342,"PctChg","RT_Price")/100</f>
        <v>6.2000000000000006E-3</v>
      </c>
      <c r="I342" s="226">
        <f ca="1">RTD("wdf.rtq",,E342,"PctChg")/100</f>
        <v>-2.4399999999999998E-2</v>
      </c>
      <c r="J342" s="125">
        <f ca="1">_xlfn.IFNA([1]!b_anal_ptmyear(B342,$B$2),"未发行或发行失败")</f>
        <v>2.4136986301369863</v>
      </c>
      <c r="K342" s="125">
        <f ca="1">RTD("wdf.rtq",,B342,"Amount","Dirty_Price")/100000000</f>
        <v>0.14600619000000001</v>
      </c>
      <c r="L342" s="125">
        <f ca="1">[1]!cb_anal_convprice(B342,$B$2)</f>
        <v>51.9</v>
      </c>
      <c r="M342" s="125">
        <f t="shared" ca="1" si="20"/>
        <v>84.123314065510598</v>
      </c>
      <c r="N342" s="126">
        <f t="shared" ca="1" si="21"/>
        <v>44.549702244617492</v>
      </c>
      <c r="O342" s="126">
        <f t="array" aca="1" ref="O342" ca="1">_xlfn.IFNA(RTD("wdf.rtq",,B342,"LastPrice","Yield_To_Maturity"),[1]!cb_anal_ytm(B342,$C$2))</f>
        <v>-5.0733000000000006</v>
      </c>
      <c r="P342" s="126">
        <f ca="1">[1]!cb_anal_straightbondvalue(B342,$B$2)</f>
        <v>99.813599999999994</v>
      </c>
      <c r="Q342" s="126">
        <f t="shared" ca="1" si="22"/>
        <v>21.827085687721919</v>
      </c>
      <c r="R342" s="126" t="str">
        <f ca="1">[1]!b_rate_latestcredit(B342)</f>
        <v>AA+</v>
      </c>
      <c r="S342" s="126">
        <f ca="1">[1]!cb_info_outstandingbalance(B342,$B$2)</f>
        <v>22.996105</v>
      </c>
      <c r="T342" s="126">
        <f ca="1">[1]!cb_info_issueamount(B342,100000000)</f>
        <v>23</v>
      </c>
      <c r="U342" s="126">
        <f t="shared" ca="1" si="23"/>
        <v>99.983065217391299</v>
      </c>
      <c r="V342" s="230">
        <f ca="1">IF([1]!cb_anal_ldiluterate(B342,$B$2)=100,"-",[1]!cb_anal_ldiluterate(B342,$B$2))</f>
        <v>4.2671717342582394</v>
      </c>
      <c r="W342" s="127" t="str">
        <f ca="1">[1]!cb_info_listeddate(B342)</f>
        <v>2018-03-05</v>
      </c>
      <c r="X342" s="127" t="str">
        <f ca="1">[1]!cb_info_carrydate(B342)</f>
        <v>2018-02-06</v>
      </c>
      <c r="Y342" s="125" t="str">
        <f ca="1">[1]!cb_clause_conversion_2_swapsharestartdate(B342)</f>
        <v>2018-08-13</v>
      </c>
      <c r="Z342" s="125" t="str">
        <f ca="1">[1]!cb_clause_putoption_conditionalputbackstartenddate(B342)</f>
        <v>2022-02-06</v>
      </c>
      <c r="AA342" s="230">
        <f ca="1">[1]!cb_info_maturitycallprice(B342)</f>
        <v>105</v>
      </c>
      <c r="AB342" s="230">
        <f ca="1">IF(ISNUMBER([1]!cb_info_conditionalputprice(B342)),[1]!cb_info_conditionalputprice(B342),"-")</f>
        <v>103</v>
      </c>
      <c r="AC342" s="230">
        <f ca="1">[1]!cb_info_interest(B342)</f>
        <v>0.2</v>
      </c>
      <c r="AD342" s="263" t="str">
        <f ca="1">IFERROR(couponlist([1]!cb_clause_interest(B342,"4")),"-")</f>
        <v>0.20%，0.40%，0.60%，0.80%，1.60%，2.00%</v>
      </c>
      <c r="AE342" s="129"/>
      <c r="AF342" s="129"/>
      <c r="AG342" s="129"/>
      <c r="AH342" s="129"/>
      <c r="AI342" s="129"/>
      <c r="AJ342" s="129"/>
      <c r="AK342" s="129"/>
      <c r="AL342" s="129"/>
      <c r="AM342" s="129"/>
      <c r="AN342" s="129"/>
      <c r="AO342" s="129"/>
      <c r="AP342" s="129"/>
      <c r="AQ342" s="129"/>
    </row>
    <row r="343" spans="1:43" s="191" customFormat="1" x14ac:dyDescent="0.35">
      <c r="A343" s="182" t="s">
        <v>0</v>
      </c>
      <c r="B343" s="182" t="s">
        <v>12</v>
      </c>
      <c r="C343" s="182" t="s">
        <v>13</v>
      </c>
      <c r="D343" s="235" t="str">
        <f ca="1">IF([1]!s_info_industry_sw(B343,1)=0,"-",[1]!s_info_industry_sw(B343,1))</f>
        <v>电子</v>
      </c>
      <c r="E343" s="183" t="str">
        <f ca="1">[1]!cb_info_underlyingcode(B343)</f>
        <v>603890.SH</v>
      </c>
      <c r="F343" s="185">
        <f ca="1">RTD("wdf.rtq",,B343,"LastPrice","Dirty_Price")</f>
        <v>126.39</v>
      </c>
      <c r="G343" s="185">
        <f ca="1">RTD("wdf.rtq",,E343,"LastPrice")</f>
        <v>12.31</v>
      </c>
      <c r="H343" s="225">
        <f ca="1">RTD("wdf.rtq",,B343,"PctChg","RT_Price")/100</f>
        <v>4.4000000000000003E-3</v>
      </c>
      <c r="I343" s="225">
        <f ca="1">RTD("wdf.rtq",,E343,"PctChg")/100</f>
        <v>5.7000000000000002E-3</v>
      </c>
      <c r="J343" s="186">
        <f ca="1">_xlfn.IFNA([1]!b_anal_ptmyear(B343,$B$2),"未发行或发行失败")</f>
        <v>4.5972602739726032</v>
      </c>
      <c r="K343" s="186">
        <f ca="1">RTD("wdf.rtq",,B343,"Amount","Dirty_Price")/100000000</f>
        <v>4.8705829999999999E-2</v>
      </c>
      <c r="L343" s="186">
        <f ca="1">[1]!cb_anal_convprice(B343,$B$2)</f>
        <v>10.85</v>
      </c>
      <c r="M343" s="186">
        <f t="shared" ca="1" si="20"/>
        <v>113.45622119815668</v>
      </c>
      <c r="N343" s="187">
        <f t="shared" ca="1" si="21"/>
        <v>11.399796913078802</v>
      </c>
      <c r="O343" s="187">
        <f t="array" aca="1" ref="O343" ca="1">_xlfn.IFNA(RTD("wdf.rtq",,B343,"LastPrice","Yield_To_Maturity"),[1]!cb_anal_ytm(B343,$C$2))</f>
        <v>-1.5694000000000001</v>
      </c>
      <c r="P343" s="187">
        <f ca="1">[1]!cb_anal_straightbondvalue(B343,$B$2)</f>
        <v>88.373199999999997</v>
      </c>
      <c r="Q343" s="187">
        <f t="shared" ca="1" si="22"/>
        <v>43.018471663354973</v>
      </c>
      <c r="R343" s="187" t="str">
        <f ca="1">[1]!b_rate_latestcredit(B343)</f>
        <v>AA-</v>
      </c>
      <c r="S343" s="187">
        <f ca="1">[1]!cb_info_outstandingbalance(B343,$B$2)</f>
        <v>1.7805899999999999</v>
      </c>
      <c r="T343" s="187">
        <f ca="1">[1]!cb_info_issueamount(B343,100000000)</f>
        <v>2.4</v>
      </c>
      <c r="U343" s="187">
        <f t="shared" ca="1" si="23"/>
        <v>74.191249999999997</v>
      </c>
      <c r="V343" s="240">
        <f ca="1">IF([1]!cb_anal_ldiluterate(B343,$B$2)=100,"-",[1]!cb_anal_ldiluterate(B343,$B$2))</f>
        <v>4.0673389169243661</v>
      </c>
      <c r="W343" s="188" t="str">
        <f ca="1">[1]!cb_info_listeddate(B343)</f>
        <v>2020-05-13</v>
      </c>
      <c r="X343" s="188" t="str">
        <f ca="1">[1]!cb_info_carrydate(B343)</f>
        <v>2020-04-14</v>
      </c>
      <c r="Y343" s="186" t="str">
        <f ca="1">[1]!cb_clause_conversion_2_swapsharestartdate(B343)</f>
        <v>2020-10-20</v>
      </c>
      <c r="Z343" s="186" t="str">
        <f ca="1">[1]!cb_clause_putoption_conditionalputbackstartenddate(B343)</f>
        <v>2024-04-14</v>
      </c>
      <c r="AA343" s="240">
        <f ca="1">[1]!cb_info_maturitycallprice(B343)</f>
        <v>112</v>
      </c>
      <c r="AB343" s="240">
        <f ca="1">IF(ISNUMBER([1]!cb_info_conditionalputprice(B343)),[1]!cb_info_conditionalputprice(B343),"-")</f>
        <v>0</v>
      </c>
      <c r="AC343" s="240">
        <f ca="1">[1]!cb_info_interest(B343)</f>
        <v>0.5</v>
      </c>
      <c r="AD343" s="262" t="str">
        <f ca="1">IFERROR(couponlist([1]!cb_clause_interest(B343,"4")),"-")</f>
        <v>0.50%，0.70%，1.00%，1.50%，2.50%，3.00%</v>
      </c>
      <c r="AE343" s="189"/>
      <c r="AF343" s="189"/>
      <c r="AG343" s="189"/>
      <c r="AH343" s="189"/>
      <c r="AI343" s="189"/>
      <c r="AJ343" s="189"/>
      <c r="AK343" s="189"/>
      <c r="AL343" s="189"/>
      <c r="AM343" s="189"/>
      <c r="AN343" s="189"/>
      <c r="AO343" s="189"/>
      <c r="AP343" s="189"/>
      <c r="AQ343" s="189"/>
    </row>
    <row r="344" spans="1:43" s="130" customFormat="1" x14ac:dyDescent="0.35">
      <c r="A344" s="121" t="s">
        <v>5</v>
      </c>
      <c r="B344" s="121" t="s">
        <v>350</v>
      </c>
      <c r="C344" s="121" t="s">
        <v>351</v>
      </c>
      <c r="D344" s="236" t="str">
        <f ca="1">IF([1]!s_info_industry_sw(B344,1)=0,"-",[1]!s_info_industry_sw(B344,1))</f>
        <v>电子</v>
      </c>
      <c r="E344" s="122" t="str">
        <f ca="1">[1]!cb_info_underlyingcode(B344)</f>
        <v>300088.SZ</v>
      </c>
      <c r="F344" s="124">
        <f ca="1">RTD("wdf.rtq",,B344,"LastPrice","Dirty_Price")</f>
        <v>151.59900000000002</v>
      </c>
      <c r="G344" s="124">
        <f ca="1">RTD("wdf.rtq",,E344,"LastPrice")</f>
        <v>7.79</v>
      </c>
      <c r="H344" s="226">
        <f ca="1">RTD("wdf.rtq",,B344,"PctChg","RT_Price")/100</f>
        <v>6.4600000000000005E-2</v>
      </c>
      <c r="I344" s="226">
        <f ca="1">RTD("wdf.rtq",,E344,"PctChg")/100</f>
        <v>8.1900000000000001E-2</v>
      </c>
      <c r="J344" s="125">
        <f ca="1">_xlfn.IFNA([1]!b_anal_ptmyear(B344,$B$2),"未发行或发行失败")</f>
        <v>3.5232876712328767</v>
      </c>
      <c r="K344" s="125">
        <f ca="1">RTD("wdf.rtq",,B344,"Amount","Dirty_Price")/100000000</f>
        <v>1.5715345199999999</v>
      </c>
      <c r="L344" s="125">
        <f ca="1">[1]!cb_anal_convprice(B344,$B$2)</f>
        <v>6.05</v>
      </c>
      <c r="M344" s="125">
        <f t="shared" ca="1" si="20"/>
        <v>128.7603305785124</v>
      </c>
      <c r="N344" s="126">
        <f t="shared" ca="1" si="21"/>
        <v>17.737349165596939</v>
      </c>
      <c r="O344" s="126">
        <f t="array" aca="1" ref="O344" ca="1">_xlfn.IFNA(RTD("wdf.rtq",,B344,"LastPrice","Yield_To_Maturity"),[1]!cb_anal_ytm(B344,$C$2))</f>
        <v>-7.8369</v>
      </c>
      <c r="P344" s="126">
        <f ca="1">[1]!cb_anal_straightbondvalue(B344,$B$2)</f>
        <v>99.934200000000004</v>
      </c>
      <c r="Q344" s="126">
        <f t="shared" ca="1" si="22"/>
        <v>51.698817822126955</v>
      </c>
      <c r="R344" s="126" t="str">
        <f ca="1">[1]!b_rate_latestcredit(B344)</f>
        <v>AA</v>
      </c>
      <c r="S344" s="126">
        <f ca="1">[1]!cb_info_outstandingbalance(B344,$B$2)</f>
        <v>2.566125</v>
      </c>
      <c r="T344" s="126">
        <f ca="1">[1]!cb_info_issueamount(B344,100000000)</f>
        <v>12.3</v>
      </c>
      <c r="U344" s="126">
        <f t="shared" ca="1" si="23"/>
        <v>20.862804878048781</v>
      </c>
      <c r="V344" s="230">
        <f ca="1">IF([1]!cb_anal_ldiluterate(B344,$B$2)=100,"-",[1]!cb_anal_ldiluterate(B344,$B$2))</f>
        <v>1.7069354741412905</v>
      </c>
      <c r="W344" s="127" t="str">
        <f ca="1">[1]!cb_info_listeddate(B344)</f>
        <v>2019-04-10</v>
      </c>
      <c r="X344" s="127" t="str">
        <f ca="1">[1]!cb_info_carrydate(B344)</f>
        <v>2019-03-18</v>
      </c>
      <c r="Y344" s="125" t="str">
        <f ca="1">[1]!cb_clause_conversion_2_swapsharestartdate(B344)</f>
        <v>2019-09-23</v>
      </c>
      <c r="Z344" s="125" t="str">
        <f ca="1">[1]!cb_clause_putoption_conditionalputbackstartenddate(B344)</f>
        <v>2023-03-18</v>
      </c>
      <c r="AA344" s="230">
        <f ca="1">[1]!cb_info_maturitycallprice(B344)</f>
        <v>110</v>
      </c>
      <c r="AB344" s="230">
        <f ca="1">IF(ISNUMBER([1]!cb_info_conditionalputprice(B344)),[1]!cb_info_conditionalputprice(B344),"-")</f>
        <v>0</v>
      </c>
      <c r="AC344" s="230">
        <f ca="1">[1]!cb_info_interest(B344)</f>
        <v>0.4</v>
      </c>
      <c r="AD344" s="263" t="str">
        <f ca="1">IFERROR(couponlist([1]!cb_clause_interest(B344,"4")),"-")</f>
        <v>0.4%，0.6%，1.5%，1.8%</v>
      </c>
      <c r="AE344" s="129"/>
      <c r="AF344" s="129"/>
      <c r="AG344" s="129"/>
      <c r="AH344" s="129"/>
      <c r="AI344" s="129"/>
      <c r="AJ344" s="129"/>
      <c r="AK344" s="129"/>
      <c r="AL344" s="129"/>
      <c r="AM344" s="129"/>
      <c r="AN344" s="129"/>
      <c r="AO344" s="129"/>
      <c r="AP344" s="129"/>
      <c r="AQ344" s="129"/>
    </row>
    <row r="345" spans="1:43" s="191" customFormat="1" x14ac:dyDescent="0.35">
      <c r="A345" s="182" t="s">
        <v>0</v>
      </c>
      <c r="B345" s="182" t="s">
        <v>575</v>
      </c>
      <c r="C345" s="182" t="s">
        <v>576</v>
      </c>
      <c r="D345" s="235" t="str">
        <f ca="1">IF([1]!s_info_industry_sw(B345,1)=0,"-",[1]!s_info_industry_sw(B345,1))</f>
        <v>电子</v>
      </c>
      <c r="E345" s="183" t="str">
        <f ca="1">[1]!cb_info_underlyingcode(B345)</f>
        <v>603501.SH</v>
      </c>
      <c r="F345" s="185">
        <f ca="1">RTD("wdf.rtq",,B345,"LastPrice","Dirty_Price")</f>
        <v>145</v>
      </c>
      <c r="G345" s="185">
        <f ca="1">RTD("wdf.rtq",,E345,"LastPrice")</f>
        <v>243.35</v>
      </c>
      <c r="H345" s="225">
        <f ca="1">RTD("wdf.rtq",,B345,"PctChg","RT_Price")/100</f>
        <v>-4.2000000000000006E-3</v>
      </c>
      <c r="I345" s="225">
        <f ca="1">RTD("wdf.rtq",,E345,"PctChg")/100</f>
        <v>-8.8000000000000005E-3</v>
      </c>
      <c r="J345" s="186">
        <f ca="1">_xlfn.IFNA([1]!b_anal_ptmyear(B345,$B$2),"未发行或发行失败")</f>
        <v>5.3041095890410963</v>
      </c>
      <c r="K345" s="186">
        <f ca="1">RTD("wdf.rtq",,B345,"Amount","Dirty_Price")/100000000</f>
        <v>0.98210056999999995</v>
      </c>
      <c r="L345" s="186">
        <f ca="1">[1]!cb_anal_convprice(B345,$B$2)</f>
        <v>222.52</v>
      </c>
      <c r="M345" s="186">
        <f t="shared" ca="1" si="20"/>
        <v>109.36095631853316</v>
      </c>
      <c r="N345" s="187">
        <f t="shared" ca="1" si="21"/>
        <v>32.588452845695514</v>
      </c>
      <c r="O345" s="187">
        <f t="array" aca="1" ref="O345" ca="1">_xlfn.IFNA(RTD("wdf.rtq",,B345,"LastPrice","Yield_To_Maturity"),[1]!cb_anal_ytm(B345,$C$2))</f>
        <v>-4.4165000000000001</v>
      </c>
      <c r="P345" s="187">
        <f ca="1">[1]!cb_anal_straightbondvalue(B345,$B$2)</f>
        <v>94.721500000000006</v>
      </c>
      <c r="Q345" s="187">
        <f t="shared" ca="1" si="22"/>
        <v>53.08034606715475</v>
      </c>
      <c r="R345" s="187" t="str">
        <f ca="1">[1]!b_rate_latestcredit(B345)</f>
        <v>AA+</v>
      </c>
      <c r="S345" s="187">
        <f ca="1">[1]!cb_info_outstandingbalance(B345,$B$2)</f>
        <v>24.343724999999999</v>
      </c>
      <c r="T345" s="187">
        <f ca="1">[1]!cb_info_issueamount(B345,100000000)</f>
        <v>24.4</v>
      </c>
      <c r="U345" s="187">
        <f t="shared" ca="1" si="23"/>
        <v>99.769364754098362</v>
      </c>
      <c r="V345" s="240">
        <f ca="1">IF([1]!cb_anal_ldiluterate(B345,$B$2)=100,"-",[1]!cb_anal_ldiluterate(B345,$B$2))</f>
        <v>1.3737709656600199</v>
      </c>
      <c r="W345" s="188" t="str">
        <f ca="1">[1]!cb_info_listeddate(B345)</f>
        <v>2021-01-22</v>
      </c>
      <c r="X345" s="188" t="str">
        <f ca="1">[1]!cb_info_carrydate(B345)</f>
        <v>2020-12-28</v>
      </c>
      <c r="Y345" s="186" t="str">
        <f ca="1">[1]!cb_clause_conversion_2_swapsharestartdate(B345)</f>
        <v>2021-07-05</v>
      </c>
      <c r="Z345" s="186" t="str">
        <f ca="1">[1]!cb_clause_putoption_conditionalputbackstartenddate(B345)</f>
        <v>2024-12-28</v>
      </c>
      <c r="AA345" s="240">
        <f ca="1">[1]!cb_info_maturitycallprice(B345)</f>
        <v>110</v>
      </c>
      <c r="AB345" s="240">
        <f ca="1">IF(ISNUMBER([1]!cb_info_conditionalputprice(B345)),[1]!cb_info_conditionalputprice(B345),"-")</f>
        <v>100.12</v>
      </c>
      <c r="AC345" s="240">
        <f ca="1">[1]!cb_info_interest(B345)</f>
        <v>0.2</v>
      </c>
      <c r="AD345" s="262" t="str">
        <f ca="1">IFERROR(couponlist([1]!cb_clause_interest(B345,"4")),"-")</f>
        <v>0.2%，0.4%，0.6%，1.5%，1.8%，2.0%</v>
      </c>
      <c r="AE345" s="189"/>
      <c r="AF345" s="189"/>
      <c r="AG345" s="189"/>
      <c r="AH345" s="189"/>
      <c r="AI345" s="189"/>
      <c r="AJ345" s="189"/>
      <c r="AK345" s="189"/>
      <c r="AL345" s="189"/>
      <c r="AM345" s="189"/>
      <c r="AN345" s="189"/>
      <c r="AO345" s="189"/>
      <c r="AP345" s="189"/>
      <c r="AQ345" s="189"/>
    </row>
    <row r="346" spans="1:43" s="130" customFormat="1" x14ac:dyDescent="0.35">
      <c r="A346" s="121" t="s">
        <v>5</v>
      </c>
      <c r="B346" s="121" t="s">
        <v>22</v>
      </c>
      <c r="C346" s="121" t="s">
        <v>23</v>
      </c>
      <c r="D346" s="236" t="str">
        <f ca="1">IF([1]!s_info_industry_sw(B346,1)=0,"-",[1]!s_info_industry_sw(B346,1))</f>
        <v>电子</v>
      </c>
      <c r="E346" s="122" t="str">
        <f ca="1">[1]!cb_info_underlyingcode(B346)</f>
        <v>002815.SZ</v>
      </c>
      <c r="F346" s="124">
        <f ca="1">RTD("wdf.rtq",,B346,"LastPrice","Dirty_Price")</f>
        <v>111.13500000000001</v>
      </c>
      <c r="G346" s="124">
        <f ca="1">RTD("wdf.rtq",,E346,"LastPrice")</f>
        <v>12.8</v>
      </c>
      <c r="H346" s="226">
        <f ca="1">RTD("wdf.rtq",,B346,"PctChg","RT_Price")/100</f>
        <v>-1.5E-3</v>
      </c>
      <c r="I346" s="226">
        <f ca="1">RTD("wdf.rtq",,E346,"PctChg")/100</f>
        <v>0</v>
      </c>
      <c r="J346" s="125">
        <f ca="1">_xlfn.IFNA([1]!b_anal_ptmyear(B346,$B$2),"未发行或发行失败")</f>
        <v>4.9972602739726026</v>
      </c>
      <c r="K346" s="125">
        <f ca="1">RTD("wdf.rtq",,B346,"Amount","Dirty_Price")/100000000</f>
        <v>1.4441789999999999E-2</v>
      </c>
      <c r="L346" s="125">
        <f ca="1">[1]!cb_anal_convprice(B346,$B$2)</f>
        <v>19.38</v>
      </c>
      <c r="M346" s="125">
        <f t="shared" ca="1" si="20"/>
        <v>66.047471620227043</v>
      </c>
      <c r="N346" s="126">
        <f t="shared" ca="1" si="21"/>
        <v>68.265335937499998</v>
      </c>
      <c r="O346" s="126">
        <f t="array" aca="1" ref="O346" ca="1">_xlfn.IFNA(RTD("wdf.rtq",,B346,"LastPrice","Yield_To_Maturity"),[1]!cb_anal_ytm(B346,$C$2))</f>
        <v>0.68120000000000003</v>
      </c>
      <c r="P346" s="126">
        <f ca="1">[1]!cb_anal_straightbondvalue(B346,$B$2)</f>
        <v>93.300299999999993</v>
      </c>
      <c r="Q346" s="126">
        <f t="shared" ca="1" si="22"/>
        <v>19.115372619380651</v>
      </c>
      <c r="R346" s="126" t="str">
        <f ca="1">[1]!b_rate_latestcredit(B346)</f>
        <v>AA</v>
      </c>
      <c r="S346" s="126">
        <f ca="1">[1]!cb_info_outstandingbalance(B346,$B$2)</f>
        <v>13.999427000000001</v>
      </c>
      <c r="T346" s="126">
        <f ca="1">[1]!cb_info_issueamount(B346,100000000)</f>
        <v>14</v>
      </c>
      <c r="U346" s="126">
        <f t="shared" ca="1" si="23"/>
        <v>99.995907142857149</v>
      </c>
      <c r="V346" s="230">
        <f ca="1">IF([1]!cb_anal_ldiluterate(B346,$B$2)=100,"-",[1]!cb_anal_ldiluterate(B346,$B$2))</f>
        <v>14.391726297059842</v>
      </c>
      <c r="W346" s="127" t="str">
        <f ca="1">[1]!cb_info_listeddate(B346)</f>
        <v>2020-09-28</v>
      </c>
      <c r="X346" s="127" t="str">
        <f ca="1">[1]!cb_info_carrydate(B346)</f>
        <v>2020-09-07</v>
      </c>
      <c r="Y346" s="125" t="str">
        <f ca="1">[1]!cb_clause_conversion_2_swapsharestartdate(B346)</f>
        <v>2021-03-11</v>
      </c>
      <c r="Z346" s="125" t="str">
        <f ca="1">[1]!cb_clause_putoption_conditionalputbackstartenddate(B346)</f>
        <v>2024-09-07</v>
      </c>
      <c r="AA346" s="230">
        <f ca="1">[1]!cb_info_maturitycallprice(B346)</f>
        <v>110</v>
      </c>
      <c r="AB346" s="230">
        <f ca="1">IF(ISNUMBER([1]!cb_info_conditionalputprice(B346)),[1]!cb_info_conditionalputprice(B346),"-")</f>
        <v>0</v>
      </c>
      <c r="AC346" s="230">
        <f ca="1">[1]!cb_info_interest(B346)</f>
        <v>0.3</v>
      </c>
      <c r="AD346" s="263" t="str">
        <f ca="1">IFERROR(couponlist([1]!cb_clause_interest(B346,"4")),"-")</f>
        <v>0.30%，0.60%，1.00%，1.50%，1.80%，2.00%</v>
      </c>
      <c r="AE346" s="129"/>
      <c r="AF346" s="129"/>
      <c r="AG346" s="129"/>
      <c r="AH346" s="129"/>
      <c r="AI346" s="129"/>
      <c r="AJ346" s="129"/>
      <c r="AK346" s="129"/>
      <c r="AL346" s="129"/>
      <c r="AM346" s="129"/>
      <c r="AN346" s="129"/>
      <c r="AO346" s="129"/>
      <c r="AP346" s="129"/>
      <c r="AQ346" s="129"/>
    </row>
    <row r="347" spans="1:43" s="191" customFormat="1" x14ac:dyDescent="0.35">
      <c r="A347" s="182" t="s">
        <v>5</v>
      </c>
      <c r="B347" s="182" t="s">
        <v>589</v>
      </c>
      <c r="C347" s="182" t="s">
        <v>590</v>
      </c>
      <c r="D347" s="235" t="str">
        <f ca="1">IF([1]!s_info_industry_sw(B347,1)=0,"-",[1]!s_info_industry_sw(B347,1))</f>
        <v>电子</v>
      </c>
      <c r="E347" s="183" t="str">
        <f ca="1">[1]!cb_info_underlyingcode(B347)</f>
        <v>300752.SZ</v>
      </c>
      <c r="F347" s="185">
        <f ca="1">RTD("wdf.rtq",,B347,"LastPrice","Dirty_Price")</f>
        <v>160.55000000000001</v>
      </c>
      <c r="G347" s="185">
        <f ca="1">RTD("wdf.rtq",,E347,"LastPrice")</f>
        <v>24.11</v>
      </c>
      <c r="H347" s="225">
        <f ca="1">RTD("wdf.rtq",,B347,"PctChg","RT_Price")/100</f>
        <v>-2.1000000000000003E-3</v>
      </c>
      <c r="I347" s="225">
        <f ca="1">RTD("wdf.rtq",,E347,"PctChg")/100</f>
        <v>-1.11E-2</v>
      </c>
      <c r="J347" s="186">
        <f ca="1">_xlfn.IFNA([1]!b_anal_ptmyear(B347,$B$2),"未发行或发行失败")</f>
        <v>5.13972602739726</v>
      </c>
      <c r="K347" s="186">
        <f ca="1">RTD("wdf.rtq",,B347,"Amount","Dirty_Price")/100000000</f>
        <v>0.39903975000000003</v>
      </c>
      <c r="L347" s="186">
        <f ca="1">[1]!cb_anal_convprice(B347,$B$2)</f>
        <v>18.34</v>
      </c>
      <c r="M347" s="186">
        <f t="shared" ca="1" si="20"/>
        <v>131.46128680479825</v>
      </c>
      <c r="N347" s="187">
        <f t="shared" ca="1" si="21"/>
        <v>22.127208627125697</v>
      </c>
      <c r="O347" s="187">
        <f t="array" aca="1" ref="O347" ca="1">_xlfn.IFNA(RTD("wdf.rtq",,B347,"LastPrice","Yield_To_Maturity"),[1]!cb_anal_ytm(B347,$C$2))</f>
        <v>-4.9937000000000005</v>
      </c>
      <c r="P347" s="187">
        <f ca="1">[1]!cb_anal_straightbondvalue(B347,$B$2)</f>
        <v>89.5886</v>
      </c>
      <c r="Q347" s="187">
        <f t="shared" ca="1" si="22"/>
        <v>79.208068883764241</v>
      </c>
      <c r="R347" s="187" t="str">
        <f ca="1">[1]!b_rate_latestcredit(B347)</f>
        <v>AA-</v>
      </c>
      <c r="S347" s="187">
        <f ca="1">[1]!cb_info_outstandingbalance(B347,$B$2)</f>
        <v>1.4788559999999999</v>
      </c>
      <c r="T347" s="187">
        <f ca="1">[1]!cb_info_issueamount(B347,100000000)</f>
        <v>3.2450000000000001</v>
      </c>
      <c r="U347" s="187">
        <f t="shared" ca="1" si="23"/>
        <v>45.573374422187975</v>
      </c>
      <c r="V347" s="240">
        <f ca="1">IF([1]!cb_anal_ldiluterate(B347,$B$2)=100,"-",[1]!cb_anal_ldiluterate(B347,$B$2))</f>
        <v>21.624949295124647</v>
      </c>
      <c r="W347" s="188" t="str">
        <f ca="1">[1]!cb_info_listeddate(B347)</f>
        <v>2020-11-16</v>
      </c>
      <c r="X347" s="188" t="str">
        <f ca="1">[1]!cb_info_carrydate(B347)</f>
        <v>2020-10-29</v>
      </c>
      <c r="Y347" s="186" t="str">
        <f ca="1">[1]!cb_clause_conversion_2_swapsharestartdate(B347)</f>
        <v>2021-05-06</v>
      </c>
      <c r="Z347" s="186" t="str">
        <f ca="1">[1]!cb_clause_putoption_conditionalputbackstartenddate(B347)</f>
        <v>2024-10-29</v>
      </c>
      <c r="AA347" s="240">
        <f ca="1">[1]!cb_info_maturitycallprice(B347)</f>
        <v>118</v>
      </c>
      <c r="AB347" s="240">
        <f ca="1">IF(ISNUMBER([1]!cb_info_conditionalputprice(B347)),[1]!cb_info_conditionalputprice(B347),"-")</f>
        <v>0</v>
      </c>
      <c r="AC347" s="240">
        <f ca="1">[1]!cb_info_interest(B347)</f>
        <v>0.4</v>
      </c>
      <c r="AD347" s="262" t="str">
        <f ca="1">IFERROR(couponlist([1]!cb_clause_interest(B347,"4")),"-")</f>
        <v>0.4%，0.6%，1.0%，1.5%，2.5%，3.0%</v>
      </c>
      <c r="AE347" s="189"/>
      <c r="AF347" s="189"/>
      <c r="AG347" s="189"/>
      <c r="AH347" s="189"/>
      <c r="AI347" s="189"/>
      <c r="AJ347" s="189"/>
      <c r="AK347" s="189"/>
      <c r="AL347" s="189"/>
      <c r="AM347" s="189"/>
      <c r="AN347" s="189"/>
      <c r="AO347" s="189"/>
      <c r="AP347" s="189"/>
      <c r="AQ347" s="189"/>
    </row>
    <row r="348" spans="1:43" s="130" customFormat="1" x14ac:dyDescent="0.35">
      <c r="A348" s="121" t="s">
        <v>5</v>
      </c>
      <c r="B348" s="121" t="s">
        <v>224</v>
      </c>
      <c r="C348" s="121" t="s">
        <v>225</v>
      </c>
      <c r="D348" s="236" t="str">
        <f ca="1">IF([1]!s_info_industry_sw(B348,1)=0,"-",[1]!s_info_industry_sw(B348,1))</f>
        <v>电子</v>
      </c>
      <c r="E348" s="122" t="str">
        <f ca="1">[1]!cb_info_underlyingcode(B348)</f>
        <v>300545.SZ</v>
      </c>
      <c r="F348" s="124">
        <f ca="1">RTD("wdf.rtq",,B348,"LastPrice","Dirty_Price")</f>
        <v>129.49</v>
      </c>
      <c r="G348" s="124">
        <f ca="1">RTD("wdf.rtq",,E348,"LastPrice")</f>
        <v>26.17</v>
      </c>
      <c r="H348" s="226">
        <f ca="1">RTD("wdf.rtq",,B348,"PctChg","RT_Price")/100</f>
        <v>-2.9000000000000002E-3</v>
      </c>
      <c r="I348" s="226">
        <f ca="1">RTD("wdf.rtq",,E348,"PctChg")/100</f>
        <v>-5.7000000000000002E-3</v>
      </c>
      <c r="J348" s="125">
        <f ca="1">_xlfn.IFNA([1]!b_anal_ptmyear(B348,$B$2),"未发行或发行失败")</f>
        <v>4.2958904109589042</v>
      </c>
      <c r="K348" s="125">
        <f ca="1">RTD("wdf.rtq",,B348,"Amount","Dirty_Price")/100000000</f>
        <v>9.9556510000000001E-2</v>
      </c>
      <c r="L348" s="125">
        <f ca="1">[1]!cb_anal_convprice(B348,$B$2)</f>
        <v>24.07</v>
      </c>
      <c r="M348" s="125">
        <f t="shared" ca="1" si="20"/>
        <v>108.72455338595762</v>
      </c>
      <c r="N348" s="126">
        <f t="shared" ca="1" si="21"/>
        <v>19.099132594573945</v>
      </c>
      <c r="O348" s="126">
        <f t="array" aca="1" ref="O348" ca="1">_xlfn.IFNA(RTD("wdf.rtq",,B348,"LastPrice","Yield_To_Maturity"),[1]!cb_anal_ytm(B348,$C$2))</f>
        <v>-2.0695999999999999</v>
      </c>
      <c r="P348" s="126">
        <f ca="1">[1]!cb_anal_straightbondvalue(B348,$B$2)</f>
        <v>83.616200000000006</v>
      </c>
      <c r="Q348" s="126">
        <f t="shared" ca="1" si="22"/>
        <v>54.862335289094688</v>
      </c>
      <c r="R348" s="126" t="str">
        <f ca="1">[1]!b_rate_latestcredit(B348)</f>
        <v>A+</v>
      </c>
      <c r="S348" s="126">
        <f ca="1">[1]!cb_info_outstandingbalance(B348,$B$2)</f>
        <v>1.4730479999999999</v>
      </c>
      <c r="T348" s="126">
        <f ca="1">[1]!cb_info_issueamount(B348,100000000)</f>
        <v>2</v>
      </c>
      <c r="U348" s="126">
        <f t="shared" ca="1" si="23"/>
        <v>73.6524</v>
      </c>
      <c r="V348" s="230">
        <f ca="1">IF([1]!cb_anal_ldiluterate(B348,$B$2)=100,"-",[1]!cb_anal_ldiluterate(B348,$B$2))</f>
        <v>7.1795162913598247</v>
      </c>
      <c r="W348" s="127" t="str">
        <f ca="1">[1]!cb_info_listeddate(B348)</f>
        <v>2020-01-22</v>
      </c>
      <c r="X348" s="127" t="str">
        <f ca="1">[1]!cb_info_carrydate(B348)</f>
        <v>2019-12-25</v>
      </c>
      <c r="Y348" s="125" t="str">
        <f ca="1">[1]!cb_clause_conversion_2_swapsharestartdate(B348)</f>
        <v>2020-07-01</v>
      </c>
      <c r="Z348" s="125" t="str">
        <f ca="1">[1]!cb_clause_putoption_conditionalputbackstartenddate(B348)</f>
        <v>2023-12-25</v>
      </c>
      <c r="AA348" s="230">
        <f ca="1">[1]!cb_info_maturitycallprice(B348)</f>
        <v>113</v>
      </c>
      <c r="AB348" s="230">
        <f ca="1">IF(ISNUMBER([1]!cb_info_conditionalputprice(B348)),[1]!cb_info_conditionalputprice(B348),"-")</f>
        <v>0</v>
      </c>
      <c r="AC348" s="230">
        <f ca="1">[1]!cb_info_interest(B348)</f>
        <v>0.5</v>
      </c>
      <c r="AD348" s="263" t="str">
        <f ca="1">IFERROR(couponlist([1]!cb_clause_interest(B348,"4")),"-")</f>
        <v>0.5%，0.7%，1.1%，1.7%，2.1%，2.7%</v>
      </c>
      <c r="AE348" s="129"/>
      <c r="AF348" s="129"/>
      <c r="AG348" s="129"/>
      <c r="AH348" s="129"/>
      <c r="AI348" s="129"/>
      <c r="AJ348" s="129"/>
      <c r="AK348" s="129"/>
      <c r="AL348" s="129"/>
      <c r="AM348" s="129"/>
      <c r="AN348" s="129"/>
      <c r="AO348" s="129"/>
    </row>
    <row r="349" spans="1:43" s="191" customFormat="1" x14ac:dyDescent="0.35">
      <c r="A349" s="182" t="s">
        <v>5</v>
      </c>
      <c r="B349" s="182" t="s">
        <v>615</v>
      </c>
      <c r="C349" s="182" t="s">
        <v>832</v>
      </c>
      <c r="D349" s="235" t="str">
        <f ca="1">IF([1]!s_info_industry_sw(B349,1)=0,"-",[1]!s_info_industry_sw(B349,1))</f>
        <v>电子</v>
      </c>
      <c r="E349" s="183" t="str">
        <f ca="1">[1]!cb_info_underlyingcode(B349)</f>
        <v>300739.SZ</v>
      </c>
      <c r="F349" s="185">
        <f ca="1">RTD("wdf.rtq",,B349,"LastPrice","Dirty_Price")</f>
        <v>125.92</v>
      </c>
      <c r="G349" s="185">
        <f ca="1">RTD("wdf.rtq",,E349,"LastPrice")</f>
        <v>17.41</v>
      </c>
      <c r="H349" s="225">
        <f ca="1">RTD("wdf.rtq",,B349,"PctChg","RT_Price")/100</f>
        <v>-2.5999999999999999E-3</v>
      </c>
      <c r="I349" s="225">
        <f ca="1">RTD("wdf.rtq",,E349,"PctChg")/100</f>
        <v>-6.3E-3</v>
      </c>
      <c r="J349" s="186">
        <f ca="1">_xlfn.IFNA([1]!b_anal_ptmyear(B349,$B$2),"未发行或发行失败")</f>
        <v>5.2684931506849315</v>
      </c>
      <c r="K349" s="186">
        <f ca="1">RTD("wdf.rtq",,B349,"Amount","Dirty_Price")/100000000</f>
        <v>0.19576267</v>
      </c>
      <c r="L349" s="186">
        <f ca="1">[1]!cb_anal_convprice(B349,$B$2)</f>
        <v>16.32</v>
      </c>
      <c r="M349" s="186">
        <f t="shared" ca="1" si="20"/>
        <v>106.67892156862744</v>
      </c>
      <c r="N349" s="187">
        <f t="shared" ca="1" si="21"/>
        <v>18.036438828259634</v>
      </c>
      <c r="O349" s="187">
        <f t="array" aca="1" ref="O349" ca="1">_xlfn.IFNA(RTD("wdf.rtq",,B349,"LastPrice","Yield_To_Maturity"),[1]!cb_anal_ytm(B349,$C$2))</f>
        <v>-0.73810000000000009</v>
      </c>
      <c r="P349" s="187">
        <f ca="1">[1]!cb_anal_straightbondvalue(B349,$B$2)</f>
        <v>86.774199999999993</v>
      </c>
      <c r="Q349" s="187">
        <f t="shared" ca="1" si="22"/>
        <v>45.112256868977198</v>
      </c>
      <c r="R349" s="187" t="str">
        <f ca="1">[1]!b_rate_latestcredit(B349)</f>
        <v>AA-</v>
      </c>
      <c r="S349" s="187">
        <f ca="1">[1]!cb_info_outstandingbalance(B349,$B$2)</f>
        <v>4.1897869999999999</v>
      </c>
      <c r="T349" s="187">
        <f ca="1">[1]!cb_info_issueamount(B349,100000000)</f>
        <v>6.73</v>
      </c>
      <c r="U349" s="187">
        <f t="shared" ca="1" si="23"/>
        <v>62.255378900445763</v>
      </c>
      <c r="V349" s="240">
        <f ca="1">IF([1]!cb_anal_ldiluterate(B349,$B$2)=100,"-",[1]!cb_anal_ldiluterate(B349,$B$2))</f>
        <v>12.516976152743329</v>
      </c>
      <c r="W349" s="188" t="str">
        <f ca="1">[1]!cb_info_listeddate(B349)</f>
        <v>2021-01-05</v>
      </c>
      <c r="X349" s="188" t="str">
        <f ca="1">[1]!cb_info_carrydate(B349)</f>
        <v>2020-12-15</v>
      </c>
      <c r="Y349" s="186" t="str">
        <f ca="1">[1]!cb_clause_conversion_2_swapsharestartdate(B349)</f>
        <v>2021-06-21</v>
      </c>
      <c r="Z349" s="186" t="str">
        <f ca="1">[1]!cb_clause_putoption_conditionalputbackstartenddate(B349)</f>
        <v>2025-12-15</v>
      </c>
      <c r="AA349" s="240">
        <f ca="1">[1]!cb_info_maturitycallprice(B349)</f>
        <v>115</v>
      </c>
      <c r="AB349" s="240">
        <f ca="1">IF(ISNUMBER([1]!cb_info_conditionalputprice(B349)),[1]!cb_info_conditionalputprice(B349),"-")</f>
        <v>0</v>
      </c>
      <c r="AC349" s="240">
        <f ca="1">[1]!cb_info_interest(B349)</f>
        <v>0.4</v>
      </c>
      <c r="AD349" s="262" t="str">
        <f ca="1">IFERROR(couponlist([1]!cb_clause_interest(B349,"4")),"-")</f>
        <v>0.4%，0.8%，1.0%，1.5%，2.5%，3.0%</v>
      </c>
      <c r="AE349" s="189"/>
      <c r="AF349" s="189"/>
      <c r="AG349" s="189"/>
      <c r="AH349" s="189"/>
      <c r="AI349" s="189"/>
      <c r="AJ349" s="189"/>
      <c r="AK349" s="189"/>
      <c r="AL349" s="189"/>
      <c r="AM349" s="189"/>
      <c r="AN349" s="189"/>
      <c r="AO349" s="189"/>
      <c r="AP349" s="189"/>
      <c r="AQ349" s="189"/>
    </row>
    <row r="350" spans="1:43" s="130" customFormat="1" x14ac:dyDescent="0.35">
      <c r="A350" s="121" t="s">
        <v>5</v>
      </c>
      <c r="B350" s="121" t="s">
        <v>300</v>
      </c>
      <c r="C350" s="121" t="s">
        <v>301</v>
      </c>
      <c r="D350" s="236" t="str">
        <f ca="1">IF([1]!s_info_industry_sw(B350,1)=0,"-",[1]!s_info_industry_sw(B350,1))</f>
        <v>电子</v>
      </c>
      <c r="E350" s="122" t="str">
        <f ca="1">[1]!cb_info_underlyingcode(B350)</f>
        <v>002436.SZ</v>
      </c>
      <c r="F350" s="124">
        <f ca="1">RTD("wdf.rtq",,B350,"LastPrice","Dirty_Price")</f>
        <v>129.547</v>
      </c>
      <c r="G350" s="124">
        <f ca="1">RTD("wdf.rtq",,E350,"LastPrice")</f>
        <v>13.24</v>
      </c>
      <c r="H350" s="226">
        <f ca="1">RTD("wdf.rtq",,B350,"PctChg","RT_Price")/100</f>
        <v>-1.34E-2</v>
      </c>
      <c r="I350" s="226">
        <f ca="1">RTD("wdf.rtq",,E350,"PctChg")/100</f>
        <v>-5.5E-2</v>
      </c>
      <c r="J350" s="125">
        <f ca="1">_xlfn.IFNA([1]!b_anal_ptmyear(B350,$B$2),"未发行或发行失败")</f>
        <v>3.8712328767123285</v>
      </c>
      <c r="K350" s="125">
        <f ca="1">RTD("wdf.rtq",,B350,"Amount","Dirty_Price")/100000000</f>
        <v>0.37746320999999999</v>
      </c>
      <c r="L350" s="125">
        <f ca="1">[1]!cb_anal_convprice(B350,$B$2)</f>
        <v>14.1</v>
      </c>
      <c r="M350" s="125">
        <f t="shared" ca="1" si="20"/>
        <v>93.900709219858157</v>
      </c>
      <c r="N350" s="126">
        <f t="shared" ca="1" si="21"/>
        <v>37.961684290030206</v>
      </c>
      <c r="O350" s="126">
        <f t="array" aca="1" ref="O350" ca="1">_xlfn.IFNA(RTD("wdf.rtq",,B350,"LastPrice","Yield_To_Maturity"),[1]!cb_anal_ytm(B350,$C$2))</f>
        <v>-3.5065</v>
      </c>
      <c r="P350" s="126">
        <f ca="1">[1]!cb_anal_straightbondvalue(B350,$B$2)</f>
        <v>96.987099999999998</v>
      </c>
      <c r="Q350" s="126">
        <f t="shared" ca="1" si="22"/>
        <v>33.571371862855983</v>
      </c>
      <c r="R350" s="126" t="str">
        <f ca="1">[1]!b_rate_latestcredit(B350)</f>
        <v>AA</v>
      </c>
      <c r="S350" s="126">
        <f ca="1">[1]!cb_info_outstandingbalance(B350,$B$2)</f>
        <v>2.6876760000000002</v>
      </c>
      <c r="T350" s="126">
        <f ca="1">[1]!cb_info_issueamount(B350,100000000)</f>
        <v>2.6890000000000001</v>
      </c>
      <c r="U350" s="126">
        <f t="shared" ca="1" si="23"/>
        <v>99.950762365191522</v>
      </c>
      <c r="V350" s="230">
        <f ca="1">IF([1]!cb_anal_ldiluterate(B350,$B$2)=100,"-",[1]!cb_anal_ldiluterate(B350,$B$2))</f>
        <v>1.4763261587471426</v>
      </c>
      <c r="W350" s="127" t="str">
        <f ca="1">[1]!cb_info_listeddate(B350)</f>
        <v>2020-08-17</v>
      </c>
      <c r="X350" s="127" t="str">
        <f ca="1">[1]!cb_info_carrydate(B350)</f>
        <v>2020-07-23</v>
      </c>
      <c r="Y350" s="125" t="str">
        <f ca="1">[1]!cb_clause_conversion_2_swapsharestartdate(B350)</f>
        <v>2021-01-29</v>
      </c>
      <c r="Z350" s="125" t="str">
        <f ca="1">[1]!cb_clause_putoption_conditionalputbackstartenddate(B350)</f>
        <v>2024-07-23</v>
      </c>
      <c r="AA350" s="230">
        <f ca="1">[1]!cb_info_maturitycallprice(B350)</f>
        <v>110</v>
      </c>
      <c r="AB350" s="230">
        <f ca="1">IF(ISNUMBER([1]!cb_info_conditionalputprice(B350)),[1]!cb_info_conditionalputprice(B350),"-")</f>
        <v>0</v>
      </c>
      <c r="AC350" s="230">
        <f ca="1">[1]!cb_info_interest(B350)</f>
        <v>0.3</v>
      </c>
      <c r="AD350" s="263" t="str">
        <f ca="1">IFERROR(couponlist([1]!cb_clause_interest(B350,"4")),"-")</f>
        <v>0.30%，0.50%，1.00%，1.50%，2.00%</v>
      </c>
      <c r="AE350" s="129"/>
      <c r="AF350" s="129"/>
      <c r="AG350" s="129"/>
      <c r="AH350" s="129"/>
      <c r="AI350" s="129"/>
      <c r="AJ350" s="129"/>
      <c r="AK350" s="129"/>
      <c r="AL350" s="129"/>
      <c r="AM350" s="129"/>
      <c r="AN350" s="129"/>
      <c r="AO350" s="129"/>
      <c r="AP350" s="129"/>
      <c r="AQ350" s="129"/>
    </row>
    <row r="351" spans="1:43" s="191" customFormat="1" x14ac:dyDescent="0.35">
      <c r="A351" s="182" t="s">
        <v>5</v>
      </c>
      <c r="B351" s="182" t="s">
        <v>603</v>
      </c>
      <c r="C351" s="182" t="s">
        <v>604</v>
      </c>
      <c r="D351" s="235" t="str">
        <f ca="1">IF([1]!s_info_industry_sw(B351,1)=0,"-",[1]!s_info_industry_sw(B351,1))</f>
        <v>电子</v>
      </c>
      <c r="E351" s="183" t="str">
        <f ca="1">[1]!cb_info_underlyingcode(B351)</f>
        <v>300709.SZ</v>
      </c>
      <c r="F351" s="185">
        <f ca="1">RTD("wdf.rtq",,B351,"LastPrice","Dirty_Price")</f>
        <v>110.108</v>
      </c>
      <c r="G351" s="185">
        <f ca="1">RTD("wdf.rtq",,E351,"LastPrice")</f>
        <v>34.25</v>
      </c>
      <c r="H351" s="225">
        <f ca="1">RTD("wdf.rtq",,B351,"PctChg","RT_Price")/100</f>
        <v>6.0000000000000006E-4</v>
      </c>
      <c r="I351" s="225">
        <f ca="1">RTD("wdf.rtq",,E351,"PctChg")/100</f>
        <v>-6.1400000000000003E-2</v>
      </c>
      <c r="J351" s="186">
        <f ca="1">_xlfn.IFNA([1]!b_anal_ptmyear(B351,$B$2),"未发行或发行失败")</f>
        <v>5.2356164383561641</v>
      </c>
      <c r="K351" s="186">
        <f ca="1">RTD("wdf.rtq",,B351,"Amount","Dirty_Price")/100000000</f>
        <v>0.38679785999999999</v>
      </c>
      <c r="L351" s="186">
        <f ca="1">[1]!cb_anal_convprice(B351,$B$2)</f>
        <v>53.4</v>
      </c>
      <c r="M351" s="186">
        <f t="shared" ca="1" si="20"/>
        <v>64.138576779026224</v>
      </c>
      <c r="N351" s="187">
        <f t="shared" ca="1" si="21"/>
        <v>71.672035036496339</v>
      </c>
      <c r="O351" s="187">
        <f t="array" aca="1" ref="O351" ca="1">_xlfn.IFNA(RTD("wdf.rtq",,B351,"LastPrice","Yield_To_Maturity"),[1]!cb_anal_ytm(B351,$C$2))</f>
        <v>1.9082000000000001</v>
      </c>
      <c r="P351" s="187">
        <f ca="1">[1]!cb_anal_straightbondvalue(B351,$B$2)</f>
        <v>87.079899999999995</v>
      </c>
      <c r="Q351" s="187">
        <f t="shared" ca="1" si="22"/>
        <v>26.444793804310777</v>
      </c>
      <c r="R351" s="187" t="str">
        <f ca="1">[1]!b_rate_latestcredit(B351)</f>
        <v>AA-</v>
      </c>
      <c r="S351" s="187">
        <f ca="1">[1]!cb_info_outstandingbalance(B351,$B$2)</f>
        <v>5.6990439999999998</v>
      </c>
      <c r="T351" s="187">
        <f ca="1">[1]!cb_info_issueamount(B351,100000000)</f>
        <v>5.7</v>
      </c>
      <c r="U351" s="187">
        <f t="shared" ca="1" si="23"/>
        <v>99.983228070175443</v>
      </c>
      <c r="V351" s="240">
        <f ca="1">IF([1]!cb_anal_ldiluterate(B351,$B$2)=100,"-",[1]!cb_anal_ldiluterate(B351,$B$2))</f>
        <v>9.1101885423325033</v>
      </c>
      <c r="W351" s="188" t="str">
        <f ca="1">[1]!cb_info_listeddate(B351)</f>
        <v>2020-12-22</v>
      </c>
      <c r="X351" s="188" t="str">
        <f ca="1">[1]!cb_info_carrydate(B351)</f>
        <v>2020-12-03</v>
      </c>
      <c r="Y351" s="186" t="str">
        <f ca="1">[1]!cb_clause_conversion_2_swapsharestartdate(B351)</f>
        <v>2021-06-09</v>
      </c>
      <c r="Z351" s="186" t="str">
        <f ca="1">[1]!cb_clause_putoption_conditionalputbackstartenddate(B351)</f>
        <v>2024-12-03</v>
      </c>
      <c r="AA351" s="240">
        <f ca="1">[1]!cb_info_maturitycallprice(B351)</f>
        <v>115</v>
      </c>
      <c r="AB351" s="240">
        <f ca="1">IF(ISNUMBER([1]!cb_info_conditionalputprice(B351)),[1]!cb_info_conditionalputprice(B351),"-")</f>
        <v>0</v>
      </c>
      <c r="AC351" s="240">
        <f ca="1">[1]!cb_info_interest(B351)</f>
        <v>0.4</v>
      </c>
      <c r="AD351" s="262" t="str">
        <f ca="1">IFERROR(couponlist([1]!cb_clause_interest(B351,"4")),"-")</f>
        <v>0.4%，0.6%，1.0%，1.8%，2.5%，3.0%</v>
      </c>
      <c r="AE351" s="189"/>
      <c r="AF351" s="189"/>
      <c r="AG351" s="189"/>
      <c r="AH351" s="189"/>
      <c r="AI351" s="189"/>
      <c r="AJ351" s="189"/>
      <c r="AK351" s="189"/>
      <c r="AL351" s="189"/>
      <c r="AM351" s="189"/>
      <c r="AN351" s="189"/>
      <c r="AO351" s="189"/>
      <c r="AP351" s="189"/>
      <c r="AQ351" s="189"/>
    </row>
    <row r="352" spans="1:43" s="130" customFormat="1" x14ac:dyDescent="0.35">
      <c r="A352" s="121" t="s">
        <v>0</v>
      </c>
      <c r="B352" s="121" t="s">
        <v>40</v>
      </c>
      <c r="C352" s="121" t="s">
        <v>41</v>
      </c>
      <c r="D352" s="236" t="str">
        <f ca="1">IF([1]!s_info_industry_sw(B352,1)=0,"-",[1]!s_info_industry_sw(B352,1))</f>
        <v>电气设备</v>
      </c>
      <c r="E352" s="122" t="str">
        <f ca="1">[1]!cb_info_underlyingcode(B352)</f>
        <v>600577.SH</v>
      </c>
      <c r="F352" s="124">
        <f ca="1">RTD("wdf.rtq",,B352,"LastPrice","Dirty_Price")</f>
        <v>233.69</v>
      </c>
      <c r="G352" s="124">
        <f ca="1">RTD("wdf.rtq",,E352,"LastPrice")</f>
        <v>8.44</v>
      </c>
      <c r="H352" s="226">
        <f ca="1">RTD("wdf.rtq",,B352,"PctChg","RT_Price")/100</f>
        <v>-2.5399999999999999E-2</v>
      </c>
      <c r="I352" s="226">
        <f ca="1">RTD("wdf.rtq",,E352,"PctChg")/100</f>
        <v>-3.2100000000000004E-2</v>
      </c>
      <c r="J352" s="125">
        <f ca="1">_xlfn.IFNA([1]!b_anal_ptmyear(B352,$B$2),"未发行或发行失败")</f>
        <v>4.9452054794520546</v>
      </c>
      <c r="K352" s="125">
        <f ca="1">RTD("wdf.rtq",,B352,"Amount","Dirty_Price")/100000000</f>
        <v>2.15622881</v>
      </c>
      <c r="L352" s="125">
        <f ca="1">[1]!cb_anal_convprice(B352,$B$2)</f>
        <v>3.73</v>
      </c>
      <c r="M352" s="125">
        <f t="shared" ca="1" si="20"/>
        <v>226.27345844504021</v>
      </c>
      <c r="N352" s="126">
        <f t="shared" ca="1" si="21"/>
        <v>3.2776895734597247</v>
      </c>
      <c r="O352" s="126">
        <f t="array" aca="1" ref="O352" ca="1">_xlfn.IFNA(RTD("wdf.rtq",,B352,"LastPrice","Yield_To_Maturity"),[1]!cb_anal_ytm(B352,$C$2))</f>
        <v>-13.254100000000001</v>
      </c>
      <c r="P352" s="126">
        <f ca="1">[1]!cb_anal_straightbondvalue(B352,$B$2)</f>
        <v>95.197100000000006</v>
      </c>
      <c r="Q352" s="126">
        <f t="shared" ca="1" si="22"/>
        <v>145.4801669378584</v>
      </c>
      <c r="R352" s="126" t="str">
        <f ca="1">[1]!b_rate_latestcredit(B352)</f>
        <v>AA</v>
      </c>
      <c r="S352" s="126">
        <f ca="1">[1]!cb_info_outstandingbalance(B352,$B$2)</f>
        <v>5.6605020000000001</v>
      </c>
      <c r="T352" s="126">
        <f ca="1">[1]!cb_info_issueamount(B352,100000000)</f>
        <v>7.87</v>
      </c>
      <c r="U352" s="126">
        <f t="shared" ca="1" si="23"/>
        <v>71.925057179161371</v>
      </c>
      <c r="V352" s="230">
        <f ca="1">IF([1]!cb_anal_ldiluterate(B352,$B$2)=100,"-",[1]!cb_anal_ldiluterate(B352,$B$2))</f>
        <v>8.4873035997894792</v>
      </c>
      <c r="W352" s="127" t="str">
        <f ca="1">[1]!cb_info_listeddate(B352)</f>
        <v>2020-09-21</v>
      </c>
      <c r="X352" s="127" t="str">
        <f ca="1">[1]!cb_info_carrydate(B352)</f>
        <v>2020-08-19</v>
      </c>
      <c r="Y352" s="125" t="str">
        <f ca="1">[1]!cb_clause_conversion_2_swapsharestartdate(B352)</f>
        <v>2021-02-25</v>
      </c>
      <c r="Z352" s="125" t="str">
        <f ca="1">[1]!cb_clause_putoption_conditionalputbackstartenddate(B352)</f>
        <v>2024-08-19</v>
      </c>
      <c r="AA352" s="230">
        <f ca="1">[1]!cb_info_maturitycallprice(B352)</f>
        <v>112</v>
      </c>
      <c r="AB352" s="230">
        <f ca="1">IF(ISNUMBER([1]!cb_info_conditionalputprice(B352)),[1]!cb_info_conditionalputprice(B352),"-")</f>
        <v>0</v>
      </c>
      <c r="AC352" s="230">
        <f ca="1">[1]!cb_info_interest(B352)</f>
        <v>0.4</v>
      </c>
      <c r="AD352" s="263" t="str">
        <f ca="1">IFERROR(couponlist([1]!cb_clause_interest(B352,"4")),"-")</f>
        <v>0.4%，0.6%，1.0%，1.5%，1.8%，2.0%</v>
      </c>
      <c r="AE352" s="129"/>
      <c r="AF352" s="129"/>
      <c r="AG352" s="129"/>
      <c r="AH352" s="129"/>
      <c r="AI352" s="129"/>
      <c r="AJ352" s="129"/>
      <c r="AK352" s="129"/>
      <c r="AL352" s="129"/>
      <c r="AM352" s="129"/>
      <c r="AN352" s="129"/>
      <c r="AO352" s="129"/>
      <c r="AP352" s="129"/>
      <c r="AQ352" s="129"/>
    </row>
    <row r="353" spans="1:43" s="191" customFormat="1" x14ac:dyDescent="0.35">
      <c r="A353" s="182" t="s">
        <v>0</v>
      </c>
      <c r="B353" s="182" t="s">
        <v>360</v>
      </c>
      <c r="C353" s="182" t="s">
        <v>361</v>
      </c>
      <c r="D353" s="235" t="str">
        <f ca="1">IF([1]!s_info_industry_sw(B353,1)=0,"-",[1]!s_info_industry_sw(B353,1))</f>
        <v>电气设备</v>
      </c>
      <c r="E353" s="183" t="str">
        <f ca="1">[1]!cb_info_underlyingcode(B353)</f>
        <v>603897.SH</v>
      </c>
      <c r="F353" s="185">
        <f ca="1">RTD("wdf.rtq",,B353,"LastPrice","Dirty_Price")</f>
        <v>213.4</v>
      </c>
      <c r="G353" s="185">
        <f ca="1">RTD("wdf.rtq",,E353,"LastPrice")</f>
        <v>49.88</v>
      </c>
      <c r="H353" s="225">
        <f ca="1">RTD("wdf.rtq",,B353,"PctChg","RT_Price")/100</f>
        <v>2.3399999999999997E-2</v>
      </c>
      <c r="I353" s="225">
        <f ca="1">RTD("wdf.rtq",,E353,"PctChg")/100</f>
        <v>7.7300000000000008E-2</v>
      </c>
      <c r="J353" s="186">
        <f ca="1">_xlfn.IFNA([1]!b_anal_ptmyear(B353,$B$2),"未发行或发行失败")</f>
        <v>3.4767123287671233</v>
      </c>
      <c r="K353" s="186">
        <f ca="1">RTD("wdf.rtq",,B353,"Amount","Dirty_Price")/100000000</f>
        <v>10.123229439999999</v>
      </c>
      <c r="L353" s="186">
        <f ca="1">[1]!cb_anal_convprice(B353,$B$2)</f>
        <v>23.35</v>
      </c>
      <c r="M353" s="186">
        <f t="shared" ca="1" si="20"/>
        <v>213.6188436830835</v>
      </c>
      <c r="N353" s="187">
        <f t="shared" ca="1" si="21"/>
        <v>-0.10244587008820361</v>
      </c>
      <c r="O353" s="187">
        <f t="array" aca="1" ref="O353" ca="1">_xlfn.IFNA(RTD("wdf.rtq",,B353,"LastPrice","Yield_To_Maturity"),[1]!cb_anal_ytm(B353,$C$2))</f>
        <v>-16.184900000000003</v>
      </c>
      <c r="P353" s="187">
        <f ca="1">[1]!cb_anal_straightbondvalue(B353,$B$2)</f>
        <v>94.8446</v>
      </c>
      <c r="Q353" s="187">
        <f t="shared" ca="1" si="22"/>
        <v>124.99963097530065</v>
      </c>
      <c r="R353" s="187" t="str">
        <f ca="1">[1]!b_rate_latestcredit(B353)</f>
        <v>AA-</v>
      </c>
      <c r="S353" s="187">
        <f ca="1">[1]!cb_info_outstandingbalance(B353,$B$2)</f>
        <v>5.5044190000000004</v>
      </c>
      <c r="T353" s="187">
        <f ca="1">[1]!cb_info_issueamount(B353,100000000)</f>
        <v>6.34</v>
      </c>
      <c r="U353" s="187">
        <f t="shared" ca="1" si="23"/>
        <v>86.820488958990538</v>
      </c>
      <c r="V353" s="240">
        <f ca="1">IF([1]!cb_anal_ldiluterate(B353,$B$2)=100,"-",[1]!cb_anal_ldiluterate(B353,$B$2))</f>
        <v>12.979547807297118</v>
      </c>
      <c r="W353" s="188" t="str">
        <f ca="1">[1]!cb_info_listeddate(B353)</f>
        <v>2019-03-20</v>
      </c>
      <c r="X353" s="188" t="str">
        <f ca="1">[1]!cb_info_carrydate(B353)</f>
        <v>2019-03-01</v>
      </c>
      <c r="Y353" s="186" t="str">
        <f ca="1">[1]!cb_clause_conversion_2_swapsharestartdate(B353)</f>
        <v>2019-09-09</v>
      </c>
      <c r="Z353" s="186" t="str">
        <f ca="1">[1]!cb_clause_putoption_conditionalputbackstartenddate(B353)</f>
        <v>2023-03-01</v>
      </c>
      <c r="AA353" s="240">
        <f ca="1">[1]!cb_info_maturitycallprice(B353)</f>
        <v>112</v>
      </c>
      <c r="AB353" s="240">
        <f ca="1">IF(ISNUMBER([1]!cb_info_conditionalputprice(B353)),[1]!cb_info_conditionalputprice(B353),"-")</f>
        <v>0</v>
      </c>
      <c r="AC353" s="240">
        <f ca="1">[1]!cb_info_interest(B353)</f>
        <v>0.5</v>
      </c>
      <c r="AD353" s="262" t="str">
        <f ca="1">IFERROR(couponlist([1]!cb_clause_interest(B353,"4")),"-")</f>
        <v>0.5%，0.8%，1.2%，1.6%，2.0%，3.0%</v>
      </c>
      <c r="AE353" s="189"/>
      <c r="AF353" s="189"/>
      <c r="AG353" s="189"/>
      <c r="AH353" s="189"/>
      <c r="AI353" s="189"/>
      <c r="AJ353" s="189"/>
      <c r="AK353" s="189"/>
      <c r="AL353" s="189"/>
      <c r="AM353" s="189"/>
      <c r="AN353" s="189"/>
      <c r="AO353" s="189"/>
      <c r="AP353" s="189"/>
      <c r="AQ353" s="189"/>
    </row>
    <row r="354" spans="1:43" s="130" customFormat="1" x14ac:dyDescent="0.35">
      <c r="A354" s="121" t="s">
        <v>5</v>
      </c>
      <c r="B354" s="121" t="s">
        <v>581</v>
      </c>
      <c r="C354" s="121" t="s">
        <v>582</v>
      </c>
      <c r="D354" s="236" t="str">
        <f ca="1">IF([1]!s_info_industry_sw(B354,1)=0,"-",[1]!s_info_industry_sw(B354,1))</f>
        <v>电气设备</v>
      </c>
      <c r="E354" s="122" t="str">
        <f ca="1">[1]!cb_info_underlyingcode(B354)</f>
        <v>300438.SZ</v>
      </c>
      <c r="F354" s="124">
        <f ca="1">RTD("wdf.rtq",,B354,"LastPrice","Dirty_Price")</f>
        <v>173.15300000000002</v>
      </c>
      <c r="G354" s="124">
        <f ca="1">RTD("wdf.rtq",,E354,"LastPrice")</f>
        <v>30.400000000000002</v>
      </c>
      <c r="H354" s="226">
        <f ca="1">RTD("wdf.rtq",,B354,"PctChg","RT_Price")/100</f>
        <v>7.9000000000000008E-3</v>
      </c>
      <c r="I354" s="226">
        <f ca="1">RTD("wdf.rtq",,E354,"PctChg")/100</f>
        <v>-7.8000000000000005E-3</v>
      </c>
      <c r="J354" s="125">
        <f ca="1">_xlfn.IFNA([1]!b_anal_ptmyear(B354,$B$2),"未发行或发行失败")</f>
        <v>5.1150684931506847</v>
      </c>
      <c r="K354" s="125">
        <f ca="1">RTD("wdf.rtq",,B354,"Amount","Dirty_Price")/100000000</f>
        <v>1.0866776300000001</v>
      </c>
      <c r="L354" s="125">
        <f ca="1">[1]!cb_anal_convprice(B354,$B$2)</f>
        <v>20.079999999999998</v>
      </c>
      <c r="M354" s="125">
        <f t="shared" ca="1" si="20"/>
        <v>151.39442231075699</v>
      </c>
      <c r="N354" s="126">
        <f t="shared" ca="1" si="21"/>
        <v>14.372113157894745</v>
      </c>
      <c r="O354" s="126">
        <f t="array" aca="1" ref="O354" ca="1">_xlfn.IFNA(RTD("wdf.rtq",,B354,"LastPrice","Yield_To_Maturity"),[1]!cb_anal_ytm(B354,$C$2))</f>
        <v>-7.8024000000000004</v>
      </c>
      <c r="P354" s="126">
        <f ca="1">[1]!cb_anal_straightbondvalue(B354,$B$2)</f>
        <v>92.970299999999995</v>
      </c>
      <c r="Q354" s="126">
        <f t="shared" ca="1" si="22"/>
        <v>86.245499906959566</v>
      </c>
      <c r="R354" s="126" t="str">
        <f ca="1">[1]!b_rate_latestcredit(B354)</f>
        <v>AA</v>
      </c>
      <c r="S354" s="126">
        <f ca="1">[1]!cb_info_outstandingbalance(B354,$B$2)</f>
        <v>7.4901580000000001</v>
      </c>
      <c r="T354" s="126">
        <f ca="1">[1]!cb_info_issueamount(B354,100000000)</f>
        <v>8.9</v>
      </c>
      <c r="U354" s="126">
        <f t="shared" ca="1" si="23"/>
        <v>84.159078651685391</v>
      </c>
      <c r="V354" s="230">
        <f ca="1">IF([1]!cb_anal_ldiluterate(B354,$B$2)=100,"-",[1]!cb_anal_ldiluterate(B354,$B$2))</f>
        <v>12.083418623489566</v>
      </c>
      <c r="W354" s="127" t="str">
        <f ca="1">[1]!cb_info_listeddate(B354)</f>
        <v>2020-11-06</v>
      </c>
      <c r="X354" s="127" t="str">
        <f ca="1">[1]!cb_info_carrydate(B354)</f>
        <v>2020-10-20</v>
      </c>
      <c r="Y354" s="125" t="str">
        <f ca="1">[1]!cb_clause_conversion_2_swapsharestartdate(B354)</f>
        <v>2021-04-26</v>
      </c>
      <c r="Z354" s="125" t="str">
        <f ca="1">[1]!cb_clause_putoption_conditionalputbackstartenddate(B354)</f>
        <v>2024-10-20</v>
      </c>
      <c r="AA354" s="230">
        <f ca="1">[1]!cb_info_maturitycallprice(B354)</f>
        <v>110</v>
      </c>
      <c r="AB354" s="230">
        <f ca="1">IF(ISNUMBER([1]!cb_info_conditionalputprice(B354)),[1]!cb_info_conditionalputprice(B354),"-")</f>
        <v>100.114</v>
      </c>
      <c r="AC354" s="230">
        <f ca="1">[1]!cb_info_interest(B354)</f>
        <v>0.3</v>
      </c>
      <c r="AD354" s="263" t="str">
        <f ca="1">IFERROR(couponlist([1]!cb_clause_interest(B354,"4")),"-")</f>
        <v>0.3%，0.5%，1.5%，1.8%</v>
      </c>
      <c r="AE354" s="129"/>
      <c r="AF354" s="129"/>
      <c r="AG354" s="129"/>
      <c r="AH354" s="129"/>
      <c r="AI354" s="129"/>
      <c r="AJ354" s="129"/>
      <c r="AK354" s="129"/>
      <c r="AL354" s="129"/>
      <c r="AM354" s="129"/>
      <c r="AN354" s="129"/>
      <c r="AO354" s="129"/>
      <c r="AP354" s="129"/>
      <c r="AQ354" s="129"/>
    </row>
    <row r="355" spans="1:43" s="191" customFormat="1" x14ac:dyDescent="0.35">
      <c r="A355" s="182" t="s">
        <v>0</v>
      </c>
      <c r="B355" s="182" t="s">
        <v>551</v>
      </c>
      <c r="C355" s="182" t="s">
        <v>552</v>
      </c>
      <c r="D355" s="235" t="str">
        <f ca="1">IF([1]!s_info_industry_sw(B355,1)=0,"-",[1]!s_info_industry_sw(B355,1))</f>
        <v>电气设备</v>
      </c>
      <c r="E355" s="183" t="str">
        <f ca="1">[1]!cb_info_underlyingcode(B355)</f>
        <v>603606.SH</v>
      </c>
      <c r="F355" s="185">
        <f ca="1">RTD("wdf.rtq",,B355,"LastPrice","Dirty_Price")</f>
        <v>139.93</v>
      </c>
      <c r="G355" s="185">
        <f ca="1">RTD("wdf.rtq",,E355,"LastPrice")</f>
        <v>27.79</v>
      </c>
      <c r="H355" s="225">
        <f ca="1">RTD("wdf.rtq",,B355,"PctChg","RT_Price")/100</f>
        <v>-1E-4</v>
      </c>
      <c r="I355" s="225">
        <f ca="1">RTD("wdf.rtq",,E355,"PctChg")/100</f>
        <v>-3.9000000000000003E-3</v>
      </c>
      <c r="J355" s="186">
        <f ca="1">_xlfn.IFNA([1]!b_anal_ptmyear(B355,$B$2),"未发行或发行失败")</f>
        <v>5.043835616438356</v>
      </c>
      <c r="K355" s="186">
        <f ca="1">RTD("wdf.rtq",,B355,"Amount","Dirty_Price")/100000000</f>
        <v>0.25380372000000001</v>
      </c>
      <c r="L355" s="186">
        <f ca="1">[1]!cb_anal_convprice(B355,$B$2)</f>
        <v>23.65</v>
      </c>
      <c r="M355" s="186">
        <f t="shared" ca="1" si="20"/>
        <v>117.50528541226217</v>
      </c>
      <c r="N355" s="187">
        <f t="shared" ca="1" si="21"/>
        <v>19.084005037783371</v>
      </c>
      <c r="O355" s="187">
        <f t="array" aca="1" ref="O355" ca="1">_xlfn.IFNA(RTD("wdf.rtq",,B355,"LastPrice","Yield_To_Maturity"),[1]!cb_anal_ytm(B355,$C$2))</f>
        <v>-3.8688000000000002</v>
      </c>
      <c r="P355" s="187">
        <f ca="1">[1]!cb_anal_straightbondvalue(B355,$B$2)</f>
        <v>93.319199999999995</v>
      </c>
      <c r="Q355" s="187">
        <f t="shared" ca="1" si="22"/>
        <v>49.947706366964155</v>
      </c>
      <c r="R355" s="187" t="str">
        <f ca="1">[1]!b_rate_latestcredit(B355)</f>
        <v>AA</v>
      </c>
      <c r="S355" s="187">
        <f ca="1">[1]!cb_info_outstandingbalance(B355,$B$2)</f>
        <v>7.9985600000000003</v>
      </c>
      <c r="T355" s="187">
        <f ca="1">[1]!cb_info_issueamount(B355,100000000)</f>
        <v>8</v>
      </c>
      <c r="U355" s="187">
        <f t="shared" ca="1" si="23"/>
        <v>99.981999999999999</v>
      </c>
      <c r="V355" s="240">
        <f ca="1">IF([1]!cb_anal_ldiluterate(B355,$B$2)=100,"-",[1]!cb_anal_ldiluterate(B355,$B$2))</f>
        <v>4.9165772135853176</v>
      </c>
      <c r="W355" s="188" t="str">
        <f ca="1">[1]!cb_info_listeddate(B355)</f>
        <v>2020-10-29</v>
      </c>
      <c r="X355" s="188" t="str">
        <f ca="1">[1]!cb_info_carrydate(B355)</f>
        <v>2020-09-24</v>
      </c>
      <c r="Y355" s="186" t="str">
        <f ca="1">[1]!cb_clause_conversion_2_swapsharestartdate(B355)</f>
        <v>2021-03-30</v>
      </c>
      <c r="Z355" s="186" t="str">
        <f ca="1">[1]!cb_clause_putoption_conditionalputbackstartenddate(B355)</f>
        <v>2024-09-24</v>
      </c>
      <c r="AA355" s="240">
        <f ca="1">[1]!cb_info_maturitycallprice(B355)</f>
        <v>110</v>
      </c>
      <c r="AB355" s="240">
        <f ca="1">IF(ISNUMBER([1]!cb_info_conditionalputprice(B355)),[1]!cb_info_conditionalputprice(B355),"-")</f>
        <v>0</v>
      </c>
      <c r="AC355" s="240">
        <f ca="1">[1]!cb_info_interest(B355)</f>
        <v>0.3</v>
      </c>
      <c r="AD355" s="262" t="str">
        <f ca="1">IFERROR(couponlist([1]!cb_clause_interest(B355,"4")),"-")</f>
        <v>0.30%，0.50%，1.00%，1.50%，1.80%，2.00%</v>
      </c>
      <c r="AE355" s="189"/>
      <c r="AF355" s="189"/>
      <c r="AG355" s="189"/>
      <c r="AH355" s="189"/>
      <c r="AI355" s="189"/>
      <c r="AJ355" s="189"/>
      <c r="AK355" s="189"/>
      <c r="AL355" s="189"/>
      <c r="AM355" s="189"/>
      <c r="AN355" s="189"/>
      <c r="AO355" s="189"/>
      <c r="AP355" s="189"/>
      <c r="AQ355" s="189"/>
    </row>
    <row r="356" spans="1:43" s="130" customFormat="1" x14ac:dyDescent="0.35">
      <c r="A356" s="121" t="s">
        <v>5</v>
      </c>
      <c r="B356" s="121" t="s">
        <v>904</v>
      </c>
      <c r="C356" s="121" t="s">
        <v>905</v>
      </c>
      <c r="D356" s="236" t="str">
        <f ca="1">IF([1]!s_info_industry_sw(B356,1)=0,"-",[1]!s_info_industry_sw(B356,1))</f>
        <v>电气设备</v>
      </c>
      <c r="E356" s="122" t="str">
        <f ca="1">[1]!cb_info_underlyingcode(B356)</f>
        <v>300490.SZ</v>
      </c>
      <c r="F356" s="124">
        <f ca="1">RTD("wdf.rtq",,B356,"LastPrice","Dirty_Price")</f>
        <v>292.08500000000004</v>
      </c>
      <c r="G356" s="124">
        <f ca="1">RTD("wdf.rtq",,E356,"LastPrice")</f>
        <v>28.63</v>
      </c>
      <c r="H356" s="226">
        <f ca="1">RTD("wdf.rtq",,B356,"PctChg","RT_Price")/100</f>
        <v>-2.3800000000000002E-2</v>
      </c>
      <c r="I356" s="226">
        <f ca="1">RTD("wdf.rtq",,E356,"PctChg")/100</f>
        <v>-4.0199999999999993E-2</v>
      </c>
      <c r="J356" s="125">
        <f ca="1">_xlfn.IFNA([1]!b_anal_ptmyear(B356,$B$2),"未发行或发行失败")</f>
        <v>5.506849315068493</v>
      </c>
      <c r="K356" s="125">
        <f ca="1">RTD("wdf.rtq",,B356,"Amount","Dirty_Price")/100000000</f>
        <v>6.1976871500000001</v>
      </c>
      <c r="L356" s="125">
        <f ca="1">[1]!cb_anal_convprice(B356,$B$2)</f>
        <v>9.25</v>
      </c>
      <c r="M356" s="125">
        <f t="shared" ca="1" si="20"/>
        <v>309.51351351351349</v>
      </c>
      <c r="N356" s="126">
        <f t="shared" ca="1" si="21"/>
        <v>-5.6309378274537067</v>
      </c>
      <c r="O356" s="126">
        <f t="array" aca="1" ref="O356" ca="1">_xlfn.IFNA(RTD("wdf.rtq",,B356,"LastPrice","Yield_To_Maturity"),[1]!cb_anal_ytm(B356,$C$2))</f>
        <v>-14.298400000000001</v>
      </c>
      <c r="P356" s="126">
        <f ca="1">[1]!cb_anal_straightbondvalue(B356,$B$2)</f>
        <v>89.423599999999993</v>
      </c>
      <c r="Q356" s="126">
        <f t="shared" ca="1" si="22"/>
        <v>226.6307775576023</v>
      </c>
      <c r="R356" s="126" t="str">
        <f ca="1">[1]!b_rate_latestcredit(B356)</f>
        <v>AA-</v>
      </c>
      <c r="S356" s="126">
        <f ca="1">[1]!cb_info_outstandingbalance(B356,$B$2)</f>
        <v>6.7</v>
      </c>
      <c r="T356" s="126">
        <f ca="1">[1]!cb_info_issueamount(B356,100000000)</f>
        <v>6.7</v>
      </c>
      <c r="U356" s="126">
        <f t="shared" ca="1" si="23"/>
        <v>100</v>
      </c>
      <c r="V356" s="230">
        <f ca="1">IF([1]!cb_anal_ldiluterate(B356,$B$2)=100,"-",[1]!cb_anal_ldiluterate(B356,$B$2))</f>
        <v>22.453344895679937</v>
      </c>
      <c r="W356" s="127" t="str">
        <f ca="1">[1]!cb_info_listeddate(B356)</f>
        <v>2021-04-01</v>
      </c>
      <c r="X356" s="127" t="str">
        <f ca="1">[1]!cb_info_carrydate(B356)</f>
        <v>2021-03-12</v>
      </c>
      <c r="Y356" s="125" t="str">
        <f ca="1">[1]!cb_clause_conversion_2_swapsharestartdate(B356)</f>
        <v>2021-09-22</v>
      </c>
      <c r="Z356" s="125" t="str">
        <f ca="1">[1]!cb_clause_putoption_conditionalputbackstartenddate(B356)</f>
        <v>2025-03-12</v>
      </c>
      <c r="AA356" s="230">
        <f ca="1">[1]!cb_info_maturitycallprice(B356)</f>
        <v>119</v>
      </c>
      <c r="AB356" s="230">
        <f ca="1">IF(ISNUMBER([1]!cb_info_conditionalputprice(B356)),[1]!cb_info_conditionalputprice(B356),"-")</f>
        <v>0</v>
      </c>
      <c r="AC356" s="230">
        <f ca="1">[1]!cb_info_interest(B356)</f>
        <v>0.4</v>
      </c>
      <c r="AD356" s="263" t="str">
        <f ca="1">IFERROR(couponlist([1]!cb_clause_interest(B356,"4")),"-")</f>
        <v>0.40%，0.60%，1.20%，2.20%，3.50%，4.00%</v>
      </c>
      <c r="AE356" s="129"/>
      <c r="AF356" s="129"/>
      <c r="AG356" s="129"/>
      <c r="AH356" s="129"/>
      <c r="AI356" s="129"/>
      <c r="AJ356" s="129"/>
      <c r="AK356" s="129"/>
      <c r="AL356" s="129"/>
      <c r="AM356" s="129"/>
      <c r="AN356" s="129"/>
      <c r="AO356" s="129"/>
      <c r="AP356" s="129"/>
      <c r="AQ356" s="129"/>
    </row>
    <row r="357" spans="1:43" s="191" customFormat="1" x14ac:dyDescent="0.35">
      <c r="A357" s="182" t="s">
        <v>5</v>
      </c>
      <c r="B357" s="182" t="s">
        <v>618</v>
      </c>
      <c r="C357" s="182" t="s">
        <v>619</v>
      </c>
      <c r="D357" s="235" t="str">
        <f ca="1">IF([1]!s_info_industry_sw(B357,1)=0,"-",[1]!s_info_industry_sw(B357,1))</f>
        <v>电气设备</v>
      </c>
      <c r="E357" s="183" t="str">
        <f ca="1">[1]!cb_info_underlyingcode(B357)</f>
        <v>300040.SZ</v>
      </c>
      <c r="F357" s="185">
        <f ca="1">RTD("wdf.rtq",,B357,"LastPrice","Dirty_Price")</f>
        <v>172.49800000000002</v>
      </c>
      <c r="G357" s="185">
        <f ca="1">RTD("wdf.rtq",,E357,"LastPrice")</f>
        <v>9.43</v>
      </c>
      <c r="H357" s="225">
        <f ca="1">RTD("wdf.rtq",,B357,"PctChg","RT_Price")/100</f>
        <v>1.4400000000000001E-2</v>
      </c>
      <c r="I357" s="225">
        <f ca="1">RTD("wdf.rtq",,E357,"PctChg")/100</f>
        <v>1.84E-2</v>
      </c>
      <c r="J357" s="186">
        <f ca="1">_xlfn.IFNA([1]!b_anal_ptmyear(B357,$B$2),"未发行或发行失败")</f>
        <v>5.2849315068493148</v>
      </c>
      <c r="K357" s="186">
        <f ca="1">RTD("wdf.rtq",,B357,"Amount","Dirty_Price")/100000000</f>
        <v>1.90051188</v>
      </c>
      <c r="L357" s="186">
        <f ca="1">[1]!cb_anal_convprice(B357,$B$2)</f>
        <v>5.68</v>
      </c>
      <c r="M357" s="186">
        <f t="shared" ca="1" si="20"/>
        <v>166.02112676056339</v>
      </c>
      <c r="N357" s="187">
        <f t="shared" ca="1" si="21"/>
        <v>3.9012343584305569</v>
      </c>
      <c r="O357" s="187">
        <f t="array" aca="1" ref="O357" ca="1">_xlfn.IFNA(RTD("wdf.rtq",,B357,"LastPrice","Yield_To_Maturity"),[1]!cb_anal_ytm(B357,$C$2))</f>
        <v>-6.6069000000000004</v>
      </c>
      <c r="P357" s="187">
        <f ca="1">[1]!cb_anal_straightbondvalue(B357,$B$2)</f>
        <v>86.495000000000005</v>
      </c>
      <c r="Q357" s="187">
        <f t="shared" ca="1" si="22"/>
        <v>99.431180993121018</v>
      </c>
      <c r="R357" s="187" t="str">
        <f ca="1">[1]!b_rate_latestcredit(B357)</f>
        <v>AA-</v>
      </c>
      <c r="S357" s="187">
        <f ca="1">[1]!cb_info_outstandingbalance(B357,$B$2)</f>
        <v>3.065404</v>
      </c>
      <c r="T357" s="187">
        <f ca="1">[1]!cb_info_issueamount(B357,100000000)</f>
        <v>5</v>
      </c>
      <c r="U357" s="187">
        <f t="shared" ca="1" si="23"/>
        <v>61.308079999999997</v>
      </c>
      <c r="V357" s="240">
        <f ca="1">IF([1]!cb_anal_ldiluterate(B357,$B$2)=100,"-",[1]!cb_anal_ldiluterate(B357,$B$2))</f>
        <v>16.965426067171137</v>
      </c>
      <c r="W357" s="188" t="str">
        <f ca="1">[1]!cb_info_listeddate(B357)</f>
        <v>2021-01-08</v>
      </c>
      <c r="X357" s="188" t="str">
        <f ca="1">[1]!cb_info_carrydate(B357)</f>
        <v>2020-12-21</v>
      </c>
      <c r="Y357" s="186" t="str">
        <f ca="1">[1]!cb_clause_conversion_2_swapsharestartdate(B357)</f>
        <v>2021-06-25</v>
      </c>
      <c r="Z357" s="186" t="str">
        <f ca="1">[1]!cb_clause_putoption_conditionalputbackstartenddate(B357)</f>
        <v>2024-12-21</v>
      </c>
      <c r="AA357" s="240">
        <f ca="1">[1]!cb_info_maturitycallprice(B357)</f>
        <v>115</v>
      </c>
      <c r="AB357" s="240">
        <f ca="1">IF(ISNUMBER([1]!cb_info_conditionalputprice(B357)),[1]!cb_info_conditionalputprice(B357),"-")</f>
        <v>0</v>
      </c>
      <c r="AC357" s="240">
        <f ca="1">[1]!cb_info_interest(B357)</f>
        <v>0.4</v>
      </c>
      <c r="AD357" s="262" t="str">
        <f ca="1">IFERROR(couponlist([1]!cb_clause_interest(B357,"4")),"-")</f>
        <v>0.4%，0.6%，1.0%，1.5%，2.5%，3.0%</v>
      </c>
      <c r="AE357" s="189"/>
      <c r="AF357" s="189"/>
      <c r="AG357" s="189"/>
      <c r="AH357" s="189"/>
      <c r="AI357" s="189"/>
      <c r="AJ357" s="189"/>
      <c r="AK357" s="189"/>
      <c r="AL357" s="189"/>
      <c r="AM357" s="189"/>
      <c r="AN357" s="189"/>
      <c r="AO357" s="189"/>
      <c r="AP357" s="189"/>
      <c r="AQ357" s="189"/>
    </row>
    <row r="358" spans="1:43" s="130" customFormat="1" x14ac:dyDescent="0.35">
      <c r="A358" s="121" t="s">
        <v>0</v>
      </c>
      <c r="B358" s="121" t="s">
        <v>252</v>
      </c>
      <c r="C358" s="121" t="s">
        <v>253</v>
      </c>
      <c r="D358" s="236" t="str">
        <f ca="1">IF([1]!s_info_industry_sw(B358,1)=0,"-",[1]!s_info_industry_sw(B358,1))</f>
        <v>电气设备</v>
      </c>
      <c r="E358" s="122" t="str">
        <f ca="1">[1]!cb_info_underlyingcode(B358)</f>
        <v>603861.SH</v>
      </c>
      <c r="F358" s="124">
        <f ca="1">RTD("wdf.rtq",,B358,"LastPrice","Dirty_Price")</f>
        <v>123.83000000000001</v>
      </c>
      <c r="G358" s="124">
        <f ca="1">RTD("wdf.rtq",,E358,"LastPrice")</f>
        <v>9.65</v>
      </c>
      <c r="H358" s="226">
        <f ca="1">RTD("wdf.rtq",,B358,"PctChg","RT_Price")/100</f>
        <v>-1.78E-2</v>
      </c>
      <c r="I358" s="226">
        <f ca="1">RTD("wdf.rtq",,E358,"PctChg")/100</f>
        <v>-7.2000000000000007E-3</v>
      </c>
      <c r="J358" s="125">
        <f ca="1">_xlfn.IFNA([1]!b_anal_ptmyear(B358,$B$2),"未发行或发行失败")</f>
        <v>4.1863013698630134</v>
      </c>
      <c r="K358" s="125">
        <f ca="1">RTD("wdf.rtq",,B358,"Amount","Dirty_Price")/100000000</f>
        <v>0.11045102</v>
      </c>
      <c r="L358" s="125">
        <f ca="1">[1]!cb_anal_convprice(B358,$B$2)</f>
        <v>8.83</v>
      </c>
      <c r="M358" s="125">
        <f t="shared" ca="1" si="20"/>
        <v>109.28652321630804</v>
      </c>
      <c r="N358" s="126">
        <f t="shared" ca="1" si="21"/>
        <v>13.307658031088096</v>
      </c>
      <c r="O358" s="126">
        <f t="array" aca="1" ref="O358" ca="1">_xlfn.IFNA(RTD("wdf.rtq",,B358,"LastPrice","Yield_To_Maturity"),[1]!cb_anal_ytm(B358,$C$2))</f>
        <v>-1.8286</v>
      </c>
      <c r="P358" s="126">
        <f ca="1">[1]!cb_anal_straightbondvalue(B358,$B$2)</f>
        <v>97.165400000000005</v>
      </c>
      <c r="Q358" s="126">
        <f t="shared" ca="1" si="22"/>
        <v>27.442484670469128</v>
      </c>
      <c r="R358" s="126" t="str">
        <f ca="1">[1]!b_rate_latestcredit(B358)</f>
        <v>AA</v>
      </c>
      <c r="S358" s="126">
        <f ca="1">[1]!cb_info_outstandingbalance(B358,$B$2)</f>
        <v>8.7993299999999994</v>
      </c>
      <c r="T358" s="126">
        <f ca="1">[1]!cb_info_issueamount(B358,100000000)</f>
        <v>8.8000000000000007</v>
      </c>
      <c r="U358" s="126">
        <f t="shared" ca="1" si="23"/>
        <v>99.992386363636356</v>
      </c>
      <c r="V358" s="230">
        <f ca="1">IF([1]!cb_anal_ldiluterate(B358,$B$2)=100,"-",[1]!cb_anal_ldiluterate(B358,$B$2))</f>
        <v>19.44695473741843</v>
      </c>
      <c r="W358" s="127" t="str">
        <f ca="1">[1]!cb_info_listeddate(B358)</f>
        <v>2019-12-11</v>
      </c>
      <c r="X358" s="127" t="str">
        <f ca="1">[1]!cb_info_carrydate(B358)</f>
        <v>2019-11-15</v>
      </c>
      <c r="Y358" s="125" t="str">
        <f ca="1">[1]!cb_clause_conversion_2_swapsharestartdate(B358)</f>
        <v>2020-05-21</v>
      </c>
      <c r="Z358" s="125" t="str">
        <f ca="1">[1]!cb_clause_putoption_conditionalputbackstartenddate(B358)</f>
        <v>2023-11-15</v>
      </c>
      <c r="AA358" s="230">
        <f ca="1">[1]!cb_info_maturitycallprice(B358)</f>
        <v>110</v>
      </c>
      <c r="AB358" s="230">
        <f ca="1">IF(ISNUMBER([1]!cb_info_conditionalputprice(B358)),[1]!cb_info_conditionalputprice(B358),"-")</f>
        <v>0</v>
      </c>
      <c r="AC358" s="230">
        <f ca="1">[1]!cb_info_interest(B358)</f>
        <v>0.3</v>
      </c>
      <c r="AD358" s="263" t="str">
        <f ca="1">IFERROR(couponlist([1]!cb_clause_interest(B358,"4")),"-")</f>
        <v>0.30%，0.50%，1.00%，1.50%，1.80%，2.00%</v>
      </c>
      <c r="AE358" s="129"/>
      <c r="AF358" s="129"/>
      <c r="AG358" s="129"/>
      <c r="AH358" s="129"/>
      <c r="AI358" s="129"/>
      <c r="AJ358" s="129"/>
      <c r="AK358" s="129"/>
      <c r="AL358" s="129"/>
      <c r="AM358" s="129"/>
      <c r="AN358" s="129"/>
      <c r="AO358" s="129"/>
      <c r="AP358" s="129"/>
      <c r="AQ358" s="129"/>
    </row>
    <row r="359" spans="1:43" s="191" customFormat="1" x14ac:dyDescent="0.35">
      <c r="A359" s="182" t="s">
        <v>0</v>
      </c>
      <c r="B359" s="182" t="s">
        <v>445</v>
      </c>
      <c r="C359" s="182" t="s">
        <v>446</v>
      </c>
      <c r="D359" s="235" t="str">
        <f ca="1">IF([1]!s_info_industry_sw(B359,1)=0,"-",[1]!s_info_industry_sw(B359,1))</f>
        <v>电气设备</v>
      </c>
      <c r="E359" s="183" t="str">
        <f ca="1">[1]!cb_info_underlyingcode(B359)</f>
        <v>603618.SH</v>
      </c>
      <c r="F359" s="185">
        <f ca="1">RTD("wdf.rtq",,B359,"LastPrice","Dirty_Price")</f>
        <v>115.86</v>
      </c>
      <c r="G359" s="185">
        <f ca="1">RTD("wdf.rtq",,E359,"LastPrice")</f>
        <v>6.83</v>
      </c>
      <c r="H359" s="225">
        <f ca="1">RTD("wdf.rtq",,B359,"PctChg","RT_Price")/100</f>
        <v>1.26E-2</v>
      </c>
      <c r="I359" s="225">
        <f ca="1">RTD("wdf.rtq",,E359,"PctChg")/100</f>
        <v>2.86E-2</v>
      </c>
      <c r="J359" s="186">
        <f ca="1">_xlfn.IFNA([1]!b_anal_ptmyear(B359,$B$2),"未发行或发行失败")</f>
        <v>2.4904109589041097</v>
      </c>
      <c r="K359" s="186">
        <f ca="1">RTD("wdf.rtq",,B359,"Amount","Dirty_Price")/100000000</f>
        <v>0.14091914</v>
      </c>
      <c r="L359" s="186">
        <f ca="1">[1]!cb_anal_convprice(B359,$B$2)</f>
        <v>7.08</v>
      </c>
      <c r="M359" s="186">
        <f t="shared" ca="1" si="20"/>
        <v>96.468926553672318</v>
      </c>
      <c r="N359" s="187">
        <f t="shared" ca="1" si="21"/>
        <v>20.100849194729136</v>
      </c>
      <c r="O359" s="187">
        <f t="array" aca="1" ref="O359" ca="1">_xlfn.IFNA(RTD("wdf.rtq",,B359,"LastPrice","Yield_To_Maturity"),[1]!cb_anal_ytm(B359,$C$2))</f>
        <v>-1.627</v>
      </c>
      <c r="P359" s="187">
        <f ca="1">[1]!cb_anal_straightbondvalue(B359,$B$2)</f>
        <v>102.3339</v>
      </c>
      <c r="Q359" s="187">
        <f t="shared" ca="1" si="22"/>
        <v>13.217614104417009</v>
      </c>
      <c r="R359" s="187" t="str">
        <f ca="1">[1]!b_rate_latestcredit(B359)</f>
        <v>AA</v>
      </c>
      <c r="S359" s="187">
        <f ca="1">[1]!cb_info_outstandingbalance(B359,$B$2)</f>
        <v>7.4983399999999998</v>
      </c>
      <c r="T359" s="187">
        <f ca="1">[1]!cb_info_issueamount(B359,100000000)</f>
        <v>7.8</v>
      </c>
      <c r="U359" s="187">
        <f t="shared" ca="1" si="23"/>
        <v>96.132564102564103</v>
      </c>
      <c r="V359" s="240">
        <f ca="1">IF([1]!cb_anal_ldiluterate(B359,$B$2)=100,"-",[1]!cb_anal_ldiluterate(B359,$B$2))</f>
        <v>13.289257243745855</v>
      </c>
      <c r="W359" s="188" t="str">
        <f ca="1">[1]!cb_info_listeddate(B359)</f>
        <v>2018-03-27</v>
      </c>
      <c r="X359" s="188" t="str">
        <f ca="1">[1]!cb_info_carrydate(B359)</f>
        <v>2018-03-06</v>
      </c>
      <c r="Y359" s="186" t="str">
        <f ca="1">[1]!cb_clause_conversion_2_swapsharestartdate(B359)</f>
        <v>2018-09-12</v>
      </c>
      <c r="Z359" s="186" t="str">
        <f ca="1">[1]!cb_clause_putoption_conditionalputbackstartenddate(B359)</f>
        <v>2022-03-06</v>
      </c>
      <c r="AA359" s="240">
        <f ca="1">[1]!cb_info_maturitycallprice(B359)</f>
        <v>108</v>
      </c>
      <c r="AB359" s="240">
        <f ca="1">IF(ISNUMBER([1]!cb_info_conditionalputprice(B359)),[1]!cb_info_conditionalputprice(B359),"-")</f>
        <v>0</v>
      </c>
      <c r="AC359" s="240">
        <f ca="1">[1]!cb_info_interest(B359)</f>
        <v>0.3</v>
      </c>
      <c r="AD359" s="262" t="str">
        <f ca="1">IFERROR(couponlist([1]!cb_clause_interest(B359,"4")),"-")</f>
        <v>0.3%，0.5%，1.0%，1.5%，1.8%，2.0%</v>
      </c>
      <c r="AE359" s="189"/>
      <c r="AF359" s="189"/>
      <c r="AG359" s="189"/>
      <c r="AH359" s="189"/>
      <c r="AI359" s="189"/>
      <c r="AJ359" s="189"/>
      <c r="AK359" s="189"/>
      <c r="AL359" s="189"/>
      <c r="AM359" s="189"/>
      <c r="AN359" s="189"/>
      <c r="AO359" s="189"/>
      <c r="AP359" s="189"/>
      <c r="AQ359" s="189"/>
    </row>
    <row r="360" spans="1:43" s="130" customFormat="1" x14ac:dyDescent="0.35">
      <c r="A360" s="121" t="s">
        <v>5</v>
      </c>
      <c r="B360" s="121" t="s">
        <v>483</v>
      </c>
      <c r="C360" s="121" t="s">
        <v>484</v>
      </c>
      <c r="D360" s="236" t="str">
        <f ca="1">IF([1]!s_info_industry_sw(B360,1)=0,"-",[1]!s_info_industry_sw(B360,1))</f>
        <v>电气设备</v>
      </c>
      <c r="E360" s="122" t="str">
        <f ca="1">[1]!cb_info_underlyingcode(B360)</f>
        <v>002527.SZ</v>
      </c>
      <c r="F360" s="124">
        <f ca="1">RTD("wdf.rtq",,B360,"LastPrice","Dirty_Price")</f>
        <v>150.69900000000001</v>
      </c>
      <c r="G360" s="124">
        <f ca="1">RTD("wdf.rtq",,E360,"LastPrice")</f>
        <v>10.55</v>
      </c>
      <c r="H360" s="226">
        <f ca="1">RTD("wdf.rtq",,B360,"PctChg","RT_Price")/100</f>
        <v>3.0200000000000001E-2</v>
      </c>
      <c r="I360" s="226">
        <f ca="1">RTD("wdf.rtq",,E360,"PctChg")/100</f>
        <v>5.7100000000000012E-2</v>
      </c>
      <c r="J360" s="125">
        <f ca="1">_xlfn.IFNA([1]!b_anal_ptmyear(B360,$B$2),"未发行或发行失败")</f>
        <v>2.1616438356164385</v>
      </c>
      <c r="K360" s="125">
        <f ca="1">RTD("wdf.rtq",,B360,"Amount","Dirty_Price")/100000000</f>
        <v>0.25499676999999998</v>
      </c>
      <c r="L360" s="125">
        <f ca="1">[1]!cb_anal_convprice(B360,$B$2)</f>
        <v>7.36</v>
      </c>
      <c r="M360" s="125">
        <f t="shared" ca="1" si="20"/>
        <v>143.34239130434781</v>
      </c>
      <c r="N360" s="126">
        <f t="shared" ca="1" si="21"/>
        <v>5.1321933649289235</v>
      </c>
      <c r="O360" s="126">
        <f t="array" aca="1" ref="O360" ca="1">_xlfn.IFNA(RTD("wdf.rtq",,B360,"LastPrice","Yield_To_Maturity"),[1]!cb_anal_ytm(B360,$C$2))</f>
        <v>-14.042800000000002</v>
      </c>
      <c r="P360" s="126">
        <f ca="1">[1]!cb_anal_straightbondvalue(B360,$B$2)</f>
        <v>101.99169999999999</v>
      </c>
      <c r="Q360" s="126">
        <f t="shared" ca="1" si="22"/>
        <v>47.756140940880499</v>
      </c>
      <c r="R360" s="126" t="str">
        <f ca="1">[1]!b_rate_latestcredit(B360)</f>
        <v>AA</v>
      </c>
      <c r="S360" s="126">
        <f ca="1">[1]!cb_info_outstandingbalance(B360,$B$2)</f>
        <v>4.0540539999999998</v>
      </c>
      <c r="T360" s="126">
        <f ca="1">[1]!cb_info_issueamount(B360,100000000)</f>
        <v>8.825057000000001</v>
      </c>
      <c r="U360" s="126">
        <f t="shared" ca="1" si="23"/>
        <v>45.937992241863135</v>
      </c>
      <c r="V360" s="230">
        <f ca="1">IF([1]!cb_anal_ldiluterate(B360,$B$2)=100,"-",[1]!cb_anal_ldiluterate(B360,$B$2))</f>
        <v>10.129416904389892</v>
      </c>
      <c r="W360" s="127" t="str">
        <f ca="1">[1]!cb_info_listeddate(B360)</f>
        <v>2017-12-04</v>
      </c>
      <c r="X360" s="127" t="str">
        <f ca="1">[1]!cb_info_carrydate(B360)</f>
        <v>2017-11-06</v>
      </c>
      <c r="Y360" s="125" t="str">
        <f ca="1">[1]!cb_clause_conversion_2_swapsharestartdate(B360)</f>
        <v>2018-05-10</v>
      </c>
      <c r="Z360" s="125" t="str">
        <f ca="1">[1]!cb_clause_putoption_conditionalputbackstartenddate(B360)</f>
        <v>2021-11-06</v>
      </c>
      <c r="AA360" s="230">
        <f ca="1">[1]!cb_info_maturitycallprice(B360)</f>
        <v>106</v>
      </c>
      <c r="AB360" s="230">
        <f ca="1">IF(ISNUMBER([1]!cb_info_conditionalputprice(B360)),[1]!cb_info_conditionalputprice(B360),"-")</f>
        <v>100.432</v>
      </c>
      <c r="AC360" s="230">
        <f ca="1">[1]!cb_info_interest(B360)</f>
        <v>0.3</v>
      </c>
      <c r="AD360" s="263" t="str">
        <f ca="1">IFERROR(couponlist([1]!cb_clause_interest(B360,"4")),"-")</f>
        <v>0.3%，0.5%，1.0%，1.5%，1.8%，2.0%</v>
      </c>
      <c r="AE360" s="129"/>
      <c r="AF360" s="129"/>
      <c r="AG360" s="129"/>
      <c r="AH360" s="129"/>
      <c r="AI360" s="129"/>
      <c r="AJ360" s="129"/>
      <c r="AK360" s="129"/>
      <c r="AL360" s="129"/>
      <c r="AM360" s="129"/>
      <c r="AN360" s="129"/>
      <c r="AO360" s="129"/>
      <c r="AP360" s="129"/>
      <c r="AQ360" s="129"/>
    </row>
    <row r="361" spans="1:43" s="191" customFormat="1" x14ac:dyDescent="0.35">
      <c r="A361" s="182" t="s">
        <v>5</v>
      </c>
      <c r="B361" s="182" t="s">
        <v>258</v>
      </c>
      <c r="C361" s="182" t="s">
        <v>259</v>
      </c>
      <c r="D361" s="235" t="str">
        <f ca="1">IF([1]!s_info_industry_sw(B361,1)=0,"-",[1]!s_info_industry_sw(B361,1))</f>
        <v>电气设备</v>
      </c>
      <c r="E361" s="183" t="str">
        <f ca="1">[1]!cb_info_underlyingcode(B361)</f>
        <v>300265.SZ</v>
      </c>
      <c r="F361" s="185">
        <f ca="1">RTD("wdf.rtq",,B361,"LastPrice","Dirty_Price")</f>
        <v>229.81900000000002</v>
      </c>
      <c r="G361" s="185">
        <f ca="1">RTD("wdf.rtq",,E361,"LastPrice")</f>
        <v>11.59</v>
      </c>
      <c r="H361" s="225">
        <f ca="1">RTD("wdf.rtq",,B361,"PctChg","RT_Price")/100</f>
        <v>1.43E-2</v>
      </c>
      <c r="I361" s="225">
        <f ca="1">RTD("wdf.rtq",,E361,"PctChg")/100</f>
        <v>2.75E-2</v>
      </c>
      <c r="J361" s="186">
        <f ca="1">_xlfn.IFNA([1]!b_anal_ptmyear(B361,$B$2),"未发行或发行失败")</f>
        <v>4.1561643835616442</v>
      </c>
      <c r="K361" s="186">
        <f ca="1">RTD("wdf.rtq",,B361,"Amount","Dirty_Price")/100000000</f>
        <v>3.42330523</v>
      </c>
      <c r="L361" s="186">
        <f ca="1">[1]!cb_anal_convprice(B361,$B$2)</f>
        <v>7.95</v>
      </c>
      <c r="M361" s="186">
        <f t="shared" ca="1" si="20"/>
        <v>145.78616352201257</v>
      </c>
      <c r="N361" s="187">
        <f t="shared" ca="1" si="21"/>
        <v>57.641160483175156</v>
      </c>
      <c r="O361" s="187">
        <f t="array" aca="1" ref="O361" ca="1">_xlfn.IFNA(RTD("wdf.rtq",,B361,"LastPrice","Yield_To_Maturity"),[1]!cb_anal_ytm(B361,$C$2))</f>
        <v>-15.065200000000001</v>
      </c>
      <c r="P361" s="187">
        <f ca="1">[1]!cb_anal_straightbondvalue(B361,$B$2)</f>
        <v>84.191400000000002</v>
      </c>
      <c r="Q361" s="187">
        <f t="shared" ca="1" si="22"/>
        <v>172.97206127941809</v>
      </c>
      <c r="R361" s="187" t="str">
        <f ca="1">[1]!b_rate_latestcredit(B361)</f>
        <v>A+</v>
      </c>
      <c r="S361" s="187">
        <f ca="1">[1]!cb_info_outstandingbalance(B361,$B$2)</f>
        <v>0.77902300000000002</v>
      </c>
      <c r="T361" s="187">
        <f ca="1">[1]!cb_info_issueamount(B361,100000000)</f>
        <v>2.97</v>
      </c>
      <c r="U361" s="187">
        <f t="shared" ca="1" si="23"/>
        <v>26.229730639730636</v>
      </c>
      <c r="V361" s="240">
        <f ca="1">IF([1]!cb_anal_ldiluterate(B361,$B$2)=100,"-",[1]!cb_anal_ldiluterate(B361,$B$2))</f>
        <v>2.619328154431968</v>
      </c>
      <c r="W361" s="188" t="str">
        <f ca="1">[1]!cb_info_listeddate(B361)</f>
        <v>2019-11-28</v>
      </c>
      <c r="X361" s="188" t="str">
        <f ca="1">[1]!cb_info_carrydate(B361)</f>
        <v>2019-11-04</v>
      </c>
      <c r="Y361" s="186" t="str">
        <f ca="1">[1]!cb_clause_conversion_2_swapsharestartdate(B361)</f>
        <v>2020-05-08</v>
      </c>
      <c r="Z361" s="186" t="str">
        <f ca="1">[1]!cb_clause_putoption_conditionalputbackstartenddate(B361)</f>
        <v>2023-11-04</v>
      </c>
      <c r="AA361" s="240">
        <f ca="1">[1]!cb_info_maturitycallprice(B361)</f>
        <v>113</v>
      </c>
      <c r="AB361" s="240">
        <f ca="1">IF(ISNUMBER([1]!cb_info_conditionalputprice(B361)),[1]!cb_info_conditionalputprice(B361),"-")</f>
        <v>100.59099999999999</v>
      </c>
      <c r="AC361" s="240">
        <f ca="1">[1]!cb_info_interest(B361)</f>
        <v>0.5</v>
      </c>
      <c r="AD361" s="262" t="str">
        <f ca="1">IFERROR(couponlist([1]!cb_clause_interest(B361,"4")),"-")</f>
        <v>0.5%，0.7%，1.0%，1.5%，1.8%，2.5%</v>
      </c>
      <c r="AE361" s="189"/>
      <c r="AF361" s="189"/>
      <c r="AG361" s="189"/>
      <c r="AH361" s="189"/>
      <c r="AI361" s="189"/>
      <c r="AJ361" s="189"/>
      <c r="AK361" s="189"/>
      <c r="AL361" s="189"/>
      <c r="AM361" s="189"/>
      <c r="AN361" s="189"/>
      <c r="AO361" s="189"/>
      <c r="AP361" s="189"/>
      <c r="AQ361" s="189"/>
    </row>
    <row r="362" spans="1:43" s="130" customFormat="1" x14ac:dyDescent="0.35">
      <c r="A362" s="121" t="s">
        <v>5</v>
      </c>
      <c r="B362" s="121" t="s">
        <v>583</v>
      </c>
      <c r="C362" s="121" t="s">
        <v>584</v>
      </c>
      <c r="D362" s="236" t="str">
        <f ca="1">IF([1]!s_info_industry_sw(B362,1)=0,"-",[1]!s_info_industry_sw(B362,1))</f>
        <v>电气设备</v>
      </c>
      <c r="E362" s="122" t="str">
        <f ca="1">[1]!cb_info_underlyingcode(B362)</f>
        <v>300569.SZ</v>
      </c>
      <c r="F362" s="124">
        <f ca="1">RTD("wdf.rtq",,B362,"LastPrice","Dirty_Price")</f>
        <v>148.899</v>
      </c>
      <c r="G362" s="124">
        <f ca="1">RTD("wdf.rtq",,E362,"LastPrice")</f>
        <v>10.77</v>
      </c>
      <c r="H362" s="226">
        <f ca="1">RTD("wdf.rtq",,B362,"PctChg","RT_Price")/100</f>
        <v>6.0999999999999995E-3</v>
      </c>
      <c r="I362" s="226">
        <f ca="1">RTD("wdf.rtq",,E362,"PctChg")/100</f>
        <v>-1.8200000000000001E-2</v>
      </c>
      <c r="J362" s="125">
        <f ca="1">_xlfn.IFNA([1]!b_anal_ptmyear(B362,$B$2),"未发行或发行失败")</f>
        <v>5.117808219178082</v>
      </c>
      <c r="K362" s="125">
        <f ca="1">RTD("wdf.rtq",,B362,"Amount","Dirty_Price")/100000000</f>
        <v>0.94059278999999996</v>
      </c>
      <c r="L362" s="125">
        <f ca="1">[1]!cb_anal_convprice(B362,$B$2)</f>
        <v>7.91</v>
      </c>
      <c r="M362" s="125">
        <f t="shared" ca="1" si="20"/>
        <v>136.1567635903919</v>
      </c>
      <c r="N362" s="126">
        <f t="shared" ca="1" si="21"/>
        <v>9.3585041782729803</v>
      </c>
      <c r="O362" s="126">
        <f t="array" aca="1" ref="O362" ca="1">_xlfn.IFNA(RTD("wdf.rtq",,B362,"LastPrice","Yield_To_Maturity"),[1]!cb_anal_ytm(B362,$C$2))</f>
        <v>-4.0365000000000002</v>
      </c>
      <c r="P362" s="126">
        <f ca="1">[1]!cb_anal_straightbondvalue(B362,$B$2)</f>
        <v>87.645099999999999</v>
      </c>
      <c r="Q362" s="126">
        <f t="shared" ca="1" si="22"/>
        <v>69.888561939001733</v>
      </c>
      <c r="R362" s="126" t="str">
        <f ca="1">[1]!b_rate_latestcredit(B362)</f>
        <v>AA-</v>
      </c>
      <c r="S362" s="126">
        <f ca="1">[1]!cb_info_outstandingbalance(B362,$B$2)</f>
        <v>6.9474689999999999</v>
      </c>
      <c r="T362" s="126">
        <f ca="1">[1]!cb_info_issueamount(B362,100000000)</f>
        <v>7</v>
      </c>
      <c r="U362" s="126">
        <f t="shared" ca="1" si="23"/>
        <v>99.249557142857142</v>
      </c>
      <c r="V362" s="230">
        <f ca="1">IF([1]!cb_anal_ldiluterate(B362,$B$2)=100,"-",[1]!cb_anal_ldiluterate(B362,$B$2))</f>
        <v>15.070413777188724</v>
      </c>
      <c r="W362" s="127" t="str">
        <f ca="1">[1]!cb_info_listeddate(B362)</f>
        <v>2020-11-25</v>
      </c>
      <c r="X362" s="127" t="str">
        <f ca="1">[1]!cb_info_carrydate(B362)</f>
        <v>2020-10-21</v>
      </c>
      <c r="Y362" s="125" t="str">
        <f ca="1">[1]!cb_clause_conversion_2_swapsharestartdate(B362)</f>
        <v>2021-04-27</v>
      </c>
      <c r="Z362" s="125" t="str">
        <f ca="1">[1]!cb_clause_putoption_conditionalputbackstartenddate(B362)</f>
        <v>2024-10-21</v>
      </c>
      <c r="AA362" s="230">
        <f ca="1">[1]!cb_info_maturitycallprice(B362)</f>
        <v>115</v>
      </c>
      <c r="AB362" s="230">
        <f ca="1">IF(ISNUMBER([1]!cb_info_conditionalputprice(B362)),[1]!cb_info_conditionalputprice(B362),"-")</f>
        <v>0</v>
      </c>
      <c r="AC362" s="230">
        <f ca="1">[1]!cb_info_interest(B362)</f>
        <v>0.4</v>
      </c>
      <c r="AD362" s="263" t="str">
        <f ca="1">IFERROR(couponlist([1]!cb_clause_interest(B362,"4")),"-")</f>
        <v>0.4%，0.6%，1.0%，1.6%，2.5%，3.0%</v>
      </c>
      <c r="AE362" s="129"/>
      <c r="AF362" s="129"/>
      <c r="AG362" s="129"/>
      <c r="AH362" s="129"/>
      <c r="AI362" s="129"/>
      <c r="AJ362" s="129"/>
      <c r="AK362" s="129"/>
      <c r="AL362" s="129"/>
      <c r="AM362" s="129"/>
      <c r="AN362" s="129"/>
      <c r="AO362" s="129"/>
      <c r="AP362" s="129"/>
      <c r="AQ362" s="129"/>
    </row>
    <row r="363" spans="1:43" s="191" customFormat="1" x14ac:dyDescent="0.35">
      <c r="A363" s="182" t="s">
        <v>5</v>
      </c>
      <c r="B363" s="182" t="s">
        <v>176</v>
      </c>
      <c r="C363" s="182" t="s">
        <v>177</v>
      </c>
      <c r="D363" s="235" t="str">
        <f ca="1">IF([1]!s_info_industry_sw(B363,1)=0,"-",[1]!s_info_industry_sw(B363,1))</f>
        <v>电气设备</v>
      </c>
      <c r="E363" s="183" t="str">
        <f ca="1">[1]!cb_info_underlyingcode(B363)</f>
        <v>300427.SZ</v>
      </c>
      <c r="F363" s="185">
        <f ca="1">RTD("wdf.rtq",,B363,"LastPrice","Dirty_Price")</f>
        <v>119.05000000000001</v>
      </c>
      <c r="G363" s="185">
        <f ca="1">RTD("wdf.rtq",,E363,"LastPrice")</f>
        <v>16.170000000000002</v>
      </c>
      <c r="H363" s="225">
        <f ca="1">RTD("wdf.rtq",,B363,"PctChg","RT_Price")/100</f>
        <v>3.4000000000000002E-3</v>
      </c>
      <c r="I363" s="225">
        <f ca="1">RTD("wdf.rtq",,E363,"PctChg")/100</f>
        <v>0</v>
      </c>
      <c r="J363" s="186">
        <f ca="1">_xlfn.IFNA([1]!b_anal_ptmyear(B363,$B$2),"未发行或发行失败")</f>
        <v>4.506849315068493</v>
      </c>
      <c r="K363" s="186">
        <f ca="1">RTD("wdf.rtq",,B363,"Amount","Dirty_Price")/100000000</f>
        <v>0.17345886999999999</v>
      </c>
      <c r="L363" s="186">
        <f ca="1">[1]!cb_anal_convprice(B363,$B$2)</f>
        <v>18.670000000000002</v>
      </c>
      <c r="M363" s="186">
        <f t="shared" ca="1" si="20"/>
        <v>86.609534011783609</v>
      </c>
      <c r="N363" s="187">
        <f t="shared" ca="1" si="21"/>
        <v>37.45599876314165</v>
      </c>
      <c r="O363" s="187">
        <f t="array" aca="1" ref="O363" ca="1">_xlfn.IFNA(RTD("wdf.rtq",,B363,"LastPrice","Yield_To_Maturity"),[1]!cb_anal_ytm(B363,$C$2))</f>
        <v>1.1163000000000001</v>
      </c>
      <c r="P363" s="187">
        <f ca="1">[1]!cb_anal_straightbondvalue(B363,$B$2)</f>
        <v>94.601399999999998</v>
      </c>
      <c r="Q363" s="187">
        <f t="shared" ca="1" si="22"/>
        <v>25.843803580073896</v>
      </c>
      <c r="R363" s="187" t="str">
        <f ca="1">[1]!b_rate_latestcredit(B363)</f>
        <v>AA-</v>
      </c>
      <c r="S363" s="187">
        <f ca="1">[1]!cb_info_outstandingbalance(B363,$B$2)</f>
        <v>5.4959480000000003</v>
      </c>
      <c r="T363" s="187">
        <f ca="1">[1]!cb_info_issueamount(B363,100000000)</f>
        <v>5.85</v>
      </c>
      <c r="U363" s="187">
        <f t="shared" ca="1" si="23"/>
        <v>93.947829059829076</v>
      </c>
      <c r="V363" s="240">
        <f ca="1">IF([1]!cb_anal_ldiluterate(B363,$B$2)=100,"-",[1]!cb_anal_ldiluterate(B363,$B$2))</f>
        <v>8.4953243924836865</v>
      </c>
      <c r="W363" s="188" t="str">
        <f ca="1">[1]!cb_info_listeddate(B363)</f>
        <v>2020-04-13</v>
      </c>
      <c r="X363" s="188" t="str">
        <f ca="1">[1]!cb_info_carrydate(B363)</f>
        <v>2020-03-12</v>
      </c>
      <c r="Y363" s="186" t="str">
        <f ca="1">[1]!cb_clause_conversion_2_swapsharestartdate(B363)</f>
        <v>2020-09-18</v>
      </c>
      <c r="Z363" s="186" t="str">
        <f ca="1">[1]!cb_clause_putoption_conditionalputbackstartenddate(B363)</f>
        <v>2024-03-12</v>
      </c>
      <c r="AA363" s="240">
        <f ca="1">[1]!cb_info_maturitycallprice(B363)</f>
        <v>118</v>
      </c>
      <c r="AB363" s="240">
        <f ca="1">IF(ISNUMBER([1]!cb_info_conditionalputprice(B363)),[1]!cb_info_conditionalputprice(B363),"-")</f>
        <v>0</v>
      </c>
      <c r="AC363" s="240">
        <f ca="1">[1]!cb_info_interest(B363)</f>
        <v>0.5</v>
      </c>
      <c r="AD363" s="262" t="str">
        <f ca="1">IFERROR(couponlist([1]!cb_clause_interest(B363,"4")),"-")</f>
        <v>0.50%，0.80%，1.40%，1.80%，3.00%，3.50%</v>
      </c>
      <c r="AE363" s="189"/>
      <c r="AF363" s="189"/>
      <c r="AG363" s="189"/>
      <c r="AH363" s="189"/>
      <c r="AI363" s="189"/>
      <c r="AJ363" s="189"/>
      <c r="AK363" s="189"/>
      <c r="AL363" s="189"/>
      <c r="AM363" s="189"/>
      <c r="AN363" s="189"/>
      <c r="AO363" s="189"/>
      <c r="AP363" s="189"/>
      <c r="AQ363" s="189"/>
    </row>
    <row r="364" spans="1:43" s="130" customFormat="1" x14ac:dyDescent="0.35">
      <c r="A364" s="121" t="s">
        <v>5</v>
      </c>
      <c r="B364" s="121" t="s">
        <v>489</v>
      </c>
      <c r="C364" s="121" t="s">
        <v>490</v>
      </c>
      <c r="D364" s="236" t="str">
        <f ca="1">IF([1]!s_info_industry_sw(B364,1)=0,"-",[1]!s_info_industry_sw(B364,1))</f>
        <v>电气设备</v>
      </c>
      <c r="E364" s="122" t="str">
        <f ca="1">[1]!cb_info_underlyingcode(B364)</f>
        <v>300407.SZ</v>
      </c>
      <c r="F364" s="124">
        <f ca="1">RTD("wdf.rtq",,B364,"LastPrice","Dirty_Price")</f>
        <v>137.601</v>
      </c>
      <c r="G364" s="124">
        <f ca="1">RTD("wdf.rtq",,E364,"LastPrice")</f>
        <v>8.64</v>
      </c>
      <c r="H364" s="226">
        <f ca="1">RTD("wdf.rtq",,B364,"PctChg","RT_Price")/100</f>
        <v>-1.7000000000000001E-3</v>
      </c>
      <c r="I364" s="226">
        <f ca="1">RTD("wdf.rtq",,E364,"PctChg")/100</f>
        <v>-1.7100000000000001E-2</v>
      </c>
      <c r="J364" s="125">
        <f ca="1">_xlfn.IFNA([1]!b_anal_ptmyear(B364,$B$2),"未发行或发行失败")</f>
        <v>1.882191780821918</v>
      </c>
      <c r="K364" s="125">
        <f ca="1">RTD("wdf.rtq",,B364,"Amount","Dirty_Price")/100000000</f>
        <v>0.17889431</v>
      </c>
      <c r="L364" s="125">
        <f ca="1">[1]!cb_anal_convprice(B364,$B$2)</f>
        <v>8.0500000000000007</v>
      </c>
      <c r="M364" s="125">
        <f t="shared" ca="1" si="20"/>
        <v>107.32919254658384</v>
      </c>
      <c r="N364" s="126">
        <f t="shared" ca="1" si="21"/>
        <v>28.20463541666669</v>
      </c>
      <c r="O364" s="126">
        <f t="array" aca="1" ref="O364" ca="1">_xlfn.IFNA(RTD("wdf.rtq",,B364,"LastPrice","Yield_To_Maturity"),[1]!cb_anal_ytm(B364,$C$2))</f>
        <v>-12.3727</v>
      </c>
      <c r="P364" s="126">
        <f ca="1">[1]!cb_anal_straightbondvalue(B364,$B$2)</f>
        <v>93.417100000000005</v>
      </c>
      <c r="Q364" s="126">
        <f t="shared" ca="1" si="22"/>
        <v>47.297443401689833</v>
      </c>
      <c r="R364" s="126" t="str">
        <f ca="1">[1]!b_rate_latestcredit(B364)</f>
        <v>A+</v>
      </c>
      <c r="S364" s="126">
        <f ca="1">[1]!cb_info_outstandingbalance(B364,$B$2)</f>
        <v>1.1611849999999999</v>
      </c>
      <c r="T364" s="126">
        <f ca="1">[1]!cb_info_issueamount(B364,100000000)</f>
        <v>3.4989480000000004</v>
      </c>
      <c r="U364" s="126">
        <f t="shared" ca="1" si="23"/>
        <v>33.186689256313606</v>
      </c>
      <c r="V364" s="230">
        <f ca="1">IF([1]!cb_anal_ldiluterate(B364,$B$2)=100,"-",[1]!cb_anal_ldiluterate(B364,$B$2))</f>
        <v>6.4020363406826988</v>
      </c>
      <c r="W364" s="127" t="str">
        <f ca="1">[1]!cb_info_listeddate(B364)</f>
        <v>2018-08-21</v>
      </c>
      <c r="X364" s="127" t="str">
        <f ca="1">[1]!cb_info_carrydate(B364)</f>
        <v>2018-07-27</v>
      </c>
      <c r="Y364" s="125" t="str">
        <f ca="1">[1]!cb_clause_conversion_2_swapsharestartdate(B364)</f>
        <v>2019-02-11</v>
      </c>
      <c r="Z364" s="125" t="str">
        <f ca="1">[1]!cb_clause_putoption_conditionalputbackstartenddate(B364)</f>
        <v>2021-07-27</v>
      </c>
      <c r="AA364" s="230">
        <f ca="1">[1]!cb_info_maturitycallprice(B364)</f>
        <v>106</v>
      </c>
      <c r="AB364" s="230">
        <f ca="1">IF(ISNUMBER([1]!cb_info_conditionalputprice(B364)),[1]!cb_info_conditionalputprice(B364),"-")</f>
        <v>0</v>
      </c>
      <c r="AC364" s="230">
        <f ca="1">[1]!cb_info_interest(B364)</f>
        <v>0.4</v>
      </c>
      <c r="AD364" s="263" t="str">
        <f ca="1">IFERROR(couponlist([1]!cb_clause_interest(B364,"4")),"-")</f>
        <v>0.4%，0.6%，1.0%，1.5%，2.0%</v>
      </c>
      <c r="AE364" s="129"/>
      <c r="AF364" s="129"/>
      <c r="AG364" s="129"/>
      <c r="AH364" s="129"/>
      <c r="AI364" s="129"/>
      <c r="AJ364" s="129"/>
      <c r="AK364" s="129"/>
      <c r="AL364" s="129"/>
      <c r="AM364" s="129"/>
      <c r="AN364" s="129"/>
      <c r="AO364" s="129"/>
      <c r="AP364" s="129"/>
      <c r="AQ364" s="129"/>
    </row>
    <row r="365" spans="1:43" s="191" customFormat="1" x14ac:dyDescent="0.35">
      <c r="A365" s="182" t="s">
        <v>5</v>
      </c>
      <c r="B365" s="182" t="s">
        <v>407</v>
      </c>
      <c r="C365" s="182" t="s">
        <v>408</v>
      </c>
      <c r="D365" s="235" t="str">
        <f ca="1">IF([1]!s_info_industry_sw(B365,1)=0,"-",[1]!s_info_industry_sw(B365,1))</f>
        <v>电气设备</v>
      </c>
      <c r="E365" s="183" t="str">
        <f ca="1">[1]!cb_info_underlyingcode(B365)</f>
        <v>002823.SZ</v>
      </c>
      <c r="F365" s="185">
        <f ca="1">RTD("wdf.rtq",,B365,"LastPrice","Dirty_Price")</f>
        <v>115.21000000000001</v>
      </c>
      <c r="G365" s="185">
        <f ca="1">RTD("wdf.rtq",,E365,"LastPrice")</f>
        <v>11.23</v>
      </c>
      <c r="H365" s="225">
        <f ca="1">RTD("wdf.rtq",,B365,"PctChg","RT_Price")/100</f>
        <v>-9.0000000000000008E-4</v>
      </c>
      <c r="I365" s="225">
        <f ca="1">RTD("wdf.rtq",,E365,"PctChg")/100</f>
        <v>-8.0000000000000002E-3</v>
      </c>
      <c r="J365" s="186">
        <f ca="1">_xlfn.IFNA([1]!b_anal_ptmyear(B365,$B$2),"未发行或发行失败")</f>
        <v>2.8904109589041096</v>
      </c>
      <c r="K365" s="186">
        <f ca="1">RTD("wdf.rtq",,B365,"Amount","Dirty_Price")/100000000</f>
        <v>2.060551E-2</v>
      </c>
      <c r="L365" s="186">
        <f ca="1">[1]!cb_anal_convprice(B365,$B$2)</f>
        <v>12.86</v>
      </c>
      <c r="M365" s="186">
        <f t="shared" ca="1" si="20"/>
        <v>87.32503888024884</v>
      </c>
      <c r="N365" s="187">
        <f t="shared" ca="1" si="21"/>
        <v>31.932377560106858</v>
      </c>
      <c r="O365" s="187">
        <f t="array" aca="1" ref="O365" ca="1">_xlfn.IFNA(RTD("wdf.rtq",,B365,"LastPrice","Yield_To_Maturity"),[1]!cb_anal_ytm(B365,$C$2))</f>
        <v>2.7400000000000001E-2</v>
      </c>
      <c r="P365" s="187">
        <f ca="1">[1]!cb_anal_straightbondvalue(B365,$B$2)</f>
        <v>103.97799999999999</v>
      </c>
      <c r="Q365" s="187">
        <f t="shared" ca="1" si="22"/>
        <v>10.802285098770895</v>
      </c>
      <c r="R365" s="187" t="str">
        <f ca="1">[1]!b_rate_latestcredit(B365)</f>
        <v>AA</v>
      </c>
      <c r="S365" s="187">
        <f ca="1">[1]!cb_info_outstandingbalance(B365,$B$2)</f>
        <v>4.1560129999999997</v>
      </c>
      <c r="T365" s="187">
        <f ca="1">[1]!cb_info_issueamount(B365,100000000)</f>
        <v>4.16</v>
      </c>
      <c r="U365" s="187">
        <f t="shared" ca="1" si="23"/>
        <v>99.904158653846139</v>
      </c>
      <c r="V365" s="240">
        <f ca="1">IF([1]!cb_anal_ldiluterate(B365,$B$2)=100,"-",[1]!cb_anal_ldiluterate(B365,$B$2))</f>
        <v>16.869496061567439</v>
      </c>
      <c r="W365" s="188" t="str">
        <f ca="1">[1]!cb_info_listeddate(B365)</f>
        <v>2018-09-03</v>
      </c>
      <c r="X365" s="188" t="str">
        <f ca="1">[1]!cb_info_carrydate(B365)</f>
        <v>2018-07-30</v>
      </c>
      <c r="Y365" s="186" t="str">
        <f ca="1">[1]!cb_clause_conversion_2_swapsharestartdate(B365)</f>
        <v>2019-02-11</v>
      </c>
      <c r="Z365" s="186" t="str">
        <f ca="1">[1]!cb_clause_putoption_conditionalputbackstartenddate(B365)</f>
        <v>2022-07-30</v>
      </c>
      <c r="AA365" s="240">
        <f ca="1">[1]!cb_info_maturitycallprice(B365)</f>
        <v>112</v>
      </c>
      <c r="AB365" s="240">
        <f ca="1">IF(ISNUMBER([1]!cb_info_conditionalputprice(B365)),[1]!cb_info_conditionalputprice(B365),"-")</f>
        <v>0</v>
      </c>
      <c r="AC365" s="240">
        <f ca="1">[1]!cb_info_interest(B365)</f>
        <v>0.4</v>
      </c>
      <c r="AD365" s="262" t="str">
        <f ca="1">IFERROR(couponlist([1]!cb_clause_interest(B365,"4")),"-")</f>
        <v>0.4%，0.6%，1.0%，1.5%，1.8%，2.0%</v>
      </c>
      <c r="AE365" s="189"/>
      <c r="AF365" s="189"/>
      <c r="AG365" s="189"/>
      <c r="AH365" s="189"/>
      <c r="AI365" s="189"/>
      <c r="AJ365" s="189"/>
      <c r="AK365" s="189"/>
      <c r="AL365" s="189"/>
      <c r="AM365" s="189"/>
      <c r="AN365" s="189"/>
      <c r="AO365" s="189"/>
      <c r="AP365" s="189"/>
      <c r="AQ365" s="189"/>
    </row>
    <row r="366" spans="1:43" s="130" customFormat="1" x14ac:dyDescent="0.35">
      <c r="A366" s="121" t="s">
        <v>0</v>
      </c>
      <c r="B366" s="121" t="s">
        <v>1689</v>
      </c>
      <c r="C366" s="121" t="s">
        <v>1690</v>
      </c>
      <c r="D366" s="236" t="str">
        <f ca="1">IF([1]!s_info_industry_sw(B366,1)=0,"-",[1]!s_info_industry_sw(B366,1))</f>
        <v>电气设备</v>
      </c>
      <c r="E366" s="122" t="str">
        <f ca="1">[1]!cb_info_underlyingcode(B366)</f>
        <v>605222.SH</v>
      </c>
      <c r="F366" s="124">
        <f ca="1">RTD("wdf.rtq",,B366,"LastPrice","Dirty_Price")</f>
        <v>133.55000000000001</v>
      </c>
      <c r="G366" s="124">
        <f ca="1">RTD("wdf.rtq",,E366,"LastPrice")</f>
        <v>24.080000000000002</v>
      </c>
      <c r="H366" s="226">
        <f ca="1">RTD("wdf.rtq",,B366,"PctChg","RT_Price")/100</f>
        <v>1.9700000000000002E-2</v>
      </c>
      <c r="I366" s="226">
        <f ca="1">RTD("wdf.rtq",,E366,"PctChg")/100</f>
        <v>3.04E-2</v>
      </c>
      <c r="J366" s="125">
        <f ca="1">_xlfn.IFNA([1]!b_anal_ptmyear(B366,$B$2),"未发行或发行失败")</f>
        <v>5.7068493150684931</v>
      </c>
      <c r="K366" s="125">
        <f ca="1">RTD("wdf.rtq",,B366,"Amount","Dirty_Price")/100000000</f>
        <v>0.16810621000000001</v>
      </c>
      <c r="L366" s="125">
        <f ca="1">[1]!cb_anal_convprice(B366,$B$2)</f>
        <v>20.53</v>
      </c>
      <c r="M366" s="125">
        <f t="shared" ca="1" si="20"/>
        <v>117.29176814417924</v>
      </c>
      <c r="N366" s="126">
        <f t="shared" ca="1" si="21"/>
        <v>13.861357973421946</v>
      </c>
      <c r="O366" s="126">
        <f t="array" aca="1" ref="O366" ca="1">_xlfn.IFNA(RTD("wdf.rtq",,B366,"LastPrice","Yield_To_Maturity"),[1]!cb_anal_ytm(B366,$C$2))</f>
        <v>-1.8173000000000001</v>
      </c>
      <c r="P366" s="126">
        <f ca="1">[1]!cb_anal_straightbondvalue(B366,$B$2)</f>
        <v>83.565299999999993</v>
      </c>
      <c r="Q366" s="126">
        <f t="shared" ca="1" si="22"/>
        <v>59.81513858024806</v>
      </c>
      <c r="R366" s="126" t="str">
        <f ca="1">[1]!b_rate_latestcredit(B366)</f>
        <v>AA-</v>
      </c>
      <c r="S366" s="126">
        <f ca="1">[1]!cb_info_outstandingbalance(B366,$B$2)</f>
        <v>10</v>
      </c>
      <c r="T366" s="126">
        <f ca="1">[1]!cb_info_issueamount(B366,100000000)</f>
        <v>10</v>
      </c>
      <c r="U366" s="126">
        <f t="shared" ca="1" si="23"/>
        <v>100</v>
      </c>
      <c r="V366" s="230">
        <f ca="1">IF([1]!cb_anal_ldiluterate(B366,$B$2)=100,"-",[1]!cb_anal_ldiluterate(B366,$B$2))</f>
        <v>32.754667540124466</v>
      </c>
      <c r="W366" s="127" t="str">
        <f ca="1">[1]!cb_info_listeddate(B366)</f>
        <v>2021-06-17</v>
      </c>
      <c r="X366" s="127" t="str">
        <f ca="1">[1]!cb_info_carrydate(B366)</f>
        <v>2021-05-24</v>
      </c>
      <c r="Y366" s="125" t="str">
        <f ca="1">[1]!cb_clause_conversion_2_swapsharestartdate(B366)</f>
        <v>2021-11-29</v>
      </c>
      <c r="Z366" s="125" t="str">
        <f ca="1">[1]!cb_clause_putoption_conditionalputbackstartenddate(B366)</f>
        <v>2025-05-24</v>
      </c>
      <c r="AA366" s="230">
        <f ca="1">[1]!cb_info_maturitycallprice(B366)</f>
        <v>115</v>
      </c>
      <c r="AB366" s="230">
        <f ca="1">IF(ISNUMBER([1]!cb_info_conditionalputprice(B366)),[1]!cb_info_conditionalputprice(B366),"-")</f>
        <v>0</v>
      </c>
      <c r="AC366" s="230">
        <f ca="1">[1]!cb_info_interest(B366)</f>
        <v>0.4</v>
      </c>
      <c r="AD366" s="263" t="str">
        <f ca="1">IFERROR(couponlist([1]!cb_clause_interest(B366,"4")),"-")</f>
        <v>0.40%，0.60%，1.00%，1.50%，2.00%，3.00%</v>
      </c>
      <c r="AE366" s="129"/>
      <c r="AF366" s="129"/>
      <c r="AG366" s="129"/>
      <c r="AH366" s="129"/>
      <c r="AI366" s="129"/>
      <c r="AJ366" s="129"/>
      <c r="AK366" s="129"/>
      <c r="AL366" s="129"/>
      <c r="AM366" s="129"/>
      <c r="AN366" s="129"/>
      <c r="AO366" s="129"/>
      <c r="AP366" s="129"/>
      <c r="AQ366" s="129"/>
    </row>
    <row r="367" spans="1:43" s="191" customFormat="1" x14ac:dyDescent="0.35">
      <c r="A367" s="182" t="s">
        <v>0</v>
      </c>
      <c r="B367" s="182" t="s">
        <v>1715</v>
      </c>
      <c r="C367" s="182" t="s">
        <v>1716</v>
      </c>
      <c r="D367" s="235" t="str">
        <f ca="1">IF([1]!s_info_industry_sw(B367,1)=0,"-",[1]!s_info_industry_sw(B367,1))</f>
        <v>电气设备</v>
      </c>
      <c r="E367" s="183" t="str">
        <f ca="1">[1]!cb_info_underlyingcode(B367)</f>
        <v>688599.SH</v>
      </c>
      <c r="F367" s="185">
        <f ca="1">RTD("wdf.rtq",,B367,"LastPrice","Dirty_Price")</f>
        <v>146.22</v>
      </c>
      <c r="G367" s="185">
        <f ca="1">RTD("wdf.rtq",,E367,"LastPrice")</f>
        <v>55.6</v>
      </c>
      <c r="H367" s="225">
        <f ca="1">RTD("wdf.rtq",,B367,"PctChg","RT_Price")/100</f>
        <v>-1.2E-2</v>
      </c>
      <c r="I367" s="225">
        <f ca="1">RTD("wdf.rtq",,E367,"PctChg")/100</f>
        <v>-7.3000000000000009E-2</v>
      </c>
      <c r="J367" s="186">
        <f ca="1">_xlfn.IFNA([1]!b_anal_ptmyear(B367,$B$2),"未发行或发行失败")</f>
        <v>5.9287671232876713</v>
      </c>
      <c r="K367" s="186">
        <f ca="1">RTD("wdf.rtq",,B367,"Amount","Dirty_Price")/100000000</f>
        <v>1.8878501400000001</v>
      </c>
      <c r="L367" s="186">
        <f ca="1">[1]!cb_anal_convprice(B367,$B$2)</f>
        <v>50.51</v>
      </c>
      <c r="M367" s="186">
        <f t="shared" ca="1" si="20"/>
        <v>110.07721243318156</v>
      </c>
      <c r="N367" s="187">
        <f t="shared" ca="1" si="21"/>
        <v>32.834032374100701</v>
      </c>
      <c r="O367" s="187">
        <f t="array" aca="1" ref="O367" ca="1">_xlfn.IFNA(RTD("wdf.rtq",,B367,"LastPrice","Yield_To_Maturity"),[1]!cb_anal_ytm(B367,$C$2))</f>
        <v>-3.3141000000000003</v>
      </c>
      <c r="P367" s="187">
        <f ca="1">[1]!cb_anal_straightbondvalue(B367,$B$2)</f>
        <v>93.235200000000006</v>
      </c>
      <c r="Q367" s="187">
        <f t="shared" ca="1" si="22"/>
        <v>56.829180395387141</v>
      </c>
      <c r="R367" s="187" t="str">
        <f ca="1">[1]!b_rate_latestcredit(B367)</f>
        <v>AA</v>
      </c>
      <c r="S367" s="187">
        <f ca="1">[1]!cb_info_outstandingbalance(B367,$B$2)</f>
        <v>52.52</v>
      </c>
      <c r="T367" s="187">
        <f ca="1">[1]!cb_info_issueamount(B367,100000000)</f>
        <v>52.52</v>
      </c>
      <c r="U367" s="187">
        <f t="shared" ca="1" si="23"/>
        <v>100</v>
      </c>
      <c r="V367" s="240">
        <f ca="1">IF([1]!cb_anal_ldiluterate(B367,$B$2)=100,"-",[1]!cb_anal_ldiluterate(B367,$B$2))</f>
        <v>7.8913771332450162</v>
      </c>
      <c r="W367" s="188" t="str">
        <f ca="1">[1]!cb_info_listeddate(B367)</f>
        <v>2021-09-01</v>
      </c>
      <c r="X367" s="188" t="str">
        <f ca="1">[1]!cb_info_carrydate(B367)</f>
        <v>2021-08-13</v>
      </c>
      <c r="Y367" s="186" t="str">
        <f ca="1">[1]!cb_clause_conversion_2_swapsharestartdate(B367)</f>
        <v>2022-02-21</v>
      </c>
      <c r="Z367" s="186" t="str">
        <f ca="1">[1]!cb_clause_putoption_conditionalputbackstartenddate(B367)</f>
        <v>2025-08-13</v>
      </c>
      <c r="AA367" s="240">
        <f ca="1">[1]!cb_info_maturitycallprice(B367)</f>
        <v>115</v>
      </c>
      <c r="AB367" s="240">
        <f ca="1">IF(ISNUMBER([1]!cb_info_conditionalputprice(B367)),[1]!cb_info_conditionalputprice(B367),"-")</f>
        <v>0</v>
      </c>
      <c r="AC367" s="240">
        <f ca="1">[1]!cb_info_interest(B367)</f>
        <v>0.3</v>
      </c>
      <c r="AD367" s="262" t="str">
        <f ca="1">IFERROR(couponlist([1]!cb_clause_interest(B367,"4")),"-")</f>
        <v>0.30%，0.50%，1.00%，1.50%，1.80%，2.00%</v>
      </c>
      <c r="AE367" s="189"/>
      <c r="AF367" s="189"/>
      <c r="AG367" s="189"/>
      <c r="AH367" s="189"/>
      <c r="AI367" s="189"/>
      <c r="AJ367" s="189"/>
      <c r="AK367" s="189"/>
      <c r="AL367" s="189"/>
      <c r="AM367" s="189"/>
      <c r="AN367" s="189"/>
      <c r="AO367" s="189"/>
      <c r="AP367" s="189"/>
      <c r="AQ367" s="189"/>
    </row>
    <row r="368" spans="1:43" s="130" customFormat="1" x14ac:dyDescent="0.35">
      <c r="A368" s="121" t="s">
        <v>5</v>
      </c>
      <c r="B368" s="121" t="s">
        <v>284</v>
      </c>
      <c r="C368" s="121" t="s">
        <v>285</v>
      </c>
      <c r="D368" s="236" t="str">
        <f ca="1">IF([1]!s_info_industry_sw(B368,1)=0,"-",[1]!s_info_industry_sw(B368,1))</f>
        <v>电气设备</v>
      </c>
      <c r="E368" s="122" t="str">
        <f ca="1">[1]!cb_info_underlyingcode(B368)</f>
        <v>300040.SZ</v>
      </c>
      <c r="F368" s="124">
        <f ca="1">RTD("wdf.rtq",,B368,"LastPrice","Dirty_Price")</f>
        <v>235.29900000000001</v>
      </c>
      <c r="G368" s="124">
        <f ca="1">RTD("wdf.rtq",,E368,"LastPrice")</f>
        <v>9.43</v>
      </c>
      <c r="H368" s="226">
        <f ca="1">RTD("wdf.rtq",,B368,"PctChg","RT_Price")/100</f>
        <v>2.53E-2</v>
      </c>
      <c r="I368" s="226">
        <f ca="1">RTD("wdf.rtq",,E368,"PctChg")/100</f>
        <v>1.84E-2</v>
      </c>
      <c r="J368" s="125">
        <f ca="1">_xlfn.IFNA([1]!b_anal_ptmyear(B368,$B$2),"未发行或发行失败")</f>
        <v>3.9479452054794519</v>
      </c>
      <c r="K368" s="125">
        <f ca="1">RTD("wdf.rtq",,B368,"Amount","Dirty_Price")/100000000</f>
        <v>7.8250633599999997</v>
      </c>
      <c r="L368" s="125">
        <f ca="1">[1]!cb_anal_convprice(B368,$B$2)</f>
        <v>4</v>
      </c>
      <c r="M368" s="125">
        <f t="shared" ca="1" si="20"/>
        <v>235.75</v>
      </c>
      <c r="N368" s="126">
        <f t="shared" ca="1" si="21"/>
        <v>-0.19130434782607608</v>
      </c>
      <c r="O368" s="126">
        <f t="array" aca="1" ref="O368" ca="1">_xlfn.IFNA(RTD("wdf.rtq",,B368,"LastPrice","Yield_To_Maturity"),[1]!cb_anal_ytm(B368,$C$2))</f>
        <v>-16.009800000000002</v>
      </c>
      <c r="P368" s="126">
        <f ca="1">[1]!cb_anal_straightbondvalue(B368,$B$2)</f>
        <v>93.686099999999996</v>
      </c>
      <c r="Q368" s="126">
        <f t="shared" ca="1" si="22"/>
        <v>151.15678846701914</v>
      </c>
      <c r="R368" s="126" t="str">
        <f ca="1">[1]!b_rate_latestcredit(B368)</f>
        <v>AA-</v>
      </c>
      <c r="S368" s="126">
        <f ca="1">[1]!cb_info_outstandingbalance(B368,$B$2)</f>
        <v>0.77237299999999998</v>
      </c>
      <c r="T368" s="126">
        <f ca="1">[1]!cb_info_issueamount(B368,100000000)</f>
        <v>3.08</v>
      </c>
      <c r="U368" s="126">
        <f t="shared" ca="1" si="23"/>
        <v>25.077045454545456</v>
      </c>
      <c r="V368" s="230">
        <f ca="1">IF([1]!cb_anal_ldiluterate(B368,$B$2)=100,"-",[1]!cb_anal_ldiluterate(B368,$B$2))</f>
        <v>5.3123909126411082</v>
      </c>
      <c r="W368" s="127" t="str">
        <f ca="1">[1]!cb_info_listeddate(B368)</f>
        <v>2019-09-12</v>
      </c>
      <c r="X368" s="127" t="str">
        <f ca="1">[1]!cb_info_carrydate(B368)</f>
        <v>2019-08-20</v>
      </c>
      <c r="Y368" s="125" t="str">
        <f ca="1">[1]!cb_clause_conversion_2_swapsharestartdate(B368)</f>
        <v>2020-02-27</v>
      </c>
      <c r="Z368" s="125" t="str">
        <f ca="1">[1]!cb_clause_putoption_conditionalputbackstartenddate(B368)</f>
        <v>2023-08-20</v>
      </c>
      <c r="AA368" s="230">
        <f ca="1">[1]!cb_info_maturitycallprice(B368)</f>
        <v>115</v>
      </c>
      <c r="AB368" s="230">
        <f ca="1">IF(ISNUMBER([1]!cb_info_conditionalputprice(B368)),[1]!cb_info_conditionalputprice(B368),"-")</f>
        <v>0</v>
      </c>
      <c r="AC368" s="230">
        <f ca="1">[1]!cb_info_interest(B368)</f>
        <v>0.5</v>
      </c>
      <c r="AD368" s="263" t="str">
        <f ca="1">IFERROR(couponlist([1]!cb_clause_interest(B368,"4")),"-")</f>
        <v>0.5%，0.7%，1.0%，1.5%，1.8%，3.0%</v>
      </c>
      <c r="AE368" s="129"/>
      <c r="AF368" s="129"/>
      <c r="AG368" s="129"/>
      <c r="AH368" s="129"/>
      <c r="AI368" s="129"/>
      <c r="AJ368" s="129"/>
      <c r="AK368" s="129"/>
      <c r="AL368" s="129"/>
      <c r="AM368" s="129"/>
      <c r="AN368" s="129"/>
      <c r="AO368" s="129"/>
      <c r="AP368" s="129"/>
      <c r="AQ368" s="129"/>
    </row>
    <row r="369" spans="1:43" s="191" customFormat="1" x14ac:dyDescent="0.35">
      <c r="A369" s="182" t="s">
        <v>0</v>
      </c>
      <c r="B369" s="182" t="s">
        <v>268</v>
      </c>
      <c r="C369" s="182" t="s">
        <v>269</v>
      </c>
      <c r="D369" s="235" t="str">
        <f ca="1">IF([1]!s_info_industry_sw(B369,1)=0,"-",[1]!s_info_industry_sw(B369,1))</f>
        <v>电气设备</v>
      </c>
      <c r="E369" s="183" t="str">
        <f ca="1">[1]!cb_info_underlyingcode(B369)</f>
        <v>603320.SH</v>
      </c>
      <c r="F369" s="185">
        <f ca="1">RTD("wdf.rtq",,B369,"LastPrice","Dirty_Price")</f>
        <v>120.28</v>
      </c>
      <c r="G369" s="185">
        <f ca="1">RTD("wdf.rtq",,E369,"LastPrice")</f>
        <v>14.13</v>
      </c>
      <c r="H369" s="225">
        <f ca="1">RTD("wdf.rtq",,B369,"PctChg","RT_Price")/100</f>
        <v>-3.0000000000000001E-3</v>
      </c>
      <c r="I369" s="225">
        <f ca="1">RTD("wdf.rtq",,E369,"PctChg")/100</f>
        <v>-2.7999999999999995E-3</v>
      </c>
      <c r="J369" s="186">
        <f ca="1">_xlfn.IFNA([1]!b_anal_ptmyear(B369,$B$2),"未发行或发行失败")</f>
        <v>4.1232876712328768</v>
      </c>
      <c r="K369" s="186">
        <f ca="1">RTD("wdf.rtq",,B369,"Amount","Dirty_Price")/100000000</f>
        <v>6.5065810000000002E-2</v>
      </c>
      <c r="L369" s="186">
        <f ca="1">[1]!cb_anal_convprice(B369,$B$2)</f>
        <v>14</v>
      </c>
      <c r="M369" s="186">
        <f t="shared" ca="1" si="20"/>
        <v>100.92857142857143</v>
      </c>
      <c r="N369" s="187">
        <f t="shared" ca="1" si="21"/>
        <v>19.173389950460006</v>
      </c>
      <c r="O369" s="187">
        <f t="array" aca="1" ref="O369" ca="1">_xlfn.IFNA(RTD("wdf.rtq",,B369,"LastPrice","Yield_To_Maturity"),[1]!cb_anal_ytm(B369,$C$2))</f>
        <v>6.6100000000000006E-2</v>
      </c>
      <c r="P369" s="187">
        <f ca="1">[1]!cb_anal_straightbondvalue(B369,$B$2)</f>
        <v>86.461500000000001</v>
      </c>
      <c r="Q369" s="187">
        <f t="shared" ca="1" si="22"/>
        <v>39.113940886984381</v>
      </c>
      <c r="R369" s="187" t="str">
        <f ca="1">[1]!b_rate_latestcredit(B369)</f>
        <v>A+</v>
      </c>
      <c r="S369" s="187">
        <f ca="1">[1]!cb_info_outstandingbalance(B369,$B$2)</f>
        <v>2.2979599999999998</v>
      </c>
      <c r="T369" s="187">
        <f ca="1">[1]!cb_info_issueamount(B369,100000000)</f>
        <v>2.2993000000000001</v>
      </c>
      <c r="U369" s="187">
        <f t="shared" ca="1" si="23"/>
        <v>99.941721393467574</v>
      </c>
      <c r="V369" s="240">
        <f ca="1">IF([1]!cb_anal_ldiluterate(B369,$B$2)=100,"-",[1]!cb_anal_ldiluterate(B369,$B$2))</f>
        <v>11.211269666633312</v>
      </c>
      <c r="W369" s="188" t="str">
        <f ca="1">[1]!cb_info_listeddate(B369)</f>
        <v>2019-11-21</v>
      </c>
      <c r="X369" s="188" t="str">
        <f ca="1">[1]!cb_info_carrydate(B369)</f>
        <v>2019-10-23</v>
      </c>
      <c r="Y369" s="186" t="str">
        <f ca="1">[1]!cb_clause_conversion_2_swapsharestartdate(B369)</f>
        <v>2020-04-29</v>
      </c>
      <c r="Z369" s="186" t="str">
        <f ca="1">[1]!cb_clause_putoption_conditionalputbackstartenddate(B369)</f>
        <v>2023-10-23</v>
      </c>
      <c r="AA369" s="240">
        <f ca="1">[1]!cb_info_maturitycallprice(B369)</f>
        <v>115</v>
      </c>
      <c r="AB369" s="240">
        <f ca="1">IF(ISNUMBER([1]!cb_info_conditionalputprice(B369)),[1]!cb_info_conditionalputprice(B369),"-")</f>
        <v>0</v>
      </c>
      <c r="AC369" s="240">
        <f ca="1">[1]!cb_info_interest(B369)</f>
        <v>0.5</v>
      </c>
      <c r="AD369" s="262" t="str">
        <f ca="1">IFERROR(couponlist([1]!cb_clause_interest(B369,"4")),"-")</f>
        <v>0.50%，0.80%，1.20%，1.60%，2.00%，3.00%</v>
      </c>
      <c r="AE369" s="189"/>
      <c r="AF369" s="189"/>
      <c r="AG369" s="189"/>
      <c r="AH369" s="189"/>
      <c r="AI369" s="189"/>
      <c r="AJ369" s="189"/>
      <c r="AK369" s="189"/>
      <c r="AL369" s="189"/>
      <c r="AM369" s="189"/>
      <c r="AN369" s="189"/>
      <c r="AO369" s="189"/>
      <c r="AP369" s="189"/>
      <c r="AQ369" s="189"/>
    </row>
    <row r="370" spans="1:43" s="130" customFormat="1" x14ac:dyDescent="0.35">
      <c r="A370" s="121" t="s">
        <v>0</v>
      </c>
      <c r="B370" s="121" t="s">
        <v>487</v>
      </c>
      <c r="C370" s="121" t="s">
        <v>488</v>
      </c>
      <c r="D370" s="236" t="str">
        <f ca="1">IF([1]!s_info_industry_sw(B370,1)=0,"-",[1]!s_info_industry_sw(B370,1))</f>
        <v>电气设备</v>
      </c>
      <c r="E370" s="122" t="str">
        <f ca="1">[1]!cb_info_underlyingcode(B370)</f>
        <v>601222.SH</v>
      </c>
      <c r="F370" s="124">
        <f ca="1">RTD("wdf.rtq",,B370,"LastPrice","Dirty_Price")</f>
        <v>147.79000000000002</v>
      </c>
      <c r="G370" s="124">
        <f ca="1">RTD("wdf.rtq",,E370,"LastPrice")</f>
        <v>12.57</v>
      </c>
      <c r="H370" s="226">
        <f ca="1">RTD("wdf.rtq",,B370,"PctChg","RT_Price")/100</f>
        <v>-2.9900000000000003E-2</v>
      </c>
      <c r="I370" s="226">
        <f ca="1">RTD("wdf.rtq",,E370,"PctChg")/100</f>
        <v>-2.7800000000000002E-2</v>
      </c>
      <c r="J370" s="125">
        <f ca="1">_xlfn.IFNA([1]!b_anal_ptmyear(B370,$B$2),"未发行或发行失败")</f>
        <v>2.1342465753424658</v>
      </c>
      <c r="K370" s="125">
        <f ca="1">RTD("wdf.rtq",,B370,"Amount","Dirty_Price")/100000000</f>
        <v>7.3248619799999997</v>
      </c>
      <c r="L370" s="125">
        <f ca="1">[1]!cb_anal_convprice(B370,$B$2)</f>
        <v>8.44</v>
      </c>
      <c r="M370" s="125">
        <f t="shared" ca="1" si="20"/>
        <v>148.93364928909955</v>
      </c>
      <c r="N370" s="126">
        <f t="shared" ca="1" si="21"/>
        <v>-0.76789180588703232</v>
      </c>
      <c r="O370" s="126">
        <f t="array" aca="1" ref="O370" ca="1">_xlfn.IFNA(RTD("wdf.rtq",,B370,"LastPrice","Yield_To_Maturity"),[1]!cb_anal_ytm(B370,$C$2))</f>
        <v>-13.4122</v>
      </c>
      <c r="P370" s="126">
        <f ca="1">[1]!cb_anal_straightbondvalue(B370,$B$2)</f>
        <v>102.188</v>
      </c>
      <c r="Q370" s="126">
        <f t="shared" ca="1" si="22"/>
        <v>44.625592046032807</v>
      </c>
      <c r="R370" s="126" t="str">
        <f ca="1">[1]!b_rate_latestcredit(B370)</f>
        <v>AA</v>
      </c>
      <c r="S370" s="126">
        <f ca="1">[1]!cb_info_outstandingbalance(B370,$B$2)</f>
        <v>16.751660000000001</v>
      </c>
      <c r="T370" s="126">
        <f ca="1">[1]!cb_info_issueamount(B370,100000000)</f>
        <v>30</v>
      </c>
      <c r="U370" s="126">
        <f t="shared" ca="1" si="23"/>
        <v>55.838866666666675</v>
      </c>
      <c r="V370" s="230">
        <f ca="1">IF([1]!cb_anal_ldiluterate(B370,$B$2)=100,"-",[1]!cb_anal_ldiluterate(B370,$B$2))</f>
        <v>9.623965219952483</v>
      </c>
      <c r="W370" s="127" t="str">
        <f ca="1">[1]!cb_info_listeddate(B370)</f>
        <v>2017-11-13</v>
      </c>
      <c r="X370" s="127" t="str">
        <f ca="1">[1]!cb_info_carrydate(B370)</f>
        <v>2017-10-27</v>
      </c>
      <c r="Y370" s="125" t="str">
        <f ca="1">[1]!cb_clause_conversion_2_swapsharestartdate(B370)</f>
        <v>2018-05-03</v>
      </c>
      <c r="Z370" s="125" t="str">
        <f ca="1">[1]!cb_clause_putoption_conditionalputbackstartenddate(B370)</f>
        <v>2021-10-27</v>
      </c>
      <c r="AA370" s="230">
        <f ca="1">[1]!cb_info_maturitycallprice(B370)</f>
        <v>106</v>
      </c>
      <c r="AB370" s="230">
        <f ca="1">IF(ISNUMBER([1]!cb_info_conditionalputprice(B370)),[1]!cb_info_conditionalputprice(B370),"-")</f>
        <v>0</v>
      </c>
      <c r="AC370" s="230">
        <f ca="1">[1]!cb_info_interest(B370)</f>
        <v>0.3</v>
      </c>
      <c r="AD370" s="263" t="str">
        <f ca="1">IFERROR(couponlist([1]!cb_clause_interest(B370,"4")),"-")</f>
        <v>0.3%，0.5%，1.0%，1.5%，1.8%，2.0%</v>
      </c>
      <c r="AE370" s="129"/>
      <c r="AF370" s="129"/>
      <c r="AG370" s="129"/>
      <c r="AH370" s="129"/>
      <c r="AI370" s="129"/>
      <c r="AJ370" s="129"/>
      <c r="AK370" s="129"/>
      <c r="AL370" s="129"/>
      <c r="AM370" s="129"/>
      <c r="AN370" s="129"/>
      <c r="AO370" s="129"/>
      <c r="AP370" s="129"/>
      <c r="AQ370" s="129"/>
    </row>
    <row r="371" spans="1:43" s="191" customFormat="1" x14ac:dyDescent="0.35">
      <c r="A371" s="182" t="s">
        <v>5</v>
      </c>
      <c r="B371" s="182" t="s">
        <v>599</v>
      </c>
      <c r="C371" s="182" t="s">
        <v>600</v>
      </c>
      <c r="D371" s="235" t="str">
        <f ca="1">IF([1]!s_info_industry_sw(B371,1)=0,"-",[1]!s_info_industry_sw(B371,1))</f>
        <v>电气设备</v>
      </c>
      <c r="E371" s="183" t="str">
        <f ca="1">[1]!cb_info_underlyingcode(B371)</f>
        <v>300772.SZ</v>
      </c>
      <c r="F371" s="185">
        <f ca="1">RTD("wdf.rtq",,B371,"LastPrice","Dirty_Price")</f>
        <v>283.13100000000003</v>
      </c>
      <c r="G371" s="185">
        <f ca="1">RTD("wdf.rtq",,E371,"LastPrice")</f>
        <v>43.07</v>
      </c>
      <c r="H371" s="225">
        <f ca="1">RTD("wdf.rtq",,B371,"PctChg","RT_Price")/100</f>
        <v>1.6300000000000002E-2</v>
      </c>
      <c r="I371" s="225">
        <f ca="1">RTD("wdf.rtq",,E371,"PctChg")/100</f>
        <v>1.5600000000000001E-2</v>
      </c>
      <c r="J371" s="186">
        <f ca="1">_xlfn.IFNA([1]!b_anal_ptmyear(B371,$B$2),"未发行或发行失败")</f>
        <v>5.2301369863013702</v>
      </c>
      <c r="K371" s="186">
        <f ca="1">RTD("wdf.rtq",,B371,"Amount","Dirty_Price")/100000000</f>
        <v>8.068028</v>
      </c>
      <c r="L371" s="186">
        <f ca="1">[1]!cb_anal_convprice(B371,$B$2)</f>
        <v>15.12</v>
      </c>
      <c r="M371" s="186">
        <f t="shared" ca="1" si="20"/>
        <v>284.85449735449737</v>
      </c>
      <c r="N371" s="187">
        <f t="shared" ca="1" si="21"/>
        <v>-0.6050448107731512</v>
      </c>
      <c r="O371" s="187">
        <f t="array" aca="1" ref="O371" ca="1">_xlfn.IFNA(RTD("wdf.rtq",,B371,"LastPrice","Yield_To_Maturity"),[1]!cb_anal_ytm(B371,$C$2))</f>
        <v>-16.0306</v>
      </c>
      <c r="P371" s="187">
        <f ca="1">[1]!cb_anal_straightbondvalue(B371,$B$2)</f>
        <v>92.456800000000001</v>
      </c>
      <c r="Q371" s="187">
        <f t="shared" ca="1" si="22"/>
        <v>206.23058552751127</v>
      </c>
      <c r="R371" s="187" t="str">
        <f ca="1">[1]!b_rate_latestcredit(B371)</f>
        <v>AA</v>
      </c>
      <c r="S371" s="187">
        <f ca="1">[1]!cb_info_outstandingbalance(B371,$B$2)</f>
        <v>0.50819899999999996</v>
      </c>
      <c r="T371" s="187">
        <f ca="1">[1]!cb_info_issueamount(B371,100000000)</f>
        <v>5.77</v>
      </c>
      <c r="U371" s="187">
        <f t="shared" ca="1" si="23"/>
        <v>8.8076083188908143</v>
      </c>
      <c r="V371" s="240">
        <f ca="1">IF([1]!cb_anal_ldiluterate(B371,$B$2)=100,"-",[1]!cb_anal_ldiluterate(B371,$B$2))</f>
        <v>3.5451249503123492</v>
      </c>
      <c r="W371" s="188" t="str">
        <f ca="1">[1]!cb_info_listeddate(B371)</f>
        <v>2020-12-25</v>
      </c>
      <c r="X371" s="188" t="str">
        <f ca="1">[1]!cb_info_carrydate(B371)</f>
        <v>2020-12-01</v>
      </c>
      <c r="Y371" s="186" t="str">
        <f ca="1">[1]!cb_clause_conversion_2_swapsharestartdate(B371)</f>
        <v>2021-06-07</v>
      </c>
      <c r="Z371" s="186" t="str">
        <f ca="1">[1]!cb_clause_putoption_conditionalputbackstartenddate(B371)</f>
        <v>2024-12-01</v>
      </c>
      <c r="AA371" s="240">
        <f ca="1">[1]!cb_info_maturitycallprice(B371)</f>
        <v>110</v>
      </c>
      <c r="AB371" s="240">
        <f ca="1">IF(ISNUMBER([1]!cb_info_conditionalputprice(B371)),[1]!cb_info_conditionalputprice(B371),"-")</f>
        <v>0</v>
      </c>
      <c r="AC371" s="240">
        <f ca="1">[1]!cb_info_interest(B371)</f>
        <v>0.3</v>
      </c>
      <c r="AD371" s="262" t="str">
        <f ca="1">IFERROR(couponlist([1]!cb_clause_interest(B371,"4")),"-")</f>
        <v>0.3%，0.5%，1.0%，1.5%，1.8%，2.0%</v>
      </c>
      <c r="AE371" s="189"/>
      <c r="AF371" s="189"/>
      <c r="AG371" s="189"/>
      <c r="AH371" s="189"/>
      <c r="AI371" s="189"/>
      <c r="AJ371" s="189"/>
      <c r="AK371" s="189"/>
      <c r="AL371" s="189"/>
      <c r="AM371" s="189"/>
      <c r="AN371" s="189"/>
      <c r="AO371" s="189"/>
      <c r="AP371" s="189"/>
      <c r="AQ371" s="189"/>
    </row>
    <row r="372" spans="1:43" s="130" customFormat="1" x14ac:dyDescent="0.35">
      <c r="A372" s="121" t="s">
        <v>5</v>
      </c>
      <c r="B372" s="121" t="s">
        <v>128</v>
      </c>
      <c r="C372" s="121" t="s">
        <v>129</v>
      </c>
      <c r="D372" s="236" t="str">
        <f ca="1">IF([1]!s_info_industry_sw(B372,1)=0,"-",[1]!s_info_industry_sw(B372,1))</f>
        <v>传媒</v>
      </c>
      <c r="E372" s="122" t="str">
        <f ca="1">[1]!cb_info_underlyingcode(B372)</f>
        <v>300031.SZ</v>
      </c>
      <c r="F372" s="124">
        <f ca="1">RTD("wdf.rtq",,B372,"LastPrice","Dirty_Price")</f>
        <v>134.20000000000002</v>
      </c>
      <c r="G372" s="124">
        <f ca="1">RTD("wdf.rtq",,E372,"LastPrice")</f>
        <v>22.6</v>
      </c>
      <c r="H372" s="226">
        <f ca="1">RTD("wdf.rtq",,B372,"PctChg","RT_Price")/100</f>
        <v>9.11E-2</v>
      </c>
      <c r="I372" s="226">
        <f ca="1">RTD("wdf.rtq",,E372,"PctChg")/100</f>
        <v>0.12490000000000002</v>
      </c>
      <c r="J372" s="125">
        <f ca="1">_xlfn.IFNA([1]!b_anal_ptmyear(B372,$B$2),"未发行或发行失败")</f>
        <v>4.7397260273972606</v>
      </c>
      <c r="K372" s="125">
        <f ca="1">RTD("wdf.rtq",,B372,"Amount","Dirty_Price")/100000000</f>
        <v>21.52297978</v>
      </c>
      <c r="L372" s="125">
        <f ca="1">[1]!cb_anal_convprice(B372,$B$2)</f>
        <v>20.5</v>
      </c>
      <c r="M372" s="125">
        <f t="shared" ca="1" si="20"/>
        <v>110.2439024390244</v>
      </c>
      <c r="N372" s="126">
        <f t="shared" ca="1" si="21"/>
        <v>21.730088495575231</v>
      </c>
      <c r="O372" s="126">
        <f t="array" aca="1" ref="O372" ca="1">_xlfn.IFNA(RTD("wdf.rtq",,B372,"LastPrice","Yield_To_Maturity"),[1]!cb_anal_ytm(B372,$C$2))</f>
        <v>-2.2390000000000003</v>
      </c>
      <c r="P372" s="126">
        <f ca="1">[1]!cb_anal_straightbondvalue(B372,$B$2)</f>
        <v>89.801699999999997</v>
      </c>
      <c r="Q372" s="126">
        <f t="shared" ca="1" si="22"/>
        <v>49.440378077475174</v>
      </c>
      <c r="R372" s="126" t="str">
        <f ca="1">[1]!b_rate_latestcredit(B372)</f>
        <v>AA-</v>
      </c>
      <c r="S372" s="126">
        <f ca="1">[1]!cb_info_outstandingbalance(B372,$B$2)</f>
        <v>4.9993230000000004</v>
      </c>
      <c r="T372" s="126">
        <f ca="1">[1]!cb_info_issueamount(B372,100000000)</f>
        <v>5</v>
      </c>
      <c r="U372" s="126">
        <f t="shared" ca="1" si="23"/>
        <v>99.986460000000008</v>
      </c>
      <c r="V372" s="230">
        <f ca="1">IF([1]!cb_anal_ldiluterate(B372,$B$2)=100,"-",[1]!cb_anal_ldiluterate(B372,$B$2))</f>
        <v>6.9893789429743638</v>
      </c>
      <c r="W372" s="127" t="str">
        <f ca="1">[1]!cb_info_listeddate(B372)</f>
        <v>2020-07-01</v>
      </c>
      <c r="X372" s="127" t="str">
        <f ca="1">[1]!cb_info_carrydate(B372)</f>
        <v>2020-06-05</v>
      </c>
      <c r="Y372" s="125" t="str">
        <f ca="1">[1]!cb_clause_conversion_2_swapsharestartdate(B372)</f>
        <v>2020-12-11</v>
      </c>
      <c r="Z372" s="125" t="str">
        <f ca="1">[1]!cb_clause_putoption_conditionalputbackstartenddate(B372)</f>
        <v>2024-06-05</v>
      </c>
      <c r="AA372" s="230">
        <f ca="1">[1]!cb_info_maturitycallprice(B372)</f>
        <v>115</v>
      </c>
      <c r="AB372" s="230">
        <f ca="1">IF(ISNUMBER([1]!cb_info_conditionalputprice(B372)),[1]!cb_info_conditionalputprice(B372),"-")</f>
        <v>0</v>
      </c>
      <c r="AC372" s="230">
        <f ca="1">[1]!cb_info_interest(B372)</f>
        <v>0.5</v>
      </c>
      <c r="AD372" s="263" t="str">
        <f ca="1">IFERROR(couponlist([1]!cb_clause_interest(B372,"4")),"-")</f>
        <v>0.50%，0.80%，1.00%，1.50%，2.50%，3.50%</v>
      </c>
      <c r="AE372" s="129"/>
      <c r="AF372" s="129"/>
      <c r="AG372" s="129"/>
      <c r="AH372" s="129"/>
      <c r="AI372" s="129"/>
      <c r="AJ372" s="129"/>
      <c r="AK372" s="129"/>
      <c r="AL372" s="129"/>
      <c r="AM372" s="129"/>
      <c r="AN372" s="129"/>
      <c r="AO372" s="129"/>
      <c r="AP372" s="129"/>
      <c r="AQ372" s="129"/>
    </row>
    <row r="373" spans="1:43" s="191" customFormat="1" x14ac:dyDescent="0.35">
      <c r="A373" s="182" t="s">
        <v>5</v>
      </c>
      <c r="B373" s="182" t="s">
        <v>278</v>
      </c>
      <c r="C373" s="182" t="s">
        <v>279</v>
      </c>
      <c r="D373" s="235" t="str">
        <f ca="1">IF([1]!s_info_industry_sw(B373,1)=0,"-",[1]!s_info_industry_sw(B373,1))</f>
        <v>传媒</v>
      </c>
      <c r="E373" s="183" t="str">
        <f ca="1">[1]!cb_info_underlyingcode(B373)</f>
        <v>002174.SZ</v>
      </c>
      <c r="F373" s="185">
        <f ca="1">RTD("wdf.rtq",,B373,"LastPrice","Dirty_Price")</f>
        <v>112.90900000000001</v>
      </c>
      <c r="G373" s="185">
        <f ca="1">RTD("wdf.rtq",,E373,"LastPrice")</f>
        <v>13.84</v>
      </c>
      <c r="H373" s="225">
        <f ca="1">RTD("wdf.rtq",,B373,"PctChg","RT_Price")/100</f>
        <v>1.89E-2</v>
      </c>
      <c r="I373" s="225">
        <f ca="1">RTD("wdf.rtq",,E373,"PctChg")/100</f>
        <v>3.5200000000000002E-2</v>
      </c>
      <c r="J373" s="186">
        <f ca="1">_xlfn.IFNA([1]!b_anal_ptmyear(B373,$B$2),"未发行或发行失败")</f>
        <v>4.0410958904109586</v>
      </c>
      <c r="K373" s="186">
        <f ca="1">RTD("wdf.rtq",,B373,"Amount","Dirty_Price")/100000000</f>
        <v>0.91545460999999995</v>
      </c>
      <c r="L373" s="186">
        <f ca="1">[1]!cb_anal_convprice(B373,$B$2)</f>
        <v>16.97</v>
      </c>
      <c r="M373" s="186">
        <f t="shared" ca="1" si="20"/>
        <v>81.555686505598118</v>
      </c>
      <c r="N373" s="187">
        <f t="shared" ca="1" si="21"/>
        <v>38.444055635838168</v>
      </c>
      <c r="O373" s="187">
        <f t="array" aca="1" ref="O373" ca="1">_xlfn.IFNA(RTD("wdf.rtq",,B373,"LastPrice","Yield_To_Maturity"),[1]!cb_anal_ytm(B373,$C$2))</f>
        <v>1.5308000000000002</v>
      </c>
      <c r="P373" s="187">
        <f ca="1">[1]!cb_anal_straightbondvalue(B373,$B$2)</f>
        <v>102.30880000000001</v>
      </c>
      <c r="Q373" s="187">
        <f t="shared" ca="1" si="22"/>
        <v>10.360985565269075</v>
      </c>
      <c r="R373" s="187" t="str">
        <f ca="1">[1]!b_rate_latestcredit(B373)</f>
        <v>AA</v>
      </c>
      <c r="S373" s="187">
        <f ca="1">[1]!cb_info_outstandingbalance(B373,$B$2)</f>
        <v>6.8269929999999999</v>
      </c>
      <c r="T373" s="187">
        <f ca="1">[1]!cb_info_issueamount(B373,100000000)</f>
        <v>11.5</v>
      </c>
      <c r="U373" s="187">
        <f t="shared" ca="1" si="23"/>
        <v>59.365156521739131</v>
      </c>
      <c r="V373" s="240">
        <f ca="1">IF([1]!cb_anal_ldiluterate(B373,$B$2)=100,"-",[1]!cb_anal_ldiluterate(B373,$B$2))</f>
        <v>4.7717068556383202</v>
      </c>
      <c r="W373" s="188" t="str">
        <f ca="1">[1]!cb_info_listeddate(B373)</f>
        <v>2019-10-21</v>
      </c>
      <c r="X373" s="188" t="str">
        <f ca="1">[1]!cb_info_carrydate(B373)</f>
        <v>2019-09-23</v>
      </c>
      <c r="Y373" s="186" t="str">
        <f ca="1">[1]!cb_clause_conversion_2_swapsharestartdate(B373)</f>
        <v>2020-03-27</v>
      </c>
      <c r="Z373" s="186" t="str">
        <f ca="1">[1]!cb_clause_putoption_conditionalputbackstartenddate(B373)</f>
        <v>2023-09-23</v>
      </c>
      <c r="AA373" s="240">
        <f ca="1">[1]!cb_info_maturitycallprice(B373)</f>
        <v>115</v>
      </c>
      <c r="AB373" s="240">
        <f ca="1">IF(ISNUMBER([1]!cb_info_conditionalputprice(B373)),[1]!cb_info_conditionalputprice(B373),"-")</f>
        <v>0</v>
      </c>
      <c r="AC373" s="240">
        <f ca="1">[1]!cb_info_interest(B373)</f>
        <v>0.4</v>
      </c>
      <c r="AD373" s="262" t="str">
        <f ca="1">IFERROR(couponlist([1]!cb_clause_interest(B373,"4")),"-")</f>
        <v>0.4%，0.6%，1.0%，1.5%，1.8%，2.0%</v>
      </c>
      <c r="AE373" s="189"/>
      <c r="AF373" s="189"/>
      <c r="AG373" s="189"/>
      <c r="AH373" s="189"/>
      <c r="AI373" s="189"/>
      <c r="AJ373" s="189"/>
      <c r="AK373" s="189"/>
      <c r="AL373" s="189"/>
      <c r="AM373" s="189"/>
      <c r="AN373" s="189"/>
      <c r="AO373" s="189"/>
      <c r="AP373" s="189"/>
      <c r="AQ373" s="189"/>
    </row>
    <row r="374" spans="1:43" s="130" customFormat="1" x14ac:dyDescent="0.35">
      <c r="A374" s="121" t="s">
        <v>0</v>
      </c>
      <c r="B374" s="121" t="s">
        <v>423</v>
      </c>
      <c r="C374" s="121" t="s">
        <v>424</v>
      </c>
      <c r="D374" s="236" t="str">
        <f ca="1">IF([1]!s_info_industry_sw(B374,1)=0,"-",[1]!s_info_industry_sw(B374,1))</f>
        <v>传媒</v>
      </c>
      <c r="E374" s="122" t="str">
        <f ca="1">[1]!cb_info_underlyingcode(B374)</f>
        <v>600831.SH</v>
      </c>
      <c r="F374" s="124">
        <f ca="1">RTD("wdf.rtq",,B374,"LastPrice","Dirty_Price")</f>
        <v>226.13000000000002</v>
      </c>
      <c r="G374" s="124">
        <f ca="1">RTD("wdf.rtq",,E374,"LastPrice")</f>
        <v>5.86</v>
      </c>
      <c r="H374" s="226">
        <f ca="1">RTD("wdf.rtq",,B374,"PctChg","RT_Price")/100</f>
        <v>8.0000000000000004E-4</v>
      </c>
      <c r="I374" s="226">
        <f ca="1">RTD("wdf.rtq",,E374,"PctChg")/100</f>
        <v>6.9000000000000008E-3</v>
      </c>
      <c r="J374" s="125">
        <f ca="1">_xlfn.IFNA([1]!b_anal_ptmyear(B374,$B$2),"未发行或发行失败")</f>
        <v>2.8</v>
      </c>
      <c r="K374" s="125">
        <f ca="1">RTD("wdf.rtq",,B374,"Amount","Dirty_Price")/100000000</f>
        <v>0.20813856</v>
      </c>
      <c r="L374" s="125">
        <f ca="1">[1]!cb_anal_convprice(B374,$B$2)</f>
        <v>6.87</v>
      </c>
      <c r="M374" s="125">
        <f t="shared" ca="1" si="20"/>
        <v>85.298398835516736</v>
      </c>
      <c r="N374" s="126">
        <f t="shared" ca="1" si="21"/>
        <v>165.10462457337889</v>
      </c>
      <c r="O374" s="126">
        <f t="array" aca="1" ref="O374" ca="1">_xlfn.IFNA(RTD("wdf.rtq",,B374,"LastPrice","Yield_To_Maturity"),[1]!cb_anal_ytm(B374,$C$2))</f>
        <v>-22.618600000000001</v>
      </c>
      <c r="P374" s="126">
        <f ca="1">[1]!cb_anal_straightbondvalue(B374,$B$2)</f>
        <v>100.8407</v>
      </c>
      <c r="Q374" s="126">
        <f t="shared" ca="1" si="22"/>
        <v>124.24477418343986</v>
      </c>
      <c r="R374" s="126" t="str">
        <f ca="1">[1]!b_rate_latestcredit(B374)</f>
        <v>AA</v>
      </c>
      <c r="S374" s="126">
        <f ca="1">[1]!cb_info_outstandingbalance(B374,$B$2)</f>
        <v>0.7087</v>
      </c>
      <c r="T374" s="126">
        <f ca="1">[1]!cb_info_issueamount(B374,100000000)</f>
        <v>8</v>
      </c>
      <c r="U374" s="126">
        <f t="shared" ca="1" si="23"/>
        <v>8.8587500000000006</v>
      </c>
      <c r="V374" s="230">
        <f ca="1">IF([1]!cb_anal_ldiluterate(B374,$B$2)=100,"-",[1]!cb_anal_ldiluterate(B374,$B$2))</f>
        <v>1.4315280546054787</v>
      </c>
      <c r="W374" s="127" t="str">
        <f ca="1">[1]!cb_info_listeddate(B374)</f>
        <v>2018-07-24</v>
      </c>
      <c r="X374" s="127" t="str">
        <f ca="1">[1]!cb_info_carrydate(B374)</f>
        <v>2018-06-27</v>
      </c>
      <c r="Y374" s="125" t="str">
        <f ca="1">[1]!cb_clause_conversion_2_swapsharestartdate(B374)</f>
        <v>2019-01-03</v>
      </c>
      <c r="Z374" s="125" t="str">
        <f ca="1">[1]!cb_clause_putoption_conditionalputbackstartenddate(B374)</f>
        <v>2022-06-27</v>
      </c>
      <c r="AA374" s="230">
        <f ca="1">[1]!cb_info_maturitycallprice(B374)</f>
        <v>108</v>
      </c>
      <c r="AB374" s="230">
        <f ca="1">IF(ISNUMBER([1]!cb_info_conditionalputprice(B374)),[1]!cb_info_conditionalputprice(B374),"-")</f>
        <v>0</v>
      </c>
      <c r="AC374" s="230">
        <f ca="1">[1]!cb_info_interest(B374)</f>
        <v>0.4</v>
      </c>
      <c r="AD374" s="263" t="str">
        <f ca="1">IFERROR(couponlist([1]!cb_clause_interest(B374,"4")),"-")</f>
        <v>0.40%，0.60%，1.00%，1.50%，1.80%，2.00%</v>
      </c>
      <c r="AE374" s="129"/>
      <c r="AF374" s="129"/>
      <c r="AG374" s="129"/>
      <c r="AH374" s="129"/>
      <c r="AI374" s="129"/>
      <c r="AJ374" s="129"/>
      <c r="AK374" s="129"/>
      <c r="AL374" s="129"/>
      <c r="AM374" s="129"/>
      <c r="AN374" s="129"/>
      <c r="AO374" s="129"/>
      <c r="AP374" s="129"/>
      <c r="AQ374" s="129"/>
    </row>
    <row r="375" spans="1:43" s="191" customFormat="1" x14ac:dyDescent="0.35">
      <c r="A375" s="182" t="s">
        <v>0</v>
      </c>
      <c r="B375" s="182" t="s">
        <v>356</v>
      </c>
      <c r="C375" s="182" t="s">
        <v>357</v>
      </c>
      <c r="D375" s="235" t="str">
        <f ca="1">IF([1]!s_info_industry_sw(B375,1)=0,"-",[1]!s_info_industry_sw(B375,1))</f>
        <v>传媒</v>
      </c>
      <c r="E375" s="183" t="str">
        <f ca="1">[1]!cb_info_underlyingcode(B375)</f>
        <v>600996.SH</v>
      </c>
      <c r="F375" s="185">
        <f ca="1">RTD("wdf.rtq",,B375,"LastPrice","Dirty_Price")</f>
        <v>105.52000000000001</v>
      </c>
      <c r="G375" s="185">
        <f ca="1">RTD("wdf.rtq",,E375,"LastPrice")</f>
        <v>4.95</v>
      </c>
      <c r="H375" s="225">
        <f ca="1">RTD("wdf.rtq",,B375,"PctChg","RT_Price")/100</f>
        <v>5.4000000000000003E-3</v>
      </c>
      <c r="I375" s="225">
        <f ca="1">RTD("wdf.rtq",,E375,"PctChg")/100</f>
        <v>2.2700000000000001E-2</v>
      </c>
      <c r="J375" s="186">
        <f ca="1">_xlfn.IFNA([1]!b_anal_ptmyear(B375,$B$2),"未发行或发行失败")</f>
        <v>3.4876712328767123</v>
      </c>
      <c r="K375" s="186">
        <f ca="1">RTD("wdf.rtq",,B375,"Amount","Dirty_Price")/100000000</f>
        <v>0.17694772</v>
      </c>
      <c r="L375" s="186">
        <f ca="1">[1]!cb_anal_convprice(B375,$B$2)</f>
        <v>7.94</v>
      </c>
      <c r="M375" s="186">
        <f t="shared" ca="1" si="20"/>
        <v>62.342569269521405</v>
      </c>
      <c r="N375" s="187">
        <f t="shared" ca="1" si="21"/>
        <v>69.258343434343487</v>
      </c>
      <c r="O375" s="187">
        <f t="array" aca="1" ref="O375" ca="1">_xlfn.IFNA(RTD("wdf.rtq",,B375,"LastPrice","Yield_To_Maturity"),[1]!cb_anal_ytm(B375,$C$2))</f>
        <v>3.2516000000000003</v>
      </c>
      <c r="P375" s="187">
        <f ca="1">[1]!cb_anal_straightbondvalue(B375,$B$2)</f>
        <v>105.1611</v>
      </c>
      <c r="Q375" s="187">
        <f t="shared" ca="1" si="22"/>
        <v>0.34128589373828788</v>
      </c>
      <c r="R375" s="187" t="str">
        <f ca="1">[1]!b_rate_latestcredit(B375)</f>
        <v>AA+</v>
      </c>
      <c r="S375" s="187">
        <f ca="1">[1]!cb_info_outstandingbalance(B375,$B$2)</f>
        <v>15.265599999999999</v>
      </c>
      <c r="T375" s="187">
        <f ca="1">[1]!cb_info_issueamount(B375,100000000)</f>
        <v>16</v>
      </c>
      <c r="U375" s="187">
        <f t="shared" ca="1" si="23"/>
        <v>95.41</v>
      </c>
      <c r="V375" s="240">
        <f ca="1">IF([1]!cb_anal_ldiluterate(B375,$B$2)=100,"-",[1]!cb_anal_ldiluterate(B375,$B$2))</f>
        <v>15.455591528031661</v>
      </c>
      <c r="W375" s="188" t="str">
        <f ca="1">[1]!cb_info_listeddate(B375)</f>
        <v>2019-03-29</v>
      </c>
      <c r="X375" s="188" t="str">
        <f ca="1">[1]!cb_info_carrydate(B375)</f>
        <v>2019-03-05</v>
      </c>
      <c r="Y375" s="186" t="str">
        <f ca="1">[1]!cb_clause_conversion_2_swapsharestartdate(B375)</f>
        <v>2019-09-11</v>
      </c>
      <c r="Z375" s="186" t="str">
        <f ca="1">[1]!cb_clause_putoption_conditionalputbackstartenddate(B375)</f>
        <v>2023-03-05</v>
      </c>
      <c r="AA375" s="240">
        <f ca="1">[1]!cb_info_maturitycallprice(B375)</f>
        <v>113</v>
      </c>
      <c r="AB375" s="240">
        <f ca="1">IF(ISNUMBER([1]!cb_info_conditionalputprice(B375)),[1]!cb_info_conditionalputprice(B375),"-")</f>
        <v>0</v>
      </c>
      <c r="AC375" s="240">
        <f ca="1">[1]!cb_info_interest(B375)</f>
        <v>0.5</v>
      </c>
      <c r="AD375" s="262" t="str">
        <f ca="1">IFERROR(couponlist([1]!cb_clause_interest(B375,"4")),"-")</f>
        <v>0.5%，0.8%，1.7%，2.0%，2.2%</v>
      </c>
      <c r="AE375" s="189"/>
      <c r="AF375" s="189"/>
      <c r="AG375" s="189"/>
      <c r="AH375" s="189"/>
      <c r="AI375" s="189"/>
      <c r="AJ375" s="189"/>
      <c r="AK375" s="189"/>
      <c r="AL375" s="189"/>
      <c r="AM375" s="189"/>
      <c r="AN375" s="189"/>
      <c r="AO375" s="189"/>
      <c r="AP375" s="189"/>
      <c r="AQ375" s="189"/>
    </row>
    <row r="376" spans="1:43" s="130" customFormat="1" x14ac:dyDescent="0.35">
      <c r="A376" s="121" t="s">
        <v>5</v>
      </c>
      <c r="B376" s="121" t="s">
        <v>421</v>
      </c>
      <c r="C376" s="121" t="s">
        <v>422</v>
      </c>
      <c r="D376" s="236" t="str">
        <f ca="1">IF([1]!s_info_industry_sw(B376,1)=0,"-",[1]!s_info_industry_sw(B376,1))</f>
        <v>传媒</v>
      </c>
      <c r="E376" s="122" t="str">
        <f ca="1">[1]!cb_info_underlyingcode(B376)</f>
        <v>000665.SZ</v>
      </c>
      <c r="F376" s="124">
        <f ca="1">RTD("wdf.rtq",,B376,"LastPrice","Dirty_Price")</f>
        <v>104.95</v>
      </c>
      <c r="G376" s="124">
        <f ca="1">RTD("wdf.rtq",,E376,"LastPrice")</f>
        <v>3.85</v>
      </c>
      <c r="H376" s="226">
        <f ca="1">RTD("wdf.rtq",,B376,"PctChg","RT_Price")/100</f>
        <v>4.4000000000000003E-3</v>
      </c>
      <c r="I376" s="226">
        <f ca="1">RTD("wdf.rtq",,E376,"PctChg")/100</f>
        <v>1.0500000000000001E-2</v>
      </c>
      <c r="J376" s="125">
        <f ca="1">_xlfn.IFNA([1]!b_anal_ptmyear(B376,$B$2),"未发行或发行失败")</f>
        <v>2.8027397260273972</v>
      </c>
      <c r="K376" s="125">
        <f ca="1">RTD("wdf.rtq",,B376,"Amount","Dirty_Price")/100000000</f>
        <v>2.045698E-2</v>
      </c>
      <c r="L376" s="125">
        <f ca="1">[1]!cb_anal_convprice(B376,$B$2)</f>
        <v>5.58</v>
      </c>
      <c r="M376" s="125">
        <f t="shared" ca="1" si="20"/>
        <v>68.996415770609318</v>
      </c>
      <c r="N376" s="126">
        <f t="shared" ca="1" si="21"/>
        <v>52.10935064935066</v>
      </c>
      <c r="O376" s="126">
        <f t="array" aca="1" ref="O376" ca="1">_xlfn.IFNA(RTD("wdf.rtq",,B376,"LastPrice","Yield_To_Maturity"),[1]!cb_anal_ytm(B376,$C$2))</f>
        <v>2.1520999999999999</v>
      </c>
      <c r="P376" s="126">
        <f ca="1">[1]!cb_anal_straightbondvalue(B376,$B$2)</f>
        <v>102.0361</v>
      </c>
      <c r="Q376" s="126">
        <f t="shared" ca="1" si="22"/>
        <v>2.8557539929495448</v>
      </c>
      <c r="R376" s="126" t="str">
        <f ca="1">[1]!b_rate_latestcredit(B376)</f>
        <v>AA+</v>
      </c>
      <c r="S376" s="126">
        <f ca="1">[1]!cb_info_outstandingbalance(B376,$B$2)</f>
        <v>12.184366000000001</v>
      </c>
      <c r="T376" s="126">
        <f ca="1">[1]!cb_info_issueamount(B376,100000000)</f>
        <v>17.335920000000002</v>
      </c>
      <c r="U376" s="126">
        <f t="shared" ca="1" si="23"/>
        <v>70.283930705725453</v>
      </c>
      <c r="V376" s="230">
        <f ca="1">IF([1]!cb_anal_ldiluterate(B376,$B$2)=100,"-",[1]!cb_anal_ldiluterate(B376,$B$2))</f>
        <v>18.193650205360367</v>
      </c>
      <c r="W376" s="127" t="str">
        <f ca="1">[1]!cb_info_listeddate(B376)</f>
        <v>2018-08-01</v>
      </c>
      <c r="X376" s="127" t="str">
        <f ca="1">[1]!cb_info_carrydate(B376)</f>
        <v>2018-06-28</v>
      </c>
      <c r="Y376" s="125" t="str">
        <f ca="1">[1]!cb_clause_conversion_2_swapsharestartdate(B376)</f>
        <v>2019-01-04</v>
      </c>
      <c r="Z376" s="125" t="str">
        <f ca="1">[1]!cb_clause_putoption_conditionalputbackstartenddate(B376)</f>
        <v>2022-06-28</v>
      </c>
      <c r="AA376" s="230">
        <f ca="1">[1]!cb_info_maturitycallprice(B376)</f>
        <v>108</v>
      </c>
      <c r="AB376" s="230">
        <f ca="1">IF(ISNUMBER([1]!cb_info_conditionalputprice(B376)),[1]!cb_info_conditionalputprice(B376),"-")</f>
        <v>0</v>
      </c>
      <c r="AC376" s="230">
        <f ca="1">[1]!cb_info_interest(B376)</f>
        <v>0.5</v>
      </c>
      <c r="AD376" s="263" t="str">
        <f ca="1">IFERROR(couponlist([1]!cb_clause_interest(B376,"4")),"-")</f>
        <v>0.5%，0.8%，1.0%，1.5%，1.8%，2.0%</v>
      </c>
      <c r="AE376" s="129"/>
      <c r="AF376" s="129"/>
      <c r="AG376" s="129"/>
      <c r="AH376" s="129"/>
      <c r="AI376" s="129"/>
      <c r="AJ376" s="129"/>
      <c r="AK376" s="129"/>
      <c r="AL376" s="129"/>
      <c r="AM376" s="129"/>
      <c r="AN376" s="129"/>
      <c r="AO376" s="129"/>
      <c r="AP376" s="129"/>
      <c r="AQ376" s="129"/>
    </row>
    <row r="377" spans="1:43" s="191" customFormat="1" x14ac:dyDescent="0.35">
      <c r="A377" s="182" t="s">
        <v>0</v>
      </c>
      <c r="B377" s="182" t="s">
        <v>453</v>
      </c>
      <c r="C377" s="182" t="s">
        <v>454</v>
      </c>
      <c r="D377" s="235" t="str">
        <f ca="1">IF([1]!s_info_industry_sw(B377,1)=0,"-",[1]!s_info_industry_sw(B377,1))</f>
        <v>传媒</v>
      </c>
      <c r="E377" s="183" t="str">
        <f ca="1">[1]!cb_info_underlyingcode(B377)</f>
        <v>601929.SH</v>
      </c>
      <c r="F377" s="185">
        <f ca="1">RTD("wdf.rtq",,B377,"LastPrice","Dirty_Price")</f>
        <v>101.7</v>
      </c>
      <c r="G377" s="185">
        <f ca="1">RTD("wdf.rtq",,E377,"LastPrice")</f>
        <v>1.95</v>
      </c>
      <c r="H377" s="225">
        <f ca="1">RTD("wdf.rtq",,B377,"PctChg","RT_Price")/100</f>
        <v>2.5000000000000001E-3</v>
      </c>
      <c r="I377" s="225">
        <f ca="1">RTD("wdf.rtq",,E377,"PctChg")/100</f>
        <v>1.5600000000000001E-2</v>
      </c>
      <c r="J377" s="186">
        <f ca="1">_xlfn.IFNA([1]!b_anal_ptmyear(B377,$B$2),"未发行或发行失败")</f>
        <v>2.3013698630136985</v>
      </c>
      <c r="K377" s="186">
        <f ca="1">RTD("wdf.rtq",,B377,"Amount","Dirty_Price")/100000000</f>
        <v>0.22673085000000001</v>
      </c>
      <c r="L377" s="186">
        <f ca="1">[1]!cb_anal_convprice(B377,$B$2)</f>
        <v>2.95</v>
      </c>
      <c r="M377" s="186">
        <f t="shared" ca="1" si="20"/>
        <v>66.101694915254228</v>
      </c>
      <c r="N377" s="187">
        <f t="shared" ca="1" si="21"/>
        <v>53.853846153846177</v>
      </c>
      <c r="O377" s="187">
        <f t="array" aca="1" ref="O377" ca="1">_xlfn.IFNA(RTD("wdf.rtq",,B377,"LastPrice","Yield_To_Maturity"),[1]!cb_anal_ytm(B377,$C$2))</f>
        <v>3.0273000000000003</v>
      </c>
      <c r="P377" s="187">
        <f ca="1">[1]!cb_anal_straightbondvalue(B377,$B$2)</f>
        <v>101.56440000000001</v>
      </c>
      <c r="Q377" s="187">
        <f t="shared" ca="1" si="22"/>
        <v>0.13351134846460866</v>
      </c>
      <c r="R377" s="187" t="str">
        <f ca="1">[1]!b_rate_latestcredit(B377)</f>
        <v>AA+</v>
      </c>
      <c r="S377" s="187">
        <f ca="1">[1]!cb_info_outstandingbalance(B377,$B$2)</f>
        <v>15.59033</v>
      </c>
      <c r="T377" s="187">
        <f ca="1">[1]!cb_info_issueamount(B377,100000000)</f>
        <v>15.6</v>
      </c>
      <c r="U377" s="187">
        <f t="shared" ca="1" si="23"/>
        <v>99.93801282051281</v>
      </c>
      <c r="V377" s="240">
        <f ca="1">IF([1]!cb_anal_ldiluterate(B377,$B$2)=100,"-",[1]!cb_anal_ldiluterate(B377,$B$2))</f>
        <v>14.520687627013279</v>
      </c>
      <c r="W377" s="188" t="str">
        <f ca="1">[1]!cb_info_listeddate(B377)</f>
        <v>2018-01-15</v>
      </c>
      <c r="X377" s="188" t="str">
        <f ca="1">[1]!cb_info_carrydate(B377)</f>
        <v>2017-12-27</v>
      </c>
      <c r="Y377" s="186" t="str">
        <f ca="1">[1]!cb_clause_conversion_2_swapsharestartdate(B377)</f>
        <v>2018-07-02</v>
      </c>
      <c r="Z377" s="186" t="str">
        <f ca="1">[1]!cb_clause_putoption_conditionalputbackstartenddate(B377)</f>
        <v>2021-12-27</v>
      </c>
      <c r="AA377" s="240">
        <f ca="1">[1]!cb_info_maturitycallprice(B377)</f>
        <v>106</v>
      </c>
      <c r="AB377" s="240">
        <f ca="1">IF(ISNUMBER([1]!cb_info_conditionalputprice(B377)),[1]!cb_info_conditionalputprice(B377),"-")</f>
        <v>0</v>
      </c>
      <c r="AC377" s="240">
        <f ca="1">[1]!cb_info_interest(B377)</f>
        <v>0.3</v>
      </c>
      <c r="AD377" s="262" t="str">
        <f ca="1">IFERROR(couponlist([1]!cb_clause_interest(B377,"4")),"-")</f>
        <v>0.3%，0.5%，1.0%，1.3%，1.5%，1.8%</v>
      </c>
      <c r="AE377" s="189"/>
      <c r="AF377" s="189"/>
      <c r="AG377" s="189"/>
      <c r="AH377" s="189"/>
      <c r="AI377" s="189"/>
      <c r="AJ377" s="189"/>
      <c r="AK377" s="189"/>
      <c r="AL377" s="189"/>
      <c r="AM377" s="189"/>
      <c r="AN377" s="189"/>
      <c r="AO377" s="189"/>
      <c r="AP377" s="189"/>
      <c r="AQ377" s="189"/>
    </row>
    <row r="378" spans="1:43" s="130" customFormat="1" x14ac:dyDescent="0.35">
      <c r="A378" s="121" t="s">
        <v>0</v>
      </c>
      <c r="B378" s="121" t="s">
        <v>274</v>
      </c>
      <c r="C378" s="121" t="s">
        <v>275</v>
      </c>
      <c r="D378" s="236" t="str">
        <f ca="1">IF([1]!s_info_industry_sw(B378,1)=0,"-",[1]!s_info_industry_sw(B378,1))</f>
        <v>采掘</v>
      </c>
      <c r="E378" s="122" t="str">
        <f ca="1">[1]!cb_info_underlyingcode(B378)</f>
        <v>603113.SH</v>
      </c>
      <c r="F378" s="124">
        <f ca="1">RTD("wdf.rtq",,B378,"LastPrice","Dirty_Price")</f>
        <v>214.10000000000002</v>
      </c>
      <c r="G378" s="124">
        <f ca="1">RTD("wdf.rtq",,E378,"LastPrice")</f>
        <v>20.68</v>
      </c>
      <c r="H378" s="226">
        <f ca="1">RTD("wdf.rtq",,B378,"PctChg","RT_Price")/100</f>
        <v>-4.2000000000000006E-3</v>
      </c>
      <c r="I378" s="226">
        <f ca="1">RTD("wdf.rtq",,E378,"PctChg")/100</f>
        <v>3.4000000000000002E-3</v>
      </c>
      <c r="J378" s="125">
        <f ca="1">_xlfn.IFNA([1]!b_anal_ptmyear(B378,$B$2),"未发行或发行失败")</f>
        <v>4.0986301369863014</v>
      </c>
      <c r="K378" s="125">
        <f ca="1">RTD("wdf.rtq",,B378,"Amount","Dirty_Price")/100000000</f>
        <v>1.3004405800000001</v>
      </c>
      <c r="L378" s="125">
        <f ca="1">[1]!cb_anal_convprice(B378,$B$2)</f>
        <v>10.43</v>
      </c>
      <c r="M378" s="125">
        <f t="shared" ca="1" si="20"/>
        <v>198.27420901246404</v>
      </c>
      <c r="N378" s="126">
        <f t="shared" ca="1" si="21"/>
        <v>7.9817698259187893</v>
      </c>
      <c r="O378" s="126">
        <f t="array" aca="1" ref="O378" ca="1">_xlfn.IFNA(RTD("wdf.rtq",,B378,"LastPrice","Yield_To_Maturity"),[1]!cb_anal_ytm(B378,$C$2))</f>
        <v>-14.327400000000001</v>
      </c>
      <c r="P378" s="126">
        <f ca="1">[1]!cb_anal_straightbondvalue(B378,$B$2)</f>
        <v>97.724599999999995</v>
      </c>
      <c r="Q378" s="126">
        <f t="shared" ca="1" si="22"/>
        <v>119.08506148912358</v>
      </c>
      <c r="R378" s="126" t="str">
        <f ca="1">[1]!b_rate_latestcredit(B378)</f>
        <v>AA</v>
      </c>
      <c r="S378" s="126">
        <f ca="1">[1]!cb_info_outstandingbalance(B378,$B$2)</f>
        <v>10.178210999999999</v>
      </c>
      <c r="T378" s="126">
        <f ca="1">[1]!cb_info_issueamount(B378,100000000)</f>
        <v>15</v>
      </c>
      <c r="U378" s="126">
        <f t="shared" ca="1" si="23"/>
        <v>67.854739999999993</v>
      </c>
      <c r="V378" s="230">
        <f ca="1">IF([1]!cb_anal_ldiluterate(B378,$B$2)=100,"-",[1]!cb_anal_ldiluterate(B378,$B$2))</f>
        <v>11.965763958200212</v>
      </c>
      <c r="W378" s="127" t="str">
        <f ca="1">[1]!cb_info_listeddate(B378)</f>
        <v>2019-11-07</v>
      </c>
      <c r="X378" s="127" t="str">
        <f ca="1">[1]!cb_info_carrydate(B378)</f>
        <v>2019-10-14</v>
      </c>
      <c r="Y378" s="125" t="str">
        <f ca="1">[1]!cb_clause_conversion_2_swapsharestartdate(B378)</f>
        <v>2020-04-20</v>
      </c>
      <c r="Z378" s="125" t="str">
        <f ca="1">[1]!cb_clause_putoption_conditionalputbackstartenddate(B378)</f>
        <v>2023-10-14</v>
      </c>
      <c r="AA378" s="230">
        <f ca="1">[1]!cb_info_maturitycallprice(B378)</f>
        <v>110</v>
      </c>
      <c r="AB378" s="230">
        <f ca="1">IF(ISNUMBER([1]!cb_info_conditionalputprice(B378)),[1]!cb_info_conditionalputprice(B378),"-")</f>
        <v>0</v>
      </c>
      <c r="AC378" s="230">
        <f ca="1">[1]!cb_info_interest(B378)</f>
        <v>0.4</v>
      </c>
      <c r="AD378" s="263" t="str">
        <f ca="1">IFERROR(couponlist([1]!cb_clause_interest(B378,"4")),"-")</f>
        <v>0.40%，0.60%，1.00%，1.50%，1.80%，2.00%</v>
      </c>
      <c r="AE378" s="129"/>
      <c r="AF378" s="129"/>
      <c r="AG378" s="129"/>
      <c r="AH378" s="129"/>
      <c r="AI378" s="129"/>
      <c r="AJ378" s="129"/>
      <c r="AK378" s="129"/>
      <c r="AL378" s="129"/>
      <c r="AM378" s="129"/>
      <c r="AN378" s="129"/>
      <c r="AO378" s="129"/>
      <c r="AP378" s="129"/>
      <c r="AQ378" s="129"/>
    </row>
    <row r="379" spans="1:43" s="191" customFormat="1" x14ac:dyDescent="0.35">
      <c r="A379" s="182" t="s">
        <v>0</v>
      </c>
      <c r="B379" s="182" t="s">
        <v>573</v>
      </c>
      <c r="C379" s="182" t="s">
        <v>574</v>
      </c>
      <c r="D379" s="235" t="str">
        <f ca="1">IF([1]!s_info_industry_sw(B379,1)=0,"-",[1]!s_info_industry_sw(B379,1))</f>
        <v>采掘</v>
      </c>
      <c r="E379" s="183" t="str">
        <f ca="1">[1]!cb_info_underlyingcode(B379)</f>
        <v>603979.SH</v>
      </c>
      <c r="F379" s="185">
        <f ca="1">RTD("wdf.rtq",,B379,"LastPrice","Dirty_Price")</f>
        <v>190.92000000000002</v>
      </c>
      <c r="G379" s="185">
        <f ca="1">RTD("wdf.rtq",,E379,"LastPrice")</f>
        <v>22.400000000000002</v>
      </c>
      <c r="H379" s="225">
        <f ca="1">RTD("wdf.rtq",,B379,"PctChg","RT_Price")/100</f>
        <v>4.8000000000000004E-3</v>
      </c>
      <c r="I379" s="225">
        <f ca="1">RTD("wdf.rtq",,E379,"PctChg")/100</f>
        <v>1.1699999999999999E-2</v>
      </c>
      <c r="J379" s="186">
        <f ca="1">_xlfn.IFNA([1]!b_anal_ptmyear(B379,$B$2),"未发行或发行失败")</f>
        <v>5.2904109589041095</v>
      </c>
      <c r="K379" s="186">
        <f ca="1">RTD("wdf.rtq",,B379,"Amount","Dirty_Price")/100000000</f>
        <v>0.36201179999999999</v>
      </c>
      <c r="L379" s="186">
        <f ca="1">[1]!cb_anal_convprice(B379,$B$2)</f>
        <v>12.65</v>
      </c>
      <c r="M379" s="186">
        <f t="shared" ca="1" si="20"/>
        <v>177.07509881422925</v>
      </c>
      <c r="N379" s="187">
        <f t="shared" ca="1" si="21"/>
        <v>7.8186607142857127</v>
      </c>
      <c r="O379" s="187">
        <f t="array" aca="1" ref="O379" ca="1">_xlfn.IFNA(RTD("wdf.rtq",,B379,"LastPrice","Yield_To_Maturity"),[1]!cb_anal_ytm(B379,$C$2))</f>
        <v>-8.9438000000000013</v>
      </c>
      <c r="P379" s="187">
        <f ca="1">[1]!cb_anal_straightbondvalue(B379,$B$2)</f>
        <v>93.953400000000002</v>
      </c>
      <c r="Q379" s="187">
        <f t="shared" ca="1" si="22"/>
        <v>103.20712182848092</v>
      </c>
      <c r="R379" s="187" t="str">
        <f ca="1">[1]!b_rate_latestcredit(B379)</f>
        <v>AA</v>
      </c>
      <c r="S379" s="187">
        <f ca="1">[1]!cb_info_outstandingbalance(B379,$B$2)</f>
        <v>8.9838880000000003</v>
      </c>
      <c r="T379" s="187">
        <f ca="1">[1]!cb_info_issueamount(B379,100000000)</f>
        <v>10</v>
      </c>
      <c r="U379" s="187">
        <f t="shared" ca="1" si="23"/>
        <v>89.838880000000003</v>
      </c>
      <c r="V379" s="240">
        <f ca="1">IF([1]!cb_anal_ldiluterate(B379,$B$2)=100,"-",[1]!cb_anal_ldiluterate(B379,$B$2))</f>
        <v>11.788289203927331</v>
      </c>
      <c r="W379" s="188" t="str">
        <f ca="1">[1]!cb_info_listeddate(B379)</f>
        <v>2021-01-14</v>
      </c>
      <c r="X379" s="188" t="str">
        <f ca="1">[1]!cb_info_carrydate(B379)</f>
        <v>2020-12-23</v>
      </c>
      <c r="Y379" s="186" t="str">
        <f ca="1">[1]!cb_clause_conversion_2_swapsharestartdate(B379)</f>
        <v>2021-06-29</v>
      </c>
      <c r="Z379" s="186" t="str">
        <f ca="1">[1]!cb_clause_putoption_conditionalputbackstartenddate(B379)</f>
        <v>2024-12-23</v>
      </c>
      <c r="AA379" s="240">
        <f ca="1">[1]!cb_info_maturitycallprice(B379)</f>
        <v>112</v>
      </c>
      <c r="AB379" s="240">
        <f ca="1">IF(ISNUMBER([1]!cb_info_conditionalputprice(B379)),[1]!cb_info_conditionalputprice(B379),"-")</f>
        <v>0</v>
      </c>
      <c r="AC379" s="240">
        <f ca="1">[1]!cb_info_interest(B379)</f>
        <v>0.4</v>
      </c>
      <c r="AD379" s="262" t="str">
        <f ca="1">IFERROR(couponlist([1]!cb_clause_interest(B379,"4")),"-")</f>
        <v>0.40%，0.60%，1.00%，1.50%，1.80%，2.00%</v>
      </c>
      <c r="AE379" s="189"/>
      <c r="AF379" s="189"/>
      <c r="AG379" s="189"/>
      <c r="AH379" s="189"/>
      <c r="AI379" s="189"/>
      <c r="AJ379" s="189"/>
      <c r="AK379" s="189"/>
      <c r="AL379" s="189"/>
      <c r="AM379" s="189"/>
      <c r="AN379" s="189"/>
      <c r="AO379" s="189"/>
      <c r="AP379" s="189"/>
      <c r="AQ379" s="189"/>
    </row>
    <row r="380" spans="1:43" s="130" customFormat="1" x14ac:dyDescent="0.35">
      <c r="A380" s="121" t="s">
        <v>5</v>
      </c>
      <c r="B380" s="121" t="s">
        <v>636</v>
      </c>
      <c r="C380" s="121" t="s">
        <v>637</v>
      </c>
      <c r="D380" s="236" t="str">
        <f ca="1">IF([1]!s_info_industry_sw(B380,1)=0,"-",[1]!s_info_industry_sw(B380,1))</f>
        <v>采掘</v>
      </c>
      <c r="E380" s="122" t="str">
        <f ca="1">[1]!cb_info_underlyingcode(B380)</f>
        <v>000552.SZ</v>
      </c>
      <c r="F380" s="124">
        <f ca="1">RTD("wdf.rtq",,B380,"LastPrice","Dirty_Price")</f>
        <v>129.1</v>
      </c>
      <c r="G380" s="124">
        <f ca="1">RTD("wdf.rtq",,E380,"LastPrice")</f>
        <v>3.61</v>
      </c>
      <c r="H380" s="226">
        <f ca="1">RTD("wdf.rtq",,B380,"PctChg","RT_Price")/100</f>
        <v>2.0900000000000002E-2</v>
      </c>
      <c r="I380" s="226">
        <f ca="1">RTD("wdf.rtq",,E380,"PctChg")/100</f>
        <v>1.6900000000000002E-2</v>
      </c>
      <c r="J380" s="125">
        <f ca="1">_xlfn.IFNA([1]!b_anal_ptmyear(B380,$B$2),"未发行或发行失败")</f>
        <v>5.2547945205479456</v>
      </c>
      <c r="K380" s="125">
        <f ca="1">RTD("wdf.rtq",,B380,"Amount","Dirty_Price")/100000000</f>
        <v>0.77334117999999996</v>
      </c>
      <c r="L380" s="125">
        <f ca="1">[1]!cb_anal_convprice(B380,$B$2)</f>
        <v>3.23</v>
      </c>
      <c r="M380" s="125">
        <f t="shared" ca="1" si="20"/>
        <v>111.76470588235294</v>
      </c>
      <c r="N380" s="126">
        <f t="shared" ca="1" si="21"/>
        <v>15.510526315789477</v>
      </c>
      <c r="O380" s="126">
        <f t="array" aca="1" ref="O380" ca="1">_xlfn.IFNA(RTD("wdf.rtq",,B380,"LastPrice","Yield_To_Maturity"),[1]!cb_anal_ytm(B380,$C$2))</f>
        <v>-2.1703000000000001</v>
      </c>
      <c r="P380" s="126">
        <f ca="1">[1]!cb_anal_straightbondvalue(B380,$B$2)</f>
        <v>95.656000000000006</v>
      </c>
      <c r="Q380" s="126">
        <f t="shared" ca="1" si="22"/>
        <v>34.962783306849531</v>
      </c>
      <c r="R380" s="126" t="str">
        <f ca="1">[1]!b_rate_latestcredit(B380)</f>
        <v>AA+</v>
      </c>
      <c r="S380" s="126">
        <f ca="1">[1]!cb_info_outstandingbalance(B380,$B$2)</f>
        <v>27.993458</v>
      </c>
      <c r="T380" s="126">
        <f ca="1">[1]!cb_info_issueamount(B380,100000000)</f>
        <v>28</v>
      </c>
      <c r="U380" s="126">
        <f t="shared" ca="1" si="23"/>
        <v>99.97663571428572</v>
      </c>
      <c r="V380" s="230">
        <f ca="1">IF([1]!cb_anal_ldiluterate(B380,$B$2)=100,"-",[1]!cb_anal_ldiluterate(B380,$B$2))</f>
        <v>27.51090283479493</v>
      </c>
      <c r="W380" s="127" t="str">
        <f ca="1">[1]!cb_info_listeddate(B380)</f>
        <v>2021-01-22</v>
      </c>
      <c r="X380" s="127" t="str">
        <f ca="1">[1]!cb_info_carrydate(B380)</f>
        <v>2020-12-10</v>
      </c>
      <c r="Y380" s="125" t="str">
        <f ca="1">[1]!cb_clause_conversion_2_swapsharestartdate(B380)</f>
        <v>2021-06-16</v>
      </c>
      <c r="Z380" s="125" t="str">
        <f ca="1">[1]!cb_clause_putoption_conditionalputbackstartenddate(B380)</f>
        <v>2024-12-10</v>
      </c>
      <c r="AA380" s="230">
        <f ca="1">[1]!cb_info_maturitycallprice(B380)</f>
        <v>110</v>
      </c>
      <c r="AB380" s="230">
        <f ca="1">IF(ISNUMBER([1]!cb_info_conditionalputprice(B380)),[1]!cb_info_conditionalputprice(B380),"-")</f>
        <v>0</v>
      </c>
      <c r="AC380" s="230">
        <f ca="1">[1]!cb_info_interest(B380)</f>
        <v>0.4</v>
      </c>
      <c r="AD380" s="263" t="str">
        <f ca="1">IFERROR(couponlist([1]!cb_clause_interest(B380,"4")),"-")</f>
        <v>0.4%，0.6%，1.0%，1.5%，1.8%，2.0%</v>
      </c>
      <c r="AE380" s="129"/>
      <c r="AF380" s="129"/>
      <c r="AG380" s="129"/>
      <c r="AH380" s="129"/>
      <c r="AI380" s="129"/>
      <c r="AJ380" s="129"/>
      <c r="AK380" s="129"/>
      <c r="AL380" s="129"/>
      <c r="AM380" s="129"/>
      <c r="AN380" s="129"/>
      <c r="AO380" s="129"/>
      <c r="AP380" s="129"/>
      <c r="AQ380" s="129"/>
    </row>
    <row r="381" spans="1:43" s="191" customFormat="1" x14ac:dyDescent="0.35">
      <c r="A381" s="182" t="s">
        <v>5</v>
      </c>
      <c r="B381" s="182" t="s">
        <v>1285</v>
      </c>
      <c r="C381" s="182" t="s">
        <v>1286</v>
      </c>
      <c r="D381" s="235" t="str">
        <f ca="1">IF([1]!s_info_industry_sw(B381,1)=0,"-",[1]!s_info_industry_sw(B381,1))</f>
        <v>-</v>
      </c>
      <c r="E381" s="183" t="str">
        <f ca="1">[1]!cb_info_underlyingcode(B381)</f>
        <v>300118.SZ</v>
      </c>
      <c r="F381" s="185">
        <f ca="1">RTD("wdf.rtq",,B381,"LastPrice","Dirty_Price")</f>
        <v>0</v>
      </c>
      <c r="G381" s="185">
        <f ca="1">RTD("wdf.rtq",,E381,"LastPrice")</f>
        <v>22.38</v>
      </c>
      <c r="H381" s="225">
        <f ca="1">RTD("wdf.rtq",,B381,"PctChg","RT_Price")/100</f>
        <v>0</v>
      </c>
      <c r="I381" s="225">
        <f ca="1">RTD("wdf.rtq",,E381,"PctChg")/100</f>
        <v>-4.0000000000000002E-4</v>
      </c>
      <c r="J381" s="186">
        <f ca="1">_xlfn.IFNA([1]!b_anal_ptmyear(B381,$B$2),"未发行或发行失败")</f>
        <v>0</v>
      </c>
      <c r="K381" s="186">
        <f ca="1">RTD("wdf.rtq",,B381,"Amount","Dirty_Price")/100000000</f>
        <v>0</v>
      </c>
      <c r="L381" s="186">
        <f ca="1">[1]!cb_anal_convprice(B381,$B$2)</f>
        <v>28.01</v>
      </c>
      <c r="M381" s="186">
        <f t="shared" ca="1" si="20"/>
        <v>79.90003570153516</v>
      </c>
      <c r="N381" s="187" t="str">
        <f t="shared" si="21"/>
        <v>-</v>
      </c>
      <c r="O381" s="187">
        <f t="array" aca="1" ref="O381" ca="1">_xlfn.IFNA(RTD("wdf.rtq",,B381,"LastPrice","Yield_To_Maturity"),[1]!cb_anal_ytm(B381,$C$2))</f>
        <v>0</v>
      </c>
      <c r="P381" s="187">
        <f ca="1">[1]!cb_anal_straightbondvalue(B381,$B$2)</f>
        <v>0</v>
      </c>
      <c r="Q381" s="187" t="str">
        <f t="shared" ca="1" si="22"/>
        <v>-</v>
      </c>
      <c r="R381" s="187" t="str">
        <f ca="1">[1]!b_rate_latestcredit(B381)</f>
        <v>AA</v>
      </c>
      <c r="S381" s="187">
        <f ca="1">[1]!cb_info_outstandingbalance(B381,$B$2)</f>
        <v>0</v>
      </c>
      <c r="T381" s="187">
        <f ca="1">[1]!cb_info_issueamount(B381,100000000)</f>
        <v>33</v>
      </c>
      <c r="U381" s="187">
        <f t="shared" ca="1" si="23"/>
        <v>0</v>
      </c>
      <c r="V381" s="240">
        <f ca="1">IF([1]!cb_anal_ldiluterate(B381,$B$2)=100,"-",[1]!cb_anal_ldiluterate(B381,$B$2))</f>
        <v>11.581596584513477</v>
      </c>
      <c r="W381" s="188">
        <f ca="1">[1]!cb_info_listeddate(B381)</f>
        <v>0</v>
      </c>
      <c r="X381" s="188">
        <f ca="1">[1]!cb_info_carrydate(B381)</f>
        <v>0</v>
      </c>
      <c r="Y381" s="186" t="str">
        <f ca="1">[1]!cb_clause_conversion_2_swapsharestartdate(B381)</f>
        <v>2021-07-28</v>
      </c>
      <c r="Z381" s="186" t="str">
        <f ca="1">[1]!cb_clause_putoption_conditionalputbackstartenddate(B381)</f>
        <v>2025-01-22</v>
      </c>
      <c r="AA381" s="240">
        <f ca="1">[1]!cb_info_maturitycallprice(B381)</f>
        <v>120</v>
      </c>
      <c r="AB381" s="240">
        <f ca="1">IF(ISNUMBER([1]!cb_info_conditionalputprice(B381)),[1]!cb_info_conditionalputprice(B381),"-")</f>
        <v>0</v>
      </c>
      <c r="AC381" s="240">
        <f ca="1">[1]!cb_info_interest(B381)</f>
        <v>0.2</v>
      </c>
      <c r="AD381" s="262" t="str">
        <f ca="1">IFERROR(couponlist([1]!cb_clause_interest(B381,"4")),"-")</f>
        <v>0.2%，0.4%，0.8%，1.2%，1.5%，2.0%</v>
      </c>
      <c r="AE381" s="189"/>
      <c r="AF381" s="189"/>
      <c r="AG381" s="189"/>
      <c r="AH381" s="189"/>
      <c r="AI381" s="189"/>
      <c r="AJ381" s="189"/>
      <c r="AK381" s="189"/>
      <c r="AL381" s="189"/>
      <c r="AM381" s="189"/>
      <c r="AN381" s="189"/>
      <c r="AO381" s="189"/>
      <c r="AP381" s="189"/>
      <c r="AQ381" s="189"/>
    </row>
    <row r="382" spans="1:43" s="130" customFormat="1" x14ac:dyDescent="0.35">
      <c r="A382" s="121" t="s">
        <v>5</v>
      </c>
      <c r="B382" s="121" t="s">
        <v>648</v>
      </c>
      <c r="C382" s="121" t="s">
        <v>649</v>
      </c>
      <c r="D382" s="123"/>
      <c r="E382" s="122"/>
      <c r="F382" s="124"/>
      <c r="G382" s="124"/>
      <c r="H382" s="125"/>
      <c r="I382" s="125"/>
      <c r="J382" s="125"/>
      <c r="K382" s="226"/>
      <c r="L382" s="226"/>
      <c r="M382" s="126"/>
      <c r="N382" s="126"/>
      <c r="O382" s="126"/>
      <c r="P382" s="126"/>
      <c r="Q382" s="126"/>
      <c r="R382" s="126"/>
      <c r="S382" s="126"/>
      <c r="T382" s="129"/>
      <c r="U382" s="127"/>
      <c r="V382" s="230"/>
      <c r="W382" s="129"/>
      <c r="X382" s="125"/>
      <c r="Y382" s="125"/>
      <c r="Z382" s="230"/>
      <c r="AA382" s="230"/>
      <c r="AB382" s="263"/>
      <c r="AC382" s="230"/>
      <c r="AD382" s="129"/>
      <c r="AE382" s="129"/>
      <c r="AF382" s="129"/>
      <c r="AG382" s="129"/>
      <c r="AH382" s="129"/>
      <c r="AI382" s="129"/>
      <c r="AJ382" s="129"/>
      <c r="AK382" s="129"/>
      <c r="AL382" s="129"/>
      <c r="AM382" s="129"/>
      <c r="AN382" s="129"/>
    </row>
    <row r="383" spans="1:43" s="191" customFormat="1" x14ac:dyDescent="0.35">
      <c r="A383" s="182" t="s">
        <v>5</v>
      </c>
      <c r="B383" s="182" t="s">
        <v>650</v>
      </c>
      <c r="C383" s="182" t="s">
        <v>651</v>
      </c>
      <c r="D383" s="182"/>
      <c r="E383" s="183"/>
      <c r="F383" s="185"/>
      <c r="G383" s="185"/>
      <c r="H383" s="186"/>
      <c r="I383" s="186"/>
      <c r="J383" s="186"/>
      <c r="K383" s="225"/>
      <c r="L383" s="225"/>
      <c r="M383" s="187"/>
      <c r="N383" s="187"/>
      <c r="O383" s="187"/>
      <c r="P383" s="187"/>
      <c r="Q383" s="187"/>
      <c r="R383" s="187"/>
      <c r="S383" s="187"/>
      <c r="T383" s="189"/>
      <c r="U383" s="188"/>
      <c r="V383" s="240"/>
      <c r="W383" s="189"/>
      <c r="X383" s="186"/>
      <c r="Y383" s="186"/>
      <c r="Z383" s="240"/>
      <c r="AA383" s="240"/>
      <c r="AB383" s="262"/>
      <c r="AC383" s="240"/>
      <c r="AD383" s="189"/>
      <c r="AE383" s="189"/>
      <c r="AF383" s="189"/>
      <c r="AG383" s="189"/>
      <c r="AH383" s="189"/>
      <c r="AI383" s="189"/>
      <c r="AJ383" s="189"/>
      <c r="AK383" s="189"/>
      <c r="AL383" s="189"/>
      <c r="AM383" s="189"/>
      <c r="AN383" s="189"/>
    </row>
    <row r="384" spans="1:43" s="130" customFormat="1" x14ac:dyDescent="0.35">
      <c r="A384" s="121" t="s">
        <v>5</v>
      </c>
      <c r="B384" s="121" t="s">
        <v>652</v>
      </c>
      <c r="C384" s="121" t="s">
        <v>653</v>
      </c>
      <c r="D384" s="123"/>
      <c r="E384" s="122"/>
      <c r="F384" s="124"/>
      <c r="G384" s="124"/>
      <c r="H384" s="125"/>
      <c r="I384" s="125"/>
      <c r="J384" s="125"/>
      <c r="K384" s="226"/>
      <c r="L384" s="226"/>
      <c r="M384" s="126"/>
      <c r="N384" s="126"/>
      <c r="O384" s="126"/>
      <c r="P384" s="126"/>
      <c r="Q384" s="126"/>
      <c r="R384" s="126"/>
      <c r="S384" s="126"/>
      <c r="T384" s="129"/>
      <c r="U384" s="127"/>
      <c r="V384" s="230"/>
      <c r="W384" s="129"/>
      <c r="X384" s="125"/>
      <c r="Y384" s="125"/>
      <c r="Z384" s="230"/>
      <c r="AA384" s="230"/>
      <c r="AB384" s="263"/>
      <c r="AC384" s="230"/>
      <c r="AD384" s="129"/>
      <c r="AE384" s="129"/>
      <c r="AF384" s="129"/>
      <c r="AG384" s="129"/>
      <c r="AH384" s="129"/>
      <c r="AI384" s="129"/>
      <c r="AJ384" s="129"/>
      <c r="AK384" s="129"/>
      <c r="AL384" s="129"/>
      <c r="AM384" s="129"/>
      <c r="AN384" s="129"/>
    </row>
    <row r="385" spans="1:40" s="191" customFormat="1" x14ac:dyDescent="0.35">
      <c r="A385" s="182" t="s">
        <v>5</v>
      </c>
      <c r="B385" s="182" t="s">
        <v>654</v>
      </c>
      <c r="C385" s="182" t="s">
        <v>655</v>
      </c>
      <c r="D385" s="182"/>
      <c r="E385" s="183"/>
      <c r="F385" s="185"/>
      <c r="G385" s="185"/>
      <c r="H385" s="186"/>
      <c r="I385" s="186"/>
      <c r="J385" s="186"/>
      <c r="K385" s="225"/>
      <c r="L385" s="225"/>
      <c r="M385" s="187"/>
      <c r="N385" s="187"/>
      <c r="O385" s="187"/>
      <c r="P385" s="187"/>
      <c r="Q385" s="187"/>
      <c r="R385" s="187"/>
      <c r="S385" s="187"/>
      <c r="T385" s="189"/>
      <c r="U385" s="188"/>
      <c r="V385" s="240"/>
      <c r="W385" s="189"/>
      <c r="X385" s="186"/>
      <c r="Y385" s="186"/>
      <c r="Z385" s="240"/>
      <c r="AA385" s="240"/>
      <c r="AB385" s="262"/>
      <c r="AC385" s="240"/>
      <c r="AD385" s="189"/>
      <c r="AE385" s="189"/>
      <c r="AF385" s="189"/>
      <c r="AG385" s="189"/>
      <c r="AH385" s="189"/>
      <c r="AI385" s="189"/>
      <c r="AJ385" s="189"/>
      <c r="AK385" s="189"/>
      <c r="AL385" s="189"/>
      <c r="AM385" s="189"/>
      <c r="AN385" s="189"/>
    </row>
    <row r="386" spans="1:40" s="130" customFormat="1" x14ac:dyDescent="0.35">
      <c r="A386" s="121" t="s">
        <v>5</v>
      </c>
      <c r="B386" s="121" t="s">
        <v>656</v>
      </c>
      <c r="C386" s="121" t="s">
        <v>657</v>
      </c>
      <c r="D386" s="123"/>
      <c r="E386" s="122"/>
      <c r="F386" s="124"/>
      <c r="G386" s="124"/>
      <c r="H386" s="125"/>
      <c r="I386" s="125"/>
      <c r="J386" s="125"/>
      <c r="K386" s="226"/>
      <c r="L386" s="226"/>
      <c r="M386" s="126"/>
      <c r="N386" s="126"/>
      <c r="O386" s="126"/>
      <c r="P386" s="126"/>
      <c r="Q386" s="126"/>
      <c r="R386" s="126"/>
      <c r="S386" s="126"/>
      <c r="T386" s="129"/>
      <c r="U386" s="127"/>
      <c r="V386" s="230"/>
      <c r="W386" s="129"/>
      <c r="X386" s="125"/>
      <c r="Y386" s="125"/>
      <c r="Z386" s="230"/>
      <c r="AA386" s="230"/>
      <c r="AB386" s="263"/>
      <c r="AC386" s="230"/>
      <c r="AD386" s="129"/>
      <c r="AE386" s="129"/>
      <c r="AF386" s="129"/>
      <c r="AG386" s="129"/>
      <c r="AH386" s="129"/>
      <c r="AI386" s="129"/>
      <c r="AJ386" s="129"/>
      <c r="AK386" s="129"/>
      <c r="AL386" s="129"/>
      <c r="AM386" s="129"/>
      <c r="AN386" s="129"/>
    </row>
    <row r="387" spans="1:40" s="191" customFormat="1" x14ac:dyDescent="0.35">
      <c r="A387" s="182" t="s">
        <v>5</v>
      </c>
      <c r="B387" s="182" t="s">
        <v>658</v>
      </c>
      <c r="C387" s="182" t="s">
        <v>659</v>
      </c>
      <c r="D387" s="182"/>
      <c r="E387" s="183"/>
      <c r="F387" s="185"/>
      <c r="G387" s="185"/>
      <c r="H387" s="186"/>
      <c r="I387" s="186"/>
      <c r="J387" s="186"/>
      <c r="K387" s="225"/>
      <c r="L387" s="225"/>
      <c r="M387" s="187"/>
      <c r="N387" s="187"/>
      <c r="O387" s="187"/>
      <c r="P387" s="187"/>
      <c r="Q387" s="187"/>
      <c r="R387" s="187"/>
      <c r="S387" s="187"/>
      <c r="T387" s="189"/>
      <c r="U387" s="188"/>
      <c r="V387" s="240"/>
      <c r="W387" s="189"/>
      <c r="X387" s="186"/>
      <c r="Y387" s="186"/>
      <c r="Z387" s="240"/>
      <c r="AA387" s="240"/>
      <c r="AB387" s="262"/>
      <c r="AC387" s="240"/>
      <c r="AD387" s="189"/>
      <c r="AE387" s="189"/>
      <c r="AF387" s="189"/>
      <c r="AG387" s="189"/>
      <c r="AH387" s="189"/>
      <c r="AI387" s="189"/>
      <c r="AJ387" s="189"/>
      <c r="AK387" s="189"/>
      <c r="AL387" s="189"/>
      <c r="AM387" s="189"/>
      <c r="AN387" s="189"/>
    </row>
    <row r="388" spans="1:40" s="130" customFormat="1" x14ac:dyDescent="0.35">
      <c r="A388" s="121" t="s">
        <v>5</v>
      </c>
      <c r="B388" s="121" t="s">
        <v>834</v>
      </c>
      <c r="C388" s="121" t="s">
        <v>835</v>
      </c>
      <c r="D388" s="123"/>
      <c r="E388" s="122"/>
      <c r="F388" s="124"/>
      <c r="G388" s="124"/>
      <c r="H388" s="125"/>
      <c r="I388" s="125"/>
      <c r="J388" s="125"/>
      <c r="K388" s="226"/>
      <c r="L388" s="226"/>
      <c r="M388" s="126"/>
      <c r="N388" s="126"/>
      <c r="O388" s="126"/>
      <c r="P388" s="126"/>
      <c r="Q388" s="126"/>
      <c r="R388" s="126"/>
      <c r="S388" s="126"/>
      <c r="T388" s="129"/>
      <c r="U388" s="127"/>
      <c r="V388" s="230"/>
      <c r="W388" s="129"/>
      <c r="X388" s="125"/>
      <c r="Y388" s="125"/>
      <c r="Z388" s="230"/>
      <c r="AA388" s="230"/>
      <c r="AB388" s="263"/>
      <c r="AC388" s="230"/>
      <c r="AD388" s="129"/>
      <c r="AE388" s="129"/>
      <c r="AF388" s="129"/>
      <c r="AG388" s="129"/>
      <c r="AH388" s="129"/>
      <c r="AI388" s="129"/>
      <c r="AJ388" s="129"/>
      <c r="AK388" s="129"/>
      <c r="AL388" s="129"/>
      <c r="AM388" s="129"/>
      <c r="AN388" s="129"/>
    </row>
    <row r="389" spans="1:40" s="191" customFormat="1" x14ac:dyDescent="0.35">
      <c r="A389" s="182" t="s">
        <v>5</v>
      </c>
      <c r="B389" s="182" t="s">
        <v>933</v>
      </c>
      <c r="C389" s="182" t="s">
        <v>934</v>
      </c>
      <c r="D389" s="182"/>
      <c r="E389" s="183"/>
      <c r="F389" s="185"/>
      <c r="G389" s="185"/>
      <c r="H389" s="186"/>
      <c r="I389" s="186"/>
      <c r="J389" s="186"/>
      <c r="K389" s="225"/>
      <c r="L389" s="225"/>
      <c r="M389" s="187"/>
      <c r="N389" s="187"/>
      <c r="O389" s="187"/>
      <c r="P389" s="187"/>
      <c r="Q389" s="187"/>
      <c r="R389" s="187"/>
      <c r="S389" s="187"/>
      <c r="T389" s="189"/>
      <c r="U389" s="188"/>
      <c r="V389" s="240"/>
      <c r="W389" s="189"/>
      <c r="X389" s="186"/>
      <c r="Y389" s="186"/>
      <c r="Z389" s="240"/>
      <c r="AA389" s="240"/>
      <c r="AB389" s="262"/>
      <c r="AC389" s="240"/>
      <c r="AD389" s="189"/>
      <c r="AE389" s="189"/>
      <c r="AF389" s="189"/>
      <c r="AG389" s="189"/>
      <c r="AH389" s="189"/>
      <c r="AI389" s="189"/>
      <c r="AJ389" s="189"/>
      <c r="AK389" s="189"/>
      <c r="AL389" s="189"/>
      <c r="AM389" s="189"/>
      <c r="AN389" s="189"/>
    </row>
    <row r="390" spans="1:40" s="130" customFormat="1" x14ac:dyDescent="0.35">
      <c r="A390" s="121" t="s">
        <v>5</v>
      </c>
      <c r="B390" s="121" t="s">
        <v>459</v>
      </c>
      <c r="C390" s="121" t="s">
        <v>460</v>
      </c>
      <c r="D390" s="123"/>
      <c r="E390" s="122"/>
      <c r="F390" s="124"/>
      <c r="G390" s="124"/>
      <c r="H390" s="125"/>
      <c r="I390" s="125"/>
      <c r="J390" s="125"/>
      <c r="K390" s="226"/>
      <c r="L390" s="226"/>
      <c r="M390" s="126"/>
      <c r="N390" s="126"/>
      <c r="O390" s="126"/>
      <c r="P390" s="126"/>
      <c r="Q390" s="126"/>
      <c r="R390" s="126"/>
      <c r="S390" s="126"/>
      <c r="T390" s="129"/>
      <c r="U390" s="127"/>
      <c r="V390" s="230"/>
      <c r="W390" s="129"/>
      <c r="X390" s="125"/>
      <c r="Y390" s="125"/>
      <c r="Z390" s="230"/>
      <c r="AA390" s="230"/>
      <c r="AB390" s="263"/>
      <c r="AC390" s="230"/>
      <c r="AD390" s="129"/>
      <c r="AE390" s="129"/>
      <c r="AF390" s="129"/>
      <c r="AG390" s="129"/>
      <c r="AH390" s="129"/>
      <c r="AI390" s="129"/>
      <c r="AJ390" s="129"/>
      <c r="AK390" s="129"/>
      <c r="AL390" s="129"/>
      <c r="AM390" s="129"/>
      <c r="AN390" s="129"/>
    </row>
    <row r="391" spans="1:40" s="191" customFormat="1" x14ac:dyDescent="0.35">
      <c r="A391" s="182" t="s">
        <v>5</v>
      </c>
      <c r="B391" s="182" t="s">
        <v>390</v>
      </c>
      <c r="C391" s="182" t="s">
        <v>391</v>
      </c>
      <c r="D391" s="182"/>
      <c r="E391" s="183"/>
      <c r="F391" s="185"/>
      <c r="G391" s="185"/>
      <c r="H391" s="186"/>
      <c r="I391" s="186"/>
      <c r="J391" s="186"/>
      <c r="K391" s="225"/>
      <c r="L391" s="225"/>
      <c r="M391" s="187"/>
      <c r="N391" s="187"/>
      <c r="O391" s="187"/>
      <c r="P391" s="187"/>
      <c r="Q391" s="187"/>
      <c r="R391" s="187"/>
      <c r="S391" s="187"/>
      <c r="T391" s="189"/>
      <c r="U391" s="188"/>
      <c r="V391" s="240"/>
      <c r="W391" s="189"/>
      <c r="X391" s="186"/>
      <c r="Y391" s="186"/>
      <c r="Z391" s="240"/>
      <c r="AA391" s="240"/>
      <c r="AB391" s="262"/>
      <c r="AC391" s="240"/>
      <c r="AD391" s="189"/>
      <c r="AE391" s="189"/>
      <c r="AF391" s="189"/>
      <c r="AG391" s="189"/>
      <c r="AH391" s="189"/>
      <c r="AI391" s="189"/>
      <c r="AJ391" s="189"/>
      <c r="AK391" s="189"/>
      <c r="AL391" s="189"/>
      <c r="AM391" s="189"/>
      <c r="AN391" s="189"/>
    </row>
    <row r="392" spans="1:40" s="130" customFormat="1" x14ac:dyDescent="0.35">
      <c r="A392" s="121" t="s">
        <v>5</v>
      </c>
      <c r="B392" s="121" t="s">
        <v>372</v>
      </c>
      <c r="C392" s="121" t="s">
        <v>373</v>
      </c>
      <c r="D392" s="123"/>
      <c r="E392" s="122"/>
      <c r="F392" s="124"/>
      <c r="G392" s="124"/>
      <c r="H392" s="125"/>
      <c r="I392" s="125"/>
      <c r="J392" s="125"/>
      <c r="K392" s="226"/>
      <c r="L392" s="226"/>
      <c r="M392" s="126"/>
      <c r="N392" s="126"/>
      <c r="O392" s="126"/>
      <c r="P392" s="126"/>
      <c r="Q392" s="126"/>
      <c r="R392" s="126"/>
      <c r="S392" s="126"/>
      <c r="T392" s="129"/>
      <c r="U392" s="127"/>
      <c r="V392" s="230"/>
      <c r="W392" s="129"/>
      <c r="X392" s="125"/>
      <c r="Y392" s="125"/>
      <c r="Z392" s="230"/>
      <c r="AA392" s="230"/>
      <c r="AB392" s="263"/>
      <c r="AC392" s="230"/>
      <c r="AD392" s="129"/>
      <c r="AE392" s="129"/>
      <c r="AF392" s="129"/>
      <c r="AG392" s="129"/>
      <c r="AH392" s="129"/>
      <c r="AI392" s="129"/>
      <c r="AJ392" s="129"/>
      <c r="AK392" s="129"/>
      <c r="AL392" s="129"/>
      <c r="AM392" s="129"/>
      <c r="AN392" s="129"/>
    </row>
    <row r="393" spans="1:40" s="191" customFormat="1" x14ac:dyDescent="0.35">
      <c r="A393" s="182" t="s">
        <v>396</v>
      </c>
      <c r="B393" s="182" t="s">
        <v>531</v>
      </c>
      <c r="C393" s="182" t="s">
        <v>532</v>
      </c>
      <c r="D393" s="182"/>
      <c r="E393" s="183"/>
      <c r="F393" s="185"/>
      <c r="G393" s="185"/>
      <c r="H393" s="186"/>
      <c r="I393" s="186"/>
      <c r="J393" s="186"/>
      <c r="K393" s="225"/>
      <c r="L393" s="225"/>
      <c r="M393" s="187"/>
      <c r="N393" s="187"/>
      <c r="O393" s="187"/>
      <c r="P393" s="187"/>
      <c r="Q393" s="187"/>
      <c r="R393" s="187"/>
      <c r="S393" s="187"/>
      <c r="T393" s="189"/>
      <c r="U393" s="188"/>
      <c r="V393" s="240"/>
      <c r="W393" s="189"/>
      <c r="X393" s="186"/>
      <c r="Y393" s="186"/>
      <c r="Z393" s="240"/>
      <c r="AA393" s="240"/>
      <c r="AB393" s="262"/>
      <c r="AC393" s="240"/>
      <c r="AD393" s="189"/>
      <c r="AE393" s="189"/>
      <c r="AF393" s="189"/>
      <c r="AG393" s="189"/>
      <c r="AH393" s="189"/>
      <c r="AI393" s="189"/>
      <c r="AJ393" s="189"/>
      <c r="AK393" s="189"/>
      <c r="AL393" s="189"/>
      <c r="AM393" s="189"/>
      <c r="AN393" s="189"/>
    </row>
    <row r="394" spans="1:40" s="130" customFormat="1" x14ac:dyDescent="0.35">
      <c r="A394" s="121" t="s">
        <v>396</v>
      </c>
      <c r="B394" s="121" t="s">
        <v>533</v>
      </c>
      <c r="C394" s="121" t="s">
        <v>534</v>
      </c>
      <c r="D394" s="123"/>
      <c r="E394" s="122"/>
      <c r="F394" s="124"/>
      <c r="G394" s="124"/>
      <c r="H394" s="125"/>
      <c r="I394" s="125"/>
      <c r="J394" s="125"/>
      <c r="K394" s="226"/>
      <c r="L394" s="226"/>
      <c r="M394" s="126"/>
      <c r="N394" s="126"/>
      <c r="O394" s="126"/>
      <c r="P394" s="126"/>
      <c r="Q394" s="126"/>
      <c r="R394" s="126"/>
      <c r="S394" s="126"/>
      <c r="T394" s="129"/>
      <c r="U394" s="127"/>
      <c r="V394" s="230"/>
      <c r="W394" s="129"/>
      <c r="X394" s="125"/>
      <c r="Y394" s="125"/>
      <c r="Z394" s="230"/>
      <c r="AA394" s="230"/>
      <c r="AB394" s="263"/>
      <c r="AC394" s="230"/>
      <c r="AD394" s="129"/>
      <c r="AE394" s="129"/>
      <c r="AF394" s="129"/>
      <c r="AG394" s="129"/>
      <c r="AH394" s="129"/>
      <c r="AI394" s="129"/>
      <c r="AJ394" s="129"/>
      <c r="AK394" s="129"/>
      <c r="AL394" s="129"/>
      <c r="AM394" s="129"/>
      <c r="AN394" s="129"/>
    </row>
    <row r="395" spans="1:40" s="191" customFormat="1" x14ac:dyDescent="0.35">
      <c r="A395" s="182" t="s">
        <v>396</v>
      </c>
      <c r="B395" s="182" t="s">
        <v>517</v>
      </c>
      <c r="C395" s="182" t="s">
        <v>518</v>
      </c>
      <c r="D395" s="182"/>
      <c r="E395" s="183"/>
      <c r="F395" s="185"/>
      <c r="G395" s="185"/>
      <c r="H395" s="186"/>
      <c r="I395" s="186"/>
      <c r="J395" s="186"/>
      <c r="K395" s="225"/>
      <c r="L395" s="225"/>
      <c r="M395" s="187"/>
      <c r="N395" s="187"/>
      <c r="O395" s="187"/>
      <c r="P395" s="187"/>
      <c r="Q395" s="187"/>
      <c r="R395" s="187"/>
      <c r="S395" s="187"/>
      <c r="T395" s="189"/>
      <c r="U395" s="188"/>
      <c r="V395" s="240"/>
      <c r="W395" s="189"/>
      <c r="X395" s="186"/>
      <c r="Y395" s="186"/>
      <c r="Z395" s="240"/>
      <c r="AA395" s="240"/>
      <c r="AB395" s="262"/>
      <c r="AC395" s="240"/>
      <c r="AD395" s="189"/>
      <c r="AE395" s="189"/>
      <c r="AF395" s="189"/>
      <c r="AG395" s="189"/>
      <c r="AH395" s="189"/>
      <c r="AI395" s="189"/>
      <c r="AJ395" s="189"/>
      <c r="AK395" s="189"/>
      <c r="AL395" s="189"/>
      <c r="AM395" s="189"/>
      <c r="AN395" s="189"/>
    </row>
    <row r="396" spans="1:40" s="130" customFormat="1" x14ac:dyDescent="0.35">
      <c r="A396" s="121" t="s">
        <v>396</v>
      </c>
      <c r="B396" s="121" t="s">
        <v>513</v>
      </c>
      <c r="C396" s="121" t="s">
        <v>514</v>
      </c>
      <c r="D396" s="123"/>
      <c r="E396" s="122"/>
      <c r="F396" s="124"/>
      <c r="G396" s="124"/>
      <c r="H396" s="125"/>
      <c r="I396" s="125"/>
      <c r="J396" s="125"/>
      <c r="K396" s="226"/>
      <c r="L396" s="226"/>
      <c r="M396" s="126"/>
      <c r="N396" s="126"/>
      <c r="O396" s="126"/>
      <c r="P396" s="126"/>
      <c r="Q396" s="126"/>
      <c r="R396" s="126"/>
      <c r="S396" s="126"/>
      <c r="T396" s="129"/>
      <c r="U396" s="127"/>
      <c r="V396" s="230"/>
      <c r="W396" s="129"/>
      <c r="X396" s="125"/>
      <c r="Y396" s="125"/>
      <c r="Z396" s="230"/>
      <c r="AA396" s="230"/>
      <c r="AB396" s="263"/>
      <c r="AC396" s="230"/>
      <c r="AD396" s="129"/>
      <c r="AE396" s="129"/>
      <c r="AF396" s="129"/>
      <c r="AG396" s="129"/>
      <c r="AH396" s="129"/>
      <c r="AI396" s="129"/>
      <c r="AJ396" s="129"/>
      <c r="AK396" s="129"/>
      <c r="AL396" s="129"/>
      <c r="AM396" s="129"/>
      <c r="AN396" s="129"/>
    </row>
    <row r="397" spans="1:40" s="191" customFormat="1" x14ac:dyDescent="0.35">
      <c r="A397" s="182" t="s">
        <v>396</v>
      </c>
      <c r="B397" s="182" t="s">
        <v>509</v>
      </c>
      <c r="C397" s="182" t="s">
        <v>510</v>
      </c>
      <c r="D397" s="182"/>
      <c r="E397" s="183"/>
      <c r="F397" s="185"/>
      <c r="G397" s="185"/>
      <c r="H397" s="186"/>
      <c r="I397" s="186"/>
      <c r="J397" s="186"/>
      <c r="K397" s="225"/>
      <c r="L397" s="225"/>
      <c r="M397" s="187"/>
      <c r="N397" s="187"/>
      <c r="O397" s="187"/>
      <c r="P397" s="187"/>
      <c r="Q397" s="187"/>
      <c r="R397" s="187"/>
      <c r="S397" s="187"/>
      <c r="T397" s="189"/>
      <c r="U397" s="188"/>
      <c r="V397" s="240"/>
      <c r="W397" s="189"/>
      <c r="X397" s="186"/>
      <c r="Y397" s="186"/>
      <c r="Z397" s="240"/>
      <c r="AA397" s="240"/>
      <c r="AB397" s="262"/>
      <c r="AC397" s="240"/>
      <c r="AD397" s="189"/>
      <c r="AE397" s="189"/>
      <c r="AF397" s="189"/>
      <c r="AG397" s="189"/>
      <c r="AH397" s="189"/>
      <c r="AI397" s="189"/>
      <c r="AJ397" s="189"/>
      <c r="AK397" s="189"/>
      <c r="AL397" s="189"/>
      <c r="AM397" s="189"/>
      <c r="AN397" s="189"/>
    </row>
    <row r="398" spans="1:40" s="130" customFormat="1" x14ac:dyDescent="0.35">
      <c r="A398" s="121" t="s">
        <v>396</v>
      </c>
      <c r="B398" s="121" t="s">
        <v>495</v>
      </c>
      <c r="C398" s="121" t="s">
        <v>496</v>
      </c>
      <c r="D398" s="123"/>
      <c r="E398" s="122"/>
      <c r="F398" s="124"/>
      <c r="G398" s="124"/>
      <c r="H398" s="125"/>
      <c r="I398" s="125"/>
      <c r="J398" s="125"/>
      <c r="K398" s="226"/>
      <c r="L398" s="226"/>
      <c r="M398" s="126"/>
      <c r="N398" s="126"/>
      <c r="O398" s="126"/>
      <c r="P398" s="126"/>
      <c r="Q398" s="126"/>
      <c r="R398" s="126"/>
      <c r="S398" s="126"/>
      <c r="T398" s="129"/>
      <c r="U398" s="127"/>
      <c r="V398" s="230"/>
      <c r="W398" s="129"/>
      <c r="X398" s="125"/>
      <c r="Y398" s="125"/>
      <c r="Z398" s="230"/>
      <c r="AA398" s="230"/>
      <c r="AB398" s="263"/>
      <c r="AC398" s="230"/>
      <c r="AD398" s="129"/>
      <c r="AE398" s="129"/>
      <c r="AF398" s="129"/>
      <c r="AG398" s="129"/>
      <c r="AH398" s="129"/>
      <c r="AI398" s="129"/>
      <c r="AJ398" s="129"/>
      <c r="AK398" s="129"/>
      <c r="AL398" s="129"/>
      <c r="AM398" s="129"/>
      <c r="AN398" s="129"/>
    </row>
    <row r="399" spans="1:40" s="191" customFormat="1" x14ac:dyDescent="0.35">
      <c r="A399" s="182" t="s">
        <v>396</v>
      </c>
      <c r="B399" s="182" t="s">
        <v>501</v>
      </c>
      <c r="C399" s="182" t="s">
        <v>502</v>
      </c>
      <c r="D399" s="182"/>
      <c r="E399" s="183"/>
      <c r="F399" s="185"/>
      <c r="G399" s="185"/>
      <c r="H399" s="186"/>
      <c r="I399" s="186"/>
      <c r="J399" s="186"/>
      <c r="K399" s="225"/>
      <c r="L399" s="225"/>
      <c r="M399" s="187"/>
      <c r="N399" s="187"/>
      <c r="O399" s="187"/>
      <c r="P399" s="187"/>
      <c r="Q399" s="187"/>
      <c r="R399" s="187"/>
      <c r="S399" s="187"/>
      <c r="T399" s="189"/>
      <c r="U399" s="188"/>
      <c r="V399" s="240"/>
      <c r="W399" s="189"/>
      <c r="X399" s="186"/>
      <c r="Y399" s="186"/>
      <c r="Z399" s="240"/>
      <c r="AA399" s="240"/>
      <c r="AB399" s="262"/>
      <c r="AC399" s="240"/>
      <c r="AD399" s="189"/>
      <c r="AE399" s="189"/>
      <c r="AF399" s="189"/>
      <c r="AG399" s="189"/>
      <c r="AH399" s="189"/>
      <c r="AI399" s="189"/>
      <c r="AJ399" s="189"/>
      <c r="AK399" s="189"/>
      <c r="AL399" s="189"/>
      <c r="AM399" s="189"/>
      <c r="AN399" s="189"/>
    </row>
    <row r="400" spans="1:40" s="130" customFormat="1" x14ac:dyDescent="0.35">
      <c r="A400" s="121" t="s">
        <v>396</v>
      </c>
      <c r="B400" s="121" t="s">
        <v>523</v>
      </c>
      <c r="C400" s="121" t="s">
        <v>524</v>
      </c>
      <c r="D400" s="123"/>
      <c r="E400" s="122"/>
      <c r="F400" s="124"/>
      <c r="G400" s="124"/>
      <c r="H400" s="125"/>
      <c r="I400" s="125"/>
      <c r="J400" s="125"/>
      <c r="K400" s="226"/>
      <c r="L400" s="226"/>
      <c r="M400" s="126"/>
      <c r="N400" s="126"/>
      <c r="O400" s="126"/>
      <c r="P400" s="126"/>
      <c r="Q400" s="126"/>
      <c r="R400" s="126"/>
      <c r="S400" s="126"/>
      <c r="T400" s="129"/>
      <c r="U400" s="127"/>
      <c r="V400" s="230"/>
      <c r="W400" s="129"/>
      <c r="X400" s="125"/>
      <c r="Y400" s="125"/>
      <c r="Z400" s="230"/>
      <c r="AA400" s="230"/>
      <c r="AB400" s="263"/>
      <c r="AC400" s="230"/>
      <c r="AD400" s="129"/>
      <c r="AE400" s="129"/>
      <c r="AF400" s="129"/>
      <c r="AG400" s="129"/>
      <c r="AH400" s="129"/>
      <c r="AI400" s="129"/>
      <c r="AJ400" s="129"/>
      <c r="AK400" s="129"/>
      <c r="AL400" s="129"/>
      <c r="AM400" s="129"/>
      <c r="AN400" s="129"/>
    </row>
    <row r="401" spans="1:40" s="191" customFormat="1" x14ac:dyDescent="0.35">
      <c r="A401" s="182" t="s">
        <v>396</v>
      </c>
      <c r="B401" s="182" t="s">
        <v>521</v>
      </c>
      <c r="C401" s="182" t="s">
        <v>522</v>
      </c>
      <c r="D401" s="182"/>
      <c r="E401" s="183"/>
      <c r="F401" s="185"/>
      <c r="G401" s="185"/>
      <c r="H401" s="186"/>
      <c r="I401" s="186"/>
      <c r="J401" s="186"/>
      <c r="K401" s="225"/>
      <c r="L401" s="225"/>
      <c r="M401" s="187"/>
      <c r="N401" s="187"/>
      <c r="O401" s="187"/>
      <c r="P401" s="187"/>
      <c r="Q401" s="187"/>
      <c r="R401" s="187"/>
      <c r="S401" s="187"/>
      <c r="T401" s="189"/>
      <c r="U401" s="188"/>
      <c r="V401" s="240"/>
      <c r="W401" s="189"/>
      <c r="X401" s="186"/>
      <c r="Y401" s="186"/>
      <c r="Z401" s="240"/>
      <c r="AA401" s="240"/>
      <c r="AB401" s="262"/>
      <c r="AC401" s="240"/>
      <c r="AD401" s="189"/>
      <c r="AE401" s="189"/>
      <c r="AF401" s="189"/>
      <c r="AG401" s="189"/>
      <c r="AH401" s="189"/>
      <c r="AI401" s="189"/>
      <c r="AJ401" s="189"/>
      <c r="AK401" s="189"/>
      <c r="AL401" s="189"/>
      <c r="AM401" s="189"/>
      <c r="AN401" s="189"/>
    </row>
    <row r="402" spans="1:40" s="130" customFormat="1" x14ac:dyDescent="0.35">
      <c r="A402" s="121" t="s">
        <v>396</v>
      </c>
      <c r="B402" s="121" t="s">
        <v>435</v>
      </c>
      <c r="C402" s="121" t="s">
        <v>436</v>
      </c>
      <c r="D402" s="123"/>
      <c r="E402" s="122"/>
      <c r="F402" s="124"/>
      <c r="G402" s="124"/>
      <c r="H402" s="125"/>
      <c r="I402" s="125"/>
      <c r="J402" s="125"/>
      <c r="K402" s="226"/>
      <c r="L402" s="226"/>
      <c r="M402" s="126"/>
      <c r="N402" s="126"/>
      <c r="O402" s="126"/>
      <c r="P402" s="126"/>
      <c r="Q402" s="126"/>
      <c r="R402" s="126"/>
      <c r="S402" s="126"/>
      <c r="T402" s="129"/>
      <c r="U402" s="127"/>
      <c r="V402" s="230"/>
      <c r="W402" s="129"/>
      <c r="X402" s="125"/>
      <c r="Y402" s="125"/>
      <c r="Z402" s="230"/>
      <c r="AA402" s="230"/>
      <c r="AB402" s="263"/>
      <c r="AC402" s="230"/>
      <c r="AD402" s="129"/>
      <c r="AE402" s="129"/>
      <c r="AF402" s="129"/>
      <c r="AG402" s="129"/>
      <c r="AH402" s="129"/>
      <c r="AI402" s="129"/>
      <c r="AJ402" s="129"/>
      <c r="AK402" s="129"/>
      <c r="AL402" s="129"/>
      <c r="AM402" s="129"/>
      <c r="AN402" s="129"/>
    </row>
    <row r="403" spans="1:40" s="191" customFormat="1" x14ac:dyDescent="0.35">
      <c r="A403" s="182" t="s">
        <v>396</v>
      </c>
      <c r="B403" s="182" t="s">
        <v>397</v>
      </c>
      <c r="C403" s="182" t="s">
        <v>398</v>
      </c>
      <c r="D403" s="182"/>
      <c r="E403" s="183"/>
      <c r="F403" s="185"/>
      <c r="G403" s="185"/>
      <c r="H403" s="186"/>
      <c r="I403" s="186"/>
      <c r="J403" s="186"/>
      <c r="K403" s="225"/>
      <c r="L403" s="225"/>
      <c r="M403" s="187"/>
      <c r="N403" s="187"/>
      <c r="O403" s="187"/>
      <c r="P403" s="187"/>
      <c r="Q403" s="187"/>
      <c r="R403" s="187"/>
      <c r="S403" s="187"/>
      <c r="T403" s="189"/>
      <c r="U403" s="188"/>
      <c r="V403" s="240"/>
      <c r="W403" s="189"/>
      <c r="X403" s="186"/>
      <c r="Y403" s="186"/>
      <c r="Z403" s="240"/>
      <c r="AA403" s="240"/>
      <c r="AB403" s="262"/>
      <c r="AC403" s="240"/>
      <c r="AD403" s="189"/>
      <c r="AE403" s="189"/>
      <c r="AF403" s="189"/>
      <c r="AG403" s="189"/>
      <c r="AH403" s="189"/>
      <c r="AI403" s="189"/>
      <c r="AJ403" s="189"/>
      <c r="AK403" s="189"/>
      <c r="AL403" s="189"/>
      <c r="AM403" s="189"/>
      <c r="AN403" s="189"/>
    </row>
    <row r="404" spans="1:40" s="130" customFormat="1" x14ac:dyDescent="0.35">
      <c r="A404" s="121" t="s">
        <v>396</v>
      </c>
      <c r="B404" s="121" t="s">
        <v>505</v>
      </c>
      <c r="C404" s="121" t="s">
        <v>506</v>
      </c>
      <c r="D404" s="123"/>
      <c r="E404" s="122"/>
      <c r="F404" s="124"/>
      <c r="G404" s="124"/>
      <c r="H404" s="125"/>
      <c r="I404" s="125"/>
      <c r="J404" s="125"/>
      <c r="K404" s="226"/>
      <c r="L404" s="226"/>
      <c r="M404" s="126"/>
      <c r="N404" s="126"/>
      <c r="O404" s="126"/>
      <c r="P404" s="126"/>
      <c r="Q404" s="126"/>
      <c r="R404" s="126"/>
      <c r="S404" s="126"/>
      <c r="T404" s="129"/>
      <c r="U404" s="127"/>
      <c r="V404" s="230"/>
      <c r="W404" s="129"/>
      <c r="X404" s="125"/>
      <c r="Y404" s="125"/>
      <c r="Z404" s="230"/>
      <c r="AA404" s="230"/>
      <c r="AB404" s="263"/>
      <c r="AC404" s="230"/>
      <c r="AD404" s="129"/>
      <c r="AE404" s="129"/>
      <c r="AF404" s="129"/>
      <c r="AG404" s="129"/>
      <c r="AH404" s="129"/>
      <c r="AI404" s="129"/>
      <c r="AJ404" s="129"/>
      <c r="AK404" s="129"/>
      <c r="AL404" s="129"/>
      <c r="AM404" s="129"/>
      <c r="AN404" s="129"/>
    </row>
    <row r="405" spans="1:40" s="191" customFormat="1" x14ac:dyDescent="0.35">
      <c r="A405" s="182"/>
      <c r="B405" s="182"/>
      <c r="C405" s="182"/>
      <c r="D405" s="182"/>
      <c r="E405" s="183"/>
      <c r="F405" s="185"/>
      <c r="G405" s="185"/>
      <c r="H405" s="186"/>
      <c r="I405" s="186"/>
      <c r="J405" s="186"/>
      <c r="K405" s="225"/>
      <c r="L405" s="225"/>
      <c r="M405" s="187"/>
      <c r="N405" s="187"/>
      <c r="O405" s="187"/>
      <c r="P405" s="187"/>
      <c r="Q405" s="187"/>
      <c r="R405" s="187"/>
      <c r="S405" s="187"/>
      <c r="T405" s="189"/>
      <c r="U405" s="188"/>
      <c r="V405" s="240"/>
      <c r="W405" s="189"/>
      <c r="X405" s="186"/>
      <c r="Y405" s="186"/>
      <c r="Z405" s="240"/>
      <c r="AA405" s="240"/>
      <c r="AB405" s="262"/>
      <c r="AC405" s="240"/>
      <c r="AD405" s="189"/>
      <c r="AE405" s="189"/>
      <c r="AF405" s="189"/>
      <c r="AG405" s="189"/>
      <c r="AH405" s="189"/>
      <c r="AI405" s="189"/>
      <c r="AJ405" s="189"/>
      <c r="AK405" s="189"/>
      <c r="AL405" s="189"/>
      <c r="AM405" s="189"/>
      <c r="AN405" s="189"/>
    </row>
    <row r="406" spans="1:40" s="130" customFormat="1" x14ac:dyDescent="0.35">
      <c r="A406" s="121"/>
      <c r="B406" s="121"/>
      <c r="C406" s="121"/>
      <c r="D406" s="123"/>
      <c r="E406" s="122"/>
      <c r="F406" s="124"/>
      <c r="G406" s="124"/>
      <c r="H406" s="186"/>
      <c r="I406" s="125"/>
      <c r="J406" s="125"/>
      <c r="K406" s="226"/>
      <c r="L406" s="226"/>
      <c r="M406" s="126"/>
      <c r="N406" s="126"/>
      <c r="O406" s="126"/>
      <c r="P406" s="126"/>
      <c r="Q406" s="126"/>
      <c r="R406" s="126"/>
      <c r="S406" s="126"/>
      <c r="T406" s="129"/>
      <c r="U406" s="127"/>
      <c r="V406" s="230"/>
      <c r="W406" s="129"/>
      <c r="X406" s="125"/>
      <c r="Y406" s="125"/>
      <c r="Z406" s="230"/>
      <c r="AA406" s="230"/>
      <c r="AB406" s="263"/>
      <c r="AC406" s="230"/>
      <c r="AD406" s="129"/>
      <c r="AE406" s="129"/>
      <c r="AF406" s="129"/>
      <c r="AG406" s="129"/>
      <c r="AH406" s="129"/>
      <c r="AI406" s="129"/>
      <c r="AJ406" s="129"/>
      <c r="AK406" s="129"/>
      <c r="AL406" s="129"/>
      <c r="AM406" s="129"/>
      <c r="AN406" s="129"/>
    </row>
    <row r="407" spans="1:40" s="191" customFormat="1" x14ac:dyDescent="0.35">
      <c r="A407" s="182"/>
      <c r="B407" s="182"/>
      <c r="C407" s="182"/>
      <c r="D407" s="182"/>
      <c r="E407" s="183"/>
      <c r="F407" s="185"/>
      <c r="G407" s="185"/>
      <c r="H407" s="186"/>
      <c r="I407" s="186"/>
      <c r="J407" s="186"/>
      <c r="K407" s="225"/>
      <c r="L407" s="225"/>
      <c r="M407" s="187"/>
      <c r="N407" s="187"/>
      <c r="O407" s="187"/>
      <c r="P407" s="187"/>
      <c r="Q407" s="187"/>
      <c r="R407" s="187"/>
      <c r="S407" s="187"/>
      <c r="T407" s="189"/>
      <c r="U407" s="188"/>
      <c r="V407" s="240"/>
      <c r="W407" s="189"/>
      <c r="X407" s="186"/>
      <c r="Y407" s="186"/>
      <c r="Z407" s="240"/>
      <c r="AA407" s="240"/>
      <c r="AB407" s="262"/>
      <c r="AC407" s="240"/>
      <c r="AD407" s="189"/>
      <c r="AE407" s="189"/>
      <c r="AF407" s="189"/>
      <c r="AG407" s="189"/>
      <c r="AH407" s="189"/>
      <c r="AI407" s="189"/>
      <c r="AJ407" s="189"/>
      <c r="AK407" s="189"/>
      <c r="AL407" s="189"/>
      <c r="AM407" s="189"/>
      <c r="AN407" s="189"/>
    </row>
    <row r="408" spans="1:40" s="130" customFormat="1" x14ac:dyDescent="0.35">
      <c r="A408" s="121"/>
      <c r="B408" s="121"/>
      <c r="C408" s="121"/>
      <c r="D408" s="123"/>
      <c r="E408" s="122"/>
      <c r="F408" s="124"/>
      <c r="G408" s="124"/>
      <c r="H408" s="186"/>
      <c r="I408" s="125"/>
      <c r="J408" s="125"/>
      <c r="K408" s="226"/>
      <c r="L408" s="226"/>
      <c r="M408" s="126"/>
      <c r="N408" s="126"/>
      <c r="O408" s="126"/>
      <c r="P408" s="126"/>
      <c r="Q408" s="126"/>
      <c r="R408" s="126"/>
      <c r="S408" s="126"/>
      <c r="T408" s="129"/>
      <c r="U408" s="127"/>
      <c r="V408" s="230"/>
      <c r="W408" s="129"/>
      <c r="X408" s="125"/>
      <c r="Y408" s="125"/>
      <c r="Z408" s="230"/>
      <c r="AA408" s="230"/>
      <c r="AB408" s="263"/>
      <c r="AC408" s="230"/>
      <c r="AD408" s="129"/>
      <c r="AE408" s="129"/>
      <c r="AF408" s="129"/>
      <c r="AG408" s="129"/>
      <c r="AH408" s="129"/>
      <c r="AI408" s="129"/>
      <c r="AJ408" s="129"/>
      <c r="AK408" s="129"/>
      <c r="AL408" s="129"/>
      <c r="AM408" s="129"/>
      <c r="AN408" s="129"/>
    </row>
    <row r="409" spans="1:40" s="191" customFormat="1" x14ac:dyDescent="0.35">
      <c r="A409" s="182"/>
      <c r="B409" s="182"/>
      <c r="C409" s="182"/>
      <c r="D409" s="182"/>
      <c r="E409" s="183"/>
      <c r="F409" s="185"/>
      <c r="G409" s="185"/>
      <c r="H409" s="186"/>
      <c r="I409" s="186"/>
      <c r="J409" s="186"/>
      <c r="K409" s="225"/>
      <c r="L409" s="225"/>
      <c r="M409" s="187"/>
      <c r="N409" s="187"/>
      <c r="O409" s="187"/>
      <c r="P409" s="187"/>
      <c r="Q409" s="187"/>
      <c r="R409" s="187"/>
      <c r="S409" s="187"/>
      <c r="T409" s="189"/>
      <c r="U409" s="188"/>
      <c r="V409" s="240"/>
      <c r="W409" s="189"/>
      <c r="X409" s="186"/>
      <c r="Y409" s="186"/>
      <c r="Z409" s="240"/>
      <c r="AA409" s="240"/>
      <c r="AB409" s="262"/>
      <c r="AC409" s="240"/>
      <c r="AD409" s="189"/>
      <c r="AE409" s="189"/>
      <c r="AF409" s="189"/>
      <c r="AG409" s="189"/>
      <c r="AH409" s="189"/>
      <c r="AI409" s="189"/>
      <c r="AJ409" s="189"/>
      <c r="AK409" s="189"/>
      <c r="AL409" s="189"/>
      <c r="AM409" s="189"/>
      <c r="AN409" s="189"/>
    </row>
    <row r="410" spans="1:40" s="130" customFormat="1" x14ac:dyDescent="0.35">
      <c r="A410" s="121"/>
      <c r="B410" s="121"/>
      <c r="C410" s="121"/>
      <c r="D410" s="123"/>
      <c r="E410" s="122"/>
      <c r="F410" s="124"/>
      <c r="G410" s="124"/>
      <c r="H410" s="186"/>
      <c r="I410" s="125"/>
      <c r="J410" s="125"/>
      <c r="K410" s="226"/>
      <c r="L410" s="226"/>
      <c r="M410" s="126"/>
      <c r="N410" s="126"/>
      <c r="O410" s="126"/>
      <c r="P410" s="126"/>
      <c r="Q410" s="126"/>
      <c r="R410" s="126"/>
      <c r="S410" s="126"/>
      <c r="T410" s="129"/>
      <c r="U410" s="127"/>
      <c r="V410" s="230"/>
      <c r="W410" s="129"/>
      <c r="X410" s="125"/>
      <c r="Y410" s="125"/>
      <c r="Z410" s="230"/>
      <c r="AA410" s="230"/>
      <c r="AB410" s="263"/>
      <c r="AC410" s="230"/>
      <c r="AD410" s="129"/>
      <c r="AE410" s="129"/>
      <c r="AF410" s="129"/>
      <c r="AG410" s="129"/>
      <c r="AH410" s="129"/>
      <c r="AI410" s="129"/>
      <c r="AJ410" s="129"/>
      <c r="AK410" s="129"/>
      <c r="AL410" s="129"/>
      <c r="AM410" s="129"/>
      <c r="AN410" s="129"/>
    </row>
    <row r="411" spans="1:40" s="191" customFormat="1" x14ac:dyDescent="0.35">
      <c r="A411" s="182"/>
      <c r="B411" s="182"/>
      <c r="C411" s="182"/>
      <c r="D411" s="182"/>
      <c r="E411" s="183"/>
      <c r="F411" s="185"/>
      <c r="G411" s="185"/>
      <c r="H411" s="186"/>
      <c r="I411" s="186"/>
      <c r="J411" s="186"/>
      <c r="K411" s="225"/>
      <c r="L411" s="225"/>
      <c r="M411" s="187"/>
      <c r="N411" s="187"/>
      <c r="O411" s="187"/>
      <c r="P411" s="187"/>
      <c r="Q411" s="187"/>
      <c r="R411" s="187"/>
      <c r="S411" s="187"/>
      <c r="T411" s="189"/>
      <c r="U411" s="188"/>
      <c r="V411" s="240"/>
      <c r="W411" s="189"/>
      <c r="X411" s="186"/>
      <c r="Y411" s="186"/>
      <c r="Z411" s="240"/>
      <c r="AA411" s="240"/>
      <c r="AB411" s="262"/>
      <c r="AC411" s="240"/>
      <c r="AD411" s="189"/>
      <c r="AE411" s="189"/>
      <c r="AF411" s="189"/>
      <c r="AG411" s="189"/>
      <c r="AH411" s="189"/>
      <c r="AI411" s="189"/>
      <c r="AJ411" s="189"/>
      <c r="AK411" s="189"/>
      <c r="AL411" s="189"/>
      <c r="AM411" s="189"/>
      <c r="AN411" s="189"/>
    </row>
    <row r="412" spans="1:40" s="130" customFormat="1" x14ac:dyDescent="0.35">
      <c r="A412" s="121"/>
      <c r="B412" s="121"/>
      <c r="C412" s="121"/>
      <c r="D412" s="123"/>
      <c r="E412" s="122"/>
      <c r="F412" s="124"/>
      <c r="G412" s="124"/>
      <c r="H412" s="186"/>
      <c r="I412" s="125"/>
      <c r="J412" s="125"/>
      <c r="K412" s="226"/>
      <c r="L412" s="226"/>
      <c r="M412" s="126"/>
      <c r="N412" s="126"/>
      <c r="O412" s="126"/>
      <c r="P412" s="126"/>
      <c r="Q412" s="126"/>
      <c r="R412" s="126"/>
      <c r="S412" s="126"/>
      <c r="T412" s="129"/>
      <c r="U412" s="127"/>
      <c r="V412" s="230"/>
      <c r="W412" s="129"/>
      <c r="X412" s="125"/>
      <c r="Y412" s="125"/>
      <c r="Z412" s="230"/>
      <c r="AA412" s="230"/>
      <c r="AB412" s="263"/>
      <c r="AC412" s="230"/>
      <c r="AD412" s="129"/>
      <c r="AE412" s="129"/>
      <c r="AF412" s="129"/>
      <c r="AG412" s="129"/>
      <c r="AH412" s="129"/>
      <c r="AI412" s="129"/>
      <c r="AJ412" s="129"/>
      <c r="AK412" s="129"/>
      <c r="AL412" s="129"/>
      <c r="AM412" s="129"/>
      <c r="AN412" s="129"/>
    </row>
    <row r="413" spans="1:40" s="191" customFormat="1" x14ac:dyDescent="0.35">
      <c r="A413" s="182"/>
      <c r="B413" s="182"/>
      <c r="C413" s="182"/>
      <c r="D413" s="182"/>
      <c r="E413" s="183"/>
      <c r="F413" s="185"/>
      <c r="G413" s="185"/>
      <c r="H413" s="186"/>
      <c r="I413" s="186"/>
      <c r="J413" s="186"/>
      <c r="K413" s="225"/>
      <c r="L413" s="225"/>
      <c r="M413" s="187"/>
      <c r="N413" s="187"/>
      <c r="O413" s="187"/>
      <c r="P413" s="187"/>
      <c r="Q413" s="187"/>
      <c r="R413" s="187"/>
      <c r="S413" s="187"/>
      <c r="T413" s="189"/>
      <c r="U413" s="188"/>
      <c r="V413" s="240"/>
      <c r="W413" s="189"/>
      <c r="X413" s="186"/>
      <c r="Y413" s="186"/>
      <c r="Z413" s="240"/>
      <c r="AA413" s="240"/>
      <c r="AB413" s="262"/>
      <c r="AC413" s="240"/>
      <c r="AD413" s="189"/>
      <c r="AE413" s="189"/>
      <c r="AF413" s="189"/>
      <c r="AG413" s="189"/>
      <c r="AH413" s="189"/>
      <c r="AI413" s="189"/>
      <c r="AJ413" s="189"/>
      <c r="AK413" s="189"/>
      <c r="AL413" s="189"/>
      <c r="AM413" s="189"/>
      <c r="AN413" s="189"/>
    </row>
    <row r="414" spans="1:40" s="130" customFormat="1" x14ac:dyDescent="0.35">
      <c r="A414" s="121"/>
      <c r="B414" s="121"/>
      <c r="C414" s="121"/>
      <c r="D414" s="123"/>
      <c r="E414" s="122"/>
      <c r="F414" s="124"/>
      <c r="G414" s="124"/>
      <c r="H414" s="186"/>
      <c r="I414" s="125"/>
      <c r="J414" s="125"/>
      <c r="K414" s="226"/>
      <c r="L414" s="226"/>
      <c r="M414" s="126"/>
      <c r="N414" s="126"/>
      <c r="O414" s="126"/>
      <c r="P414" s="126"/>
      <c r="Q414" s="126"/>
      <c r="R414" s="126"/>
      <c r="S414" s="126"/>
      <c r="T414" s="129"/>
      <c r="U414" s="127"/>
      <c r="V414" s="230"/>
      <c r="W414" s="129"/>
      <c r="X414" s="125"/>
      <c r="Y414" s="125"/>
      <c r="Z414" s="230"/>
      <c r="AA414" s="230"/>
      <c r="AB414" s="263"/>
      <c r="AC414" s="230"/>
      <c r="AD414" s="129"/>
      <c r="AE414" s="129"/>
      <c r="AF414" s="129"/>
      <c r="AG414" s="129"/>
      <c r="AH414" s="129"/>
      <c r="AI414" s="129"/>
      <c r="AJ414" s="129"/>
      <c r="AK414" s="129"/>
      <c r="AL414" s="129"/>
      <c r="AM414" s="129"/>
      <c r="AN414" s="129"/>
    </row>
    <row r="415" spans="1:40" s="191" customFormat="1" x14ac:dyDescent="0.35">
      <c r="A415" s="182"/>
      <c r="B415" s="182"/>
      <c r="C415" s="182"/>
      <c r="D415" s="182"/>
      <c r="E415" s="183"/>
      <c r="F415" s="185"/>
      <c r="G415" s="185"/>
      <c r="H415" s="186"/>
      <c r="I415" s="186"/>
      <c r="J415" s="186"/>
      <c r="K415" s="225"/>
      <c r="L415" s="225"/>
      <c r="M415" s="187"/>
      <c r="N415" s="187"/>
      <c r="O415" s="187"/>
      <c r="P415" s="187"/>
      <c r="Q415" s="187"/>
      <c r="R415" s="187"/>
      <c r="S415" s="187"/>
      <c r="T415" s="189"/>
      <c r="U415" s="188"/>
      <c r="V415" s="240"/>
      <c r="W415" s="189"/>
      <c r="X415" s="186"/>
      <c r="Y415" s="186"/>
      <c r="Z415" s="240"/>
      <c r="AA415" s="240"/>
      <c r="AB415" s="262"/>
      <c r="AC415" s="240"/>
      <c r="AD415" s="189"/>
      <c r="AE415" s="189"/>
      <c r="AF415" s="189"/>
      <c r="AG415" s="189"/>
      <c r="AH415" s="189"/>
      <c r="AI415" s="189"/>
      <c r="AJ415" s="189"/>
      <c r="AK415" s="189"/>
      <c r="AL415" s="189"/>
      <c r="AM415" s="189"/>
      <c r="AN415" s="189"/>
    </row>
    <row r="416" spans="1:40" s="130" customFormat="1" x14ac:dyDescent="0.35">
      <c r="A416" s="121"/>
      <c r="B416" s="121"/>
      <c r="C416" s="121"/>
      <c r="D416" s="123"/>
      <c r="E416" s="122"/>
      <c r="F416" s="124"/>
      <c r="G416" s="124"/>
      <c r="H416" s="186"/>
      <c r="I416" s="125"/>
      <c r="J416" s="125"/>
      <c r="K416" s="226"/>
      <c r="L416" s="226"/>
      <c r="M416" s="126"/>
      <c r="N416" s="126"/>
      <c r="O416" s="126"/>
      <c r="P416" s="126"/>
      <c r="Q416" s="126"/>
      <c r="R416" s="126"/>
      <c r="S416" s="126"/>
      <c r="T416" s="129"/>
      <c r="U416" s="127"/>
      <c r="V416" s="230"/>
      <c r="W416" s="129"/>
      <c r="X416" s="125"/>
      <c r="Y416" s="125"/>
      <c r="Z416" s="230"/>
      <c r="AA416" s="230"/>
      <c r="AB416" s="263"/>
      <c r="AC416" s="230"/>
      <c r="AD416" s="129"/>
      <c r="AE416" s="129"/>
      <c r="AF416" s="129"/>
      <c r="AG416" s="129"/>
      <c r="AH416" s="129"/>
      <c r="AI416" s="129"/>
      <c r="AJ416" s="129"/>
      <c r="AK416" s="129"/>
      <c r="AL416" s="129"/>
      <c r="AM416" s="129"/>
      <c r="AN416" s="129"/>
    </row>
    <row r="417" spans="1:40" s="191" customFormat="1" x14ac:dyDescent="0.35">
      <c r="A417" s="182"/>
      <c r="B417" s="182"/>
      <c r="C417" s="182"/>
      <c r="D417" s="182"/>
      <c r="E417" s="183"/>
      <c r="F417" s="185"/>
      <c r="G417" s="185"/>
      <c r="H417" s="186"/>
      <c r="I417" s="186"/>
      <c r="J417" s="186"/>
      <c r="K417" s="225"/>
      <c r="L417" s="225"/>
      <c r="M417" s="187"/>
      <c r="N417" s="187"/>
      <c r="O417" s="187"/>
      <c r="P417" s="187"/>
      <c r="Q417" s="187"/>
      <c r="R417" s="187"/>
      <c r="S417" s="187"/>
      <c r="T417" s="189"/>
      <c r="U417" s="188"/>
      <c r="V417" s="240"/>
      <c r="W417" s="189"/>
      <c r="X417" s="186"/>
      <c r="Y417" s="186"/>
      <c r="Z417" s="240"/>
      <c r="AA417" s="240"/>
      <c r="AB417" s="262"/>
      <c r="AC417" s="240"/>
      <c r="AD417" s="189"/>
      <c r="AE417" s="189"/>
      <c r="AF417" s="189"/>
      <c r="AG417" s="189"/>
      <c r="AH417" s="189"/>
      <c r="AI417" s="189"/>
      <c r="AJ417" s="189"/>
      <c r="AK417" s="189"/>
      <c r="AL417" s="189"/>
      <c r="AM417" s="189"/>
      <c r="AN417" s="189"/>
    </row>
    <row r="418" spans="1:40" s="130" customFormat="1" x14ac:dyDescent="0.35">
      <c r="A418" s="121"/>
      <c r="B418" s="121"/>
      <c r="C418" s="121"/>
      <c r="D418" s="123"/>
      <c r="E418" s="122"/>
      <c r="F418" s="124"/>
      <c r="G418" s="124"/>
      <c r="H418" s="186"/>
      <c r="I418" s="125"/>
      <c r="J418" s="125"/>
      <c r="K418" s="226"/>
      <c r="L418" s="226"/>
      <c r="M418" s="126"/>
      <c r="N418" s="126"/>
      <c r="O418" s="126"/>
      <c r="P418" s="126"/>
      <c r="Q418" s="126"/>
      <c r="R418" s="126"/>
      <c r="S418" s="126"/>
      <c r="T418" s="129"/>
      <c r="U418" s="127"/>
      <c r="V418" s="230"/>
      <c r="W418" s="129"/>
      <c r="X418" s="125"/>
      <c r="Y418" s="125"/>
      <c r="Z418" s="230"/>
      <c r="AA418" s="230"/>
      <c r="AB418" s="263"/>
      <c r="AC418" s="230"/>
      <c r="AD418" s="129"/>
      <c r="AE418" s="129"/>
      <c r="AF418" s="129"/>
      <c r="AG418" s="129"/>
      <c r="AH418" s="129"/>
      <c r="AI418" s="129"/>
      <c r="AJ418" s="129"/>
      <c r="AK418" s="129"/>
      <c r="AL418" s="129"/>
      <c r="AM418" s="129"/>
      <c r="AN418" s="129"/>
    </row>
    <row r="419" spans="1:40" s="191" customFormat="1" x14ac:dyDescent="0.35">
      <c r="A419" s="182"/>
      <c r="B419" s="182"/>
      <c r="C419" s="182"/>
      <c r="D419" s="182"/>
      <c r="E419" s="183"/>
      <c r="F419" s="185"/>
      <c r="G419" s="185"/>
      <c r="H419" s="186"/>
      <c r="I419" s="186"/>
      <c r="J419" s="186"/>
      <c r="K419" s="225"/>
      <c r="L419" s="225"/>
      <c r="M419" s="187"/>
      <c r="N419" s="187"/>
      <c r="O419" s="187"/>
      <c r="P419" s="187"/>
      <c r="Q419" s="187"/>
      <c r="R419" s="187"/>
      <c r="S419" s="187"/>
      <c r="T419" s="189"/>
      <c r="U419" s="188"/>
      <c r="V419" s="240"/>
      <c r="W419" s="189"/>
      <c r="X419" s="186"/>
      <c r="Y419" s="186"/>
      <c r="Z419" s="240"/>
      <c r="AA419" s="240"/>
      <c r="AB419" s="262"/>
      <c r="AC419" s="240"/>
      <c r="AD419" s="189"/>
      <c r="AE419" s="189"/>
      <c r="AF419" s="189"/>
      <c r="AG419" s="189"/>
      <c r="AH419" s="189"/>
      <c r="AI419" s="189"/>
      <c r="AJ419" s="189"/>
      <c r="AK419" s="189"/>
      <c r="AL419" s="189"/>
      <c r="AM419" s="189"/>
      <c r="AN419" s="189"/>
    </row>
    <row r="420" spans="1:40" s="130" customFormat="1" x14ac:dyDescent="0.35">
      <c r="A420" s="121"/>
      <c r="B420" s="121"/>
      <c r="C420" s="121"/>
      <c r="D420" s="123"/>
      <c r="E420" s="122"/>
      <c r="F420" s="124"/>
      <c r="G420" s="124"/>
      <c r="H420" s="186"/>
      <c r="I420" s="125"/>
      <c r="J420" s="125"/>
      <c r="K420" s="226"/>
      <c r="L420" s="226"/>
      <c r="M420" s="126"/>
      <c r="N420" s="126"/>
      <c r="O420" s="126"/>
      <c r="P420" s="126"/>
      <c r="Q420" s="126"/>
      <c r="R420" s="126"/>
      <c r="S420" s="126"/>
      <c r="T420" s="129"/>
      <c r="U420" s="127"/>
      <c r="V420" s="230"/>
      <c r="W420" s="129"/>
      <c r="X420" s="125"/>
      <c r="Y420" s="125"/>
      <c r="Z420" s="230"/>
      <c r="AA420" s="230"/>
      <c r="AB420" s="263"/>
      <c r="AC420" s="230"/>
      <c r="AD420" s="129"/>
      <c r="AE420" s="129"/>
      <c r="AF420" s="129"/>
      <c r="AG420" s="129"/>
      <c r="AH420" s="129"/>
      <c r="AI420" s="129"/>
      <c r="AJ420" s="129"/>
      <c r="AK420" s="129"/>
      <c r="AL420" s="129"/>
      <c r="AM420" s="129"/>
      <c r="AN420" s="129"/>
    </row>
    <row r="421" spans="1:40" s="191" customFormat="1" x14ac:dyDescent="0.35">
      <c r="A421" s="182"/>
      <c r="B421" s="182"/>
      <c r="C421" s="182"/>
      <c r="D421" s="182"/>
      <c r="E421" s="183"/>
      <c r="F421" s="185"/>
      <c r="G421" s="185"/>
      <c r="H421" s="186"/>
      <c r="I421" s="186"/>
      <c r="J421" s="186"/>
      <c r="K421" s="225"/>
      <c r="L421" s="225"/>
      <c r="M421" s="187"/>
      <c r="N421" s="187"/>
      <c r="O421" s="187"/>
      <c r="P421" s="187"/>
      <c r="Q421" s="187"/>
      <c r="R421" s="187"/>
      <c r="S421" s="187"/>
      <c r="T421" s="189"/>
      <c r="U421" s="188"/>
      <c r="V421" s="240"/>
      <c r="W421" s="189"/>
      <c r="X421" s="186"/>
      <c r="Y421" s="186"/>
      <c r="Z421" s="240"/>
      <c r="AA421" s="240"/>
      <c r="AB421" s="262"/>
      <c r="AC421" s="240"/>
      <c r="AD421" s="189"/>
      <c r="AE421" s="189"/>
      <c r="AF421" s="189"/>
      <c r="AG421" s="189"/>
      <c r="AH421" s="189"/>
      <c r="AI421" s="189"/>
      <c r="AJ421" s="189"/>
      <c r="AK421" s="189"/>
      <c r="AL421" s="189"/>
      <c r="AM421" s="189"/>
      <c r="AN421" s="189"/>
    </row>
    <row r="422" spans="1:40" s="130" customFormat="1" x14ac:dyDescent="0.35">
      <c r="A422" s="121"/>
      <c r="B422" s="121"/>
      <c r="C422" s="121"/>
      <c r="D422" s="123"/>
      <c r="E422" s="122"/>
      <c r="F422" s="124"/>
      <c r="G422" s="124"/>
      <c r="H422" s="186"/>
      <c r="I422" s="125"/>
      <c r="J422" s="125"/>
      <c r="K422" s="226"/>
      <c r="L422" s="226"/>
      <c r="M422" s="126"/>
      <c r="N422" s="126"/>
      <c r="O422" s="126"/>
      <c r="P422" s="126"/>
      <c r="Q422" s="126"/>
      <c r="R422" s="126"/>
      <c r="S422" s="126"/>
      <c r="T422" s="129"/>
      <c r="U422" s="127"/>
      <c r="V422" s="230"/>
      <c r="W422" s="129"/>
      <c r="X422" s="125"/>
      <c r="Y422" s="125"/>
      <c r="Z422" s="230"/>
      <c r="AA422" s="230"/>
      <c r="AB422" s="263"/>
      <c r="AC422" s="230"/>
      <c r="AD422" s="129"/>
      <c r="AE422" s="129"/>
      <c r="AF422" s="129"/>
      <c r="AG422" s="129"/>
      <c r="AH422" s="129"/>
      <c r="AI422" s="129"/>
      <c r="AJ422" s="129"/>
      <c r="AK422" s="129"/>
      <c r="AL422" s="129"/>
      <c r="AM422" s="129"/>
      <c r="AN422" s="129"/>
    </row>
    <row r="423" spans="1:40" s="191" customFormat="1" x14ac:dyDescent="0.35">
      <c r="A423" s="182"/>
      <c r="B423" s="182"/>
      <c r="C423" s="182"/>
      <c r="D423" s="182"/>
      <c r="E423" s="183"/>
      <c r="F423" s="185"/>
      <c r="G423" s="185"/>
      <c r="H423" s="186"/>
      <c r="I423" s="186"/>
      <c r="J423" s="186"/>
      <c r="K423" s="225"/>
      <c r="L423" s="225"/>
      <c r="M423" s="187"/>
      <c r="N423" s="187"/>
      <c r="O423" s="187"/>
      <c r="P423" s="187"/>
      <c r="Q423" s="187"/>
      <c r="R423" s="187"/>
      <c r="S423" s="187"/>
      <c r="T423" s="189"/>
      <c r="U423" s="188"/>
      <c r="V423" s="240"/>
      <c r="W423" s="189"/>
      <c r="X423" s="186"/>
      <c r="Y423" s="186"/>
      <c r="Z423" s="240"/>
      <c r="AA423" s="240"/>
      <c r="AB423" s="262"/>
      <c r="AC423" s="240"/>
      <c r="AD423" s="189"/>
      <c r="AE423" s="189"/>
      <c r="AF423" s="189"/>
      <c r="AG423" s="189"/>
      <c r="AH423" s="189"/>
      <c r="AI423" s="189"/>
      <c r="AJ423" s="189"/>
      <c r="AK423" s="189"/>
      <c r="AL423" s="189"/>
      <c r="AM423" s="189"/>
      <c r="AN423" s="189"/>
    </row>
    <row r="424" spans="1:40" s="130" customFormat="1" x14ac:dyDescent="0.35">
      <c r="A424" s="121"/>
      <c r="B424" s="121"/>
      <c r="C424" s="121"/>
      <c r="D424" s="123"/>
      <c r="E424" s="122"/>
      <c r="F424" s="124"/>
      <c r="G424" s="124"/>
      <c r="H424" s="186"/>
      <c r="I424" s="125"/>
      <c r="J424" s="125"/>
      <c r="K424" s="226"/>
      <c r="L424" s="226"/>
      <c r="M424" s="126"/>
      <c r="N424" s="126"/>
      <c r="O424" s="126"/>
      <c r="P424" s="126"/>
      <c r="Q424" s="126"/>
      <c r="R424" s="126"/>
      <c r="S424" s="126"/>
      <c r="T424" s="129"/>
      <c r="U424" s="127"/>
      <c r="V424" s="230"/>
      <c r="W424" s="129"/>
      <c r="X424" s="125"/>
      <c r="Y424" s="125"/>
      <c r="Z424" s="230"/>
      <c r="AA424" s="230"/>
      <c r="AB424" s="263"/>
      <c r="AC424" s="230"/>
      <c r="AD424" s="129"/>
      <c r="AE424" s="129"/>
      <c r="AF424" s="129"/>
      <c r="AG424" s="129"/>
      <c r="AH424" s="129"/>
      <c r="AI424" s="129"/>
      <c r="AJ424" s="129"/>
      <c r="AK424" s="129"/>
      <c r="AL424" s="129"/>
      <c r="AM424" s="129"/>
      <c r="AN424" s="129"/>
    </row>
    <row r="425" spans="1:40" s="191" customFormat="1" x14ac:dyDescent="0.35">
      <c r="A425" s="182"/>
      <c r="B425" s="182"/>
      <c r="C425" s="182"/>
      <c r="D425" s="182"/>
      <c r="E425" s="183"/>
      <c r="F425" s="185"/>
      <c r="G425" s="185"/>
      <c r="H425" s="186"/>
      <c r="I425" s="186"/>
      <c r="J425" s="186"/>
      <c r="K425" s="225"/>
      <c r="L425" s="225"/>
      <c r="M425" s="187"/>
      <c r="N425" s="187"/>
      <c r="O425" s="187"/>
      <c r="P425" s="187"/>
      <c r="Q425" s="187"/>
      <c r="R425" s="187"/>
      <c r="S425" s="187"/>
      <c r="T425" s="189"/>
      <c r="U425" s="188"/>
      <c r="V425" s="240"/>
      <c r="W425" s="189"/>
      <c r="X425" s="186"/>
      <c r="Y425" s="186"/>
      <c r="Z425" s="240"/>
      <c r="AA425" s="240"/>
      <c r="AB425" s="262"/>
      <c r="AC425" s="240"/>
      <c r="AD425" s="189"/>
      <c r="AE425" s="189"/>
      <c r="AF425" s="189"/>
      <c r="AG425" s="189"/>
      <c r="AH425" s="189"/>
      <c r="AI425" s="189"/>
      <c r="AJ425" s="189"/>
      <c r="AK425" s="189"/>
      <c r="AL425" s="189"/>
      <c r="AM425" s="189"/>
      <c r="AN425" s="189"/>
    </row>
    <row r="426" spans="1:40" s="130" customFormat="1" x14ac:dyDescent="0.35">
      <c r="A426" s="121"/>
      <c r="B426" s="121"/>
      <c r="C426" s="121"/>
      <c r="D426" s="123"/>
      <c r="E426" s="122"/>
      <c r="F426" s="124"/>
      <c r="G426" s="124"/>
      <c r="H426" s="186"/>
      <c r="I426" s="125"/>
      <c r="J426" s="125"/>
      <c r="K426" s="226"/>
      <c r="L426" s="226"/>
      <c r="M426" s="126"/>
      <c r="N426" s="126"/>
      <c r="O426" s="126"/>
      <c r="P426" s="126"/>
      <c r="Q426" s="126"/>
      <c r="R426" s="126"/>
      <c r="S426" s="126"/>
      <c r="T426" s="129"/>
      <c r="U426" s="127"/>
      <c r="V426" s="230"/>
      <c r="W426" s="129"/>
      <c r="X426" s="125"/>
      <c r="Y426" s="125"/>
      <c r="Z426" s="230"/>
      <c r="AA426" s="230"/>
      <c r="AB426" s="263"/>
      <c r="AC426" s="230"/>
      <c r="AD426" s="129"/>
      <c r="AE426" s="129"/>
      <c r="AF426" s="129"/>
      <c r="AG426" s="129"/>
      <c r="AH426" s="129"/>
      <c r="AI426" s="129"/>
      <c r="AJ426" s="129"/>
      <c r="AK426" s="129"/>
      <c r="AL426" s="129"/>
      <c r="AM426" s="129"/>
      <c r="AN426" s="129"/>
    </row>
    <row r="427" spans="1:40" s="191" customFormat="1" x14ac:dyDescent="0.35">
      <c r="A427" s="182"/>
      <c r="B427" s="182"/>
      <c r="C427" s="182"/>
      <c r="D427" s="182"/>
      <c r="E427" s="183"/>
      <c r="F427" s="185"/>
      <c r="G427" s="185"/>
      <c r="H427" s="186"/>
      <c r="I427" s="186"/>
      <c r="J427" s="186"/>
      <c r="K427" s="225"/>
      <c r="L427" s="225"/>
      <c r="M427" s="187"/>
      <c r="N427" s="187"/>
      <c r="O427" s="187"/>
      <c r="P427" s="187"/>
      <c r="Q427" s="187"/>
      <c r="R427" s="187"/>
      <c r="S427" s="187"/>
      <c r="T427" s="189"/>
      <c r="U427" s="188"/>
      <c r="V427" s="240"/>
      <c r="W427" s="189"/>
      <c r="X427" s="186"/>
      <c r="Y427" s="186"/>
      <c r="Z427" s="240"/>
      <c r="AA427" s="240"/>
      <c r="AB427" s="262"/>
      <c r="AC427" s="240"/>
      <c r="AD427" s="189"/>
      <c r="AE427" s="189"/>
      <c r="AF427" s="189"/>
      <c r="AG427" s="189"/>
      <c r="AH427" s="189"/>
      <c r="AI427" s="189"/>
      <c r="AJ427" s="189"/>
      <c r="AK427" s="189"/>
      <c r="AL427" s="189"/>
      <c r="AM427" s="189"/>
      <c r="AN427" s="189"/>
    </row>
    <row r="428" spans="1:40" s="130" customFormat="1" x14ac:dyDescent="0.35">
      <c r="A428" s="121"/>
      <c r="B428" s="121"/>
      <c r="C428" s="121"/>
      <c r="D428" s="123"/>
      <c r="E428" s="122"/>
      <c r="F428" s="124"/>
      <c r="G428" s="124"/>
      <c r="H428" s="186"/>
      <c r="I428" s="125"/>
      <c r="J428" s="125"/>
      <c r="K428" s="226"/>
      <c r="L428" s="226"/>
      <c r="M428" s="126"/>
      <c r="N428" s="126"/>
      <c r="O428" s="126"/>
      <c r="P428" s="126"/>
      <c r="Q428" s="126"/>
      <c r="R428" s="126"/>
      <c r="S428" s="126"/>
      <c r="T428" s="129"/>
      <c r="U428" s="127"/>
      <c r="V428" s="230"/>
      <c r="W428" s="129"/>
      <c r="X428" s="125"/>
      <c r="Y428" s="125"/>
      <c r="Z428" s="230"/>
      <c r="AA428" s="230"/>
      <c r="AB428" s="263"/>
      <c r="AC428" s="230"/>
      <c r="AD428" s="129"/>
      <c r="AE428" s="129"/>
      <c r="AF428" s="129"/>
      <c r="AG428" s="129"/>
      <c r="AH428" s="129"/>
      <c r="AI428" s="129"/>
      <c r="AJ428" s="129"/>
      <c r="AK428" s="129"/>
      <c r="AL428" s="129"/>
      <c r="AM428" s="129"/>
      <c r="AN428" s="129"/>
    </row>
    <row r="429" spans="1:40" s="191" customFormat="1" x14ac:dyDescent="0.35">
      <c r="A429" s="182"/>
      <c r="B429" s="182"/>
      <c r="C429" s="182"/>
      <c r="D429" s="182"/>
      <c r="E429" s="183"/>
      <c r="F429" s="185"/>
      <c r="G429" s="185"/>
      <c r="H429" s="186"/>
      <c r="I429" s="186"/>
      <c r="J429" s="186"/>
      <c r="K429" s="225"/>
      <c r="L429" s="225"/>
      <c r="M429" s="187"/>
      <c r="N429" s="187"/>
      <c r="O429" s="187"/>
      <c r="P429" s="187"/>
      <c r="Q429" s="187"/>
      <c r="R429" s="187"/>
      <c r="S429" s="187"/>
      <c r="T429" s="189"/>
      <c r="U429" s="188"/>
      <c r="V429" s="240"/>
      <c r="W429" s="189"/>
      <c r="X429" s="186"/>
      <c r="Y429" s="186"/>
      <c r="Z429" s="240"/>
      <c r="AA429" s="240"/>
      <c r="AB429" s="262"/>
      <c r="AC429" s="240"/>
      <c r="AD429" s="189"/>
      <c r="AE429" s="189"/>
      <c r="AF429" s="189"/>
      <c r="AG429" s="189"/>
      <c r="AH429" s="189"/>
      <c r="AI429" s="189"/>
      <c r="AJ429" s="189"/>
      <c r="AK429" s="189"/>
      <c r="AL429" s="189"/>
      <c r="AM429" s="189"/>
      <c r="AN429" s="189"/>
    </row>
    <row r="430" spans="1:40" s="130" customFormat="1" x14ac:dyDescent="0.35">
      <c r="A430" s="121"/>
      <c r="B430" s="121"/>
      <c r="C430" s="121"/>
      <c r="D430" s="123"/>
      <c r="E430" s="122"/>
      <c r="F430" s="124"/>
      <c r="G430" s="124"/>
      <c r="H430" s="186"/>
      <c r="I430" s="125"/>
      <c r="J430" s="125"/>
      <c r="K430" s="226"/>
      <c r="L430" s="226"/>
      <c r="M430" s="126"/>
      <c r="N430" s="126"/>
      <c r="O430" s="126"/>
      <c r="P430" s="126"/>
      <c r="Q430" s="126"/>
      <c r="R430" s="126"/>
      <c r="S430" s="126"/>
      <c r="T430" s="129"/>
      <c r="U430" s="127"/>
      <c r="V430" s="230"/>
      <c r="W430" s="129"/>
      <c r="X430" s="125"/>
      <c r="Y430" s="125"/>
      <c r="Z430" s="230"/>
      <c r="AA430" s="230"/>
      <c r="AB430" s="263"/>
      <c r="AC430" s="230"/>
      <c r="AD430" s="129"/>
      <c r="AE430" s="129"/>
      <c r="AF430" s="129"/>
      <c r="AG430" s="129"/>
      <c r="AH430" s="129"/>
      <c r="AI430" s="129"/>
      <c r="AJ430" s="129"/>
      <c r="AK430" s="129"/>
      <c r="AL430" s="129"/>
      <c r="AM430" s="129"/>
      <c r="AN430" s="129"/>
    </row>
    <row r="431" spans="1:40" s="191" customFormat="1" x14ac:dyDescent="0.35">
      <c r="A431" s="182"/>
      <c r="B431" s="182"/>
      <c r="C431" s="182"/>
      <c r="D431" s="182"/>
      <c r="E431" s="183"/>
      <c r="F431" s="185"/>
      <c r="G431" s="185"/>
      <c r="H431" s="186"/>
      <c r="I431" s="186"/>
      <c r="J431" s="186"/>
      <c r="K431" s="225"/>
      <c r="L431" s="225"/>
      <c r="M431" s="187"/>
      <c r="N431" s="187"/>
      <c r="O431" s="187"/>
      <c r="P431" s="187"/>
      <c r="Q431" s="187"/>
      <c r="R431" s="187"/>
      <c r="S431" s="187"/>
      <c r="T431" s="189"/>
      <c r="U431" s="188"/>
      <c r="V431" s="240"/>
      <c r="W431" s="189"/>
      <c r="X431" s="186"/>
      <c r="Y431" s="186"/>
      <c r="Z431" s="240"/>
      <c r="AA431" s="240"/>
      <c r="AB431" s="262"/>
      <c r="AC431" s="240"/>
      <c r="AD431" s="189"/>
      <c r="AE431" s="189"/>
      <c r="AF431" s="189"/>
      <c r="AG431" s="189"/>
      <c r="AH431" s="189"/>
      <c r="AI431" s="189"/>
      <c r="AJ431" s="189"/>
      <c r="AK431" s="189"/>
      <c r="AL431" s="189"/>
      <c r="AM431" s="189"/>
      <c r="AN431" s="189"/>
    </row>
    <row r="432" spans="1:40" s="130" customFormat="1" x14ac:dyDescent="0.35">
      <c r="A432" s="121"/>
      <c r="B432" s="121"/>
      <c r="C432" s="121"/>
      <c r="D432" s="123"/>
      <c r="E432" s="122"/>
      <c r="F432" s="124"/>
      <c r="G432" s="124"/>
      <c r="H432" s="186"/>
      <c r="I432" s="125"/>
      <c r="J432" s="125"/>
      <c r="K432" s="226"/>
      <c r="L432" s="226"/>
      <c r="M432" s="126"/>
      <c r="N432" s="126"/>
      <c r="O432" s="126"/>
      <c r="P432" s="126"/>
      <c r="Q432" s="126"/>
      <c r="R432" s="126"/>
      <c r="S432" s="126"/>
      <c r="T432" s="129"/>
      <c r="U432" s="127"/>
      <c r="V432" s="230"/>
      <c r="W432" s="129"/>
      <c r="X432" s="125"/>
      <c r="Y432" s="125"/>
      <c r="Z432" s="230"/>
      <c r="AA432" s="230"/>
      <c r="AB432" s="263"/>
      <c r="AC432" s="230"/>
      <c r="AD432" s="129"/>
      <c r="AE432" s="129"/>
      <c r="AF432" s="129"/>
      <c r="AG432" s="129"/>
      <c r="AH432" s="129"/>
      <c r="AI432" s="129"/>
      <c r="AJ432" s="129"/>
      <c r="AK432" s="129"/>
      <c r="AL432" s="129"/>
      <c r="AM432" s="129"/>
      <c r="AN432" s="129"/>
    </row>
    <row r="433" spans="1:40" s="191" customFormat="1" x14ac:dyDescent="0.35">
      <c r="A433" s="182"/>
      <c r="B433" s="182"/>
      <c r="C433" s="182"/>
      <c r="D433" s="182"/>
      <c r="E433" s="183"/>
      <c r="F433" s="185"/>
      <c r="G433" s="185"/>
      <c r="H433" s="186"/>
      <c r="I433" s="186"/>
      <c r="J433" s="186"/>
      <c r="K433" s="225"/>
      <c r="L433" s="225"/>
      <c r="M433" s="187"/>
      <c r="N433" s="187"/>
      <c r="O433" s="187"/>
      <c r="P433" s="187"/>
      <c r="Q433" s="187"/>
      <c r="R433" s="187"/>
      <c r="S433" s="187"/>
      <c r="T433" s="189"/>
      <c r="U433" s="188"/>
      <c r="V433" s="240"/>
      <c r="W433" s="189"/>
      <c r="X433" s="186"/>
      <c r="Y433" s="186"/>
      <c r="Z433" s="240"/>
      <c r="AA433" s="240"/>
      <c r="AB433" s="262"/>
      <c r="AC433" s="240"/>
      <c r="AD433" s="189"/>
      <c r="AE433" s="189"/>
      <c r="AF433" s="189"/>
      <c r="AG433" s="189"/>
      <c r="AH433" s="189"/>
      <c r="AI433" s="189"/>
      <c r="AJ433" s="189"/>
      <c r="AK433" s="189"/>
      <c r="AL433" s="189"/>
      <c r="AM433" s="189"/>
      <c r="AN433" s="189"/>
    </row>
    <row r="434" spans="1:40" s="130" customFormat="1" x14ac:dyDescent="0.35">
      <c r="A434" s="121"/>
      <c r="B434" s="121"/>
      <c r="C434" s="121"/>
      <c r="D434" s="123"/>
      <c r="E434" s="122"/>
      <c r="F434" s="124"/>
      <c r="G434" s="124"/>
      <c r="H434" s="186"/>
      <c r="I434" s="125"/>
      <c r="J434" s="125"/>
      <c r="K434" s="226"/>
      <c r="L434" s="226"/>
      <c r="M434" s="126"/>
      <c r="N434" s="126"/>
      <c r="O434" s="126"/>
      <c r="P434" s="126"/>
      <c r="Q434" s="126"/>
      <c r="R434" s="126"/>
      <c r="S434" s="126"/>
      <c r="T434" s="129"/>
      <c r="U434" s="127"/>
      <c r="V434" s="230"/>
      <c r="W434" s="129"/>
      <c r="X434" s="125"/>
      <c r="Y434" s="125"/>
      <c r="Z434" s="230"/>
      <c r="AA434" s="230"/>
      <c r="AB434" s="263"/>
      <c r="AC434" s="230"/>
      <c r="AD434" s="129"/>
      <c r="AE434" s="129"/>
      <c r="AF434" s="129"/>
      <c r="AG434" s="129"/>
      <c r="AH434" s="129"/>
      <c r="AI434" s="129"/>
      <c r="AJ434" s="129"/>
      <c r="AK434" s="129"/>
      <c r="AL434" s="129"/>
      <c r="AM434" s="129"/>
      <c r="AN434" s="129"/>
    </row>
    <row r="435" spans="1:40" s="191" customFormat="1" x14ac:dyDescent="0.35">
      <c r="A435" s="182"/>
      <c r="B435" s="182"/>
      <c r="C435" s="182"/>
      <c r="D435" s="182"/>
      <c r="E435" s="183"/>
      <c r="F435" s="185"/>
      <c r="G435" s="185"/>
      <c r="H435" s="186"/>
      <c r="I435" s="186"/>
      <c r="J435" s="186"/>
      <c r="K435" s="225"/>
      <c r="L435" s="225"/>
      <c r="M435" s="187"/>
      <c r="N435" s="187"/>
      <c r="O435" s="187"/>
      <c r="P435" s="187"/>
      <c r="Q435" s="187"/>
      <c r="R435" s="187"/>
      <c r="S435" s="187"/>
      <c r="T435" s="189"/>
      <c r="U435" s="188"/>
      <c r="V435" s="240"/>
      <c r="W435" s="189"/>
      <c r="X435" s="186"/>
      <c r="Y435" s="186"/>
      <c r="Z435" s="240"/>
      <c r="AA435" s="240"/>
      <c r="AB435" s="262"/>
      <c r="AC435" s="240"/>
      <c r="AD435" s="189"/>
      <c r="AE435" s="189"/>
      <c r="AF435" s="189"/>
      <c r="AG435" s="189"/>
      <c r="AH435" s="189"/>
      <c r="AI435" s="189"/>
      <c r="AJ435" s="189"/>
      <c r="AK435" s="189"/>
      <c r="AL435" s="189"/>
      <c r="AM435" s="189"/>
      <c r="AN435" s="189"/>
    </row>
    <row r="436" spans="1:40" s="130" customFormat="1" x14ac:dyDescent="0.35">
      <c r="A436" s="121"/>
      <c r="B436" s="121"/>
      <c r="C436" s="121"/>
      <c r="D436" s="123"/>
      <c r="E436" s="122"/>
      <c r="F436" s="124"/>
      <c r="G436" s="124"/>
      <c r="H436" s="186"/>
      <c r="I436" s="125"/>
      <c r="J436" s="125"/>
      <c r="K436" s="226"/>
      <c r="L436" s="226"/>
      <c r="M436" s="126"/>
      <c r="N436" s="126"/>
      <c r="O436" s="126"/>
      <c r="P436" s="126"/>
      <c r="Q436" s="126"/>
      <c r="R436" s="126"/>
      <c r="S436" s="126"/>
      <c r="T436" s="129"/>
      <c r="U436" s="127"/>
      <c r="V436" s="230"/>
      <c r="W436" s="129"/>
      <c r="X436" s="125"/>
      <c r="Y436" s="125"/>
      <c r="Z436" s="230"/>
      <c r="AA436" s="230"/>
      <c r="AB436" s="263"/>
      <c r="AC436" s="230"/>
      <c r="AD436" s="129"/>
      <c r="AE436" s="129"/>
      <c r="AF436" s="129"/>
      <c r="AG436" s="129"/>
      <c r="AH436" s="129"/>
      <c r="AI436" s="129"/>
      <c r="AJ436" s="129"/>
      <c r="AK436" s="129"/>
      <c r="AL436" s="129"/>
      <c r="AM436" s="129"/>
      <c r="AN436" s="129"/>
    </row>
    <row r="437" spans="1:40" s="191" customFormat="1" x14ac:dyDescent="0.35">
      <c r="A437" s="182"/>
      <c r="B437" s="182"/>
      <c r="C437" s="182"/>
      <c r="D437" s="182"/>
      <c r="E437" s="183"/>
      <c r="F437" s="185"/>
      <c r="G437" s="185"/>
      <c r="H437" s="186"/>
      <c r="I437" s="186"/>
      <c r="J437" s="186"/>
      <c r="K437" s="225"/>
      <c r="L437" s="225"/>
      <c r="M437" s="187"/>
      <c r="N437" s="187"/>
      <c r="O437" s="187"/>
      <c r="P437" s="187"/>
      <c r="Q437" s="187"/>
      <c r="R437" s="187"/>
      <c r="S437" s="187"/>
      <c r="T437" s="189"/>
      <c r="U437" s="188"/>
      <c r="V437" s="240"/>
      <c r="W437" s="189"/>
      <c r="X437" s="186"/>
      <c r="Y437" s="186"/>
      <c r="Z437" s="240"/>
      <c r="AA437" s="240"/>
      <c r="AB437" s="262"/>
      <c r="AC437" s="240"/>
      <c r="AD437" s="189"/>
      <c r="AE437" s="189"/>
      <c r="AF437" s="189"/>
      <c r="AG437" s="189"/>
      <c r="AH437" s="189"/>
      <c r="AI437" s="189"/>
      <c r="AJ437" s="189"/>
      <c r="AK437" s="189"/>
      <c r="AL437" s="189"/>
      <c r="AM437" s="189"/>
      <c r="AN437" s="189"/>
    </row>
    <row r="438" spans="1:40" s="130" customFormat="1" x14ac:dyDescent="0.35">
      <c r="A438" s="121"/>
      <c r="B438" s="121"/>
      <c r="C438" s="121"/>
      <c r="D438" s="123"/>
      <c r="E438" s="122"/>
      <c r="F438" s="124"/>
      <c r="G438" s="124"/>
      <c r="H438" s="186"/>
      <c r="I438" s="125"/>
      <c r="J438" s="125"/>
      <c r="K438" s="226"/>
      <c r="L438" s="226"/>
      <c r="M438" s="126"/>
      <c r="N438" s="126"/>
      <c r="O438" s="126"/>
      <c r="P438" s="126"/>
      <c r="Q438" s="126"/>
      <c r="R438" s="126"/>
      <c r="S438" s="126"/>
      <c r="T438" s="129"/>
      <c r="U438" s="127"/>
      <c r="V438" s="230"/>
      <c r="W438" s="129"/>
      <c r="X438" s="125"/>
      <c r="Y438" s="125"/>
      <c r="Z438" s="230"/>
      <c r="AA438" s="230"/>
      <c r="AB438" s="263"/>
      <c r="AC438" s="230"/>
      <c r="AD438" s="129"/>
      <c r="AE438" s="129"/>
      <c r="AF438" s="129"/>
      <c r="AG438" s="129"/>
      <c r="AH438" s="129"/>
      <c r="AI438" s="129"/>
      <c r="AJ438" s="129"/>
      <c r="AK438" s="129"/>
      <c r="AL438" s="129"/>
      <c r="AM438" s="129"/>
      <c r="AN438" s="129"/>
    </row>
    <row r="439" spans="1:40" s="191" customFormat="1" x14ac:dyDescent="0.35">
      <c r="A439" s="182"/>
      <c r="B439" s="182"/>
      <c r="C439" s="182"/>
      <c r="D439" s="182"/>
      <c r="E439" s="183"/>
      <c r="F439" s="185"/>
      <c r="G439" s="185"/>
      <c r="H439" s="186"/>
      <c r="I439" s="186"/>
      <c r="J439" s="186"/>
      <c r="K439" s="225"/>
      <c r="L439" s="225"/>
      <c r="M439" s="187"/>
      <c r="N439" s="187"/>
      <c r="O439" s="187"/>
      <c r="P439" s="187"/>
      <c r="Q439" s="187"/>
      <c r="R439" s="187"/>
      <c r="S439" s="187"/>
      <c r="T439" s="189"/>
      <c r="U439" s="188"/>
      <c r="V439" s="240"/>
      <c r="W439" s="189"/>
      <c r="X439" s="186"/>
      <c r="Y439" s="186"/>
      <c r="Z439" s="240"/>
      <c r="AA439" s="240"/>
      <c r="AB439" s="262"/>
      <c r="AC439" s="240"/>
      <c r="AD439" s="189"/>
      <c r="AE439" s="189"/>
      <c r="AF439" s="189"/>
      <c r="AG439" s="189"/>
      <c r="AH439" s="189"/>
      <c r="AI439" s="189"/>
      <c r="AJ439" s="189"/>
      <c r="AK439" s="189"/>
      <c r="AL439" s="189"/>
      <c r="AM439" s="189"/>
      <c r="AN439" s="189"/>
    </row>
    <row r="440" spans="1:40" s="130" customFormat="1" x14ac:dyDescent="0.35">
      <c r="A440" s="121"/>
      <c r="B440" s="121"/>
      <c r="C440" s="121"/>
      <c r="D440" s="123"/>
      <c r="E440" s="122"/>
      <c r="F440" s="124"/>
      <c r="G440" s="124"/>
      <c r="H440" s="186"/>
      <c r="I440" s="125"/>
      <c r="J440" s="125"/>
      <c r="K440" s="226"/>
      <c r="L440" s="226"/>
      <c r="M440" s="126"/>
      <c r="N440" s="126"/>
      <c r="O440" s="126"/>
      <c r="P440" s="126"/>
      <c r="Q440" s="126"/>
      <c r="R440" s="126"/>
      <c r="S440" s="126"/>
      <c r="T440" s="129"/>
      <c r="U440" s="127"/>
      <c r="V440" s="230"/>
      <c r="W440" s="129"/>
      <c r="X440" s="125"/>
      <c r="Y440" s="125"/>
      <c r="Z440" s="230"/>
      <c r="AA440" s="230"/>
      <c r="AB440" s="263"/>
      <c r="AC440" s="230"/>
      <c r="AD440" s="129"/>
      <c r="AE440" s="129"/>
      <c r="AF440" s="129"/>
      <c r="AG440" s="129"/>
      <c r="AH440" s="129"/>
      <c r="AI440" s="129"/>
      <c r="AJ440" s="129"/>
      <c r="AK440" s="129"/>
      <c r="AL440" s="129"/>
      <c r="AM440" s="129"/>
      <c r="AN440" s="129"/>
    </row>
    <row r="441" spans="1:40" s="191" customFormat="1" x14ac:dyDescent="0.35">
      <c r="A441" s="182"/>
      <c r="B441" s="182"/>
      <c r="C441" s="182"/>
      <c r="D441" s="182"/>
      <c r="E441" s="183"/>
      <c r="F441" s="185"/>
      <c r="G441" s="185"/>
      <c r="H441" s="186"/>
      <c r="I441" s="186"/>
      <c r="J441" s="186"/>
      <c r="K441" s="225"/>
      <c r="L441" s="225"/>
      <c r="M441" s="187"/>
      <c r="N441" s="187"/>
      <c r="O441" s="187"/>
      <c r="P441" s="187"/>
      <c r="Q441" s="187"/>
      <c r="R441" s="187"/>
      <c r="S441" s="187"/>
      <c r="T441" s="189"/>
      <c r="U441" s="188"/>
      <c r="V441" s="240"/>
      <c r="W441" s="189"/>
      <c r="X441" s="186"/>
      <c r="Y441" s="186"/>
      <c r="Z441" s="240"/>
      <c r="AA441" s="240"/>
      <c r="AB441" s="262"/>
      <c r="AC441" s="240"/>
      <c r="AD441" s="189"/>
      <c r="AE441" s="189"/>
      <c r="AF441" s="189"/>
      <c r="AG441" s="189"/>
      <c r="AH441" s="189"/>
      <c r="AI441" s="189"/>
      <c r="AJ441" s="189"/>
      <c r="AK441" s="189"/>
      <c r="AL441" s="189"/>
      <c r="AM441" s="189"/>
      <c r="AN441" s="189"/>
    </row>
    <row r="442" spans="1:40" s="130" customFormat="1" x14ac:dyDescent="0.35">
      <c r="A442" s="121"/>
      <c r="B442" s="121"/>
      <c r="C442" s="121"/>
      <c r="D442" s="123"/>
      <c r="E442" s="122"/>
      <c r="F442" s="124"/>
      <c r="G442" s="124"/>
      <c r="H442" s="186"/>
      <c r="I442" s="125"/>
      <c r="J442" s="125"/>
      <c r="K442" s="226"/>
      <c r="L442" s="226"/>
      <c r="M442" s="126"/>
      <c r="N442" s="126"/>
      <c r="O442" s="126"/>
      <c r="P442" s="126"/>
      <c r="Q442" s="126"/>
      <c r="R442" s="126"/>
      <c r="S442" s="126"/>
      <c r="T442" s="129"/>
      <c r="U442" s="127"/>
      <c r="V442" s="230"/>
      <c r="W442" s="129"/>
      <c r="X442" s="125"/>
      <c r="Y442" s="125"/>
      <c r="Z442" s="230"/>
      <c r="AA442" s="230"/>
      <c r="AB442" s="263"/>
      <c r="AC442" s="230"/>
      <c r="AD442" s="129"/>
      <c r="AE442" s="129"/>
      <c r="AF442" s="129"/>
      <c r="AG442" s="129"/>
      <c r="AH442" s="129"/>
      <c r="AI442" s="129"/>
      <c r="AJ442" s="129"/>
      <c r="AK442" s="129"/>
      <c r="AL442" s="129"/>
      <c r="AM442" s="129"/>
      <c r="AN442" s="129"/>
    </row>
    <row r="443" spans="1:40" s="191" customFormat="1" x14ac:dyDescent="0.35">
      <c r="A443" s="182"/>
      <c r="B443" s="182"/>
      <c r="C443" s="182"/>
      <c r="D443" s="182"/>
      <c r="E443" s="183"/>
      <c r="F443" s="185"/>
      <c r="G443" s="185"/>
      <c r="H443" s="186"/>
      <c r="I443" s="186"/>
      <c r="J443" s="186"/>
      <c r="K443" s="225"/>
      <c r="L443" s="225"/>
      <c r="M443" s="187"/>
      <c r="N443" s="187"/>
      <c r="O443" s="187"/>
      <c r="P443" s="187"/>
      <c r="Q443" s="187"/>
      <c r="R443" s="187"/>
      <c r="S443" s="187"/>
      <c r="T443" s="189"/>
      <c r="U443" s="188"/>
      <c r="V443" s="240"/>
      <c r="W443" s="189"/>
      <c r="X443" s="186"/>
      <c r="Y443" s="186"/>
      <c r="Z443" s="240"/>
      <c r="AA443" s="240"/>
      <c r="AB443" s="262"/>
      <c r="AC443" s="240"/>
      <c r="AD443" s="189"/>
      <c r="AE443" s="189"/>
      <c r="AF443" s="189"/>
      <c r="AG443" s="189"/>
      <c r="AH443" s="189"/>
      <c r="AI443" s="189"/>
      <c r="AJ443" s="189"/>
      <c r="AK443" s="189"/>
      <c r="AL443" s="189"/>
      <c r="AM443" s="189"/>
      <c r="AN443" s="189"/>
    </row>
    <row r="444" spans="1:40" s="130" customFormat="1" x14ac:dyDescent="0.35">
      <c r="A444" s="121"/>
      <c r="B444" s="121"/>
      <c r="C444" s="121"/>
      <c r="D444" s="123"/>
      <c r="E444" s="122"/>
      <c r="F444" s="124"/>
      <c r="G444" s="124"/>
      <c r="H444" s="186"/>
      <c r="I444" s="125"/>
      <c r="J444" s="125"/>
      <c r="K444" s="226"/>
      <c r="L444" s="226"/>
      <c r="M444" s="126"/>
      <c r="N444" s="126"/>
      <c r="O444" s="126"/>
      <c r="P444" s="126"/>
      <c r="Q444" s="126"/>
      <c r="R444" s="126"/>
      <c r="S444" s="126"/>
      <c r="T444" s="129"/>
      <c r="U444" s="127"/>
      <c r="V444" s="230"/>
      <c r="W444" s="129"/>
      <c r="X444" s="125"/>
      <c r="Y444" s="125"/>
      <c r="Z444" s="230"/>
      <c r="AA444" s="230"/>
      <c r="AB444" s="263"/>
      <c r="AC444" s="230"/>
      <c r="AD444" s="129"/>
      <c r="AE444" s="129"/>
      <c r="AF444" s="129"/>
      <c r="AG444" s="129"/>
      <c r="AH444" s="129"/>
      <c r="AI444" s="129"/>
      <c r="AJ444" s="129"/>
      <c r="AK444" s="129"/>
      <c r="AL444" s="129"/>
      <c r="AM444" s="129"/>
      <c r="AN444" s="129"/>
    </row>
    <row r="445" spans="1:40" s="191" customFormat="1" x14ac:dyDescent="0.35">
      <c r="A445" s="182"/>
      <c r="B445" s="182"/>
      <c r="C445" s="182"/>
      <c r="D445" s="182"/>
      <c r="E445" s="183"/>
      <c r="F445" s="185"/>
      <c r="G445" s="185"/>
      <c r="H445" s="186"/>
      <c r="I445" s="186"/>
      <c r="J445" s="186"/>
      <c r="K445" s="225"/>
      <c r="L445" s="225"/>
      <c r="M445" s="187"/>
      <c r="N445" s="187"/>
      <c r="O445" s="187"/>
      <c r="P445" s="187"/>
      <c r="Q445" s="187"/>
      <c r="R445" s="187"/>
      <c r="S445" s="187"/>
      <c r="T445" s="189"/>
      <c r="U445" s="188"/>
      <c r="V445" s="240"/>
      <c r="W445" s="189"/>
      <c r="X445" s="186"/>
      <c r="Y445" s="186"/>
      <c r="Z445" s="240"/>
      <c r="AA445" s="240"/>
      <c r="AB445" s="262"/>
      <c r="AC445" s="240"/>
      <c r="AD445" s="189"/>
      <c r="AE445" s="189"/>
      <c r="AF445" s="189"/>
      <c r="AG445" s="189"/>
      <c r="AH445" s="189"/>
      <c r="AI445" s="189"/>
      <c r="AJ445" s="189"/>
      <c r="AK445" s="189"/>
      <c r="AL445" s="189"/>
      <c r="AM445" s="189"/>
      <c r="AN445" s="189"/>
    </row>
    <row r="446" spans="1:40" s="130" customFormat="1" x14ac:dyDescent="0.35">
      <c r="A446" s="121"/>
      <c r="B446" s="121"/>
      <c r="C446" s="121"/>
      <c r="D446" s="123"/>
      <c r="E446" s="122"/>
      <c r="F446" s="124"/>
      <c r="G446" s="124"/>
      <c r="H446" s="186"/>
      <c r="I446" s="125"/>
      <c r="J446" s="125"/>
      <c r="K446" s="226"/>
      <c r="L446" s="226"/>
      <c r="M446" s="126"/>
      <c r="N446" s="126"/>
      <c r="O446" s="126"/>
      <c r="P446" s="126"/>
      <c r="Q446" s="126"/>
      <c r="R446" s="126"/>
      <c r="S446" s="126"/>
      <c r="T446" s="129"/>
      <c r="U446" s="127"/>
      <c r="V446" s="230"/>
      <c r="W446" s="129"/>
      <c r="X446" s="125"/>
      <c r="Y446" s="125"/>
      <c r="Z446" s="230"/>
      <c r="AA446" s="230"/>
      <c r="AB446" s="263"/>
      <c r="AC446" s="230"/>
      <c r="AD446" s="129"/>
      <c r="AE446" s="129"/>
      <c r="AF446" s="129"/>
      <c r="AG446" s="129"/>
      <c r="AH446" s="129"/>
      <c r="AI446" s="129"/>
      <c r="AJ446" s="129"/>
      <c r="AK446" s="129"/>
      <c r="AL446" s="129"/>
      <c r="AM446" s="129"/>
      <c r="AN446" s="129"/>
    </row>
    <row r="447" spans="1:40" s="191" customFormat="1" x14ac:dyDescent="0.35">
      <c r="A447" s="182"/>
      <c r="B447" s="182"/>
      <c r="C447" s="182"/>
      <c r="D447" s="182"/>
      <c r="E447" s="183"/>
      <c r="F447" s="185"/>
      <c r="G447" s="185"/>
      <c r="H447" s="186"/>
      <c r="I447" s="186"/>
      <c r="J447" s="186"/>
      <c r="K447" s="225"/>
      <c r="L447" s="225"/>
      <c r="M447" s="187"/>
      <c r="N447" s="187"/>
      <c r="O447" s="187"/>
      <c r="P447" s="187"/>
      <c r="Q447" s="187"/>
      <c r="R447" s="187"/>
      <c r="S447" s="187"/>
      <c r="T447" s="189"/>
      <c r="U447" s="188"/>
      <c r="V447" s="240"/>
      <c r="W447" s="189"/>
      <c r="X447" s="186"/>
      <c r="Y447" s="186"/>
      <c r="Z447" s="240"/>
      <c r="AA447" s="240"/>
      <c r="AB447" s="262"/>
      <c r="AC447" s="240"/>
      <c r="AD447" s="189"/>
      <c r="AE447" s="189"/>
      <c r="AF447" s="189"/>
      <c r="AG447" s="189"/>
      <c r="AH447" s="189"/>
      <c r="AI447" s="189"/>
      <c r="AJ447" s="189"/>
      <c r="AK447" s="189"/>
      <c r="AL447" s="189"/>
      <c r="AM447" s="189"/>
      <c r="AN447" s="189"/>
    </row>
    <row r="448" spans="1:40" s="130" customFormat="1" x14ac:dyDescent="0.35">
      <c r="A448" s="121"/>
      <c r="B448" s="121"/>
      <c r="C448" s="121"/>
      <c r="D448" s="123"/>
      <c r="E448" s="122"/>
      <c r="F448" s="124"/>
      <c r="G448" s="124"/>
      <c r="H448" s="186"/>
      <c r="I448" s="125"/>
      <c r="J448" s="125"/>
      <c r="K448" s="226"/>
      <c r="L448" s="226"/>
      <c r="M448" s="126"/>
      <c r="N448" s="126"/>
      <c r="O448" s="126"/>
      <c r="P448" s="126"/>
      <c r="Q448" s="126"/>
      <c r="R448" s="126"/>
      <c r="S448" s="126"/>
      <c r="T448" s="129"/>
      <c r="U448" s="127"/>
      <c r="V448" s="230"/>
      <c r="W448" s="129"/>
      <c r="X448" s="125"/>
      <c r="Y448" s="125"/>
      <c r="Z448" s="230"/>
      <c r="AA448" s="230"/>
      <c r="AB448" s="263"/>
      <c r="AC448" s="230"/>
      <c r="AD448" s="129"/>
      <c r="AE448" s="129"/>
      <c r="AF448" s="129"/>
      <c r="AG448" s="129"/>
      <c r="AH448" s="129"/>
      <c r="AI448" s="129"/>
      <c r="AJ448" s="129"/>
      <c r="AK448" s="129"/>
      <c r="AL448" s="129"/>
      <c r="AM448" s="129"/>
      <c r="AN448" s="129"/>
    </row>
    <row r="449" spans="1:40" s="191" customFormat="1" x14ac:dyDescent="0.35">
      <c r="A449" s="182"/>
      <c r="B449" s="182"/>
      <c r="C449" s="182"/>
      <c r="D449" s="182"/>
      <c r="E449" s="183"/>
      <c r="F449" s="185"/>
      <c r="G449" s="185"/>
      <c r="H449" s="186"/>
      <c r="I449" s="186"/>
      <c r="J449" s="186"/>
      <c r="K449" s="225"/>
      <c r="L449" s="225"/>
      <c r="M449" s="187"/>
      <c r="N449" s="187"/>
      <c r="O449" s="187"/>
      <c r="P449" s="187"/>
      <c r="Q449" s="187"/>
      <c r="R449" s="187"/>
      <c r="S449" s="187"/>
      <c r="T449" s="189"/>
      <c r="U449" s="188"/>
      <c r="V449" s="240"/>
      <c r="W449" s="189"/>
      <c r="X449" s="186"/>
      <c r="Y449" s="186"/>
      <c r="Z449" s="240"/>
      <c r="AA449" s="240"/>
      <c r="AB449" s="262"/>
      <c r="AC449" s="240"/>
      <c r="AD449" s="189"/>
      <c r="AE449" s="189"/>
      <c r="AF449" s="189"/>
      <c r="AG449" s="189"/>
      <c r="AH449" s="189"/>
      <c r="AI449" s="189"/>
      <c r="AJ449" s="189"/>
      <c r="AK449" s="189"/>
      <c r="AL449" s="189"/>
      <c r="AM449" s="189"/>
      <c r="AN449" s="189"/>
    </row>
    <row r="450" spans="1:40" s="130" customFormat="1" x14ac:dyDescent="0.35">
      <c r="A450" s="121"/>
      <c r="B450" s="121"/>
      <c r="C450" s="121"/>
      <c r="D450" s="123"/>
      <c r="E450" s="122"/>
      <c r="F450" s="124"/>
      <c r="G450" s="124"/>
      <c r="H450" s="186"/>
      <c r="I450" s="125"/>
      <c r="J450" s="125"/>
      <c r="K450" s="226"/>
      <c r="L450" s="226"/>
      <c r="M450" s="126"/>
      <c r="N450" s="126"/>
      <c r="O450" s="126"/>
      <c r="P450" s="126"/>
      <c r="Q450" s="126"/>
      <c r="R450" s="126"/>
      <c r="S450" s="126"/>
      <c r="T450" s="129"/>
      <c r="U450" s="127"/>
      <c r="V450" s="230"/>
      <c r="W450" s="129"/>
      <c r="X450" s="125"/>
      <c r="Y450" s="125"/>
      <c r="Z450" s="230"/>
      <c r="AA450" s="230"/>
      <c r="AB450" s="263"/>
      <c r="AC450" s="230"/>
      <c r="AD450" s="129"/>
      <c r="AE450" s="129"/>
      <c r="AF450" s="129"/>
      <c r="AG450" s="129"/>
      <c r="AH450" s="129"/>
      <c r="AI450" s="129"/>
      <c r="AJ450" s="129"/>
      <c r="AK450" s="129"/>
      <c r="AL450" s="129"/>
      <c r="AM450" s="129"/>
      <c r="AN450" s="129"/>
    </row>
    <row r="451" spans="1:40" s="191" customFormat="1" x14ac:dyDescent="0.35">
      <c r="A451" s="182"/>
      <c r="B451" s="182"/>
      <c r="C451" s="182"/>
      <c r="D451" s="182"/>
      <c r="E451" s="183"/>
      <c r="F451" s="185"/>
      <c r="G451" s="185"/>
      <c r="H451" s="186"/>
      <c r="I451" s="186"/>
      <c r="J451" s="186"/>
      <c r="K451" s="225"/>
      <c r="L451" s="225"/>
      <c r="M451" s="187"/>
      <c r="N451" s="187"/>
      <c r="O451" s="187"/>
      <c r="P451" s="187"/>
      <c r="Q451" s="187"/>
      <c r="R451" s="187"/>
      <c r="S451" s="187"/>
      <c r="T451" s="189"/>
      <c r="U451" s="188"/>
      <c r="V451" s="240"/>
      <c r="W451" s="189"/>
      <c r="X451" s="186"/>
      <c r="Y451" s="186"/>
      <c r="Z451" s="240"/>
      <c r="AA451" s="240"/>
      <c r="AB451" s="262"/>
      <c r="AC451" s="240"/>
      <c r="AD451" s="189"/>
      <c r="AE451" s="189"/>
      <c r="AF451" s="189"/>
      <c r="AG451" s="189"/>
      <c r="AH451" s="189"/>
      <c r="AI451" s="189"/>
      <c r="AJ451" s="189"/>
      <c r="AK451" s="189"/>
      <c r="AL451" s="189"/>
      <c r="AM451" s="189"/>
      <c r="AN451" s="189"/>
    </row>
    <row r="452" spans="1:40" s="130" customFormat="1" x14ac:dyDescent="0.35">
      <c r="A452" s="121"/>
      <c r="B452" s="121"/>
      <c r="C452" s="121"/>
      <c r="D452" s="123"/>
      <c r="E452" s="122"/>
      <c r="F452" s="124"/>
      <c r="G452" s="124"/>
      <c r="H452" s="186"/>
      <c r="I452" s="125"/>
      <c r="J452" s="125"/>
      <c r="K452" s="226"/>
      <c r="L452" s="226"/>
      <c r="M452" s="126"/>
      <c r="N452" s="126"/>
      <c r="O452" s="126"/>
      <c r="P452" s="126"/>
      <c r="Q452" s="126"/>
      <c r="R452" s="126"/>
      <c r="S452" s="126"/>
      <c r="T452" s="129"/>
      <c r="U452" s="127"/>
      <c r="V452" s="230"/>
      <c r="W452" s="129"/>
      <c r="X452" s="125"/>
      <c r="Y452" s="125"/>
      <c r="Z452" s="230"/>
      <c r="AA452" s="230"/>
      <c r="AB452" s="263"/>
      <c r="AC452" s="230"/>
      <c r="AD452" s="129"/>
      <c r="AE452" s="129"/>
      <c r="AF452" s="129"/>
      <c r="AG452" s="129"/>
      <c r="AH452" s="129"/>
      <c r="AI452" s="129"/>
      <c r="AJ452" s="129"/>
      <c r="AK452" s="129"/>
      <c r="AL452" s="129"/>
      <c r="AM452" s="129"/>
      <c r="AN452" s="129"/>
    </row>
    <row r="453" spans="1:40" s="191" customFormat="1" x14ac:dyDescent="0.35">
      <c r="A453" s="182"/>
      <c r="B453" s="182"/>
      <c r="C453" s="182"/>
      <c r="D453" s="182"/>
      <c r="E453" s="183"/>
      <c r="F453" s="185"/>
      <c r="G453" s="185"/>
      <c r="H453" s="186"/>
      <c r="I453" s="186"/>
      <c r="J453" s="186"/>
      <c r="K453" s="225"/>
      <c r="L453" s="225"/>
      <c r="M453" s="187"/>
      <c r="N453" s="187"/>
      <c r="O453" s="187"/>
      <c r="P453" s="187"/>
      <c r="Q453" s="187"/>
      <c r="R453" s="187"/>
      <c r="S453" s="187"/>
      <c r="T453" s="189"/>
      <c r="U453" s="188"/>
      <c r="V453" s="240"/>
      <c r="W453" s="189"/>
      <c r="X453" s="186"/>
      <c r="Y453" s="186"/>
      <c r="Z453" s="240"/>
      <c r="AA453" s="240"/>
      <c r="AB453" s="262"/>
      <c r="AC453" s="240"/>
      <c r="AD453" s="189"/>
      <c r="AE453" s="189"/>
      <c r="AF453" s="189"/>
      <c r="AG453" s="189"/>
      <c r="AH453" s="189"/>
      <c r="AI453" s="189"/>
      <c r="AJ453" s="189"/>
      <c r="AK453" s="189"/>
      <c r="AL453" s="189"/>
      <c r="AM453" s="189"/>
      <c r="AN453" s="189"/>
    </row>
    <row r="454" spans="1:40" s="130" customFormat="1" x14ac:dyDescent="0.35">
      <c r="A454" s="121"/>
      <c r="B454" s="121"/>
      <c r="C454" s="121"/>
      <c r="D454" s="123"/>
      <c r="E454" s="122"/>
      <c r="F454" s="124"/>
      <c r="G454" s="124"/>
      <c r="H454" s="186"/>
      <c r="I454" s="125"/>
      <c r="J454" s="125"/>
      <c r="K454" s="226"/>
      <c r="L454" s="226"/>
      <c r="M454" s="126"/>
      <c r="N454" s="126"/>
      <c r="O454" s="126"/>
      <c r="P454" s="126"/>
      <c r="Q454" s="126"/>
      <c r="R454" s="126"/>
      <c r="S454" s="126"/>
      <c r="T454" s="129"/>
      <c r="U454" s="127"/>
      <c r="V454" s="230"/>
      <c r="W454" s="129"/>
      <c r="X454" s="125"/>
      <c r="Y454" s="125"/>
      <c r="Z454" s="230"/>
      <c r="AA454" s="230"/>
      <c r="AB454" s="263"/>
      <c r="AC454" s="230"/>
      <c r="AD454" s="129"/>
      <c r="AE454" s="129"/>
      <c r="AF454" s="129"/>
      <c r="AG454" s="129"/>
      <c r="AH454" s="129"/>
      <c r="AI454" s="129"/>
      <c r="AJ454" s="129"/>
      <c r="AK454" s="129"/>
      <c r="AL454" s="129"/>
      <c r="AM454" s="129"/>
      <c r="AN454" s="129"/>
    </row>
    <row r="455" spans="1:40" s="191" customFormat="1" x14ac:dyDescent="0.35">
      <c r="A455" s="182"/>
      <c r="B455" s="182"/>
      <c r="C455" s="182"/>
      <c r="D455" s="182"/>
      <c r="E455" s="183"/>
      <c r="F455" s="185"/>
      <c r="G455" s="185"/>
      <c r="H455" s="186"/>
      <c r="I455" s="186"/>
      <c r="J455" s="186"/>
      <c r="K455" s="225"/>
      <c r="L455" s="225"/>
      <c r="M455" s="187"/>
      <c r="N455" s="187"/>
      <c r="O455" s="187"/>
      <c r="P455" s="187"/>
      <c r="Q455" s="187"/>
      <c r="R455" s="187"/>
      <c r="S455" s="187"/>
      <c r="T455" s="189"/>
      <c r="U455" s="188"/>
      <c r="V455" s="240"/>
      <c r="W455" s="189"/>
      <c r="X455" s="186"/>
      <c r="Y455" s="186"/>
      <c r="Z455" s="240"/>
      <c r="AA455" s="240"/>
      <c r="AB455" s="262"/>
      <c r="AC455" s="240"/>
      <c r="AD455" s="189"/>
      <c r="AE455" s="189"/>
      <c r="AF455" s="189"/>
      <c r="AG455" s="189"/>
      <c r="AH455" s="189"/>
      <c r="AI455" s="189"/>
      <c r="AJ455" s="189"/>
      <c r="AK455" s="189"/>
      <c r="AL455" s="189"/>
      <c r="AM455" s="189"/>
      <c r="AN455" s="189"/>
    </row>
    <row r="456" spans="1:40" s="130" customFormat="1" x14ac:dyDescent="0.35">
      <c r="A456" s="121"/>
      <c r="B456" s="121"/>
      <c r="C456" s="121"/>
      <c r="D456" s="123"/>
      <c r="E456" s="122"/>
      <c r="F456" s="124"/>
      <c r="G456" s="124"/>
      <c r="H456" s="186"/>
      <c r="I456" s="125"/>
      <c r="J456" s="125"/>
      <c r="K456" s="226"/>
      <c r="L456" s="226"/>
      <c r="M456" s="126"/>
      <c r="N456" s="126"/>
      <c r="O456" s="126"/>
      <c r="P456" s="126"/>
      <c r="Q456" s="126"/>
      <c r="R456" s="126"/>
      <c r="S456" s="126"/>
      <c r="T456" s="129"/>
      <c r="U456" s="127"/>
      <c r="V456" s="230"/>
      <c r="W456" s="129"/>
      <c r="X456" s="125"/>
      <c r="Y456" s="125"/>
      <c r="Z456" s="230"/>
      <c r="AA456" s="230"/>
      <c r="AB456" s="263"/>
      <c r="AC456" s="230"/>
      <c r="AD456" s="129"/>
      <c r="AE456" s="129"/>
      <c r="AF456" s="129"/>
      <c r="AG456" s="129"/>
      <c r="AH456" s="129"/>
      <c r="AI456" s="129"/>
      <c r="AJ456" s="129"/>
      <c r="AK456" s="129"/>
      <c r="AL456" s="129"/>
      <c r="AM456" s="129"/>
      <c r="AN456" s="129"/>
    </row>
    <row r="457" spans="1:40" s="191" customFormat="1" x14ac:dyDescent="0.35">
      <c r="A457" s="182"/>
      <c r="B457" s="182"/>
      <c r="C457" s="182"/>
      <c r="D457" s="182"/>
      <c r="E457" s="183"/>
      <c r="F457" s="185"/>
      <c r="G457" s="185"/>
      <c r="H457" s="186"/>
      <c r="I457" s="186"/>
      <c r="J457" s="186"/>
      <c r="K457" s="225"/>
      <c r="L457" s="225"/>
      <c r="M457" s="187"/>
      <c r="N457" s="187"/>
      <c r="O457" s="187"/>
      <c r="P457" s="187"/>
      <c r="Q457" s="187"/>
      <c r="R457" s="187"/>
      <c r="S457" s="187"/>
      <c r="T457" s="189"/>
      <c r="U457" s="188"/>
      <c r="V457" s="240"/>
      <c r="W457" s="189"/>
      <c r="X457" s="186"/>
      <c r="Y457" s="186"/>
      <c r="Z457" s="240"/>
      <c r="AA457" s="240"/>
      <c r="AB457" s="262"/>
      <c r="AC457" s="240"/>
      <c r="AD457" s="189"/>
      <c r="AE457" s="189"/>
      <c r="AF457" s="189"/>
      <c r="AG457" s="189"/>
      <c r="AH457" s="189"/>
      <c r="AI457" s="189"/>
      <c r="AJ457" s="189"/>
      <c r="AK457" s="189"/>
      <c r="AL457" s="189"/>
      <c r="AM457" s="189"/>
      <c r="AN457" s="189"/>
    </row>
    <row r="458" spans="1:40" s="130" customFormat="1" x14ac:dyDescent="0.35">
      <c r="A458" s="121"/>
      <c r="B458" s="121"/>
      <c r="C458" s="121"/>
      <c r="D458" s="123"/>
      <c r="E458" s="122"/>
      <c r="F458" s="124"/>
      <c r="G458" s="124"/>
      <c r="H458" s="186"/>
      <c r="I458" s="125"/>
      <c r="J458" s="125"/>
      <c r="K458" s="226"/>
      <c r="L458" s="226"/>
      <c r="M458" s="126"/>
      <c r="N458" s="126"/>
      <c r="O458" s="126"/>
      <c r="P458" s="126"/>
      <c r="Q458" s="126"/>
      <c r="R458" s="126"/>
      <c r="S458" s="126"/>
      <c r="T458" s="129"/>
      <c r="U458" s="127"/>
      <c r="V458" s="230"/>
      <c r="W458" s="129"/>
      <c r="X458" s="125"/>
      <c r="Y458" s="125"/>
      <c r="Z458" s="230"/>
      <c r="AA458" s="230"/>
      <c r="AB458" s="263"/>
      <c r="AC458" s="230"/>
      <c r="AD458" s="129"/>
      <c r="AE458" s="129"/>
      <c r="AF458" s="129"/>
      <c r="AG458" s="129"/>
      <c r="AH458" s="129"/>
      <c r="AI458" s="129"/>
      <c r="AJ458" s="129"/>
      <c r="AK458" s="129"/>
      <c r="AL458" s="129"/>
      <c r="AM458" s="129"/>
      <c r="AN458" s="129"/>
    </row>
    <row r="459" spans="1:40" s="191" customFormat="1" x14ac:dyDescent="0.35">
      <c r="A459" s="182"/>
      <c r="B459" s="182"/>
      <c r="C459" s="182"/>
      <c r="D459" s="182"/>
      <c r="E459" s="183"/>
      <c r="F459" s="185"/>
      <c r="G459" s="185"/>
      <c r="H459" s="186"/>
      <c r="I459" s="186"/>
      <c r="J459" s="186"/>
      <c r="K459" s="225"/>
      <c r="L459" s="225"/>
      <c r="M459" s="187"/>
      <c r="N459" s="187"/>
      <c r="O459" s="187"/>
      <c r="P459" s="187"/>
      <c r="Q459" s="187"/>
      <c r="R459" s="187"/>
      <c r="S459" s="187"/>
      <c r="T459" s="189"/>
      <c r="U459" s="188"/>
      <c r="V459" s="240"/>
      <c r="W459" s="189"/>
      <c r="X459" s="186"/>
      <c r="Y459" s="186"/>
      <c r="Z459" s="240"/>
      <c r="AA459" s="240"/>
      <c r="AB459" s="262"/>
      <c r="AC459" s="240"/>
      <c r="AD459" s="189"/>
      <c r="AE459" s="189"/>
      <c r="AF459" s="189"/>
      <c r="AG459" s="189"/>
      <c r="AH459" s="189"/>
      <c r="AI459" s="189"/>
      <c r="AJ459" s="189"/>
      <c r="AK459" s="189"/>
      <c r="AL459" s="189"/>
      <c r="AM459" s="189"/>
      <c r="AN459" s="189"/>
    </row>
    <row r="460" spans="1:40" s="130" customFormat="1" x14ac:dyDescent="0.35">
      <c r="A460" s="121"/>
      <c r="B460" s="121"/>
      <c r="C460" s="121"/>
      <c r="D460" s="123"/>
      <c r="E460" s="122"/>
      <c r="F460" s="124"/>
      <c r="G460" s="124"/>
      <c r="H460" s="186"/>
      <c r="I460" s="125"/>
      <c r="J460" s="125"/>
      <c r="K460" s="226"/>
      <c r="L460" s="226"/>
      <c r="M460" s="126"/>
      <c r="N460" s="126"/>
      <c r="O460" s="126"/>
      <c r="P460" s="126"/>
      <c r="Q460" s="126"/>
      <c r="R460" s="126"/>
      <c r="S460" s="126"/>
      <c r="T460" s="129"/>
      <c r="U460" s="127"/>
      <c r="V460" s="230"/>
      <c r="W460" s="129"/>
      <c r="X460" s="125"/>
      <c r="Y460" s="125"/>
      <c r="Z460" s="230"/>
      <c r="AA460" s="230"/>
      <c r="AB460" s="263"/>
      <c r="AC460" s="230"/>
      <c r="AD460" s="129"/>
      <c r="AE460" s="129"/>
      <c r="AF460" s="129"/>
      <c r="AG460" s="129"/>
      <c r="AH460" s="129"/>
      <c r="AI460" s="129"/>
      <c r="AJ460" s="129"/>
      <c r="AK460" s="129"/>
      <c r="AL460" s="129"/>
      <c r="AM460" s="129"/>
      <c r="AN460" s="129"/>
    </row>
    <row r="461" spans="1:40" s="191" customFormat="1" x14ac:dyDescent="0.35">
      <c r="A461" s="182"/>
      <c r="B461" s="182"/>
      <c r="C461" s="182"/>
      <c r="D461" s="182"/>
      <c r="E461" s="183"/>
      <c r="F461" s="185"/>
      <c r="G461" s="185"/>
      <c r="H461" s="186"/>
      <c r="I461" s="186"/>
      <c r="J461" s="186"/>
      <c r="K461" s="225"/>
      <c r="L461" s="225"/>
      <c r="M461" s="187"/>
      <c r="N461" s="187"/>
      <c r="O461" s="187"/>
      <c r="P461" s="187"/>
      <c r="Q461" s="187"/>
      <c r="R461" s="187"/>
      <c r="S461" s="187"/>
      <c r="T461" s="189"/>
      <c r="U461" s="188"/>
      <c r="V461" s="240"/>
      <c r="W461" s="189"/>
      <c r="X461" s="186"/>
      <c r="Y461" s="186"/>
      <c r="Z461" s="240"/>
      <c r="AA461" s="240"/>
      <c r="AB461" s="262"/>
      <c r="AC461" s="240"/>
      <c r="AD461" s="189"/>
      <c r="AE461" s="189"/>
      <c r="AF461" s="189"/>
      <c r="AG461" s="189"/>
      <c r="AH461" s="189"/>
      <c r="AI461" s="189"/>
      <c r="AJ461" s="189"/>
      <c r="AK461" s="189"/>
      <c r="AL461" s="189"/>
      <c r="AM461" s="189"/>
      <c r="AN461" s="189"/>
    </row>
    <row r="462" spans="1:40" s="130" customFormat="1" x14ac:dyDescent="0.35">
      <c r="A462" s="121"/>
      <c r="B462" s="121"/>
      <c r="C462" s="121"/>
      <c r="D462" s="123"/>
      <c r="E462" s="122"/>
      <c r="F462" s="124"/>
      <c r="G462" s="124"/>
      <c r="H462" s="186"/>
      <c r="I462" s="125"/>
      <c r="J462" s="125"/>
      <c r="K462" s="226"/>
      <c r="L462" s="226"/>
      <c r="M462" s="126"/>
      <c r="N462" s="126"/>
      <c r="O462" s="126"/>
      <c r="P462" s="126"/>
      <c r="Q462" s="126"/>
      <c r="R462" s="126"/>
      <c r="S462" s="126"/>
      <c r="T462" s="129"/>
      <c r="U462" s="127"/>
      <c r="V462" s="230"/>
      <c r="W462" s="129"/>
      <c r="X462" s="125"/>
      <c r="Y462" s="125"/>
      <c r="Z462" s="230"/>
      <c r="AA462" s="230"/>
      <c r="AB462" s="263"/>
      <c r="AC462" s="230"/>
      <c r="AD462" s="129"/>
      <c r="AE462" s="129"/>
      <c r="AF462" s="129"/>
      <c r="AG462" s="129"/>
      <c r="AH462" s="129"/>
      <c r="AI462" s="129"/>
      <c r="AJ462" s="129"/>
      <c r="AK462" s="129"/>
      <c r="AL462" s="129"/>
      <c r="AM462" s="129"/>
      <c r="AN462" s="129"/>
    </row>
    <row r="463" spans="1:40" s="191" customFormat="1" x14ac:dyDescent="0.35">
      <c r="A463" s="182"/>
      <c r="B463" s="182"/>
      <c r="C463" s="182"/>
      <c r="D463" s="182"/>
      <c r="E463" s="183"/>
      <c r="F463" s="185"/>
      <c r="G463" s="185"/>
      <c r="H463" s="186"/>
      <c r="I463" s="186"/>
      <c r="J463" s="186"/>
      <c r="K463" s="225"/>
      <c r="L463" s="225"/>
      <c r="M463" s="187"/>
      <c r="N463" s="187"/>
      <c r="O463" s="187"/>
      <c r="P463" s="187"/>
      <c r="Q463" s="187"/>
      <c r="R463" s="187"/>
      <c r="S463" s="187"/>
      <c r="T463" s="189"/>
      <c r="U463" s="188"/>
      <c r="V463" s="240"/>
      <c r="W463" s="189"/>
      <c r="X463" s="186"/>
      <c r="Y463" s="186"/>
      <c r="Z463" s="240"/>
      <c r="AA463" s="240"/>
      <c r="AB463" s="262"/>
      <c r="AC463" s="240"/>
      <c r="AD463" s="189"/>
      <c r="AE463" s="189"/>
      <c r="AF463" s="189"/>
      <c r="AG463" s="189"/>
      <c r="AH463" s="189"/>
      <c r="AI463" s="189"/>
      <c r="AJ463" s="189"/>
      <c r="AK463" s="189"/>
      <c r="AL463" s="189"/>
      <c r="AM463" s="189"/>
      <c r="AN463" s="189"/>
    </row>
    <row r="464" spans="1:40" s="130" customFormat="1" x14ac:dyDescent="0.35">
      <c r="A464" s="121"/>
      <c r="B464" s="121"/>
      <c r="C464" s="121"/>
      <c r="D464" s="123"/>
      <c r="E464" s="122"/>
      <c r="F464" s="124"/>
      <c r="G464" s="124"/>
      <c r="H464" s="186"/>
      <c r="I464" s="125"/>
      <c r="J464" s="125"/>
      <c r="K464" s="226"/>
      <c r="L464" s="226"/>
      <c r="M464" s="126"/>
      <c r="N464" s="126"/>
      <c r="O464" s="126"/>
      <c r="P464" s="126"/>
      <c r="Q464" s="126"/>
      <c r="R464" s="126"/>
      <c r="S464" s="126"/>
      <c r="T464" s="129"/>
      <c r="U464" s="127"/>
      <c r="V464" s="230"/>
      <c r="W464" s="129"/>
      <c r="X464" s="125"/>
      <c r="Y464" s="125"/>
      <c r="Z464" s="230"/>
      <c r="AA464" s="230"/>
      <c r="AB464" s="263"/>
      <c r="AC464" s="230"/>
      <c r="AD464" s="129"/>
      <c r="AE464" s="129"/>
      <c r="AF464" s="129"/>
      <c r="AG464" s="129"/>
      <c r="AH464" s="129"/>
      <c r="AI464" s="129"/>
      <c r="AJ464" s="129"/>
      <c r="AK464" s="129"/>
      <c r="AL464" s="129"/>
      <c r="AM464" s="129"/>
      <c r="AN464" s="129"/>
    </row>
    <row r="465" spans="1:40" s="191" customFormat="1" x14ac:dyDescent="0.35">
      <c r="A465" s="182"/>
      <c r="B465" s="182"/>
      <c r="C465" s="182"/>
      <c r="D465" s="182"/>
      <c r="E465" s="183"/>
      <c r="F465" s="185"/>
      <c r="G465" s="185"/>
      <c r="H465" s="186"/>
      <c r="I465" s="186"/>
      <c r="J465" s="186"/>
      <c r="K465" s="225"/>
      <c r="L465" s="225"/>
      <c r="M465" s="187"/>
      <c r="N465" s="187"/>
      <c r="O465" s="187"/>
      <c r="P465" s="187"/>
      <c r="Q465" s="187"/>
      <c r="R465" s="187"/>
      <c r="S465" s="187"/>
      <c r="T465" s="189"/>
      <c r="U465" s="188"/>
      <c r="V465" s="240"/>
      <c r="W465" s="189"/>
      <c r="X465" s="186"/>
      <c r="Y465" s="186"/>
      <c r="Z465" s="240"/>
      <c r="AA465" s="240"/>
      <c r="AB465" s="262"/>
      <c r="AC465" s="240"/>
      <c r="AD465" s="189"/>
      <c r="AE465" s="189"/>
      <c r="AF465" s="189"/>
      <c r="AG465" s="189"/>
      <c r="AH465" s="189"/>
      <c r="AI465" s="189"/>
      <c r="AJ465" s="189"/>
      <c r="AK465" s="189"/>
      <c r="AL465" s="189"/>
      <c r="AM465" s="189"/>
      <c r="AN465" s="189"/>
    </row>
    <row r="466" spans="1:40" s="130" customFormat="1" x14ac:dyDescent="0.35">
      <c r="A466" s="121"/>
      <c r="B466" s="121"/>
      <c r="C466" s="121"/>
      <c r="D466" s="123"/>
      <c r="E466" s="122"/>
      <c r="F466" s="124"/>
      <c r="G466" s="124"/>
      <c r="H466" s="186"/>
      <c r="I466" s="125"/>
      <c r="J466" s="125"/>
      <c r="K466" s="226"/>
      <c r="L466" s="226"/>
      <c r="M466" s="126"/>
      <c r="N466" s="126"/>
      <c r="O466" s="126"/>
      <c r="P466" s="126"/>
      <c r="Q466" s="126"/>
      <c r="R466" s="126"/>
      <c r="S466" s="126"/>
      <c r="T466" s="129"/>
      <c r="U466" s="127"/>
      <c r="V466" s="230"/>
      <c r="W466" s="129"/>
      <c r="X466" s="125"/>
      <c r="Y466" s="125"/>
      <c r="Z466" s="230"/>
      <c r="AA466" s="230"/>
      <c r="AB466" s="263"/>
      <c r="AC466" s="230"/>
      <c r="AD466" s="129"/>
      <c r="AE466" s="129"/>
      <c r="AF466" s="129"/>
      <c r="AG466" s="129"/>
      <c r="AH466" s="129"/>
      <c r="AI466" s="129"/>
      <c r="AJ466" s="129"/>
      <c r="AK466" s="129"/>
      <c r="AL466" s="129"/>
      <c r="AM466" s="129"/>
      <c r="AN466" s="129"/>
    </row>
    <row r="467" spans="1:40" s="191" customFormat="1" x14ac:dyDescent="0.35">
      <c r="A467" s="182"/>
      <c r="B467" s="182"/>
      <c r="C467" s="182"/>
      <c r="D467" s="182"/>
      <c r="E467" s="183"/>
      <c r="F467" s="185"/>
      <c r="G467" s="185"/>
      <c r="H467" s="186"/>
      <c r="I467" s="186"/>
      <c r="J467" s="186"/>
      <c r="K467" s="225"/>
      <c r="L467" s="225"/>
      <c r="M467" s="187"/>
      <c r="N467" s="187"/>
      <c r="O467" s="187"/>
      <c r="P467" s="187"/>
      <c r="Q467" s="187"/>
      <c r="R467" s="187"/>
      <c r="S467" s="187"/>
      <c r="T467" s="189"/>
      <c r="U467" s="188"/>
      <c r="V467" s="240"/>
      <c r="W467" s="189"/>
      <c r="X467" s="186"/>
      <c r="Y467" s="186"/>
      <c r="Z467" s="240"/>
      <c r="AA467" s="240"/>
      <c r="AB467" s="262"/>
      <c r="AC467" s="240"/>
      <c r="AD467" s="189"/>
      <c r="AE467" s="189"/>
      <c r="AF467" s="189"/>
      <c r="AG467" s="189"/>
      <c r="AH467" s="189"/>
      <c r="AI467" s="189"/>
      <c r="AJ467" s="189"/>
      <c r="AK467" s="189"/>
      <c r="AL467" s="189"/>
      <c r="AM467" s="189"/>
      <c r="AN467" s="189"/>
    </row>
    <row r="468" spans="1:40" s="130" customFormat="1" x14ac:dyDescent="0.35">
      <c r="A468" s="121"/>
      <c r="B468" s="121"/>
      <c r="C468" s="121"/>
      <c r="D468" s="123"/>
      <c r="E468" s="122"/>
      <c r="F468" s="124"/>
      <c r="G468" s="124"/>
      <c r="H468" s="186"/>
      <c r="I468" s="125"/>
      <c r="J468" s="125"/>
      <c r="K468" s="226"/>
      <c r="L468" s="226"/>
      <c r="M468" s="126"/>
      <c r="N468" s="126"/>
      <c r="O468" s="126"/>
      <c r="P468" s="126"/>
      <c r="Q468" s="126"/>
      <c r="R468" s="126"/>
      <c r="S468" s="126"/>
      <c r="T468" s="129"/>
      <c r="U468" s="127"/>
      <c r="V468" s="230"/>
      <c r="W468" s="129"/>
      <c r="X468" s="125"/>
      <c r="Y468" s="125"/>
      <c r="Z468" s="230"/>
      <c r="AA468" s="230"/>
      <c r="AB468" s="263"/>
      <c r="AC468" s="230"/>
      <c r="AD468" s="129"/>
      <c r="AE468" s="129"/>
      <c r="AF468" s="129"/>
      <c r="AG468" s="129"/>
      <c r="AH468" s="129"/>
      <c r="AI468" s="129"/>
      <c r="AJ468" s="129"/>
      <c r="AK468" s="129"/>
      <c r="AL468" s="129"/>
      <c r="AM468" s="129"/>
      <c r="AN468" s="129"/>
    </row>
    <row r="469" spans="1:40" s="191" customFormat="1" x14ac:dyDescent="0.35">
      <c r="A469" s="182"/>
      <c r="B469" s="182"/>
      <c r="C469" s="182"/>
      <c r="D469" s="182"/>
      <c r="E469" s="183"/>
      <c r="F469" s="185"/>
      <c r="G469" s="185"/>
      <c r="H469" s="186"/>
      <c r="I469" s="186"/>
      <c r="J469" s="186"/>
      <c r="K469" s="225"/>
      <c r="L469" s="225"/>
      <c r="M469" s="187"/>
      <c r="N469" s="187"/>
      <c r="O469" s="187"/>
      <c r="P469" s="187"/>
      <c r="Q469" s="187"/>
      <c r="R469" s="187"/>
      <c r="S469" s="187"/>
      <c r="T469" s="189"/>
      <c r="U469" s="188"/>
      <c r="V469" s="240"/>
      <c r="W469" s="189"/>
      <c r="X469" s="186"/>
      <c r="Y469" s="186"/>
      <c r="Z469" s="240"/>
      <c r="AA469" s="240"/>
      <c r="AB469" s="262"/>
      <c r="AC469" s="240"/>
      <c r="AD469" s="189"/>
      <c r="AE469" s="189"/>
      <c r="AF469" s="189"/>
      <c r="AG469" s="189"/>
      <c r="AH469" s="189"/>
      <c r="AI469" s="189"/>
      <c r="AJ469" s="189"/>
      <c r="AK469" s="189"/>
      <c r="AL469" s="189"/>
      <c r="AM469" s="189"/>
      <c r="AN469" s="189"/>
    </row>
    <row r="470" spans="1:40" s="130" customFormat="1" x14ac:dyDescent="0.35">
      <c r="A470" s="121"/>
      <c r="B470" s="121"/>
      <c r="C470" s="121"/>
      <c r="D470" s="123"/>
      <c r="E470" s="122"/>
      <c r="F470" s="124"/>
      <c r="G470" s="124"/>
      <c r="H470" s="186"/>
      <c r="I470" s="125"/>
      <c r="J470" s="125"/>
      <c r="K470" s="226"/>
      <c r="L470" s="226"/>
      <c r="M470" s="126"/>
      <c r="N470" s="126"/>
      <c r="O470" s="126"/>
      <c r="P470" s="126"/>
      <c r="Q470" s="126"/>
      <c r="R470" s="126"/>
      <c r="S470" s="126"/>
      <c r="T470" s="129"/>
      <c r="U470" s="127"/>
      <c r="V470" s="230"/>
      <c r="W470" s="129"/>
      <c r="X470" s="125"/>
      <c r="Y470" s="125"/>
      <c r="Z470" s="230"/>
      <c r="AA470" s="230"/>
      <c r="AB470" s="263"/>
      <c r="AC470" s="230"/>
      <c r="AD470" s="129"/>
      <c r="AE470" s="129"/>
      <c r="AF470" s="129"/>
      <c r="AG470" s="129"/>
      <c r="AH470" s="129"/>
      <c r="AI470" s="129"/>
      <c r="AJ470" s="129"/>
      <c r="AK470" s="129"/>
      <c r="AL470" s="129"/>
      <c r="AM470" s="129"/>
      <c r="AN470" s="129"/>
    </row>
    <row r="471" spans="1:40" s="191" customFormat="1" x14ac:dyDescent="0.35">
      <c r="A471" s="182"/>
      <c r="B471" s="182"/>
      <c r="C471" s="182"/>
      <c r="D471" s="182"/>
      <c r="E471" s="183"/>
      <c r="F471" s="185"/>
      <c r="G471" s="185"/>
      <c r="H471" s="186"/>
      <c r="I471" s="186"/>
      <c r="J471" s="186"/>
      <c r="K471" s="225"/>
      <c r="L471" s="225"/>
      <c r="M471" s="187"/>
      <c r="N471" s="187"/>
      <c r="O471" s="187"/>
      <c r="P471" s="187"/>
      <c r="Q471" s="187"/>
      <c r="R471" s="187"/>
      <c r="S471" s="187"/>
      <c r="T471" s="189"/>
      <c r="U471" s="188"/>
      <c r="V471" s="240"/>
      <c r="W471" s="189"/>
      <c r="X471" s="186"/>
      <c r="Y471" s="186"/>
      <c r="Z471" s="240"/>
      <c r="AA471" s="240"/>
      <c r="AB471" s="262"/>
      <c r="AC471" s="240"/>
      <c r="AD471" s="189"/>
      <c r="AE471" s="189"/>
      <c r="AF471" s="189"/>
      <c r="AG471" s="189"/>
      <c r="AH471" s="189"/>
      <c r="AI471" s="189"/>
      <c r="AJ471" s="189"/>
      <c r="AK471" s="189"/>
      <c r="AL471" s="189"/>
      <c r="AM471" s="189"/>
      <c r="AN471" s="189"/>
    </row>
    <row r="472" spans="1:40" s="130" customFormat="1" x14ac:dyDescent="0.35">
      <c r="A472" s="121"/>
      <c r="B472" s="121"/>
      <c r="C472" s="121"/>
      <c r="D472" s="123"/>
      <c r="E472" s="122"/>
      <c r="F472" s="124"/>
      <c r="G472" s="124"/>
      <c r="H472" s="186"/>
      <c r="I472" s="125"/>
      <c r="J472" s="125"/>
      <c r="K472" s="226"/>
      <c r="L472" s="226"/>
      <c r="M472" s="126"/>
      <c r="N472" s="126"/>
      <c r="O472" s="126"/>
      <c r="P472" s="126"/>
      <c r="Q472" s="126"/>
      <c r="R472" s="126"/>
      <c r="S472" s="126"/>
      <c r="T472" s="129"/>
      <c r="U472" s="127"/>
      <c r="V472" s="230"/>
      <c r="W472" s="129"/>
      <c r="X472" s="125"/>
      <c r="Y472" s="125"/>
      <c r="Z472" s="230"/>
      <c r="AA472" s="230"/>
      <c r="AB472" s="263"/>
      <c r="AC472" s="230"/>
      <c r="AD472" s="129"/>
      <c r="AE472" s="129"/>
      <c r="AF472" s="129"/>
      <c r="AG472" s="129"/>
      <c r="AH472" s="129"/>
      <c r="AI472" s="129"/>
      <c r="AJ472" s="129"/>
      <c r="AK472" s="129"/>
      <c r="AL472" s="129"/>
      <c r="AM472" s="129"/>
      <c r="AN472" s="129"/>
    </row>
    <row r="473" spans="1:40" s="191" customFormat="1" x14ac:dyDescent="0.35">
      <c r="A473" s="182"/>
      <c r="B473" s="182"/>
      <c r="C473" s="182"/>
      <c r="D473" s="182"/>
      <c r="E473" s="183"/>
      <c r="F473" s="185"/>
      <c r="G473" s="185"/>
      <c r="H473" s="186"/>
      <c r="I473" s="186"/>
      <c r="J473" s="186"/>
      <c r="K473" s="225"/>
      <c r="L473" s="225"/>
      <c r="M473" s="187"/>
      <c r="N473" s="187"/>
      <c r="O473" s="187"/>
      <c r="P473" s="187"/>
      <c r="Q473" s="187"/>
      <c r="R473" s="187"/>
      <c r="S473" s="187"/>
      <c r="T473" s="189"/>
      <c r="U473" s="188"/>
      <c r="V473" s="240"/>
      <c r="W473" s="189"/>
      <c r="X473" s="186"/>
      <c r="Y473" s="186"/>
      <c r="Z473" s="240"/>
      <c r="AA473" s="240"/>
      <c r="AB473" s="262"/>
      <c r="AC473" s="240"/>
      <c r="AD473" s="189"/>
      <c r="AE473" s="189"/>
      <c r="AF473" s="189"/>
      <c r="AG473" s="189"/>
      <c r="AH473" s="189"/>
      <c r="AI473" s="189"/>
      <c r="AJ473" s="189"/>
      <c r="AK473" s="189"/>
      <c r="AL473" s="189"/>
      <c r="AM473" s="189"/>
      <c r="AN473" s="189"/>
    </row>
    <row r="474" spans="1:40" s="130" customFormat="1" x14ac:dyDescent="0.35">
      <c r="A474" s="121"/>
      <c r="B474" s="121"/>
      <c r="C474" s="121"/>
      <c r="D474" s="123"/>
      <c r="E474" s="122"/>
      <c r="F474" s="124"/>
      <c r="G474" s="124"/>
      <c r="H474" s="186"/>
      <c r="I474" s="125"/>
      <c r="J474" s="125"/>
      <c r="K474" s="226"/>
      <c r="L474" s="226"/>
      <c r="M474" s="126"/>
      <c r="N474" s="126"/>
      <c r="O474" s="126"/>
      <c r="P474" s="126"/>
      <c r="Q474" s="126"/>
      <c r="R474" s="126"/>
      <c r="S474" s="126"/>
      <c r="T474" s="129"/>
      <c r="U474" s="127"/>
      <c r="V474" s="230"/>
      <c r="W474" s="129"/>
      <c r="X474" s="125"/>
      <c r="Y474" s="125"/>
      <c r="Z474" s="230"/>
      <c r="AA474" s="230"/>
      <c r="AB474" s="263"/>
      <c r="AC474" s="230"/>
      <c r="AD474" s="129"/>
      <c r="AE474" s="129"/>
      <c r="AF474" s="129"/>
      <c r="AG474" s="129"/>
      <c r="AH474" s="129"/>
      <c r="AI474" s="129"/>
      <c r="AJ474" s="129"/>
      <c r="AK474" s="129"/>
      <c r="AL474" s="129"/>
      <c r="AM474" s="129"/>
      <c r="AN474" s="129"/>
    </row>
    <row r="475" spans="1:40" s="191" customFormat="1" x14ac:dyDescent="0.35">
      <c r="A475" s="182"/>
      <c r="B475" s="182"/>
      <c r="C475" s="182"/>
      <c r="D475" s="182"/>
      <c r="E475" s="183"/>
      <c r="F475" s="185"/>
      <c r="G475" s="185"/>
      <c r="H475" s="186"/>
      <c r="I475" s="186"/>
      <c r="J475" s="186"/>
      <c r="K475" s="225"/>
      <c r="L475" s="225"/>
      <c r="M475" s="187"/>
      <c r="N475" s="187"/>
      <c r="O475" s="187"/>
      <c r="P475" s="187"/>
      <c r="Q475" s="187"/>
      <c r="R475" s="187"/>
      <c r="S475" s="187"/>
      <c r="T475" s="189"/>
      <c r="U475" s="188"/>
      <c r="V475" s="240"/>
      <c r="W475" s="189"/>
      <c r="X475" s="186"/>
      <c r="Y475" s="186"/>
      <c r="Z475" s="240"/>
      <c r="AA475" s="240"/>
      <c r="AB475" s="262"/>
      <c r="AC475" s="240"/>
      <c r="AD475" s="189"/>
      <c r="AE475" s="189"/>
      <c r="AF475" s="189"/>
      <c r="AG475" s="189"/>
      <c r="AH475" s="189"/>
      <c r="AI475" s="189"/>
      <c r="AJ475" s="189"/>
      <c r="AK475" s="189"/>
      <c r="AL475" s="189"/>
      <c r="AM475" s="189"/>
      <c r="AN475" s="189"/>
    </row>
    <row r="476" spans="1:40" s="130" customFormat="1" x14ac:dyDescent="0.35">
      <c r="A476" s="121"/>
      <c r="B476" s="121"/>
      <c r="C476" s="121"/>
      <c r="D476" s="123"/>
      <c r="E476" s="122"/>
      <c r="F476" s="124"/>
      <c r="G476" s="124"/>
      <c r="H476" s="186"/>
      <c r="I476" s="125"/>
      <c r="J476" s="125"/>
      <c r="K476" s="226"/>
      <c r="L476" s="226"/>
      <c r="M476" s="126"/>
      <c r="N476" s="126"/>
      <c r="O476" s="126"/>
      <c r="P476" s="126"/>
      <c r="Q476" s="126"/>
      <c r="R476" s="126"/>
      <c r="S476" s="126"/>
      <c r="T476" s="129"/>
      <c r="U476" s="127"/>
      <c r="V476" s="230"/>
      <c r="W476" s="129"/>
      <c r="X476" s="125"/>
      <c r="Y476" s="125"/>
      <c r="Z476" s="230"/>
      <c r="AA476" s="230"/>
      <c r="AB476" s="263"/>
      <c r="AC476" s="230"/>
      <c r="AD476" s="129"/>
      <c r="AE476" s="129"/>
      <c r="AF476" s="129"/>
      <c r="AG476" s="129"/>
      <c r="AH476" s="129"/>
      <c r="AI476" s="129"/>
      <c r="AJ476" s="129"/>
      <c r="AK476" s="129"/>
      <c r="AL476" s="129"/>
      <c r="AM476" s="129"/>
      <c r="AN476" s="129"/>
    </row>
    <row r="477" spans="1:40" s="191" customFormat="1" x14ac:dyDescent="0.35">
      <c r="A477" s="182"/>
      <c r="B477" s="182"/>
      <c r="C477" s="182"/>
      <c r="D477" s="182"/>
      <c r="E477" s="183"/>
      <c r="F477" s="185"/>
      <c r="G477" s="185"/>
      <c r="H477" s="186"/>
      <c r="I477" s="186"/>
      <c r="J477" s="186"/>
      <c r="K477" s="225"/>
      <c r="L477" s="225"/>
      <c r="M477" s="187"/>
      <c r="N477" s="187"/>
      <c r="O477" s="187"/>
      <c r="P477" s="187"/>
      <c r="Q477" s="187"/>
      <c r="R477" s="187"/>
      <c r="S477" s="187"/>
      <c r="T477" s="189"/>
      <c r="U477" s="188"/>
      <c r="V477" s="240"/>
      <c r="W477" s="189"/>
      <c r="X477" s="186"/>
      <c r="Y477" s="186"/>
      <c r="Z477" s="240"/>
      <c r="AA477" s="240"/>
      <c r="AB477" s="262"/>
      <c r="AC477" s="240"/>
      <c r="AD477" s="189"/>
      <c r="AE477" s="189"/>
      <c r="AF477" s="189"/>
      <c r="AG477" s="189"/>
      <c r="AH477" s="189"/>
      <c r="AI477" s="189"/>
      <c r="AJ477" s="189"/>
      <c r="AK477" s="189"/>
      <c r="AL477" s="189"/>
      <c r="AM477" s="189"/>
      <c r="AN477" s="189"/>
    </row>
    <row r="478" spans="1:40" s="130" customFormat="1" x14ac:dyDescent="0.35">
      <c r="A478" s="121"/>
      <c r="B478" s="121"/>
      <c r="C478" s="121"/>
      <c r="D478" s="123"/>
      <c r="E478" s="122"/>
      <c r="F478" s="124"/>
      <c r="G478" s="124"/>
      <c r="H478" s="186"/>
      <c r="I478" s="125"/>
      <c r="J478" s="125"/>
      <c r="K478" s="226"/>
      <c r="L478" s="226"/>
      <c r="M478" s="126"/>
      <c r="N478" s="126"/>
      <c r="O478" s="126"/>
      <c r="P478" s="126"/>
      <c r="Q478" s="126"/>
      <c r="R478" s="126"/>
      <c r="S478" s="126"/>
      <c r="T478" s="129"/>
      <c r="U478" s="127"/>
      <c r="V478" s="230"/>
      <c r="W478" s="129"/>
      <c r="X478" s="125"/>
      <c r="Y478" s="125"/>
      <c r="Z478" s="230"/>
      <c r="AA478" s="230"/>
      <c r="AB478" s="263"/>
      <c r="AC478" s="230"/>
      <c r="AD478" s="129"/>
      <c r="AE478" s="129"/>
      <c r="AF478" s="129"/>
      <c r="AG478" s="129"/>
      <c r="AH478" s="129"/>
      <c r="AI478" s="129"/>
      <c r="AJ478" s="129"/>
      <c r="AK478" s="129"/>
      <c r="AL478" s="129"/>
      <c r="AM478" s="129"/>
      <c r="AN478" s="129"/>
    </row>
    <row r="479" spans="1:40" s="191" customFormat="1" x14ac:dyDescent="0.35">
      <c r="A479" s="182"/>
      <c r="B479" s="182"/>
      <c r="C479" s="182"/>
      <c r="D479" s="182"/>
      <c r="E479" s="183"/>
      <c r="F479" s="185"/>
      <c r="G479" s="185"/>
      <c r="H479" s="186"/>
      <c r="I479" s="186"/>
      <c r="J479" s="186"/>
      <c r="K479" s="225"/>
      <c r="L479" s="225"/>
      <c r="M479" s="187"/>
      <c r="N479" s="187"/>
      <c r="O479" s="187"/>
      <c r="P479" s="187"/>
      <c r="Q479" s="187"/>
      <c r="R479" s="187"/>
      <c r="S479" s="187"/>
      <c r="T479" s="189"/>
      <c r="U479" s="188"/>
      <c r="V479" s="240"/>
      <c r="W479" s="189"/>
      <c r="X479" s="186"/>
      <c r="Y479" s="186"/>
      <c r="Z479" s="240"/>
      <c r="AA479" s="240"/>
      <c r="AB479" s="262"/>
      <c r="AC479" s="240"/>
      <c r="AD479" s="189"/>
      <c r="AE479" s="189"/>
      <c r="AF479" s="189"/>
      <c r="AG479" s="189"/>
      <c r="AH479" s="189"/>
      <c r="AI479" s="189"/>
      <c r="AJ479" s="189"/>
      <c r="AK479" s="189"/>
      <c r="AL479" s="189"/>
      <c r="AM479" s="189"/>
      <c r="AN479" s="189"/>
    </row>
    <row r="480" spans="1:40" s="130" customFormat="1" x14ac:dyDescent="0.35">
      <c r="A480" s="121"/>
      <c r="B480" s="121"/>
      <c r="C480" s="121"/>
      <c r="D480" s="123"/>
      <c r="E480" s="122"/>
      <c r="F480" s="124"/>
      <c r="G480" s="124"/>
      <c r="H480" s="186"/>
      <c r="I480" s="125"/>
      <c r="J480" s="125"/>
      <c r="K480" s="226"/>
      <c r="L480" s="226"/>
      <c r="M480" s="126"/>
      <c r="N480" s="126"/>
      <c r="O480" s="126"/>
      <c r="P480" s="126"/>
      <c r="Q480" s="126"/>
      <c r="R480" s="126"/>
      <c r="S480" s="126"/>
      <c r="T480" s="129"/>
      <c r="U480" s="127"/>
      <c r="V480" s="230"/>
      <c r="W480" s="129"/>
      <c r="X480" s="125"/>
      <c r="Y480" s="125"/>
      <c r="Z480" s="230"/>
      <c r="AA480" s="230"/>
      <c r="AB480" s="263"/>
      <c r="AC480" s="230"/>
      <c r="AD480" s="129"/>
      <c r="AE480" s="129"/>
      <c r="AF480" s="129"/>
      <c r="AG480" s="129"/>
      <c r="AH480" s="129"/>
      <c r="AI480" s="129"/>
      <c r="AJ480" s="129"/>
      <c r="AK480" s="129"/>
      <c r="AL480" s="129"/>
      <c r="AM480" s="129"/>
      <c r="AN480" s="129"/>
    </row>
    <row r="481" spans="1:40" s="191" customFormat="1" x14ac:dyDescent="0.35">
      <c r="A481" s="182"/>
      <c r="B481" s="182"/>
      <c r="C481" s="182"/>
      <c r="D481" s="182"/>
      <c r="E481" s="183"/>
      <c r="F481" s="185"/>
      <c r="G481" s="185"/>
      <c r="H481" s="186"/>
      <c r="I481" s="186"/>
      <c r="J481" s="186"/>
      <c r="K481" s="225"/>
      <c r="L481" s="225"/>
      <c r="M481" s="187"/>
      <c r="N481" s="187"/>
      <c r="O481" s="187"/>
      <c r="P481" s="187"/>
      <c r="Q481" s="187"/>
      <c r="R481" s="187"/>
      <c r="S481" s="187"/>
      <c r="T481" s="189"/>
      <c r="U481" s="188"/>
      <c r="V481" s="240"/>
      <c r="W481" s="189"/>
      <c r="X481" s="186"/>
      <c r="Y481" s="186"/>
      <c r="Z481" s="240"/>
      <c r="AA481" s="240"/>
      <c r="AB481" s="262"/>
      <c r="AC481" s="240"/>
      <c r="AD481" s="189"/>
      <c r="AE481" s="189"/>
      <c r="AF481" s="189"/>
      <c r="AG481" s="189"/>
      <c r="AH481" s="189"/>
      <c r="AI481" s="189"/>
      <c r="AJ481" s="189"/>
      <c r="AK481" s="189"/>
      <c r="AL481" s="189"/>
      <c r="AM481" s="189"/>
      <c r="AN481" s="189"/>
    </row>
    <row r="482" spans="1:40" s="130" customFormat="1" x14ac:dyDescent="0.35">
      <c r="A482" s="121"/>
      <c r="B482" s="121"/>
      <c r="C482" s="121"/>
      <c r="D482" s="123"/>
      <c r="E482" s="122"/>
      <c r="F482" s="124"/>
      <c r="G482" s="124"/>
      <c r="H482" s="186"/>
      <c r="I482" s="125"/>
      <c r="J482" s="125"/>
      <c r="K482" s="226"/>
      <c r="L482" s="226"/>
      <c r="M482" s="126"/>
      <c r="N482" s="126"/>
      <c r="O482" s="126"/>
      <c r="P482" s="126"/>
      <c r="Q482" s="126"/>
      <c r="R482" s="126"/>
      <c r="S482" s="126"/>
      <c r="T482" s="129"/>
      <c r="U482" s="127"/>
      <c r="V482" s="230"/>
      <c r="W482" s="129"/>
      <c r="X482" s="125"/>
      <c r="Y482" s="125"/>
      <c r="Z482" s="230"/>
      <c r="AA482" s="230"/>
      <c r="AB482" s="263"/>
      <c r="AC482" s="230"/>
      <c r="AD482" s="129"/>
      <c r="AE482" s="129"/>
      <c r="AF482" s="129"/>
      <c r="AG482" s="129"/>
      <c r="AH482" s="129"/>
      <c r="AI482" s="129"/>
      <c r="AJ482" s="129"/>
      <c r="AK482" s="129"/>
      <c r="AL482" s="129"/>
      <c r="AM482" s="129"/>
      <c r="AN482" s="129"/>
    </row>
    <row r="483" spans="1:40" s="191" customFormat="1" x14ac:dyDescent="0.35">
      <c r="A483" s="182"/>
      <c r="B483" s="182"/>
      <c r="C483" s="182"/>
      <c r="D483" s="182"/>
      <c r="E483" s="183"/>
      <c r="F483" s="185"/>
      <c r="G483" s="185"/>
      <c r="H483" s="186"/>
      <c r="I483" s="186"/>
      <c r="J483" s="186"/>
      <c r="K483" s="225"/>
      <c r="L483" s="225"/>
      <c r="M483" s="187"/>
      <c r="N483" s="187"/>
      <c r="O483" s="187"/>
      <c r="P483" s="187"/>
      <c r="Q483" s="187"/>
      <c r="R483" s="187"/>
      <c r="S483" s="187"/>
      <c r="T483" s="189"/>
      <c r="U483" s="188"/>
      <c r="V483" s="240"/>
      <c r="W483" s="189"/>
      <c r="X483" s="186"/>
      <c r="Y483" s="186"/>
      <c r="Z483" s="240"/>
      <c r="AA483" s="240"/>
      <c r="AB483" s="262"/>
      <c r="AC483" s="240"/>
      <c r="AD483" s="189"/>
      <c r="AE483" s="189"/>
      <c r="AF483" s="189"/>
      <c r="AG483" s="189"/>
      <c r="AH483" s="189"/>
      <c r="AI483" s="189"/>
      <c r="AJ483" s="189"/>
      <c r="AK483" s="189"/>
      <c r="AL483" s="189"/>
      <c r="AM483" s="189"/>
      <c r="AN483" s="189"/>
    </row>
    <row r="484" spans="1:40" s="130" customFormat="1" x14ac:dyDescent="0.35">
      <c r="A484" s="121"/>
      <c r="B484" s="121"/>
      <c r="C484" s="121"/>
      <c r="D484" s="123"/>
      <c r="E484" s="122"/>
      <c r="F484" s="124"/>
      <c r="G484" s="124"/>
      <c r="H484" s="186"/>
      <c r="I484" s="125"/>
      <c r="J484" s="125"/>
      <c r="K484" s="226"/>
      <c r="L484" s="226"/>
      <c r="M484" s="126"/>
      <c r="N484" s="126"/>
      <c r="O484" s="126"/>
      <c r="P484" s="126"/>
      <c r="Q484" s="126"/>
      <c r="R484" s="126"/>
      <c r="S484" s="126"/>
      <c r="T484" s="129"/>
      <c r="U484" s="127"/>
      <c r="V484" s="230"/>
      <c r="W484" s="129"/>
      <c r="X484" s="125"/>
      <c r="Y484" s="125"/>
      <c r="Z484" s="230"/>
      <c r="AA484" s="230"/>
      <c r="AB484" s="263"/>
      <c r="AC484" s="230"/>
      <c r="AD484" s="129"/>
      <c r="AE484" s="129"/>
      <c r="AF484" s="129"/>
      <c r="AG484" s="129"/>
      <c r="AH484" s="129"/>
      <c r="AI484" s="129"/>
      <c r="AJ484" s="129"/>
      <c r="AK484" s="129"/>
      <c r="AL484" s="129"/>
      <c r="AM484" s="129"/>
      <c r="AN484" s="129"/>
    </row>
    <row r="485" spans="1:40" s="191" customFormat="1" x14ac:dyDescent="0.35">
      <c r="A485" s="182"/>
      <c r="B485" s="182"/>
      <c r="C485" s="182"/>
      <c r="D485" s="182"/>
      <c r="E485" s="183"/>
      <c r="F485" s="185"/>
      <c r="G485" s="185"/>
      <c r="H485" s="186"/>
      <c r="I485" s="186"/>
      <c r="J485" s="186"/>
      <c r="K485" s="225"/>
      <c r="L485" s="225"/>
      <c r="M485" s="187"/>
      <c r="N485" s="187"/>
      <c r="O485" s="187"/>
      <c r="P485" s="187"/>
      <c r="Q485" s="187"/>
      <c r="R485" s="187"/>
      <c r="S485" s="187"/>
      <c r="T485" s="189"/>
      <c r="U485" s="188"/>
      <c r="V485" s="240"/>
      <c r="W485" s="189"/>
      <c r="X485" s="186"/>
      <c r="Y485" s="186"/>
      <c r="Z485" s="240"/>
      <c r="AA485" s="240"/>
      <c r="AB485" s="262"/>
      <c r="AC485" s="240"/>
      <c r="AD485" s="189"/>
      <c r="AE485" s="189"/>
      <c r="AF485" s="189"/>
      <c r="AG485" s="189"/>
      <c r="AH485" s="189"/>
      <c r="AI485" s="189"/>
      <c r="AJ485" s="189"/>
      <c r="AK485" s="189"/>
      <c r="AL485" s="189"/>
      <c r="AM485" s="189"/>
      <c r="AN485" s="189"/>
    </row>
    <row r="486" spans="1:40" s="130" customFormat="1" x14ac:dyDescent="0.35">
      <c r="A486" s="121"/>
      <c r="B486" s="121"/>
      <c r="C486" s="121"/>
      <c r="D486" s="123"/>
      <c r="E486" s="122"/>
      <c r="F486" s="124"/>
      <c r="G486" s="124"/>
      <c r="H486" s="186"/>
      <c r="I486" s="125"/>
      <c r="J486" s="125"/>
      <c r="K486" s="226"/>
      <c r="L486" s="226"/>
      <c r="M486" s="126"/>
      <c r="N486" s="126"/>
      <c r="O486" s="126"/>
      <c r="P486" s="126"/>
      <c r="Q486" s="126"/>
      <c r="R486" s="126"/>
      <c r="S486" s="126"/>
      <c r="T486" s="129"/>
      <c r="U486" s="127"/>
      <c r="V486" s="230"/>
      <c r="W486" s="129"/>
      <c r="X486" s="125"/>
      <c r="Y486" s="125"/>
      <c r="Z486" s="230"/>
      <c r="AA486" s="230"/>
      <c r="AB486" s="263"/>
      <c r="AC486" s="230"/>
      <c r="AD486" s="129"/>
      <c r="AE486" s="129"/>
      <c r="AF486" s="129"/>
      <c r="AG486" s="129"/>
      <c r="AH486" s="129"/>
      <c r="AI486" s="129"/>
      <c r="AJ486" s="129"/>
      <c r="AK486" s="129"/>
      <c r="AL486" s="129"/>
      <c r="AM486" s="129"/>
      <c r="AN486" s="129"/>
    </row>
    <row r="487" spans="1:40" s="191" customFormat="1" x14ac:dyDescent="0.35">
      <c r="A487" s="182"/>
      <c r="B487" s="182"/>
      <c r="C487" s="182"/>
      <c r="D487" s="182"/>
      <c r="E487" s="183"/>
      <c r="F487" s="185"/>
      <c r="G487" s="185"/>
      <c r="H487" s="186"/>
      <c r="I487" s="186"/>
      <c r="J487" s="186"/>
      <c r="K487" s="225"/>
      <c r="L487" s="225"/>
      <c r="M487" s="187"/>
      <c r="N487" s="187"/>
      <c r="O487" s="187"/>
      <c r="P487" s="187"/>
      <c r="Q487" s="187"/>
      <c r="R487" s="187"/>
      <c r="S487" s="187"/>
      <c r="T487" s="189"/>
      <c r="U487" s="188"/>
      <c r="V487" s="240"/>
      <c r="W487" s="189"/>
      <c r="X487" s="186"/>
      <c r="Y487" s="186"/>
      <c r="Z487" s="240"/>
      <c r="AA487" s="240"/>
      <c r="AB487" s="262"/>
      <c r="AC487" s="240"/>
      <c r="AD487" s="189"/>
      <c r="AE487" s="189"/>
      <c r="AF487" s="189"/>
      <c r="AG487" s="189"/>
      <c r="AH487" s="189"/>
      <c r="AI487" s="189"/>
      <c r="AJ487" s="189"/>
      <c r="AK487" s="189"/>
      <c r="AL487" s="189"/>
      <c r="AM487" s="189"/>
      <c r="AN487" s="189"/>
    </row>
    <row r="488" spans="1:40" s="130" customFormat="1" x14ac:dyDescent="0.35">
      <c r="A488" s="121"/>
      <c r="B488" s="121"/>
      <c r="C488" s="121"/>
      <c r="D488" s="123"/>
      <c r="E488" s="122"/>
      <c r="F488" s="124"/>
      <c r="G488" s="124"/>
      <c r="H488" s="186"/>
      <c r="I488" s="125"/>
      <c r="J488" s="125"/>
      <c r="K488" s="226"/>
      <c r="L488" s="226"/>
      <c r="M488" s="126"/>
      <c r="N488" s="126"/>
      <c r="O488" s="126"/>
      <c r="P488" s="126"/>
      <c r="Q488" s="126"/>
      <c r="R488" s="126"/>
      <c r="S488" s="126"/>
      <c r="T488" s="129"/>
      <c r="U488" s="127"/>
      <c r="V488" s="230"/>
      <c r="W488" s="129"/>
      <c r="X488" s="125"/>
      <c r="Y488" s="125"/>
      <c r="Z488" s="230"/>
      <c r="AA488" s="230"/>
      <c r="AB488" s="263"/>
      <c r="AC488" s="230"/>
      <c r="AD488" s="129"/>
      <c r="AE488" s="129"/>
      <c r="AF488" s="129"/>
      <c r="AG488" s="129"/>
      <c r="AH488" s="129"/>
      <c r="AI488" s="129"/>
      <c r="AJ488" s="129"/>
      <c r="AK488" s="129"/>
      <c r="AL488" s="129"/>
      <c r="AM488" s="129"/>
      <c r="AN488" s="129"/>
    </row>
    <row r="489" spans="1:40" s="191" customFormat="1" x14ac:dyDescent="0.35">
      <c r="A489" s="182"/>
      <c r="B489" s="182"/>
      <c r="C489" s="182"/>
      <c r="D489" s="182"/>
      <c r="E489" s="183"/>
      <c r="F489" s="185"/>
      <c r="G489" s="185"/>
      <c r="H489" s="186"/>
      <c r="I489" s="186"/>
      <c r="J489" s="186"/>
      <c r="K489" s="225"/>
      <c r="L489" s="225"/>
      <c r="M489" s="187"/>
      <c r="N489" s="187"/>
      <c r="O489" s="187"/>
      <c r="P489" s="187"/>
      <c r="Q489" s="187"/>
      <c r="R489" s="187"/>
      <c r="S489" s="187"/>
      <c r="T489" s="189"/>
      <c r="U489" s="188"/>
      <c r="V489" s="240"/>
      <c r="W489" s="189"/>
      <c r="X489" s="186"/>
      <c r="Y489" s="186"/>
      <c r="Z489" s="240"/>
      <c r="AA489" s="240"/>
      <c r="AB489" s="262"/>
      <c r="AC489" s="240"/>
      <c r="AD489" s="189"/>
      <c r="AE489" s="189"/>
      <c r="AF489" s="189"/>
      <c r="AG489" s="189"/>
      <c r="AH489" s="189"/>
      <c r="AI489" s="189"/>
      <c r="AJ489" s="189"/>
      <c r="AK489" s="189"/>
      <c r="AL489" s="189"/>
      <c r="AM489" s="189"/>
      <c r="AN489" s="189"/>
    </row>
    <row r="490" spans="1:40" s="130" customFormat="1" x14ac:dyDescent="0.35">
      <c r="A490" s="121"/>
      <c r="B490" s="121"/>
      <c r="C490" s="121"/>
      <c r="D490" s="123"/>
      <c r="E490" s="122"/>
      <c r="F490" s="124"/>
      <c r="G490" s="124"/>
      <c r="H490" s="186"/>
      <c r="I490" s="125"/>
      <c r="J490" s="125"/>
      <c r="K490" s="226"/>
      <c r="L490" s="226"/>
      <c r="M490" s="126"/>
      <c r="N490" s="126"/>
      <c r="O490" s="126"/>
      <c r="P490" s="126"/>
      <c r="Q490" s="126"/>
      <c r="R490" s="126"/>
      <c r="S490" s="126"/>
      <c r="T490" s="129"/>
      <c r="U490" s="127"/>
      <c r="V490" s="230"/>
      <c r="W490" s="129"/>
      <c r="X490" s="125"/>
      <c r="Y490" s="125"/>
      <c r="Z490" s="230"/>
      <c r="AA490" s="230"/>
      <c r="AB490" s="263"/>
      <c r="AC490" s="230"/>
      <c r="AD490" s="129"/>
      <c r="AE490" s="129"/>
      <c r="AF490" s="129"/>
      <c r="AG490" s="129"/>
      <c r="AH490" s="129"/>
      <c r="AI490" s="129"/>
      <c r="AJ490" s="129"/>
      <c r="AK490" s="129"/>
      <c r="AL490" s="129"/>
      <c r="AM490" s="129"/>
      <c r="AN490" s="129"/>
    </row>
    <row r="491" spans="1:40" s="191" customFormat="1" x14ac:dyDescent="0.35">
      <c r="A491" s="182"/>
      <c r="B491" s="182"/>
      <c r="C491" s="182"/>
      <c r="D491" s="182"/>
      <c r="E491" s="183"/>
      <c r="F491" s="185"/>
      <c r="G491" s="185"/>
      <c r="H491" s="186"/>
      <c r="I491" s="186"/>
      <c r="J491" s="186"/>
      <c r="K491" s="225"/>
      <c r="L491" s="225"/>
      <c r="M491" s="187"/>
      <c r="N491" s="187"/>
      <c r="O491" s="187"/>
      <c r="P491" s="187"/>
      <c r="Q491" s="187"/>
      <c r="R491" s="187"/>
      <c r="S491" s="187"/>
      <c r="T491" s="189"/>
      <c r="U491" s="188"/>
      <c r="V491" s="240"/>
      <c r="W491" s="189"/>
      <c r="X491" s="186"/>
      <c r="Y491" s="186"/>
      <c r="Z491" s="240"/>
      <c r="AA491" s="240"/>
      <c r="AB491" s="262"/>
      <c r="AC491" s="240"/>
      <c r="AD491" s="189"/>
      <c r="AE491" s="189"/>
      <c r="AF491" s="189"/>
      <c r="AG491" s="189"/>
      <c r="AH491" s="189"/>
      <c r="AI491" s="189"/>
      <c r="AJ491" s="189"/>
      <c r="AK491" s="189"/>
      <c r="AL491" s="189"/>
      <c r="AM491" s="189"/>
      <c r="AN491" s="189"/>
    </row>
    <row r="492" spans="1:40" s="130" customFormat="1" x14ac:dyDescent="0.35">
      <c r="A492" s="121"/>
      <c r="B492" s="121"/>
      <c r="C492" s="121"/>
      <c r="D492" s="123"/>
      <c r="E492" s="122"/>
      <c r="F492" s="124"/>
      <c r="G492" s="124"/>
      <c r="H492" s="186"/>
      <c r="I492" s="125"/>
      <c r="J492" s="125"/>
      <c r="K492" s="226"/>
      <c r="L492" s="226"/>
      <c r="M492" s="126"/>
      <c r="N492" s="126"/>
      <c r="O492" s="126"/>
      <c r="P492" s="126"/>
      <c r="Q492" s="126"/>
      <c r="R492" s="126"/>
      <c r="S492" s="126"/>
      <c r="T492" s="129"/>
      <c r="U492" s="127"/>
      <c r="V492" s="230"/>
      <c r="W492" s="129"/>
      <c r="X492" s="125"/>
      <c r="Y492" s="125"/>
      <c r="Z492" s="230"/>
      <c r="AA492" s="230"/>
      <c r="AB492" s="263"/>
      <c r="AC492" s="230"/>
      <c r="AD492" s="129"/>
      <c r="AE492" s="129"/>
      <c r="AF492" s="129"/>
      <c r="AG492" s="129"/>
      <c r="AH492" s="129"/>
      <c r="AI492" s="129"/>
      <c r="AJ492" s="129"/>
      <c r="AK492" s="129"/>
      <c r="AL492" s="129"/>
      <c r="AM492" s="129"/>
      <c r="AN492" s="129"/>
    </row>
    <row r="493" spans="1:40" s="191" customFormat="1" x14ac:dyDescent="0.35">
      <c r="A493" s="182"/>
      <c r="B493" s="182"/>
      <c r="C493" s="182"/>
      <c r="D493" s="182"/>
      <c r="E493" s="183"/>
      <c r="F493" s="185"/>
      <c r="G493" s="185"/>
      <c r="H493" s="186"/>
      <c r="I493" s="186"/>
      <c r="J493" s="186"/>
      <c r="K493" s="225"/>
      <c r="L493" s="225"/>
      <c r="M493" s="187"/>
      <c r="N493" s="187"/>
      <c r="O493" s="187"/>
      <c r="P493" s="187"/>
      <c r="Q493" s="187"/>
      <c r="R493" s="187"/>
      <c r="S493" s="187"/>
      <c r="T493" s="189"/>
      <c r="U493" s="188"/>
      <c r="V493" s="240"/>
      <c r="W493" s="189"/>
      <c r="X493" s="186"/>
      <c r="Y493" s="186"/>
      <c r="Z493" s="240"/>
      <c r="AA493" s="240"/>
      <c r="AB493" s="262"/>
      <c r="AC493" s="240"/>
      <c r="AD493" s="189"/>
      <c r="AE493" s="189"/>
      <c r="AF493" s="189"/>
      <c r="AG493" s="189"/>
      <c r="AH493" s="189"/>
      <c r="AI493" s="189"/>
      <c r="AJ493" s="189"/>
      <c r="AK493" s="189"/>
      <c r="AL493" s="189"/>
      <c r="AM493" s="189"/>
      <c r="AN493" s="189"/>
    </row>
    <row r="494" spans="1:40" s="130" customFormat="1" x14ac:dyDescent="0.35">
      <c r="A494" s="121"/>
      <c r="B494" s="121"/>
      <c r="C494" s="121"/>
      <c r="D494" s="123"/>
      <c r="E494" s="122"/>
      <c r="F494" s="124"/>
      <c r="G494" s="124"/>
      <c r="H494" s="186"/>
      <c r="I494" s="125"/>
      <c r="J494" s="125"/>
      <c r="K494" s="226"/>
      <c r="L494" s="226"/>
      <c r="M494" s="126"/>
      <c r="N494" s="126"/>
      <c r="O494" s="126"/>
      <c r="P494" s="126"/>
      <c r="Q494" s="126"/>
      <c r="R494" s="126"/>
      <c r="S494" s="126"/>
      <c r="T494" s="129"/>
      <c r="U494" s="127"/>
      <c r="V494" s="230"/>
      <c r="W494" s="129"/>
      <c r="X494" s="125"/>
      <c r="Y494" s="125"/>
      <c r="Z494" s="230"/>
      <c r="AA494" s="230"/>
      <c r="AB494" s="263"/>
      <c r="AC494" s="230"/>
      <c r="AD494" s="129"/>
      <c r="AE494" s="129"/>
      <c r="AF494" s="129"/>
      <c r="AG494" s="129"/>
      <c r="AH494" s="129"/>
      <c r="AI494" s="129"/>
      <c r="AJ494" s="129"/>
      <c r="AK494" s="129"/>
      <c r="AL494" s="129"/>
      <c r="AM494" s="129"/>
      <c r="AN494" s="129"/>
    </row>
    <row r="495" spans="1:40" s="191" customFormat="1" x14ac:dyDescent="0.35">
      <c r="A495" s="182"/>
      <c r="B495" s="182"/>
      <c r="C495" s="182"/>
      <c r="D495" s="182"/>
      <c r="E495" s="183"/>
      <c r="F495" s="185"/>
      <c r="G495" s="185"/>
      <c r="H495" s="186"/>
      <c r="I495" s="186"/>
      <c r="J495" s="186"/>
      <c r="K495" s="225"/>
      <c r="L495" s="225"/>
      <c r="M495" s="187"/>
      <c r="N495" s="187"/>
      <c r="O495" s="187"/>
      <c r="P495" s="187"/>
      <c r="Q495" s="187"/>
      <c r="R495" s="187"/>
      <c r="S495" s="187"/>
      <c r="T495" s="189"/>
      <c r="U495" s="188"/>
      <c r="V495" s="240"/>
      <c r="W495" s="189"/>
      <c r="X495" s="186"/>
      <c r="Y495" s="186"/>
      <c r="Z495" s="240"/>
      <c r="AA495" s="240"/>
      <c r="AB495" s="262"/>
      <c r="AC495" s="240"/>
      <c r="AD495" s="189"/>
      <c r="AE495" s="189"/>
      <c r="AF495" s="189"/>
      <c r="AG495" s="189"/>
      <c r="AH495" s="189"/>
      <c r="AI495" s="189"/>
      <c r="AJ495" s="189"/>
      <c r="AK495" s="189"/>
      <c r="AL495" s="189"/>
      <c r="AM495" s="189"/>
      <c r="AN495" s="189"/>
    </row>
    <row r="496" spans="1:40" s="130" customFormat="1" x14ac:dyDescent="0.35">
      <c r="A496" s="121"/>
      <c r="B496" s="121"/>
      <c r="C496" s="121"/>
      <c r="D496" s="123"/>
      <c r="E496" s="122"/>
      <c r="F496" s="124"/>
      <c r="G496" s="124"/>
      <c r="H496" s="186"/>
      <c r="I496" s="125"/>
      <c r="J496" s="125"/>
      <c r="K496" s="226"/>
      <c r="L496" s="226"/>
      <c r="M496" s="126"/>
      <c r="N496" s="126"/>
      <c r="O496" s="126"/>
      <c r="P496" s="126"/>
      <c r="Q496" s="126"/>
      <c r="R496" s="126"/>
      <c r="S496" s="126"/>
      <c r="T496" s="129"/>
      <c r="U496" s="127"/>
      <c r="V496" s="230"/>
      <c r="W496" s="129"/>
      <c r="X496" s="125"/>
      <c r="Y496" s="125"/>
      <c r="Z496" s="230"/>
      <c r="AA496" s="230"/>
      <c r="AB496" s="263"/>
      <c r="AC496" s="230"/>
      <c r="AD496" s="129"/>
      <c r="AE496" s="129"/>
      <c r="AF496" s="129"/>
      <c r="AG496" s="129"/>
      <c r="AH496" s="129"/>
      <c r="AI496" s="129"/>
      <c r="AJ496" s="129"/>
      <c r="AK496" s="129"/>
      <c r="AL496" s="129"/>
      <c r="AM496" s="129"/>
      <c r="AN496" s="129"/>
    </row>
    <row r="497" spans="1:40" s="191" customFormat="1" x14ac:dyDescent="0.35">
      <c r="A497" s="182"/>
      <c r="B497" s="182"/>
      <c r="C497" s="182"/>
      <c r="D497" s="182"/>
      <c r="E497" s="183"/>
      <c r="F497" s="185"/>
      <c r="G497" s="185"/>
      <c r="H497" s="186"/>
      <c r="I497" s="186"/>
      <c r="J497" s="186"/>
      <c r="K497" s="225"/>
      <c r="L497" s="225"/>
      <c r="M497" s="187"/>
      <c r="N497" s="187"/>
      <c r="O497" s="187"/>
      <c r="P497" s="187"/>
      <c r="Q497" s="187"/>
      <c r="R497" s="187"/>
      <c r="S497" s="187"/>
      <c r="T497" s="189"/>
      <c r="U497" s="188"/>
      <c r="V497" s="240"/>
      <c r="W497" s="189"/>
      <c r="X497" s="186"/>
      <c r="Y497" s="186"/>
      <c r="Z497" s="240"/>
      <c r="AA497" s="240"/>
      <c r="AB497" s="262"/>
      <c r="AC497" s="240"/>
      <c r="AD497" s="189"/>
      <c r="AE497" s="189"/>
      <c r="AF497" s="189"/>
      <c r="AG497" s="189"/>
      <c r="AH497" s="189"/>
      <c r="AI497" s="189"/>
      <c r="AJ497" s="189"/>
      <c r="AK497" s="189"/>
      <c r="AL497" s="189"/>
      <c r="AM497" s="189"/>
      <c r="AN497" s="189"/>
    </row>
    <row r="498" spans="1:40" s="130" customFormat="1" x14ac:dyDescent="0.35">
      <c r="A498" s="121"/>
      <c r="B498" s="121"/>
      <c r="C498" s="121"/>
      <c r="D498" s="123"/>
      <c r="E498" s="122"/>
      <c r="F498" s="124"/>
      <c r="G498" s="124"/>
      <c r="H498" s="186"/>
      <c r="I498" s="125"/>
      <c r="J498" s="125"/>
      <c r="K498" s="226"/>
      <c r="L498" s="226"/>
      <c r="M498" s="126"/>
      <c r="N498" s="126"/>
      <c r="O498" s="126"/>
      <c r="P498" s="126"/>
      <c r="Q498" s="126"/>
      <c r="R498" s="126"/>
      <c r="S498" s="126"/>
      <c r="T498" s="129"/>
      <c r="U498" s="127"/>
      <c r="V498" s="230"/>
      <c r="W498" s="129"/>
      <c r="X498" s="125"/>
      <c r="Y498" s="125"/>
      <c r="Z498" s="230"/>
      <c r="AA498" s="230"/>
      <c r="AB498" s="263"/>
      <c r="AC498" s="230"/>
      <c r="AD498" s="129"/>
      <c r="AE498" s="129"/>
      <c r="AF498" s="129"/>
      <c r="AG498" s="129"/>
      <c r="AH498" s="129"/>
      <c r="AI498" s="129"/>
      <c r="AJ498" s="129"/>
      <c r="AK498" s="129"/>
      <c r="AL498" s="129"/>
      <c r="AM498" s="129"/>
      <c r="AN498" s="129"/>
    </row>
    <row r="499" spans="1:40" s="191" customFormat="1" x14ac:dyDescent="0.35">
      <c r="A499" s="182"/>
      <c r="B499" s="182"/>
      <c r="C499" s="182"/>
      <c r="D499" s="182"/>
      <c r="E499" s="183"/>
      <c r="F499" s="185"/>
      <c r="G499" s="185"/>
      <c r="H499" s="186"/>
      <c r="I499" s="186"/>
      <c r="J499" s="186"/>
      <c r="K499" s="225"/>
      <c r="L499" s="225"/>
      <c r="M499" s="187"/>
      <c r="N499" s="187"/>
      <c r="O499" s="187"/>
      <c r="P499" s="187"/>
      <c r="Q499" s="187"/>
      <c r="R499" s="187"/>
      <c r="S499" s="187"/>
      <c r="T499" s="189"/>
      <c r="U499" s="188"/>
      <c r="V499" s="240"/>
      <c r="W499" s="189"/>
      <c r="X499" s="186"/>
      <c r="Y499" s="186"/>
      <c r="Z499" s="240"/>
      <c r="AA499" s="240"/>
      <c r="AB499" s="262"/>
      <c r="AC499" s="240"/>
      <c r="AD499" s="189"/>
      <c r="AE499" s="189"/>
      <c r="AF499" s="189"/>
      <c r="AG499" s="189"/>
      <c r="AH499" s="189"/>
      <c r="AI499" s="189"/>
      <c r="AJ499" s="189"/>
      <c r="AK499" s="189"/>
      <c r="AL499" s="189"/>
      <c r="AM499" s="189"/>
      <c r="AN499" s="189"/>
    </row>
    <row r="500" spans="1:40" s="130" customFormat="1" x14ac:dyDescent="0.35">
      <c r="A500" s="121"/>
      <c r="B500" s="121"/>
      <c r="C500" s="121"/>
      <c r="D500" s="123"/>
      <c r="E500" s="122"/>
      <c r="F500" s="124"/>
      <c r="G500" s="124"/>
      <c r="H500" s="186"/>
      <c r="I500" s="125"/>
      <c r="J500" s="125"/>
      <c r="K500" s="226"/>
      <c r="L500" s="226"/>
      <c r="M500" s="126"/>
      <c r="N500" s="126"/>
      <c r="O500" s="126"/>
      <c r="P500" s="126"/>
      <c r="Q500" s="126"/>
      <c r="R500" s="126"/>
      <c r="S500" s="126"/>
      <c r="T500" s="129"/>
      <c r="U500" s="127"/>
      <c r="V500" s="230"/>
      <c r="W500" s="129"/>
      <c r="X500" s="125"/>
      <c r="Y500" s="125"/>
      <c r="Z500" s="230"/>
      <c r="AA500" s="230"/>
      <c r="AB500" s="263"/>
      <c r="AC500" s="230"/>
      <c r="AD500" s="129"/>
      <c r="AE500" s="129"/>
      <c r="AF500" s="129"/>
      <c r="AG500" s="129"/>
      <c r="AH500" s="129"/>
      <c r="AI500" s="129"/>
      <c r="AJ500" s="129"/>
      <c r="AK500" s="129"/>
      <c r="AL500" s="129"/>
      <c r="AM500" s="129"/>
      <c r="AN500" s="129"/>
    </row>
    <row r="501" spans="1:40" x14ac:dyDescent="0.25">
      <c r="E501" s="116"/>
      <c r="F501" s="117"/>
      <c r="G501" s="116"/>
      <c r="H501" s="118"/>
      <c r="I501" s="227"/>
      <c r="J501" s="227"/>
      <c r="K501" s="227"/>
      <c r="L501" s="227"/>
      <c r="M501" s="227"/>
      <c r="N501" s="227"/>
      <c r="O501" s="227"/>
      <c r="P501" s="227"/>
      <c r="Q501" s="227"/>
      <c r="R501" s="117"/>
      <c r="S501" s="228"/>
      <c r="T501" s="229"/>
      <c r="U501" s="164"/>
    </row>
    <row r="502" spans="1:40" s="159" customFormat="1" x14ac:dyDescent="0.25">
      <c r="A502" s="121"/>
      <c r="B502" s="121"/>
      <c r="C502" s="121"/>
      <c r="D502" s="121"/>
      <c r="E502" s="122"/>
      <c r="F502" s="123"/>
      <c r="G502" s="122"/>
      <c r="H502" s="125"/>
      <c r="I502" s="230"/>
      <c r="J502" s="230"/>
      <c r="K502" s="230"/>
      <c r="L502" s="230"/>
      <c r="M502" s="230"/>
      <c r="N502" s="230"/>
      <c r="O502" s="230"/>
      <c r="P502" s="230"/>
      <c r="Q502" s="230"/>
      <c r="R502" s="123"/>
      <c r="S502" s="231"/>
      <c r="T502" s="232"/>
      <c r="U502" s="233"/>
      <c r="V502" s="232"/>
      <c r="W502" s="158"/>
      <c r="X502" s="260"/>
      <c r="Y502" s="260"/>
      <c r="Z502" s="232"/>
      <c r="AA502" s="232"/>
      <c r="AB502" s="265"/>
      <c r="AC502" s="232"/>
      <c r="AD502" s="158"/>
      <c r="AE502" s="158"/>
      <c r="AF502" s="158"/>
      <c r="AG502" s="158"/>
      <c r="AH502" s="158"/>
      <c r="AI502" s="158"/>
      <c r="AJ502" s="158"/>
    </row>
    <row r="503" spans="1:40" x14ac:dyDescent="0.25">
      <c r="E503" s="116"/>
      <c r="F503" s="117"/>
      <c r="G503" s="116"/>
      <c r="H503" s="118"/>
      <c r="I503" s="227"/>
      <c r="J503" s="227"/>
      <c r="K503" s="227"/>
      <c r="L503" s="227"/>
      <c r="M503" s="227"/>
      <c r="N503" s="227"/>
      <c r="O503" s="227"/>
      <c r="P503" s="227"/>
      <c r="Q503" s="227"/>
      <c r="R503" s="117"/>
      <c r="S503" s="228"/>
      <c r="T503" s="229"/>
      <c r="U503" s="164"/>
    </row>
    <row r="504" spans="1:40" s="159" customFormat="1" x14ac:dyDescent="0.25">
      <c r="A504" s="121"/>
      <c r="B504" s="121"/>
      <c r="C504" s="121"/>
      <c r="D504" s="121"/>
      <c r="E504" s="122"/>
      <c r="F504" s="123"/>
      <c r="G504" s="122"/>
      <c r="H504" s="125"/>
      <c r="I504" s="230"/>
      <c r="J504" s="230"/>
      <c r="K504" s="230"/>
      <c r="L504" s="230"/>
      <c r="M504" s="230"/>
      <c r="N504" s="230"/>
      <c r="O504" s="230"/>
      <c r="P504" s="230"/>
      <c r="Q504" s="230"/>
      <c r="R504" s="123"/>
      <c r="S504" s="231"/>
      <c r="T504" s="232"/>
      <c r="U504" s="233"/>
      <c r="V504" s="232"/>
      <c r="W504" s="158"/>
      <c r="X504" s="260"/>
      <c r="Y504" s="260"/>
      <c r="Z504" s="232"/>
      <c r="AA504" s="232"/>
      <c r="AB504" s="265"/>
      <c r="AC504" s="232"/>
      <c r="AD504" s="158"/>
      <c r="AE504" s="158"/>
      <c r="AF504" s="158"/>
      <c r="AG504" s="158"/>
      <c r="AH504" s="158"/>
      <c r="AI504" s="158"/>
      <c r="AJ504" s="158"/>
    </row>
    <row r="505" spans="1:40" x14ac:dyDescent="0.25">
      <c r="E505" s="116"/>
      <c r="F505" s="117"/>
      <c r="G505" s="116"/>
      <c r="H505" s="118"/>
      <c r="I505" s="227"/>
      <c r="J505" s="227"/>
      <c r="K505" s="227"/>
      <c r="L505" s="227"/>
      <c r="M505" s="227"/>
      <c r="N505" s="227"/>
      <c r="O505" s="227"/>
      <c r="P505" s="227"/>
      <c r="Q505" s="227"/>
      <c r="R505" s="117"/>
      <c r="S505" s="228"/>
      <c r="T505" s="229"/>
      <c r="U505" s="164"/>
    </row>
    <row r="506" spans="1:40" s="159" customFormat="1" x14ac:dyDescent="0.25">
      <c r="A506" s="121"/>
      <c r="B506" s="121"/>
      <c r="C506" s="121"/>
      <c r="D506" s="121"/>
      <c r="E506" s="122"/>
      <c r="F506" s="123"/>
      <c r="G506" s="122"/>
      <c r="H506" s="125"/>
      <c r="I506" s="230"/>
      <c r="J506" s="230"/>
      <c r="K506" s="230"/>
      <c r="L506" s="230"/>
      <c r="M506" s="230"/>
      <c r="N506" s="230"/>
      <c r="O506" s="230"/>
      <c r="P506" s="230"/>
      <c r="Q506" s="230"/>
      <c r="R506" s="123"/>
      <c r="S506" s="231"/>
      <c r="T506" s="232"/>
      <c r="U506" s="233"/>
      <c r="V506" s="232"/>
      <c r="W506" s="158"/>
      <c r="X506" s="260"/>
      <c r="Y506" s="260"/>
      <c r="Z506" s="232"/>
      <c r="AA506" s="232"/>
      <c r="AB506" s="265"/>
      <c r="AC506" s="232"/>
      <c r="AD506" s="158"/>
      <c r="AE506" s="158"/>
      <c r="AF506" s="158"/>
      <c r="AG506" s="158"/>
      <c r="AH506" s="158"/>
      <c r="AI506" s="158"/>
      <c r="AJ506" s="158"/>
    </row>
    <row r="507" spans="1:40" x14ac:dyDescent="0.25">
      <c r="E507" s="116"/>
      <c r="F507" s="117"/>
      <c r="G507" s="116"/>
      <c r="H507" s="118"/>
      <c r="I507" s="227"/>
      <c r="J507" s="227"/>
      <c r="K507" s="227"/>
      <c r="L507" s="227"/>
      <c r="M507" s="227"/>
      <c r="N507" s="227"/>
      <c r="O507" s="227"/>
      <c r="P507" s="227"/>
      <c r="Q507" s="227"/>
      <c r="R507" s="117"/>
      <c r="S507" s="228"/>
      <c r="T507" s="229"/>
      <c r="U507" s="164"/>
    </row>
    <row r="508" spans="1:40" s="159" customFormat="1" x14ac:dyDescent="0.25">
      <c r="A508" s="121"/>
      <c r="B508" s="121"/>
      <c r="C508" s="121"/>
      <c r="D508" s="121"/>
      <c r="E508" s="122"/>
      <c r="F508" s="123"/>
      <c r="G508" s="122"/>
      <c r="H508" s="125"/>
      <c r="I508" s="230"/>
      <c r="J508" s="230"/>
      <c r="K508" s="230"/>
      <c r="L508" s="230"/>
      <c r="M508" s="230"/>
      <c r="N508" s="230"/>
      <c r="O508" s="230"/>
      <c r="P508" s="230"/>
      <c r="Q508" s="230"/>
      <c r="R508" s="123"/>
      <c r="S508" s="231"/>
      <c r="T508" s="232"/>
      <c r="U508" s="233"/>
      <c r="V508" s="232"/>
      <c r="W508" s="158"/>
      <c r="X508" s="260"/>
      <c r="Y508" s="260"/>
      <c r="Z508" s="232"/>
      <c r="AA508" s="232"/>
      <c r="AB508" s="265"/>
      <c r="AC508" s="232"/>
      <c r="AD508" s="158"/>
      <c r="AE508" s="158"/>
      <c r="AF508" s="158"/>
      <c r="AG508" s="158"/>
      <c r="AH508" s="158"/>
      <c r="AI508" s="158"/>
      <c r="AJ508" s="158"/>
    </row>
    <row r="509" spans="1:40" x14ac:dyDescent="0.25">
      <c r="E509" s="116"/>
      <c r="F509" s="117"/>
      <c r="G509" s="116"/>
      <c r="H509" s="118"/>
      <c r="I509" s="227"/>
      <c r="J509" s="227"/>
      <c r="K509" s="227"/>
      <c r="L509" s="227"/>
      <c r="M509" s="227"/>
      <c r="N509" s="227"/>
      <c r="O509" s="227"/>
      <c r="P509" s="227"/>
      <c r="Q509" s="227"/>
      <c r="R509" s="117"/>
      <c r="S509" s="228"/>
      <c r="T509" s="229"/>
      <c r="U509" s="164"/>
    </row>
    <row r="510" spans="1:40" s="159" customFormat="1" x14ac:dyDescent="0.25">
      <c r="A510" s="121"/>
      <c r="B510" s="121"/>
      <c r="C510" s="121"/>
      <c r="D510" s="121"/>
      <c r="E510" s="122"/>
      <c r="F510" s="123"/>
      <c r="G510" s="122"/>
      <c r="H510" s="125"/>
      <c r="I510" s="230"/>
      <c r="J510" s="230"/>
      <c r="K510" s="230"/>
      <c r="L510" s="230"/>
      <c r="M510" s="230"/>
      <c r="N510" s="230"/>
      <c r="O510" s="230"/>
      <c r="P510" s="230"/>
      <c r="Q510" s="230"/>
      <c r="R510" s="123"/>
      <c r="S510" s="231"/>
      <c r="T510" s="232"/>
      <c r="U510" s="233"/>
      <c r="V510" s="232"/>
      <c r="W510" s="158"/>
      <c r="X510" s="260"/>
      <c r="Y510" s="260"/>
      <c r="Z510" s="232"/>
      <c r="AA510" s="232"/>
      <c r="AB510" s="265"/>
      <c r="AC510" s="232"/>
      <c r="AD510" s="158"/>
      <c r="AE510" s="158"/>
      <c r="AF510" s="158"/>
      <c r="AG510" s="158"/>
      <c r="AH510" s="158"/>
      <c r="AI510" s="158"/>
      <c r="AJ510" s="158"/>
    </row>
    <row r="511" spans="1:40" x14ac:dyDescent="0.25">
      <c r="E511" s="116"/>
      <c r="F511" s="117"/>
      <c r="G511" s="116"/>
      <c r="H511" s="118"/>
      <c r="I511" s="227"/>
      <c r="J511" s="227"/>
      <c r="K511" s="227"/>
      <c r="L511" s="227"/>
      <c r="M511" s="227"/>
      <c r="N511" s="227"/>
      <c r="O511" s="227"/>
      <c r="P511" s="227"/>
      <c r="Q511" s="227"/>
      <c r="R511" s="117"/>
      <c r="S511" s="228"/>
      <c r="T511" s="229"/>
      <c r="U511" s="164"/>
    </row>
    <row r="512" spans="1:40" s="159" customFormat="1" x14ac:dyDescent="0.25">
      <c r="A512" s="121"/>
      <c r="B512" s="121"/>
      <c r="C512" s="121"/>
      <c r="D512" s="121"/>
      <c r="E512" s="122"/>
      <c r="F512" s="123"/>
      <c r="G512" s="122"/>
      <c r="H512" s="125"/>
      <c r="I512" s="230"/>
      <c r="J512" s="230"/>
      <c r="K512" s="230"/>
      <c r="L512" s="230"/>
      <c r="M512" s="230"/>
      <c r="N512" s="230"/>
      <c r="O512" s="230"/>
      <c r="P512" s="230"/>
      <c r="Q512" s="230"/>
      <c r="R512" s="123"/>
      <c r="S512" s="231"/>
      <c r="T512" s="232"/>
      <c r="U512" s="233"/>
      <c r="V512" s="232"/>
      <c r="W512" s="158"/>
      <c r="X512" s="260"/>
      <c r="Y512" s="260"/>
      <c r="Z512" s="232"/>
      <c r="AA512" s="232"/>
      <c r="AB512" s="265"/>
      <c r="AC512" s="232"/>
      <c r="AD512" s="158"/>
      <c r="AE512" s="158"/>
      <c r="AF512" s="158"/>
      <c r="AG512" s="158"/>
      <c r="AH512" s="158"/>
      <c r="AI512" s="158"/>
      <c r="AJ512" s="158"/>
    </row>
    <row r="513" spans="1:36" x14ac:dyDescent="0.25">
      <c r="E513" s="116"/>
      <c r="F513" s="117"/>
      <c r="G513" s="116"/>
      <c r="H513" s="118"/>
      <c r="I513" s="227"/>
      <c r="J513" s="227"/>
      <c r="K513" s="227"/>
      <c r="L513" s="227"/>
      <c r="M513" s="227"/>
      <c r="N513" s="227"/>
      <c r="O513" s="227"/>
      <c r="P513" s="227"/>
      <c r="Q513" s="227"/>
      <c r="R513" s="117"/>
      <c r="S513" s="228"/>
      <c r="T513" s="229"/>
      <c r="U513" s="164"/>
    </row>
    <row r="514" spans="1:36" s="159" customFormat="1" x14ac:dyDescent="0.25">
      <c r="A514" s="121"/>
      <c r="B514" s="121"/>
      <c r="C514" s="121"/>
      <c r="D514" s="121"/>
      <c r="E514" s="122"/>
      <c r="F514" s="123"/>
      <c r="G514" s="122"/>
      <c r="H514" s="125"/>
      <c r="I514" s="230"/>
      <c r="J514" s="230"/>
      <c r="K514" s="230"/>
      <c r="L514" s="230"/>
      <c r="M514" s="230"/>
      <c r="N514" s="230"/>
      <c r="O514" s="230"/>
      <c r="P514" s="230"/>
      <c r="Q514" s="230"/>
      <c r="R514" s="123"/>
      <c r="S514" s="231"/>
      <c r="T514" s="232"/>
      <c r="U514" s="233"/>
      <c r="V514" s="232"/>
      <c r="W514" s="158"/>
      <c r="X514" s="260"/>
      <c r="Y514" s="260"/>
      <c r="Z514" s="232"/>
      <c r="AA514" s="232"/>
      <c r="AB514" s="265"/>
      <c r="AC514" s="232"/>
      <c r="AD514" s="158"/>
      <c r="AE514" s="158"/>
      <c r="AF514" s="158"/>
      <c r="AG514" s="158"/>
      <c r="AH514" s="158"/>
      <c r="AI514" s="158"/>
      <c r="AJ514" s="158"/>
    </row>
    <row r="515" spans="1:36" x14ac:dyDescent="0.25">
      <c r="E515" s="116"/>
      <c r="F515" s="117"/>
      <c r="G515" s="116"/>
      <c r="H515" s="118"/>
      <c r="I515" s="227"/>
      <c r="J515" s="227"/>
      <c r="K515" s="227"/>
      <c r="L515" s="227"/>
      <c r="M515" s="227"/>
      <c r="N515" s="227"/>
      <c r="O515" s="227"/>
      <c r="P515" s="227"/>
      <c r="Q515" s="227"/>
      <c r="R515" s="117"/>
      <c r="S515" s="228"/>
      <c r="T515" s="229"/>
      <c r="U515" s="164"/>
    </row>
    <row r="516" spans="1:36" s="159" customFormat="1" x14ac:dyDescent="0.25">
      <c r="A516" s="121"/>
      <c r="B516" s="121"/>
      <c r="C516" s="121"/>
      <c r="D516" s="121"/>
      <c r="E516" s="122"/>
      <c r="F516" s="123"/>
      <c r="G516" s="122"/>
      <c r="H516" s="125"/>
      <c r="I516" s="230"/>
      <c r="J516" s="230"/>
      <c r="K516" s="230"/>
      <c r="L516" s="230"/>
      <c r="M516" s="230"/>
      <c r="N516" s="230"/>
      <c r="O516" s="230"/>
      <c r="P516" s="230"/>
      <c r="Q516" s="230"/>
      <c r="R516" s="123"/>
      <c r="S516" s="231"/>
      <c r="T516" s="232"/>
      <c r="U516" s="233"/>
      <c r="V516" s="232"/>
      <c r="W516" s="158"/>
      <c r="X516" s="260"/>
      <c r="Y516" s="260"/>
      <c r="Z516" s="232"/>
      <c r="AA516" s="232"/>
      <c r="AB516" s="265"/>
      <c r="AC516" s="232"/>
      <c r="AD516" s="158"/>
      <c r="AE516" s="158"/>
      <c r="AF516" s="158"/>
      <c r="AG516" s="158"/>
      <c r="AH516" s="158"/>
      <c r="AI516" s="158"/>
      <c r="AJ516" s="158"/>
    </row>
    <row r="517" spans="1:36" x14ac:dyDescent="0.25">
      <c r="E517" s="116"/>
      <c r="F517" s="117"/>
      <c r="G517" s="116"/>
      <c r="H517" s="118"/>
      <c r="I517" s="227"/>
      <c r="J517" s="227"/>
      <c r="K517" s="227"/>
      <c r="L517" s="227"/>
      <c r="M517" s="227"/>
      <c r="N517" s="227"/>
      <c r="O517" s="227"/>
      <c r="P517" s="227"/>
      <c r="Q517" s="227"/>
      <c r="R517" s="117"/>
      <c r="S517" s="228"/>
      <c r="T517" s="229"/>
      <c r="U517" s="164"/>
    </row>
    <row r="518" spans="1:36" s="159" customFormat="1" x14ac:dyDescent="0.25">
      <c r="A518" s="121"/>
      <c r="B518" s="121"/>
      <c r="C518" s="121"/>
      <c r="D518" s="121"/>
      <c r="E518" s="122"/>
      <c r="F518" s="123"/>
      <c r="G518" s="122"/>
      <c r="H518" s="125"/>
      <c r="I518" s="230"/>
      <c r="J518" s="230"/>
      <c r="K518" s="230"/>
      <c r="L518" s="230"/>
      <c r="M518" s="230"/>
      <c r="N518" s="230"/>
      <c r="O518" s="230"/>
      <c r="P518" s="230"/>
      <c r="Q518" s="230"/>
      <c r="R518" s="123"/>
      <c r="S518" s="231"/>
      <c r="T518" s="232"/>
      <c r="U518" s="233"/>
      <c r="V518" s="232"/>
      <c r="W518" s="158"/>
      <c r="X518" s="260"/>
      <c r="Y518" s="260"/>
      <c r="Z518" s="232"/>
      <c r="AA518" s="232"/>
      <c r="AB518" s="265"/>
      <c r="AC518" s="232"/>
      <c r="AD518" s="158"/>
      <c r="AE518" s="158"/>
      <c r="AF518" s="158"/>
      <c r="AG518" s="158"/>
      <c r="AH518" s="158"/>
      <c r="AI518" s="158"/>
      <c r="AJ518" s="158"/>
    </row>
    <row r="519" spans="1:36" x14ac:dyDescent="0.25">
      <c r="E519" s="116"/>
      <c r="F519" s="117"/>
      <c r="G519" s="116"/>
      <c r="H519" s="118"/>
      <c r="I519" s="227"/>
      <c r="J519" s="227"/>
      <c r="K519" s="227"/>
      <c r="L519" s="227"/>
      <c r="M519" s="227"/>
      <c r="N519" s="227"/>
      <c r="O519" s="227"/>
      <c r="P519" s="227"/>
      <c r="Q519" s="227"/>
      <c r="R519" s="117"/>
      <c r="S519" s="228"/>
      <c r="T519" s="229"/>
      <c r="U519" s="164"/>
    </row>
    <row r="520" spans="1:36" s="159" customFormat="1" x14ac:dyDescent="0.25">
      <c r="A520" s="121"/>
      <c r="B520" s="121"/>
      <c r="C520" s="121"/>
      <c r="D520" s="121"/>
      <c r="E520" s="122"/>
      <c r="F520" s="123"/>
      <c r="G520" s="122"/>
      <c r="H520" s="125"/>
      <c r="I520" s="230"/>
      <c r="J520" s="230"/>
      <c r="K520" s="230"/>
      <c r="L520" s="230"/>
      <c r="M520" s="230"/>
      <c r="N520" s="230"/>
      <c r="O520" s="230"/>
      <c r="P520" s="230"/>
      <c r="Q520" s="230"/>
      <c r="R520" s="123"/>
      <c r="S520" s="231"/>
      <c r="T520" s="232"/>
      <c r="U520" s="233"/>
      <c r="V520" s="232"/>
      <c r="W520" s="158"/>
      <c r="X520" s="260"/>
      <c r="Y520" s="260"/>
      <c r="Z520" s="232"/>
      <c r="AA520" s="232"/>
      <c r="AB520" s="265"/>
      <c r="AC520" s="232"/>
      <c r="AD520" s="158"/>
      <c r="AE520" s="158"/>
      <c r="AF520" s="158"/>
      <c r="AG520" s="158"/>
      <c r="AH520" s="158"/>
      <c r="AI520" s="158"/>
      <c r="AJ520" s="158"/>
    </row>
    <row r="521" spans="1:36" x14ac:dyDescent="0.25">
      <c r="E521" s="116"/>
      <c r="F521" s="117"/>
      <c r="G521" s="116"/>
      <c r="H521" s="118"/>
      <c r="I521" s="227"/>
      <c r="J521" s="227"/>
      <c r="K521" s="227"/>
      <c r="L521" s="227"/>
      <c r="M521" s="227"/>
      <c r="N521" s="227"/>
      <c r="O521" s="227"/>
      <c r="P521" s="227"/>
      <c r="Q521" s="227"/>
      <c r="R521" s="117"/>
      <c r="S521" s="228"/>
      <c r="T521" s="229"/>
      <c r="U521" s="164"/>
    </row>
    <row r="522" spans="1:36" s="159" customFormat="1" x14ac:dyDescent="0.25">
      <c r="A522" s="121"/>
      <c r="B522" s="121"/>
      <c r="C522" s="121"/>
      <c r="D522" s="121"/>
      <c r="E522" s="122"/>
      <c r="F522" s="123"/>
      <c r="G522" s="122"/>
      <c r="H522" s="125"/>
      <c r="I522" s="230"/>
      <c r="J522" s="230"/>
      <c r="K522" s="230"/>
      <c r="L522" s="230"/>
      <c r="M522" s="230"/>
      <c r="N522" s="230"/>
      <c r="O522" s="230"/>
      <c r="P522" s="230"/>
      <c r="Q522" s="230"/>
      <c r="R522" s="123"/>
      <c r="S522" s="231"/>
      <c r="T522" s="232"/>
      <c r="U522" s="233"/>
      <c r="V522" s="232"/>
      <c r="W522" s="158"/>
      <c r="X522" s="260"/>
      <c r="Y522" s="260"/>
      <c r="Z522" s="232"/>
      <c r="AA522" s="232"/>
      <c r="AB522" s="265"/>
      <c r="AC522" s="232"/>
      <c r="AD522" s="158"/>
      <c r="AE522" s="158"/>
      <c r="AF522" s="158"/>
      <c r="AG522" s="158"/>
      <c r="AH522" s="158"/>
      <c r="AI522" s="158"/>
      <c r="AJ522" s="158"/>
    </row>
    <row r="523" spans="1:36" x14ac:dyDescent="0.25">
      <c r="E523" s="116"/>
      <c r="F523" s="117"/>
      <c r="G523" s="116"/>
      <c r="H523" s="118"/>
      <c r="I523" s="227"/>
      <c r="J523" s="227"/>
      <c r="K523" s="227"/>
      <c r="L523" s="227"/>
      <c r="M523" s="227"/>
      <c r="N523" s="227"/>
      <c r="O523" s="227"/>
      <c r="P523" s="227"/>
      <c r="Q523" s="227"/>
      <c r="R523" s="117"/>
      <c r="S523" s="228"/>
      <c r="T523" s="229"/>
      <c r="U523" s="164"/>
    </row>
    <row r="524" spans="1:36" s="159" customFormat="1" x14ac:dyDescent="0.25">
      <c r="A524" s="121"/>
      <c r="B524" s="121"/>
      <c r="C524" s="121"/>
      <c r="D524" s="121"/>
      <c r="E524" s="122"/>
      <c r="F524" s="123"/>
      <c r="G524" s="122"/>
      <c r="H524" s="125"/>
      <c r="I524" s="230"/>
      <c r="J524" s="230"/>
      <c r="K524" s="230"/>
      <c r="L524" s="230"/>
      <c r="M524" s="230"/>
      <c r="N524" s="230"/>
      <c r="O524" s="230"/>
      <c r="P524" s="230"/>
      <c r="Q524" s="230"/>
      <c r="R524" s="123"/>
      <c r="S524" s="231"/>
      <c r="T524" s="232"/>
      <c r="U524" s="233"/>
      <c r="V524" s="232"/>
      <c r="W524" s="158"/>
      <c r="X524" s="260"/>
      <c r="Y524" s="260"/>
      <c r="Z524" s="232"/>
      <c r="AA524" s="232"/>
      <c r="AB524" s="265"/>
      <c r="AC524" s="232"/>
      <c r="AD524" s="158"/>
      <c r="AE524" s="158"/>
      <c r="AF524" s="158"/>
      <c r="AG524" s="158"/>
      <c r="AH524" s="158"/>
      <c r="AI524" s="158"/>
      <c r="AJ524" s="158"/>
    </row>
    <row r="525" spans="1:36" x14ac:dyDescent="0.25">
      <c r="E525" s="116"/>
      <c r="F525" s="117"/>
      <c r="G525" s="116"/>
      <c r="H525" s="118"/>
      <c r="I525" s="227"/>
      <c r="J525" s="227"/>
      <c r="K525" s="227"/>
      <c r="L525" s="227"/>
      <c r="M525" s="227"/>
      <c r="N525" s="227"/>
      <c r="O525" s="227"/>
      <c r="P525" s="227"/>
      <c r="Q525" s="227"/>
      <c r="R525" s="117"/>
      <c r="S525" s="228"/>
      <c r="T525" s="229"/>
      <c r="U525" s="164"/>
    </row>
    <row r="526" spans="1:36" s="159" customFormat="1" x14ac:dyDescent="0.25">
      <c r="A526" s="121"/>
      <c r="B526" s="121"/>
      <c r="C526" s="121"/>
      <c r="D526" s="121"/>
      <c r="E526" s="122"/>
      <c r="F526" s="123"/>
      <c r="G526" s="122"/>
      <c r="H526" s="125"/>
      <c r="I526" s="230"/>
      <c r="J526" s="230"/>
      <c r="K526" s="230"/>
      <c r="L526" s="230"/>
      <c r="M526" s="230"/>
      <c r="N526" s="230"/>
      <c r="O526" s="230"/>
      <c r="P526" s="230"/>
      <c r="Q526" s="230"/>
      <c r="R526" s="123"/>
      <c r="S526" s="231"/>
      <c r="T526" s="232"/>
      <c r="U526" s="233"/>
      <c r="V526" s="232"/>
      <c r="W526" s="158"/>
      <c r="X526" s="260"/>
      <c r="Y526" s="260"/>
      <c r="Z526" s="232"/>
      <c r="AA526" s="232"/>
      <c r="AB526" s="265"/>
      <c r="AC526" s="232"/>
      <c r="AD526" s="158"/>
      <c r="AE526" s="158"/>
      <c r="AF526" s="158"/>
      <c r="AG526" s="158"/>
      <c r="AH526" s="158"/>
      <c r="AI526" s="158"/>
      <c r="AJ526" s="158"/>
    </row>
    <row r="527" spans="1:36" x14ac:dyDescent="0.25">
      <c r="E527" s="116"/>
      <c r="F527" s="117"/>
      <c r="G527" s="116"/>
      <c r="H527" s="118"/>
      <c r="I527" s="227"/>
      <c r="J527" s="227"/>
      <c r="K527" s="227"/>
      <c r="L527" s="227"/>
      <c r="M527" s="227"/>
      <c r="N527" s="227"/>
      <c r="O527" s="227"/>
      <c r="P527" s="227"/>
      <c r="Q527" s="227"/>
      <c r="R527" s="117"/>
      <c r="S527" s="228"/>
      <c r="T527" s="229"/>
      <c r="U527" s="164"/>
    </row>
    <row r="528" spans="1:36" s="159" customFormat="1" x14ac:dyDescent="0.25">
      <c r="A528" s="121"/>
      <c r="B528" s="121"/>
      <c r="C528" s="121"/>
      <c r="D528" s="121"/>
      <c r="E528" s="122"/>
      <c r="F528" s="123"/>
      <c r="G528" s="122"/>
      <c r="H528" s="125"/>
      <c r="I528" s="230"/>
      <c r="J528" s="230"/>
      <c r="K528" s="230"/>
      <c r="L528" s="230"/>
      <c r="M528" s="230"/>
      <c r="N528" s="230"/>
      <c r="O528" s="230"/>
      <c r="P528" s="230"/>
      <c r="Q528" s="230"/>
      <c r="R528" s="123"/>
      <c r="S528" s="231"/>
      <c r="T528" s="232"/>
      <c r="U528" s="233"/>
      <c r="V528" s="232"/>
      <c r="W528" s="158"/>
      <c r="X528" s="260"/>
      <c r="Y528" s="260"/>
      <c r="Z528" s="232"/>
      <c r="AA528" s="232"/>
      <c r="AB528" s="265"/>
      <c r="AC528" s="232"/>
      <c r="AD528" s="158"/>
      <c r="AE528" s="158"/>
      <c r="AF528" s="158"/>
      <c r="AG528" s="158"/>
      <c r="AH528" s="158"/>
      <c r="AI528" s="158"/>
      <c r="AJ528" s="158"/>
    </row>
    <row r="529" spans="1:36" x14ac:dyDescent="0.25">
      <c r="E529" s="116"/>
      <c r="F529" s="117"/>
      <c r="G529" s="116"/>
      <c r="H529" s="118"/>
      <c r="I529" s="227"/>
      <c r="J529" s="227"/>
      <c r="K529" s="227"/>
      <c r="L529" s="227"/>
      <c r="M529" s="227"/>
      <c r="N529" s="227"/>
      <c r="O529" s="227"/>
      <c r="P529" s="227"/>
      <c r="Q529" s="227"/>
      <c r="R529" s="117"/>
      <c r="S529" s="228"/>
      <c r="T529" s="229"/>
      <c r="U529" s="164"/>
    </row>
    <row r="530" spans="1:36" s="159" customFormat="1" x14ac:dyDescent="0.25">
      <c r="A530" s="121"/>
      <c r="B530" s="121"/>
      <c r="C530" s="121"/>
      <c r="D530" s="121"/>
      <c r="E530" s="122"/>
      <c r="F530" s="123"/>
      <c r="G530" s="122"/>
      <c r="H530" s="125"/>
      <c r="I530" s="230"/>
      <c r="J530" s="230"/>
      <c r="K530" s="230"/>
      <c r="L530" s="230"/>
      <c r="M530" s="230"/>
      <c r="N530" s="230"/>
      <c r="O530" s="230"/>
      <c r="P530" s="230"/>
      <c r="Q530" s="230"/>
      <c r="R530" s="123"/>
      <c r="S530" s="231"/>
      <c r="T530" s="232"/>
      <c r="U530" s="233"/>
      <c r="V530" s="232"/>
      <c r="W530" s="158"/>
      <c r="X530" s="260"/>
      <c r="Y530" s="260"/>
      <c r="Z530" s="232"/>
      <c r="AA530" s="232"/>
      <c r="AB530" s="265"/>
      <c r="AC530" s="232"/>
      <c r="AD530" s="158"/>
      <c r="AE530" s="158"/>
      <c r="AF530" s="158"/>
      <c r="AG530" s="158"/>
      <c r="AH530" s="158"/>
      <c r="AI530" s="158"/>
      <c r="AJ530" s="158"/>
    </row>
    <row r="531" spans="1:36" x14ac:dyDescent="0.25">
      <c r="E531" s="116"/>
      <c r="F531" s="117"/>
      <c r="G531" s="116"/>
      <c r="H531" s="118"/>
      <c r="I531" s="227"/>
      <c r="J531" s="227"/>
      <c r="K531" s="227"/>
      <c r="L531" s="227"/>
      <c r="M531" s="227"/>
      <c r="N531" s="227"/>
      <c r="O531" s="227"/>
      <c r="P531" s="227"/>
      <c r="Q531" s="227"/>
      <c r="R531" s="117"/>
      <c r="S531" s="228"/>
      <c r="T531" s="229"/>
      <c r="U531" s="164"/>
    </row>
    <row r="532" spans="1:36" s="159" customFormat="1" x14ac:dyDescent="0.25">
      <c r="A532" s="121"/>
      <c r="B532" s="121"/>
      <c r="C532" s="121"/>
      <c r="D532" s="121"/>
      <c r="E532" s="122"/>
      <c r="F532" s="123"/>
      <c r="G532" s="122"/>
      <c r="H532" s="125"/>
      <c r="I532" s="230"/>
      <c r="J532" s="230"/>
      <c r="K532" s="230"/>
      <c r="L532" s="230"/>
      <c r="M532" s="230"/>
      <c r="N532" s="230"/>
      <c r="O532" s="230"/>
      <c r="P532" s="230"/>
      <c r="Q532" s="230"/>
      <c r="R532" s="123"/>
      <c r="S532" s="231"/>
      <c r="T532" s="232"/>
      <c r="U532" s="233"/>
      <c r="V532" s="232"/>
      <c r="W532" s="158"/>
      <c r="X532" s="260"/>
      <c r="Y532" s="260"/>
      <c r="Z532" s="232"/>
      <c r="AA532" s="232"/>
      <c r="AB532" s="265"/>
      <c r="AC532" s="232"/>
      <c r="AD532" s="158"/>
      <c r="AE532" s="158"/>
      <c r="AF532" s="158"/>
      <c r="AG532" s="158"/>
      <c r="AH532" s="158"/>
      <c r="AI532" s="158"/>
      <c r="AJ532" s="158"/>
    </row>
    <row r="533" spans="1:36" x14ac:dyDescent="0.25">
      <c r="E533" s="116"/>
      <c r="F533" s="117"/>
      <c r="G533" s="116"/>
      <c r="H533" s="118"/>
      <c r="I533" s="227"/>
      <c r="J533" s="227"/>
      <c r="K533" s="227"/>
      <c r="L533" s="227"/>
      <c r="M533" s="227"/>
      <c r="N533" s="227"/>
      <c r="O533" s="227"/>
      <c r="P533" s="227"/>
      <c r="Q533" s="227"/>
      <c r="R533" s="117"/>
      <c r="S533" s="228"/>
      <c r="T533" s="229"/>
      <c r="U533" s="164"/>
    </row>
    <row r="534" spans="1:36" s="159" customFormat="1" x14ac:dyDescent="0.25">
      <c r="A534" s="121"/>
      <c r="B534" s="121"/>
      <c r="C534" s="121"/>
      <c r="D534" s="121"/>
      <c r="E534" s="122"/>
      <c r="F534" s="123"/>
      <c r="G534" s="122"/>
      <c r="H534" s="125"/>
      <c r="I534" s="230"/>
      <c r="J534" s="230"/>
      <c r="K534" s="230"/>
      <c r="L534" s="230"/>
      <c r="M534" s="230"/>
      <c r="N534" s="230"/>
      <c r="O534" s="230"/>
      <c r="P534" s="230"/>
      <c r="Q534" s="230"/>
      <c r="R534" s="123"/>
      <c r="S534" s="231"/>
      <c r="T534" s="232"/>
      <c r="U534" s="233"/>
      <c r="V534" s="232"/>
      <c r="W534" s="158"/>
      <c r="X534" s="260"/>
      <c r="Y534" s="260"/>
      <c r="Z534" s="232"/>
      <c r="AA534" s="232"/>
      <c r="AB534" s="265"/>
      <c r="AC534" s="232"/>
      <c r="AD534" s="158"/>
      <c r="AE534" s="158"/>
      <c r="AF534" s="158"/>
      <c r="AG534" s="158"/>
      <c r="AH534" s="158"/>
      <c r="AI534" s="158"/>
      <c r="AJ534" s="158"/>
    </row>
    <row r="535" spans="1:36" x14ac:dyDescent="0.25">
      <c r="E535" s="116"/>
      <c r="F535" s="117"/>
      <c r="G535" s="116"/>
      <c r="H535" s="118"/>
      <c r="I535" s="227"/>
      <c r="J535" s="227"/>
      <c r="K535" s="227"/>
      <c r="L535" s="227"/>
      <c r="M535" s="227"/>
      <c r="N535" s="227"/>
      <c r="O535" s="227"/>
      <c r="P535" s="227"/>
      <c r="Q535" s="227"/>
      <c r="R535" s="117"/>
      <c r="S535" s="228"/>
      <c r="T535" s="229"/>
      <c r="U535" s="164"/>
    </row>
    <row r="536" spans="1:36" s="159" customFormat="1" x14ac:dyDescent="0.25">
      <c r="A536" s="121"/>
      <c r="B536" s="121"/>
      <c r="C536" s="121"/>
      <c r="D536" s="121"/>
      <c r="E536" s="122"/>
      <c r="F536" s="123"/>
      <c r="G536" s="122"/>
      <c r="H536" s="125"/>
      <c r="I536" s="230"/>
      <c r="J536" s="230"/>
      <c r="K536" s="230"/>
      <c r="L536" s="230"/>
      <c r="M536" s="230"/>
      <c r="N536" s="230"/>
      <c r="O536" s="230"/>
      <c r="P536" s="230"/>
      <c r="Q536" s="230"/>
      <c r="R536" s="123"/>
      <c r="S536" s="231"/>
      <c r="T536" s="232"/>
      <c r="U536" s="233"/>
      <c r="V536" s="232"/>
      <c r="W536" s="158"/>
      <c r="X536" s="260"/>
      <c r="Y536" s="260"/>
      <c r="Z536" s="232"/>
      <c r="AA536" s="232"/>
      <c r="AB536" s="265"/>
      <c r="AC536" s="232"/>
      <c r="AD536" s="158"/>
      <c r="AE536" s="158"/>
      <c r="AF536" s="158"/>
      <c r="AG536" s="158"/>
      <c r="AH536" s="158"/>
      <c r="AI536" s="158"/>
      <c r="AJ536" s="158"/>
    </row>
    <row r="537" spans="1:36" x14ac:dyDescent="0.25">
      <c r="E537" s="116"/>
      <c r="F537" s="117"/>
      <c r="G537" s="116"/>
      <c r="H537" s="118"/>
      <c r="I537" s="227"/>
      <c r="J537" s="227"/>
      <c r="K537" s="227"/>
      <c r="L537" s="227"/>
      <c r="M537" s="227"/>
      <c r="N537" s="227"/>
      <c r="O537" s="227"/>
      <c r="P537" s="227"/>
      <c r="Q537" s="227"/>
      <c r="R537" s="117"/>
      <c r="S537" s="228"/>
      <c r="T537" s="229"/>
      <c r="U537" s="164"/>
    </row>
    <row r="538" spans="1:36" s="159" customFormat="1" x14ac:dyDescent="0.25">
      <c r="A538" s="121"/>
      <c r="B538" s="121"/>
      <c r="C538" s="121"/>
      <c r="D538" s="121"/>
      <c r="E538" s="122"/>
      <c r="F538" s="123"/>
      <c r="G538" s="122"/>
      <c r="H538" s="125"/>
      <c r="I538" s="230"/>
      <c r="J538" s="230"/>
      <c r="K538" s="230"/>
      <c r="L538" s="230"/>
      <c r="M538" s="230"/>
      <c r="N538" s="230"/>
      <c r="O538" s="230"/>
      <c r="P538" s="230"/>
      <c r="Q538" s="230"/>
      <c r="R538" s="123"/>
      <c r="S538" s="231"/>
      <c r="T538" s="232"/>
      <c r="U538" s="233"/>
      <c r="V538" s="232"/>
      <c r="W538" s="158"/>
      <c r="X538" s="260"/>
      <c r="Y538" s="260"/>
      <c r="Z538" s="232"/>
      <c r="AA538" s="232"/>
      <c r="AB538" s="265"/>
      <c r="AC538" s="232"/>
      <c r="AD538" s="158"/>
      <c r="AE538" s="158"/>
      <c r="AF538" s="158"/>
      <c r="AG538" s="158"/>
      <c r="AH538" s="158"/>
      <c r="AI538" s="158"/>
      <c r="AJ538" s="158"/>
    </row>
    <row r="539" spans="1:36" x14ac:dyDescent="0.25">
      <c r="E539" s="116"/>
      <c r="F539" s="117"/>
      <c r="G539" s="116"/>
      <c r="H539" s="118"/>
      <c r="I539" s="227"/>
      <c r="J539" s="227"/>
      <c r="K539" s="227"/>
      <c r="L539" s="227"/>
      <c r="M539" s="227"/>
      <c r="N539" s="227"/>
      <c r="O539" s="227"/>
      <c r="P539" s="227"/>
      <c r="Q539" s="227"/>
      <c r="R539" s="117"/>
      <c r="S539" s="228"/>
      <c r="T539" s="229"/>
      <c r="U539" s="164"/>
    </row>
    <row r="540" spans="1:36" s="159" customFormat="1" x14ac:dyDescent="0.25">
      <c r="A540" s="121"/>
      <c r="B540" s="121"/>
      <c r="C540" s="121"/>
      <c r="D540" s="121"/>
      <c r="E540" s="122"/>
      <c r="F540" s="123"/>
      <c r="G540" s="122"/>
      <c r="H540" s="125"/>
      <c r="I540" s="230"/>
      <c r="J540" s="230"/>
      <c r="K540" s="230"/>
      <c r="L540" s="230"/>
      <c r="M540" s="230"/>
      <c r="N540" s="230"/>
      <c r="O540" s="230"/>
      <c r="P540" s="230"/>
      <c r="Q540" s="230"/>
      <c r="R540" s="123"/>
      <c r="S540" s="231"/>
      <c r="T540" s="232"/>
      <c r="U540" s="233"/>
      <c r="V540" s="232"/>
      <c r="W540" s="158"/>
      <c r="X540" s="260"/>
      <c r="Y540" s="260"/>
      <c r="Z540" s="232"/>
      <c r="AA540" s="232"/>
      <c r="AB540" s="265"/>
      <c r="AC540" s="232"/>
      <c r="AD540" s="158"/>
      <c r="AE540" s="158"/>
      <c r="AF540" s="158"/>
      <c r="AG540" s="158"/>
      <c r="AH540" s="158"/>
      <c r="AI540" s="158"/>
      <c r="AJ540" s="158"/>
    </row>
    <row r="541" spans="1:36" x14ac:dyDescent="0.25">
      <c r="E541" s="116"/>
      <c r="F541" s="117"/>
      <c r="G541" s="116"/>
      <c r="H541" s="118"/>
      <c r="I541" s="227"/>
      <c r="J541" s="227"/>
      <c r="K541" s="227"/>
      <c r="L541" s="227"/>
      <c r="M541" s="227"/>
      <c r="N541" s="227"/>
      <c r="O541" s="227"/>
      <c r="P541" s="227"/>
      <c r="Q541" s="227"/>
      <c r="R541" s="117"/>
      <c r="S541" s="228"/>
      <c r="T541" s="229"/>
      <c r="U541" s="164"/>
    </row>
    <row r="542" spans="1:36" s="159" customFormat="1" x14ac:dyDescent="0.25">
      <c r="A542" s="121"/>
      <c r="B542" s="121"/>
      <c r="C542" s="121"/>
      <c r="D542" s="121"/>
      <c r="E542" s="122"/>
      <c r="F542" s="123"/>
      <c r="G542" s="122"/>
      <c r="H542" s="125"/>
      <c r="I542" s="230"/>
      <c r="J542" s="230"/>
      <c r="K542" s="230"/>
      <c r="L542" s="230"/>
      <c r="M542" s="230"/>
      <c r="N542" s="230"/>
      <c r="O542" s="230"/>
      <c r="P542" s="230"/>
      <c r="Q542" s="230"/>
      <c r="R542" s="123"/>
      <c r="S542" s="231"/>
      <c r="T542" s="232"/>
      <c r="U542" s="233"/>
      <c r="V542" s="232"/>
      <c r="W542" s="158"/>
      <c r="X542" s="260"/>
      <c r="Y542" s="260"/>
      <c r="Z542" s="232"/>
      <c r="AA542" s="232"/>
      <c r="AB542" s="265"/>
      <c r="AC542" s="232"/>
      <c r="AD542" s="158"/>
      <c r="AE542" s="158"/>
      <c r="AF542" s="158"/>
      <c r="AG542" s="158"/>
      <c r="AH542" s="158"/>
      <c r="AI542" s="158"/>
      <c r="AJ542" s="158"/>
    </row>
    <row r="543" spans="1:36" x14ac:dyDescent="0.25">
      <c r="E543" s="116"/>
      <c r="F543" s="117"/>
      <c r="G543" s="116"/>
      <c r="H543" s="118"/>
      <c r="I543" s="227"/>
      <c r="J543" s="227"/>
      <c r="K543" s="227"/>
      <c r="L543" s="227"/>
      <c r="M543" s="227"/>
      <c r="N543" s="227"/>
      <c r="O543" s="227"/>
      <c r="P543" s="227"/>
      <c r="Q543" s="227"/>
      <c r="R543" s="117"/>
      <c r="S543" s="228"/>
      <c r="T543" s="229"/>
      <c r="U543" s="164"/>
    </row>
    <row r="544" spans="1:36" s="159" customFormat="1" x14ac:dyDescent="0.25">
      <c r="A544" s="121"/>
      <c r="B544" s="121"/>
      <c r="C544" s="121"/>
      <c r="D544" s="121"/>
      <c r="E544" s="122"/>
      <c r="F544" s="123"/>
      <c r="G544" s="122"/>
      <c r="H544" s="125"/>
      <c r="I544" s="230"/>
      <c r="J544" s="230"/>
      <c r="K544" s="230"/>
      <c r="L544" s="230"/>
      <c r="M544" s="230"/>
      <c r="N544" s="230"/>
      <c r="O544" s="230"/>
      <c r="P544" s="230"/>
      <c r="Q544" s="230"/>
      <c r="R544" s="123"/>
      <c r="S544" s="231"/>
      <c r="T544" s="232"/>
      <c r="U544" s="233"/>
      <c r="V544" s="232"/>
      <c r="W544" s="158"/>
      <c r="X544" s="260"/>
      <c r="Y544" s="260"/>
      <c r="Z544" s="232"/>
      <c r="AA544" s="232"/>
      <c r="AB544" s="265"/>
      <c r="AC544" s="232"/>
      <c r="AD544" s="158"/>
      <c r="AE544" s="158"/>
      <c r="AF544" s="158"/>
      <c r="AG544" s="158"/>
      <c r="AH544" s="158"/>
      <c r="AI544" s="158"/>
      <c r="AJ544" s="158"/>
    </row>
    <row r="545" spans="1:36" x14ac:dyDescent="0.25">
      <c r="E545" s="116"/>
      <c r="F545" s="117"/>
      <c r="G545" s="116"/>
      <c r="H545" s="118"/>
      <c r="I545" s="227"/>
      <c r="J545" s="227"/>
      <c r="K545" s="227"/>
      <c r="L545" s="227"/>
      <c r="M545" s="227"/>
      <c r="N545" s="227"/>
      <c r="O545" s="227"/>
      <c r="P545" s="227"/>
      <c r="Q545" s="227"/>
      <c r="R545" s="117"/>
      <c r="S545" s="228"/>
      <c r="T545" s="229"/>
      <c r="U545" s="164"/>
    </row>
    <row r="546" spans="1:36" s="159" customFormat="1" x14ac:dyDescent="0.25">
      <c r="A546" s="121"/>
      <c r="B546" s="121"/>
      <c r="C546" s="121"/>
      <c r="D546" s="121"/>
      <c r="E546" s="122"/>
      <c r="F546" s="123"/>
      <c r="G546" s="122"/>
      <c r="H546" s="125"/>
      <c r="I546" s="230"/>
      <c r="J546" s="230"/>
      <c r="K546" s="230"/>
      <c r="L546" s="230"/>
      <c r="M546" s="230"/>
      <c r="N546" s="230"/>
      <c r="O546" s="230"/>
      <c r="P546" s="230"/>
      <c r="Q546" s="230"/>
      <c r="R546" s="123"/>
      <c r="S546" s="231"/>
      <c r="T546" s="232"/>
      <c r="U546" s="233"/>
      <c r="V546" s="232"/>
      <c r="W546" s="158"/>
      <c r="X546" s="260"/>
      <c r="Y546" s="260"/>
      <c r="Z546" s="232"/>
      <c r="AA546" s="232"/>
      <c r="AB546" s="265"/>
      <c r="AC546" s="232"/>
      <c r="AD546" s="158"/>
      <c r="AE546" s="158"/>
      <c r="AF546" s="158"/>
      <c r="AG546" s="158"/>
      <c r="AH546" s="158"/>
      <c r="AI546" s="158"/>
      <c r="AJ546" s="158"/>
    </row>
    <row r="547" spans="1:36" x14ac:dyDescent="0.25">
      <c r="E547" s="116"/>
      <c r="F547" s="117"/>
      <c r="G547" s="116"/>
      <c r="H547" s="118"/>
      <c r="I547" s="227"/>
      <c r="J547" s="227"/>
      <c r="K547" s="227"/>
      <c r="L547" s="227"/>
      <c r="M547" s="227"/>
      <c r="N547" s="227"/>
      <c r="O547" s="227"/>
      <c r="P547" s="227"/>
      <c r="Q547" s="227"/>
      <c r="R547" s="117"/>
      <c r="S547" s="228"/>
      <c r="T547" s="229"/>
      <c r="U547" s="164"/>
    </row>
    <row r="548" spans="1:36" s="159" customFormat="1" x14ac:dyDescent="0.25">
      <c r="A548" s="121"/>
      <c r="B548" s="121"/>
      <c r="C548" s="121"/>
      <c r="D548" s="121"/>
      <c r="E548" s="122"/>
      <c r="F548" s="123"/>
      <c r="G548" s="122"/>
      <c r="H548" s="125"/>
      <c r="I548" s="230"/>
      <c r="J548" s="230"/>
      <c r="K548" s="230"/>
      <c r="L548" s="230"/>
      <c r="M548" s="230"/>
      <c r="N548" s="230"/>
      <c r="O548" s="230"/>
      <c r="P548" s="230"/>
      <c r="Q548" s="230"/>
      <c r="R548" s="123"/>
      <c r="S548" s="231"/>
      <c r="T548" s="232"/>
      <c r="U548" s="233"/>
      <c r="V548" s="232"/>
      <c r="W548" s="158"/>
      <c r="X548" s="260"/>
      <c r="Y548" s="260"/>
      <c r="Z548" s="232"/>
      <c r="AA548" s="232"/>
      <c r="AB548" s="265"/>
      <c r="AC548" s="232"/>
      <c r="AD548" s="158"/>
      <c r="AE548" s="158"/>
      <c r="AF548" s="158"/>
      <c r="AG548" s="158"/>
      <c r="AH548" s="158"/>
      <c r="AI548" s="158"/>
      <c r="AJ548" s="158"/>
    </row>
    <row r="549" spans="1:36" x14ac:dyDescent="0.25">
      <c r="E549" s="116"/>
      <c r="F549" s="117"/>
      <c r="G549" s="116"/>
      <c r="H549" s="118"/>
      <c r="I549" s="227"/>
      <c r="J549" s="227"/>
      <c r="K549" s="227"/>
      <c r="L549" s="227"/>
      <c r="M549" s="227"/>
      <c r="N549" s="227"/>
      <c r="O549" s="227"/>
      <c r="P549" s="227"/>
      <c r="Q549" s="227"/>
      <c r="R549" s="117"/>
      <c r="S549" s="228"/>
      <c r="T549" s="229"/>
      <c r="U549" s="164"/>
    </row>
    <row r="550" spans="1:36" s="159" customFormat="1" x14ac:dyDescent="0.25">
      <c r="A550" s="121"/>
      <c r="B550" s="121"/>
      <c r="C550" s="121"/>
      <c r="D550" s="121"/>
      <c r="E550" s="122"/>
      <c r="F550" s="123"/>
      <c r="G550" s="122"/>
      <c r="H550" s="125"/>
      <c r="I550" s="230"/>
      <c r="J550" s="230"/>
      <c r="K550" s="230"/>
      <c r="L550" s="230"/>
      <c r="M550" s="230"/>
      <c r="N550" s="230"/>
      <c r="O550" s="230"/>
      <c r="P550" s="230"/>
      <c r="Q550" s="230"/>
      <c r="R550" s="123"/>
      <c r="S550" s="231"/>
      <c r="T550" s="232"/>
      <c r="U550" s="233"/>
      <c r="V550" s="232"/>
      <c r="W550" s="158"/>
      <c r="X550" s="260"/>
      <c r="Y550" s="260"/>
      <c r="Z550" s="232"/>
      <c r="AA550" s="232"/>
      <c r="AB550" s="265"/>
      <c r="AC550" s="232"/>
      <c r="AD550" s="158"/>
      <c r="AE550" s="158"/>
      <c r="AF550" s="158"/>
      <c r="AG550" s="158"/>
      <c r="AH550" s="158"/>
      <c r="AI550" s="158"/>
      <c r="AJ550" s="158"/>
    </row>
    <row r="551" spans="1:36" x14ac:dyDescent="0.25">
      <c r="E551" s="116"/>
      <c r="F551" s="117"/>
      <c r="G551" s="116"/>
      <c r="H551" s="118"/>
      <c r="I551" s="227"/>
      <c r="J551" s="227"/>
      <c r="K551" s="227"/>
      <c r="L551" s="227"/>
      <c r="M551" s="227"/>
      <c r="N551" s="227"/>
      <c r="O551" s="227"/>
      <c r="P551" s="227"/>
      <c r="Q551" s="227"/>
      <c r="R551" s="117"/>
      <c r="S551" s="228"/>
      <c r="T551" s="229"/>
      <c r="U551" s="164"/>
    </row>
    <row r="552" spans="1:36" s="159" customFormat="1" x14ac:dyDescent="0.25">
      <c r="A552" s="121"/>
      <c r="B552" s="121"/>
      <c r="C552" s="121"/>
      <c r="D552" s="121"/>
      <c r="E552" s="122"/>
      <c r="F552" s="123"/>
      <c r="G552" s="122"/>
      <c r="H552" s="125"/>
      <c r="I552" s="230"/>
      <c r="J552" s="230"/>
      <c r="K552" s="230"/>
      <c r="L552" s="230"/>
      <c r="M552" s="230"/>
      <c r="N552" s="230"/>
      <c r="O552" s="230"/>
      <c r="P552" s="230"/>
      <c r="Q552" s="230"/>
      <c r="R552" s="123"/>
      <c r="S552" s="231"/>
      <c r="T552" s="232"/>
      <c r="U552" s="233"/>
      <c r="V552" s="232"/>
      <c r="W552" s="158"/>
      <c r="X552" s="260"/>
      <c r="Y552" s="260"/>
      <c r="Z552" s="232"/>
      <c r="AA552" s="232"/>
      <c r="AB552" s="265"/>
      <c r="AC552" s="232"/>
      <c r="AD552" s="158"/>
      <c r="AE552" s="158"/>
      <c r="AF552" s="158"/>
      <c r="AG552" s="158"/>
      <c r="AH552" s="158"/>
      <c r="AI552" s="158"/>
      <c r="AJ552" s="158"/>
    </row>
    <row r="553" spans="1:36" x14ac:dyDescent="0.25">
      <c r="E553" s="116"/>
      <c r="F553" s="117"/>
      <c r="G553" s="116"/>
      <c r="H553" s="118"/>
      <c r="I553" s="227"/>
      <c r="J553" s="227"/>
      <c r="K553" s="227"/>
      <c r="L553" s="227"/>
      <c r="M553" s="227"/>
      <c r="N553" s="227"/>
      <c r="O553" s="227"/>
      <c r="P553" s="227"/>
      <c r="Q553" s="227"/>
      <c r="R553" s="117"/>
      <c r="S553" s="228"/>
      <c r="T553" s="229"/>
      <c r="U553" s="164"/>
    </row>
    <row r="554" spans="1:36" s="159" customFormat="1" x14ac:dyDescent="0.25">
      <c r="A554" s="121"/>
      <c r="B554" s="121"/>
      <c r="C554" s="121"/>
      <c r="D554" s="121"/>
      <c r="E554" s="122"/>
      <c r="F554" s="123"/>
      <c r="G554" s="122"/>
      <c r="H554" s="125"/>
      <c r="I554" s="230"/>
      <c r="J554" s="230"/>
      <c r="K554" s="230"/>
      <c r="L554" s="230"/>
      <c r="M554" s="230"/>
      <c r="N554" s="230"/>
      <c r="O554" s="230"/>
      <c r="P554" s="230"/>
      <c r="Q554" s="230"/>
      <c r="R554" s="123"/>
      <c r="S554" s="231"/>
      <c r="T554" s="232"/>
      <c r="U554" s="233"/>
      <c r="V554" s="232"/>
      <c r="W554" s="158"/>
      <c r="X554" s="260"/>
      <c r="Y554" s="260"/>
      <c r="Z554" s="232"/>
      <c r="AA554" s="232"/>
      <c r="AB554" s="265"/>
      <c r="AC554" s="232"/>
      <c r="AD554" s="158"/>
      <c r="AE554" s="158"/>
      <c r="AF554" s="158"/>
      <c r="AG554" s="158"/>
      <c r="AH554" s="158"/>
      <c r="AI554" s="158"/>
      <c r="AJ554" s="158"/>
    </row>
    <row r="555" spans="1:36" x14ac:dyDescent="0.25">
      <c r="E555" s="116"/>
      <c r="F555" s="117"/>
      <c r="G555" s="116"/>
      <c r="H555" s="118"/>
      <c r="I555" s="227"/>
      <c r="J555" s="227"/>
      <c r="K555" s="227"/>
      <c r="L555" s="227"/>
      <c r="M555" s="227"/>
      <c r="N555" s="227"/>
      <c r="O555" s="227"/>
      <c r="P555" s="227"/>
      <c r="Q555" s="227"/>
      <c r="R555" s="117"/>
      <c r="S555" s="228"/>
      <c r="T555" s="229"/>
      <c r="U555" s="164"/>
    </row>
    <row r="556" spans="1:36" s="159" customFormat="1" x14ac:dyDescent="0.25">
      <c r="A556" s="121"/>
      <c r="B556" s="121"/>
      <c r="C556" s="121"/>
      <c r="D556" s="121"/>
      <c r="E556" s="122"/>
      <c r="F556" s="123"/>
      <c r="G556" s="122"/>
      <c r="H556" s="125"/>
      <c r="I556" s="230"/>
      <c r="J556" s="230"/>
      <c r="K556" s="230"/>
      <c r="L556" s="230"/>
      <c r="M556" s="230"/>
      <c r="N556" s="230"/>
      <c r="O556" s="230"/>
      <c r="P556" s="230"/>
      <c r="Q556" s="230"/>
      <c r="R556" s="123"/>
      <c r="S556" s="231"/>
      <c r="T556" s="232"/>
      <c r="U556" s="233"/>
      <c r="V556" s="232"/>
      <c r="W556" s="158"/>
      <c r="X556" s="260"/>
      <c r="Y556" s="260"/>
      <c r="Z556" s="232"/>
      <c r="AA556" s="232"/>
      <c r="AB556" s="265"/>
      <c r="AC556" s="232"/>
      <c r="AD556" s="158"/>
      <c r="AE556" s="158"/>
      <c r="AF556" s="158"/>
      <c r="AG556" s="158"/>
      <c r="AH556" s="158"/>
      <c r="AI556" s="158"/>
      <c r="AJ556" s="158"/>
    </row>
    <row r="557" spans="1:36" x14ac:dyDescent="0.25">
      <c r="E557" s="116"/>
      <c r="F557" s="117"/>
      <c r="G557" s="116"/>
      <c r="H557" s="118"/>
      <c r="I557" s="227"/>
      <c r="J557" s="227"/>
      <c r="K557" s="227"/>
      <c r="L557" s="227"/>
      <c r="M557" s="227"/>
      <c r="N557" s="227"/>
      <c r="O557" s="227"/>
      <c r="P557" s="227"/>
      <c r="Q557" s="227"/>
      <c r="R557" s="117"/>
      <c r="S557" s="228"/>
      <c r="T557" s="229"/>
      <c r="U557" s="164"/>
    </row>
    <row r="558" spans="1:36" s="159" customFormat="1" x14ac:dyDescent="0.25">
      <c r="A558" s="121"/>
      <c r="B558" s="121"/>
      <c r="C558" s="121"/>
      <c r="D558" s="121"/>
      <c r="E558" s="122"/>
      <c r="F558" s="123"/>
      <c r="G558" s="122"/>
      <c r="H558" s="125"/>
      <c r="I558" s="230"/>
      <c r="J558" s="230"/>
      <c r="K558" s="230"/>
      <c r="L558" s="230"/>
      <c r="M558" s="230"/>
      <c r="N558" s="230"/>
      <c r="O558" s="230"/>
      <c r="P558" s="230"/>
      <c r="Q558" s="230"/>
      <c r="R558" s="123"/>
      <c r="S558" s="231"/>
      <c r="T558" s="232"/>
      <c r="U558" s="233"/>
      <c r="V558" s="232"/>
      <c r="W558" s="158"/>
      <c r="X558" s="260"/>
      <c r="Y558" s="260"/>
      <c r="Z558" s="232"/>
      <c r="AA558" s="232"/>
      <c r="AB558" s="265"/>
      <c r="AC558" s="232"/>
      <c r="AD558" s="158"/>
      <c r="AE558" s="158"/>
      <c r="AF558" s="158"/>
      <c r="AG558" s="158"/>
      <c r="AH558" s="158"/>
      <c r="AI558" s="158"/>
      <c r="AJ558" s="158"/>
    </row>
    <row r="559" spans="1:36" x14ac:dyDescent="0.25">
      <c r="E559" s="116"/>
      <c r="F559" s="117"/>
      <c r="G559" s="116"/>
      <c r="H559" s="118"/>
      <c r="I559" s="227"/>
      <c r="J559" s="227"/>
      <c r="K559" s="227"/>
      <c r="L559" s="227"/>
      <c r="M559" s="227"/>
      <c r="N559" s="227"/>
      <c r="O559" s="227"/>
      <c r="P559" s="227"/>
      <c r="Q559" s="227"/>
      <c r="R559" s="117"/>
      <c r="S559" s="228"/>
      <c r="T559" s="229"/>
      <c r="U559" s="164"/>
    </row>
    <row r="560" spans="1:36" s="159" customFormat="1" x14ac:dyDescent="0.25">
      <c r="A560" s="121"/>
      <c r="B560" s="121"/>
      <c r="C560" s="121"/>
      <c r="D560" s="121"/>
      <c r="E560" s="122"/>
      <c r="F560" s="123"/>
      <c r="G560" s="122"/>
      <c r="H560" s="125"/>
      <c r="I560" s="230"/>
      <c r="J560" s="230"/>
      <c r="K560" s="230"/>
      <c r="L560" s="230"/>
      <c r="M560" s="230"/>
      <c r="N560" s="230"/>
      <c r="O560" s="230"/>
      <c r="P560" s="230"/>
      <c r="Q560" s="230"/>
      <c r="R560" s="123"/>
      <c r="S560" s="231"/>
      <c r="T560" s="232"/>
      <c r="U560" s="233"/>
      <c r="V560" s="232"/>
      <c r="W560" s="158"/>
      <c r="X560" s="260"/>
      <c r="Y560" s="260"/>
      <c r="Z560" s="232"/>
      <c r="AA560" s="232"/>
      <c r="AB560" s="265"/>
      <c r="AC560" s="232"/>
      <c r="AD560" s="158"/>
      <c r="AE560" s="158"/>
      <c r="AF560" s="158"/>
      <c r="AG560" s="158"/>
      <c r="AH560" s="158"/>
      <c r="AI560" s="158"/>
      <c r="AJ560" s="158"/>
    </row>
    <row r="561" spans="1:36" x14ac:dyDescent="0.25">
      <c r="E561" s="116"/>
      <c r="F561" s="117"/>
      <c r="G561" s="116"/>
      <c r="H561" s="118"/>
      <c r="I561" s="227"/>
      <c r="J561" s="227"/>
      <c r="K561" s="227"/>
      <c r="L561" s="227"/>
      <c r="M561" s="227"/>
      <c r="N561" s="227"/>
      <c r="O561" s="227"/>
      <c r="P561" s="227"/>
      <c r="Q561" s="227"/>
      <c r="R561" s="117"/>
      <c r="S561" s="228"/>
      <c r="T561" s="229"/>
      <c r="U561" s="164"/>
    </row>
    <row r="562" spans="1:36" s="159" customFormat="1" x14ac:dyDescent="0.25">
      <c r="A562" s="121"/>
      <c r="B562" s="121"/>
      <c r="C562" s="121"/>
      <c r="D562" s="121"/>
      <c r="E562" s="122"/>
      <c r="F562" s="123"/>
      <c r="G562" s="122"/>
      <c r="H562" s="125"/>
      <c r="I562" s="230"/>
      <c r="J562" s="230"/>
      <c r="K562" s="230"/>
      <c r="L562" s="230"/>
      <c r="M562" s="230"/>
      <c r="N562" s="230"/>
      <c r="O562" s="230"/>
      <c r="P562" s="230"/>
      <c r="Q562" s="230"/>
      <c r="R562" s="123"/>
      <c r="S562" s="231"/>
      <c r="T562" s="232"/>
      <c r="U562" s="233"/>
      <c r="V562" s="232"/>
      <c r="W562" s="158"/>
      <c r="X562" s="260"/>
      <c r="Y562" s="260"/>
      <c r="Z562" s="232"/>
      <c r="AA562" s="232"/>
      <c r="AB562" s="265"/>
      <c r="AC562" s="232"/>
      <c r="AD562" s="158"/>
      <c r="AE562" s="158"/>
      <c r="AF562" s="158"/>
      <c r="AG562" s="158"/>
      <c r="AH562" s="158"/>
      <c r="AI562" s="158"/>
      <c r="AJ562" s="158"/>
    </row>
    <row r="563" spans="1:36" x14ac:dyDescent="0.25">
      <c r="E563" s="116"/>
      <c r="F563" s="117"/>
      <c r="G563" s="116"/>
      <c r="H563" s="118"/>
      <c r="I563" s="227"/>
      <c r="J563" s="227"/>
      <c r="K563" s="227"/>
      <c r="L563" s="227"/>
      <c r="M563" s="227"/>
      <c r="N563" s="227"/>
      <c r="O563" s="227"/>
      <c r="P563" s="227"/>
      <c r="Q563" s="227"/>
      <c r="R563" s="117"/>
      <c r="S563" s="228"/>
      <c r="T563" s="229"/>
      <c r="U563" s="164"/>
    </row>
    <row r="564" spans="1:36" s="159" customFormat="1" x14ac:dyDescent="0.25">
      <c r="A564" s="121"/>
      <c r="B564" s="121"/>
      <c r="C564" s="121"/>
      <c r="D564" s="121"/>
      <c r="E564" s="122"/>
      <c r="F564" s="123"/>
      <c r="G564" s="122"/>
      <c r="H564" s="125"/>
      <c r="I564" s="230"/>
      <c r="J564" s="230"/>
      <c r="K564" s="230"/>
      <c r="L564" s="230"/>
      <c r="M564" s="230"/>
      <c r="N564" s="230"/>
      <c r="O564" s="230"/>
      <c r="P564" s="230"/>
      <c r="Q564" s="230"/>
      <c r="R564" s="123"/>
      <c r="S564" s="231"/>
      <c r="T564" s="232"/>
      <c r="U564" s="233"/>
      <c r="V564" s="232"/>
      <c r="W564" s="158"/>
      <c r="X564" s="260"/>
      <c r="Y564" s="260"/>
      <c r="Z564" s="232"/>
      <c r="AA564" s="232"/>
      <c r="AB564" s="265"/>
      <c r="AC564" s="232"/>
      <c r="AD564" s="158"/>
      <c r="AE564" s="158"/>
      <c r="AF564" s="158"/>
      <c r="AG564" s="158"/>
      <c r="AH564" s="158"/>
      <c r="AI564" s="158"/>
      <c r="AJ564" s="158"/>
    </row>
    <row r="565" spans="1:36" x14ac:dyDescent="0.25">
      <c r="E565" s="116"/>
      <c r="F565" s="117"/>
      <c r="G565" s="116"/>
      <c r="H565" s="118"/>
      <c r="I565" s="227"/>
      <c r="J565" s="227"/>
      <c r="K565" s="227"/>
      <c r="L565" s="227"/>
      <c r="M565" s="227"/>
      <c r="N565" s="227"/>
      <c r="O565" s="227"/>
      <c r="P565" s="227"/>
      <c r="Q565" s="227"/>
      <c r="R565" s="117"/>
      <c r="S565" s="228"/>
      <c r="T565" s="229"/>
      <c r="U565" s="164"/>
    </row>
    <row r="566" spans="1:36" s="159" customFormat="1" x14ac:dyDescent="0.25">
      <c r="A566" s="121"/>
      <c r="B566" s="121"/>
      <c r="C566" s="121"/>
      <c r="D566" s="121"/>
      <c r="E566" s="122"/>
      <c r="F566" s="123"/>
      <c r="G566" s="122"/>
      <c r="H566" s="125"/>
      <c r="I566" s="230"/>
      <c r="J566" s="230"/>
      <c r="K566" s="230"/>
      <c r="L566" s="230"/>
      <c r="M566" s="230"/>
      <c r="N566" s="230"/>
      <c r="O566" s="230"/>
      <c r="P566" s="230"/>
      <c r="Q566" s="230"/>
      <c r="R566" s="123"/>
      <c r="S566" s="231"/>
      <c r="T566" s="232"/>
      <c r="U566" s="233"/>
      <c r="V566" s="232"/>
      <c r="W566" s="158"/>
      <c r="X566" s="260"/>
      <c r="Y566" s="260"/>
      <c r="Z566" s="232"/>
      <c r="AA566" s="232"/>
      <c r="AB566" s="265"/>
      <c r="AC566" s="232"/>
      <c r="AD566" s="158"/>
      <c r="AE566" s="158"/>
      <c r="AF566" s="158"/>
      <c r="AG566" s="158"/>
      <c r="AH566" s="158"/>
      <c r="AI566" s="158"/>
      <c r="AJ566" s="158"/>
    </row>
    <row r="567" spans="1:36" x14ac:dyDescent="0.25">
      <c r="E567" s="116"/>
      <c r="F567" s="117"/>
      <c r="G567" s="116"/>
      <c r="H567" s="118"/>
      <c r="I567" s="227"/>
      <c r="J567" s="227"/>
      <c r="K567" s="227"/>
      <c r="L567" s="227"/>
      <c r="M567" s="227"/>
      <c r="N567" s="227"/>
      <c r="O567" s="227"/>
      <c r="P567" s="227"/>
      <c r="Q567" s="227"/>
      <c r="R567" s="117"/>
      <c r="S567" s="228"/>
      <c r="T567" s="229"/>
      <c r="U567" s="164"/>
    </row>
    <row r="568" spans="1:36" s="159" customFormat="1" x14ac:dyDescent="0.25">
      <c r="A568" s="121"/>
      <c r="B568" s="121"/>
      <c r="C568" s="121"/>
      <c r="D568" s="121"/>
      <c r="E568" s="122"/>
      <c r="F568" s="123"/>
      <c r="G568" s="122"/>
      <c r="H568" s="125"/>
      <c r="I568" s="230"/>
      <c r="J568" s="230"/>
      <c r="K568" s="230"/>
      <c r="L568" s="230"/>
      <c r="M568" s="230"/>
      <c r="N568" s="230"/>
      <c r="O568" s="230"/>
      <c r="P568" s="230"/>
      <c r="Q568" s="230"/>
      <c r="R568" s="123"/>
      <c r="S568" s="231"/>
      <c r="T568" s="232"/>
      <c r="U568" s="233"/>
      <c r="V568" s="232"/>
      <c r="W568" s="158"/>
      <c r="X568" s="260"/>
      <c r="Y568" s="260"/>
      <c r="Z568" s="232"/>
      <c r="AA568" s="232"/>
      <c r="AB568" s="265"/>
      <c r="AC568" s="232"/>
      <c r="AD568" s="158"/>
      <c r="AE568" s="158"/>
      <c r="AF568" s="158"/>
      <c r="AG568" s="158"/>
      <c r="AH568" s="158"/>
      <c r="AI568" s="158"/>
      <c r="AJ568" s="158"/>
    </row>
    <row r="569" spans="1:36" x14ac:dyDescent="0.25">
      <c r="E569" s="116"/>
      <c r="F569" s="117"/>
      <c r="G569" s="116"/>
      <c r="H569" s="118"/>
      <c r="I569" s="227"/>
      <c r="J569" s="227"/>
      <c r="K569" s="227"/>
      <c r="L569" s="227"/>
      <c r="M569" s="227"/>
      <c r="N569" s="227"/>
      <c r="O569" s="227"/>
      <c r="P569" s="227"/>
      <c r="Q569" s="227"/>
      <c r="R569" s="117"/>
      <c r="S569" s="228"/>
      <c r="T569" s="229"/>
      <c r="U569" s="164"/>
    </row>
    <row r="570" spans="1:36" s="159" customFormat="1" x14ac:dyDescent="0.25">
      <c r="A570" s="121"/>
      <c r="B570" s="121"/>
      <c r="C570" s="121"/>
      <c r="D570" s="121"/>
      <c r="E570" s="122"/>
      <c r="F570" s="123"/>
      <c r="G570" s="122"/>
      <c r="H570" s="125"/>
      <c r="I570" s="230"/>
      <c r="J570" s="230"/>
      <c r="K570" s="230"/>
      <c r="L570" s="230"/>
      <c r="M570" s="230"/>
      <c r="N570" s="230"/>
      <c r="O570" s="230"/>
      <c r="P570" s="230"/>
      <c r="Q570" s="230"/>
      <c r="R570" s="123"/>
      <c r="S570" s="231"/>
      <c r="T570" s="232"/>
      <c r="U570" s="233"/>
      <c r="V570" s="232"/>
      <c r="W570" s="158"/>
      <c r="X570" s="260"/>
      <c r="Y570" s="260"/>
      <c r="Z570" s="232"/>
      <c r="AA570" s="232"/>
      <c r="AB570" s="265"/>
      <c r="AC570" s="232"/>
      <c r="AD570" s="158"/>
      <c r="AE570" s="158"/>
      <c r="AF570" s="158"/>
      <c r="AG570" s="158"/>
      <c r="AH570" s="158"/>
      <c r="AI570" s="158"/>
      <c r="AJ570" s="158"/>
    </row>
    <row r="571" spans="1:36" x14ac:dyDescent="0.25">
      <c r="E571" s="116"/>
      <c r="F571" s="117"/>
      <c r="G571" s="116"/>
      <c r="H571" s="118"/>
      <c r="I571" s="227"/>
      <c r="J571" s="227"/>
      <c r="K571" s="227"/>
      <c r="L571" s="227"/>
      <c r="M571" s="227"/>
      <c r="N571" s="227"/>
      <c r="O571" s="227"/>
      <c r="P571" s="227"/>
      <c r="Q571" s="227"/>
      <c r="R571" s="117"/>
      <c r="S571" s="228"/>
      <c r="T571" s="229"/>
      <c r="U571" s="164"/>
    </row>
    <row r="572" spans="1:36" s="159" customFormat="1" x14ac:dyDescent="0.25">
      <c r="A572" s="121"/>
      <c r="B572" s="121"/>
      <c r="C572" s="121"/>
      <c r="D572" s="121"/>
      <c r="E572" s="122"/>
      <c r="F572" s="123"/>
      <c r="G572" s="122"/>
      <c r="H572" s="125"/>
      <c r="I572" s="230"/>
      <c r="J572" s="230"/>
      <c r="K572" s="230"/>
      <c r="L572" s="230"/>
      <c r="M572" s="230"/>
      <c r="N572" s="230"/>
      <c r="O572" s="230"/>
      <c r="P572" s="230"/>
      <c r="Q572" s="230"/>
      <c r="R572" s="123"/>
      <c r="S572" s="231"/>
      <c r="T572" s="232"/>
      <c r="U572" s="233"/>
      <c r="V572" s="232"/>
      <c r="W572" s="158"/>
      <c r="X572" s="260"/>
      <c r="Y572" s="260"/>
      <c r="Z572" s="232"/>
      <c r="AA572" s="232"/>
      <c r="AB572" s="265"/>
      <c r="AC572" s="232"/>
      <c r="AD572" s="158"/>
      <c r="AE572" s="158"/>
      <c r="AF572" s="158"/>
      <c r="AG572" s="158"/>
      <c r="AH572" s="158"/>
      <c r="AI572" s="158"/>
      <c r="AJ572" s="158"/>
    </row>
    <row r="573" spans="1:36" x14ac:dyDescent="0.25">
      <c r="E573" s="116"/>
      <c r="F573" s="117"/>
      <c r="G573" s="116"/>
      <c r="H573" s="118"/>
      <c r="I573" s="227"/>
      <c r="J573" s="227"/>
      <c r="K573" s="227"/>
      <c r="L573" s="227"/>
      <c r="M573" s="227"/>
      <c r="N573" s="227"/>
      <c r="O573" s="227"/>
      <c r="P573" s="227"/>
      <c r="Q573" s="227"/>
      <c r="R573" s="117"/>
      <c r="S573" s="228"/>
      <c r="T573" s="229"/>
      <c r="U573" s="164"/>
    </row>
    <row r="574" spans="1:36" s="159" customFormat="1" x14ac:dyDescent="0.25">
      <c r="A574" s="121"/>
      <c r="B574" s="121"/>
      <c r="C574" s="121"/>
      <c r="D574" s="121"/>
      <c r="E574" s="122"/>
      <c r="F574" s="123"/>
      <c r="G574" s="122"/>
      <c r="H574" s="125"/>
      <c r="I574" s="230"/>
      <c r="J574" s="230"/>
      <c r="K574" s="230"/>
      <c r="L574" s="230"/>
      <c r="M574" s="230"/>
      <c r="N574" s="230"/>
      <c r="O574" s="230"/>
      <c r="P574" s="230"/>
      <c r="Q574" s="230"/>
      <c r="R574" s="123"/>
      <c r="S574" s="231"/>
      <c r="T574" s="232"/>
      <c r="U574" s="233"/>
      <c r="V574" s="232"/>
      <c r="W574" s="158"/>
      <c r="X574" s="260"/>
      <c r="Y574" s="260"/>
      <c r="Z574" s="232"/>
      <c r="AA574" s="232"/>
      <c r="AB574" s="265"/>
      <c r="AC574" s="232"/>
      <c r="AD574" s="158"/>
      <c r="AE574" s="158"/>
      <c r="AF574" s="158"/>
      <c r="AG574" s="158"/>
      <c r="AH574" s="158"/>
      <c r="AI574" s="158"/>
      <c r="AJ574" s="158"/>
    </row>
    <row r="575" spans="1:36" x14ac:dyDescent="0.25">
      <c r="E575" s="116"/>
      <c r="F575" s="117"/>
      <c r="G575" s="116"/>
      <c r="H575" s="118"/>
      <c r="I575" s="227"/>
      <c r="J575" s="227"/>
      <c r="K575" s="227"/>
      <c r="L575" s="227"/>
      <c r="M575" s="227"/>
      <c r="N575" s="227"/>
      <c r="O575" s="227"/>
      <c r="P575" s="227"/>
      <c r="Q575" s="227"/>
      <c r="R575" s="117"/>
      <c r="S575" s="228"/>
      <c r="T575" s="229"/>
      <c r="U575" s="164"/>
    </row>
    <row r="576" spans="1:36" s="159" customFormat="1" x14ac:dyDescent="0.25">
      <c r="A576" s="121"/>
      <c r="B576" s="121"/>
      <c r="C576" s="121"/>
      <c r="D576" s="121"/>
      <c r="E576" s="122"/>
      <c r="F576" s="123"/>
      <c r="G576" s="122"/>
      <c r="H576" s="125"/>
      <c r="I576" s="230"/>
      <c r="J576" s="230"/>
      <c r="K576" s="230"/>
      <c r="L576" s="230"/>
      <c r="M576" s="230"/>
      <c r="N576" s="230"/>
      <c r="O576" s="230"/>
      <c r="P576" s="230"/>
      <c r="Q576" s="230"/>
      <c r="R576" s="123"/>
      <c r="S576" s="231"/>
      <c r="T576" s="232"/>
      <c r="U576" s="233"/>
      <c r="V576" s="232"/>
      <c r="W576" s="158"/>
      <c r="X576" s="260"/>
      <c r="Y576" s="260"/>
      <c r="Z576" s="232"/>
      <c r="AA576" s="232"/>
      <c r="AB576" s="265"/>
      <c r="AC576" s="232"/>
      <c r="AD576" s="158"/>
      <c r="AE576" s="158"/>
      <c r="AF576" s="158"/>
      <c r="AG576" s="158"/>
      <c r="AH576" s="158"/>
      <c r="AI576" s="158"/>
      <c r="AJ576" s="158"/>
    </row>
    <row r="577" spans="1:36" x14ac:dyDescent="0.25">
      <c r="E577" s="116"/>
      <c r="F577" s="117"/>
      <c r="G577" s="116"/>
      <c r="H577" s="118"/>
      <c r="I577" s="227"/>
      <c r="J577" s="227"/>
      <c r="K577" s="227"/>
      <c r="L577" s="227"/>
      <c r="M577" s="227"/>
      <c r="N577" s="227"/>
      <c r="O577" s="227"/>
      <c r="P577" s="227"/>
      <c r="Q577" s="227"/>
      <c r="R577" s="117"/>
      <c r="S577" s="228"/>
      <c r="T577" s="229"/>
      <c r="U577" s="164"/>
    </row>
    <row r="578" spans="1:36" s="159" customFormat="1" x14ac:dyDescent="0.25">
      <c r="A578" s="121"/>
      <c r="B578" s="121"/>
      <c r="C578" s="121"/>
      <c r="D578" s="121"/>
      <c r="E578" s="122"/>
      <c r="F578" s="123"/>
      <c r="G578" s="122"/>
      <c r="H578" s="125"/>
      <c r="I578" s="230"/>
      <c r="J578" s="230"/>
      <c r="K578" s="230"/>
      <c r="L578" s="230"/>
      <c r="M578" s="230"/>
      <c r="N578" s="230"/>
      <c r="O578" s="230"/>
      <c r="P578" s="230"/>
      <c r="Q578" s="230"/>
      <c r="R578" s="123"/>
      <c r="S578" s="231"/>
      <c r="T578" s="232"/>
      <c r="U578" s="233"/>
      <c r="V578" s="232"/>
      <c r="W578" s="158"/>
      <c r="X578" s="260"/>
      <c r="Y578" s="260"/>
      <c r="Z578" s="232"/>
      <c r="AA578" s="232"/>
      <c r="AB578" s="265"/>
      <c r="AC578" s="232"/>
      <c r="AD578" s="158"/>
      <c r="AE578" s="158"/>
      <c r="AF578" s="158"/>
      <c r="AG578" s="158"/>
      <c r="AH578" s="158"/>
      <c r="AI578" s="158"/>
      <c r="AJ578" s="158"/>
    </row>
    <row r="579" spans="1:36" x14ac:dyDescent="0.25">
      <c r="E579" s="116"/>
      <c r="F579" s="117"/>
      <c r="G579" s="116"/>
      <c r="H579" s="118"/>
      <c r="I579" s="227"/>
      <c r="J579" s="227"/>
      <c r="K579" s="227"/>
      <c r="L579" s="227"/>
      <c r="M579" s="227"/>
      <c r="N579" s="227"/>
      <c r="O579" s="227"/>
      <c r="P579" s="227"/>
      <c r="Q579" s="227"/>
      <c r="R579" s="117"/>
      <c r="S579" s="228"/>
      <c r="T579" s="229"/>
      <c r="U579" s="164"/>
    </row>
    <row r="580" spans="1:36" s="159" customFormat="1" x14ac:dyDescent="0.25">
      <c r="A580" s="121"/>
      <c r="B580" s="121"/>
      <c r="C580" s="121"/>
      <c r="D580" s="121"/>
      <c r="E580" s="122"/>
      <c r="F580" s="123"/>
      <c r="G580" s="122"/>
      <c r="H580" s="125"/>
      <c r="I580" s="230"/>
      <c r="J580" s="230"/>
      <c r="K580" s="230"/>
      <c r="L580" s="230"/>
      <c r="M580" s="230"/>
      <c r="N580" s="230"/>
      <c r="O580" s="230"/>
      <c r="P580" s="230"/>
      <c r="Q580" s="230"/>
      <c r="R580" s="123"/>
      <c r="S580" s="231"/>
      <c r="T580" s="232"/>
      <c r="U580" s="233"/>
      <c r="V580" s="232"/>
      <c r="W580" s="158"/>
      <c r="X580" s="260"/>
      <c r="Y580" s="260"/>
      <c r="Z580" s="232"/>
      <c r="AA580" s="232"/>
      <c r="AB580" s="265"/>
      <c r="AC580" s="232"/>
      <c r="AD580" s="158"/>
      <c r="AE580" s="158"/>
      <c r="AF580" s="158"/>
      <c r="AG580" s="158"/>
      <c r="AH580" s="158"/>
      <c r="AI580" s="158"/>
      <c r="AJ580" s="158"/>
    </row>
    <row r="581" spans="1:36" x14ac:dyDescent="0.25">
      <c r="E581" s="116"/>
      <c r="F581" s="117"/>
      <c r="G581" s="116"/>
      <c r="H581" s="118"/>
      <c r="I581" s="227"/>
      <c r="J581" s="227"/>
      <c r="K581" s="227"/>
      <c r="L581" s="227"/>
      <c r="M581" s="227"/>
      <c r="N581" s="227"/>
      <c r="O581" s="227"/>
      <c r="P581" s="227"/>
      <c r="Q581" s="227"/>
      <c r="R581" s="117"/>
      <c r="S581" s="228"/>
      <c r="T581" s="229"/>
      <c r="U581" s="164"/>
    </row>
    <row r="582" spans="1:36" s="159" customFormat="1" x14ac:dyDescent="0.25">
      <c r="A582" s="121"/>
      <c r="B582" s="121"/>
      <c r="C582" s="121"/>
      <c r="D582" s="121"/>
      <c r="E582" s="122"/>
      <c r="F582" s="123"/>
      <c r="G582" s="122"/>
      <c r="H582" s="125"/>
      <c r="I582" s="230"/>
      <c r="J582" s="230"/>
      <c r="K582" s="230"/>
      <c r="L582" s="230"/>
      <c r="M582" s="230"/>
      <c r="N582" s="230"/>
      <c r="O582" s="230"/>
      <c r="P582" s="230"/>
      <c r="Q582" s="230"/>
      <c r="R582" s="123"/>
      <c r="S582" s="231"/>
      <c r="T582" s="232"/>
      <c r="U582" s="233"/>
      <c r="V582" s="232"/>
      <c r="W582" s="158"/>
      <c r="X582" s="260"/>
      <c r="Y582" s="260"/>
      <c r="Z582" s="232"/>
      <c r="AA582" s="232"/>
      <c r="AB582" s="265"/>
      <c r="AC582" s="232"/>
      <c r="AD582" s="158"/>
      <c r="AE582" s="158"/>
      <c r="AF582" s="158"/>
      <c r="AG582" s="158"/>
      <c r="AH582" s="158"/>
      <c r="AI582" s="158"/>
      <c r="AJ582" s="158"/>
    </row>
    <row r="583" spans="1:36" x14ac:dyDescent="0.25">
      <c r="E583" s="116"/>
      <c r="F583" s="117"/>
      <c r="G583" s="116"/>
      <c r="H583" s="118"/>
      <c r="I583" s="227"/>
      <c r="J583" s="227"/>
      <c r="K583" s="227"/>
      <c r="L583" s="227"/>
      <c r="M583" s="227"/>
      <c r="N583" s="227"/>
      <c r="O583" s="227"/>
      <c r="P583" s="227"/>
      <c r="Q583" s="227"/>
      <c r="R583" s="117"/>
      <c r="S583" s="228"/>
      <c r="T583" s="229"/>
      <c r="U583" s="164"/>
    </row>
    <row r="584" spans="1:36" s="159" customFormat="1" x14ac:dyDescent="0.25">
      <c r="A584" s="121"/>
      <c r="B584" s="121"/>
      <c r="C584" s="121"/>
      <c r="D584" s="121"/>
      <c r="E584" s="122"/>
      <c r="F584" s="123"/>
      <c r="G584" s="122"/>
      <c r="H584" s="125"/>
      <c r="I584" s="230"/>
      <c r="J584" s="230"/>
      <c r="K584" s="230"/>
      <c r="L584" s="230"/>
      <c r="M584" s="230"/>
      <c r="N584" s="230"/>
      <c r="O584" s="230"/>
      <c r="P584" s="230"/>
      <c r="Q584" s="230"/>
      <c r="R584" s="123"/>
      <c r="S584" s="231"/>
      <c r="T584" s="232"/>
      <c r="U584" s="233"/>
      <c r="V584" s="232"/>
      <c r="W584" s="158"/>
      <c r="X584" s="260"/>
      <c r="Y584" s="260"/>
      <c r="Z584" s="232"/>
      <c r="AA584" s="232"/>
      <c r="AB584" s="265"/>
      <c r="AC584" s="232"/>
      <c r="AD584" s="158"/>
      <c r="AE584" s="158"/>
      <c r="AF584" s="158"/>
      <c r="AG584" s="158"/>
      <c r="AH584" s="158"/>
      <c r="AI584" s="158"/>
      <c r="AJ584" s="158"/>
    </row>
    <row r="585" spans="1:36" x14ac:dyDescent="0.25">
      <c r="E585" s="116"/>
      <c r="F585" s="117"/>
      <c r="G585" s="116"/>
      <c r="H585" s="118"/>
      <c r="I585" s="227"/>
      <c r="J585" s="227"/>
      <c r="K585" s="227"/>
      <c r="L585" s="227"/>
      <c r="M585" s="227"/>
      <c r="N585" s="227"/>
      <c r="O585" s="227"/>
      <c r="P585" s="227"/>
      <c r="Q585" s="227"/>
      <c r="R585" s="117"/>
      <c r="S585" s="228"/>
      <c r="T585" s="229"/>
      <c r="U585" s="164"/>
    </row>
    <row r="586" spans="1:36" s="159" customFormat="1" x14ac:dyDescent="0.25">
      <c r="A586" s="121"/>
      <c r="B586" s="121"/>
      <c r="C586" s="121"/>
      <c r="D586" s="121"/>
      <c r="E586" s="122"/>
      <c r="F586" s="123"/>
      <c r="G586" s="122"/>
      <c r="H586" s="125"/>
      <c r="I586" s="230"/>
      <c r="J586" s="230"/>
      <c r="K586" s="230"/>
      <c r="L586" s="230"/>
      <c r="M586" s="230"/>
      <c r="N586" s="230"/>
      <c r="O586" s="230"/>
      <c r="P586" s="230"/>
      <c r="Q586" s="230"/>
      <c r="R586" s="123"/>
      <c r="S586" s="231"/>
      <c r="T586" s="232"/>
      <c r="U586" s="233"/>
      <c r="V586" s="232"/>
      <c r="W586" s="158"/>
      <c r="X586" s="260"/>
      <c r="Y586" s="260"/>
      <c r="Z586" s="232"/>
      <c r="AA586" s="232"/>
      <c r="AB586" s="265"/>
      <c r="AC586" s="232"/>
      <c r="AD586" s="158"/>
      <c r="AE586" s="158"/>
      <c r="AF586" s="158"/>
      <c r="AG586" s="158"/>
      <c r="AH586" s="158"/>
      <c r="AI586" s="158"/>
      <c r="AJ586" s="158"/>
    </row>
    <row r="587" spans="1:36" x14ac:dyDescent="0.25">
      <c r="E587" s="116"/>
      <c r="F587" s="117"/>
      <c r="G587" s="116"/>
      <c r="H587" s="118"/>
      <c r="I587" s="227"/>
      <c r="J587" s="227"/>
      <c r="K587" s="227"/>
      <c r="L587" s="227"/>
      <c r="M587" s="227"/>
      <c r="N587" s="227"/>
      <c r="O587" s="227"/>
      <c r="P587" s="227"/>
      <c r="Q587" s="227"/>
      <c r="R587" s="117"/>
      <c r="S587" s="228"/>
      <c r="T587" s="229"/>
      <c r="U587" s="164"/>
    </row>
    <row r="588" spans="1:36" s="159" customFormat="1" x14ac:dyDescent="0.25">
      <c r="A588" s="121"/>
      <c r="B588" s="121"/>
      <c r="C588" s="121"/>
      <c r="D588" s="121"/>
      <c r="E588" s="122"/>
      <c r="F588" s="123"/>
      <c r="G588" s="122"/>
      <c r="H588" s="125"/>
      <c r="I588" s="230"/>
      <c r="J588" s="230"/>
      <c r="K588" s="230"/>
      <c r="L588" s="230"/>
      <c r="M588" s="230"/>
      <c r="N588" s="230"/>
      <c r="O588" s="230"/>
      <c r="P588" s="230"/>
      <c r="Q588" s="230"/>
      <c r="R588" s="123"/>
      <c r="S588" s="231"/>
      <c r="T588" s="232"/>
      <c r="U588" s="233"/>
      <c r="V588" s="232"/>
      <c r="W588" s="158"/>
      <c r="X588" s="260"/>
      <c r="Y588" s="260"/>
      <c r="Z588" s="232"/>
      <c r="AA588" s="232"/>
      <c r="AB588" s="265"/>
      <c r="AC588" s="232"/>
      <c r="AD588" s="158"/>
      <c r="AE588" s="158"/>
      <c r="AF588" s="158"/>
      <c r="AG588" s="158"/>
      <c r="AH588" s="158"/>
      <c r="AI588" s="158"/>
      <c r="AJ588" s="158"/>
    </row>
    <row r="589" spans="1:36" x14ac:dyDescent="0.25">
      <c r="E589" s="116"/>
      <c r="F589" s="117"/>
      <c r="G589" s="116"/>
      <c r="H589" s="118"/>
      <c r="I589" s="227"/>
      <c r="J589" s="227"/>
      <c r="K589" s="227"/>
      <c r="L589" s="227"/>
      <c r="M589" s="227"/>
      <c r="N589" s="227"/>
      <c r="O589" s="227"/>
      <c r="P589" s="227"/>
      <c r="Q589" s="227"/>
      <c r="R589" s="117"/>
      <c r="S589" s="228"/>
      <c r="T589" s="229"/>
      <c r="U589" s="164"/>
    </row>
    <row r="590" spans="1:36" s="159" customFormat="1" x14ac:dyDescent="0.25">
      <c r="A590" s="121"/>
      <c r="B590" s="121"/>
      <c r="C590" s="121"/>
      <c r="D590" s="121"/>
      <c r="E590" s="122"/>
      <c r="F590" s="123"/>
      <c r="G590" s="122"/>
      <c r="H590" s="125"/>
      <c r="I590" s="230"/>
      <c r="J590" s="230"/>
      <c r="K590" s="230"/>
      <c r="L590" s="230"/>
      <c r="M590" s="230"/>
      <c r="N590" s="230"/>
      <c r="O590" s="230"/>
      <c r="P590" s="230"/>
      <c r="Q590" s="230"/>
      <c r="R590" s="123"/>
      <c r="S590" s="231"/>
      <c r="T590" s="232"/>
      <c r="U590" s="233"/>
      <c r="V590" s="232"/>
      <c r="W590" s="158"/>
      <c r="X590" s="260"/>
      <c r="Y590" s="260"/>
      <c r="Z590" s="232"/>
      <c r="AA590" s="232"/>
      <c r="AB590" s="265"/>
      <c r="AC590" s="232"/>
      <c r="AD590" s="158"/>
      <c r="AE590" s="158"/>
      <c r="AF590" s="158"/>
      <c r="AG590" s="158"/>
      <c r="AH590" s="158"/>
      <c r="AI590" s="158"/>
      <c r="AJ590" s="158"/>
    </row>
    <row r="591" spans="1:36" s="160" customFormat="1" x14ac:dyDescent="0.25">
      <c r="A591" s="115"/>
      <c r="B591" s="115"/>
      <c r="C591" s="115"/>
      <c r="D591" s="117"/>
      <c r="E591" s="117"/>
      <c r="F591" s="117"/>
      <c r="G591" s="117"/>
      <c r="H591" s="117"/>
      <c r="I591" s="117"/>
      <c r="J591" s="117"/>
      <c r="K591" s="117"/>
      <c r="L591" s="117"/>
      <c r="M591" s="117"/>
      <c r="N591" s="117"/>
      <c r="O591" s="117"/>
      <c r="P591" s="117"/>
      <c r="Q591" s="117"/>
      <c r="R591" s="117"/>
      <c r="S591" s="163"/>
      <c r="T591" s="164"/>
      <c r="U591" s="164"/>
      <c r="V591" s="229"/>
      <c r="X591" s="259"/>
      <c r="Y591" s="259"/>
      <c r="Z591" s="229"/>
      <c r="AA591" s="229"/>
      <c r="AB591" s="264"/>
      <c r="AC591" s="229"/>
    </row>
    <row r="592" spans="1:36" s="160" customFormat="1" x14ac:dyDescent="0.25">
      <c r="A592" s="115"/>
      <c r="B592" s="115"/>
      <c r="C592" s="115"/>
      <c r="D592" s="117"/>
      <c r="E592" s="117"/>
      <c r="F592" s="117"/>
      <c r="G592" s="117"/>
      <c r="H592" s="117"/>
      <c r="I592" s="117"/>
      <c r="J592" s="117"/>
      <c r="K592" s="117"/>
      <c r="L592" s="117"/>
      <c r="M592" s="117"/>
      <c r="N592" s="117"/>
      <c r="O592" s="117"/>
      <c r="P592" s="117"/>
      <c r="Q592" s="117"/>
      <c r="R592" s="117"/>
      <c r="S592" s="163"/>
      <c r="T592" s="164"/>
      <c r="U592" s="164"/>
      <c r="V592" s="229"/>
      <c r="X592" s="259"/>
      <c r="Y592" s="259"/>
      <c r="Z592" s="229"/>
      <c r="AA592" s="229"/>
      <c r="AB592" s="264"/>
      <c r="AC592" s="229"/>
    </row>
    <row r="593" spans="1:29" s="160" customFormat="1" x14ac:dyDescent="0.25">
      <c r="A593" s="115"/>
      <c r="B593" s="115"/>
      <c r="C593" s="115"/>
      <c r="D593" s="117"/>
      <c r="E593" s="117"/>
      <c r="F593" s="117"/>
      <c r="G593" s="117"/>
      <c r="H593" s="117"/>
      <c r="I593" s="117"/>
      <c r="J593" s="117"/>
      <c r="K593" s="117"/>
      <c r="L593" s="117"/>
      <c r="M593" s="117"/>
      <c r="N593" s="117"/>
      <c r="O593" s="117"/>
      <c r="P593" s="117"/>
      <c r="Q593" s="117"/>
      <c r="R593" s="117"/>
      <c r="S593" s="163"/>
      <c r="T593" s="164"/>
      <c r="U593" s="164"/>
      <c r="V593" s="229"/>
      <c r="X593" s="259"/>
      <c r="Y593" s="259"/>
      <c r="Z593" s="229"/>
      <c r="AA593" s="229"/>
      <c r="AB593" s="264"/>
      <c r="AC593" s="229"/>
    </row>
    <row r="594" spans="1:29" s="160" customFormat="1" x14ac:dyDescent="0.25">
      <c r="A594" s="115"/>
      <c r="B594" s="115"/>
      <c r="C594" s="115"/>
      <c r="D594" s="117"/>
      <c r="E594" s="117"/>
      <c r="F594" s="117"/>
      <c r="G594" s="117"/>
      <c r="H594" s="117"/>
      <c r="I594" s="117"/>
      <c r="J594" s="117"/>
      <c r="K594" s="117"/>
      <c r="L594" s="117"/>
      <c r="M594" s="117"/>
      <c r="N594" s="117"/>
      <c r="O594" s="117"/>
      <c r="P594" s="117"/>
      <c r="Q594" s="117"/>
      <c r="R594" s="117"/>
      <c r="S594" s="163"/>
      <c r="T594" s="164"/>
      <c r="U594" s="164"/>
      <c r="V594" s="229"/>
      <c r="X594" s="259"/>
      <c r="Y594" s="259"/>
      <c r="Z594" s="229"/>
      <c r="AA594" s="229"/>
      <c r="AB594" s="264"/>
      <c r="AC594" s="229"/>
    </row>
    <row r="595" spans="1:29" s="160" customFormat="1" x14ac:dyDescent="0.25">
      <c r="A595" s="115"/>
      <c r="B595" s="115"/>
      <c r="C595" s="115"/>
      <c r="D595" s="117"/>
      <c r="E595" s="117"/>
      <c r="F595" s="117"/>
      <c r="G595" s="117"/>
      <c r="H595" s="117"/>
      <c r="I595" s="117"/>
      <c r="J595" s="117"/>
      <c r="K595" s="117"/>
      <c r="L595" s="117"/>
      <c r="M595" s="117"/>
      <c r="N595" s="117"/>
      <c r="O595" s="117"/>
      <c r="P595" s="117"/>
      <c r="Q595" s="117"/>
      <c r="R595" s="117"/>
      <c r="S595" s="163"/>
      <c r="T595" s="164"/>
      <c r="U595" s="164"/>
      <c r="V595" s="229"/>
      <c r="X595" s="259"/>
      <c r="Y595" s="259"/>
      <c r="Z595" s="229"/>
      <c r="AA595" s="229"/>
      <c r="AB595" s="264"/>
      <c r="AC595" s="229"/>
    </row>
    <row r="596" spans="1:29" s="160" customFormat="1" x14ac:dyDescent="0.25">
      <c r="A596" s="115"/>
      <c r="B596" s="115"/>
      <c r="C596" s="115"/>
      <c r="D596" s="117"/>
      <c r="E596" s="117"/>
      <c r="F596" s="117"/>
      <c r="G596" s="117"/>
      <c r="H596" s="117"/>
      <c r="I596" s="117"/>
      <c r="J596" s="117"/>
      <c r="K596" s="117"/>
      <c r="L596" s="117"/>
      <c r="M596" s="117"/>
      <c r="N596" s="117"/>
      <c r="O596" s="117"/>
      <c r="P596" s="117"/>
      <c r="Q596" s="117"/>
      <c r="R596" s="117"/>
      <c r="S596" s="163"/>
      <c r="T596" s="164"/>
      <c r="U596" s="164"/>
      <c r="V596" s="229"/>
      <c r="X596" s="259"/>
      <c r="Y596" s="259"/>
      <c r="Z596" s="229"/>
      <c r="AA596" s="229"/>
      <c r="AB596" s="264"/>
      <c r="AC596" s="229"/>
    </row>
    <row r="597" spans="1:29" s="160" customFormat="1" x14ac:dyDescent="0.25">
      <c r="A597" s="115"/>
      <c r="B597" s="115"/>
      <c r="C597" s="115"/>
      <c r="D597" s="117"/>
      <c r="E597" s="117"/>
      <c r="F597" s="117"/>
      <c r="G597" s="117"/>
      <c r="H597" s="117"/>
      <c r="I597" s="117"/>
      <c r="J597" s="117"/>
      <c r="K597" s="117"/>
      <c r="L597" s="117"/>
      <c r="M597" s="117"/>
      <c r="N597" s="117"/>
      <c r="O597" s="117"/>
      <c r="P597" s="117"/>
      <c r="Q597" s="117"/>
      <c r="R597" s="117"/>
      <c r="S597" s="163"/>
      <c r="T597" s="164"/>
      <c r="U597" s="164"/>
      <c r="V597" s="229"/>
      <c r="X597" s="259"/>
      <c r="Y597" s="259"/>
      <c r="Z597" s="229"/>
      <c r="AA597" s="229"/>
      <c r="AB597" s="264"/>
      <c r="AC597" s="229"/>
    </row>
    <row r="598" spans="1:29" s="160" customFormat="1" x14ac:dyDescent="0.25">
      <c r="A598" s="115"/>
      <c r="B598" s="115"/>
      <c r="C598" s="115"/>
      <c r="D598" s="117"/>
      <c r="E598" s="117"/>
      <c r="F598" s="117"/>
      <c r="G598" s="117"/>
      <c r="H598" s="117"/>
      <c r="I598" s="117"/>
      <c r="J598" s="117"/>
      <c r="K598" s="117"/>
      <c r="L598" s="117"/>
      <c r="M598" s="117"/>
      <c r="N598" s="117"/>
      <c r="O598" s="117"/>
      <c r="P598" s="117"/>
      <c r="Q598" s="117"/>
      <c r="R598" s="117"/>
      <c r="S598" s="163"/>
      <c r="T598" s="164"/>
      <c r="U598" s="164"/>
      <c r="V598" s="229"/>
      <c r="X598" s="259"/>
      <c r="Y598" s="259"/>
      <c r="Z598" s="229"/>
      <c r="AA598" s="229"/>
      <c r="AB598" s="264"/>
      <c r="AC598" s="229"/>
    </row>
    <row r="599" spans="1:29" s="160" customFormat="1" x14ac:dyDescent="0.25">
      <c r="A599" s="115"/>
      <c r="B599" s="115"/>
      <c r="C599" s="115"/>
      <c r="D599" s="117"/>
      <c r="E599" s="117"/>
      <c r="F599" s="117"/>
      <c r="G599" s="117"/>
      <c r="H599" s="117"/>
      <c r="I599" s="117"/>
      <c r="J599" s="117"/>
      <c r="K599" s="117"/>
      <c r="L599" s="117"/>
      <c r="M599" s="117"/>
      <c r="N599" s="117"/>
      <c r="O599" s="117"/>
      <c r="P599" s="117"/>
      <c r="Q599" s="117"/>
      <c r="R599" s="117"/>
      <c r="S599" s="163"/>
      <c r="T599" s="164"/>
      <c r="U599" s="164"/>
      <c r="V599" s="229"/>
      <c r="X599" s="259"/>
      <c r="Y599" s="259"/>
      <c r="Z599" s="229"/>
      <c r="AA599" s="229"/>
      <c r="AB599" s="264"/>
      <c r="AC599" s="229"/>
    </row>
    <row r="600" spans="1:29" s="160" customFormat="1" x14ac:dyDescent="0.25">
      <c r="A600" s="115"/>
      <c r="B600" s="115"/>
      <c r="C600" s="115"/>
      <c r="D600" s="117"/>
      <c r="E600" s="117"/>
      <c r="F600" s="117"/>
      <c r="G600" s="117"/>
      <c r="H600" s="117"/>
      <c r="I600" s="117"/>
      <c r="J600" s="117"/>
      <c r="K600" s="117"/>
      <c r="L600" s="117"/>
      <c r="M600" s="117"/>
      <c r="N600" s="117"/>
      <c r="O600" s="117"/>
      <c r="P600" s="117"/>
      <c r="Q600" s="117"/>
      <c r="R600" s="117"/>
      <c r="S600" s="163"/>
      <c r="T600" s="164"/>
      <c r="U600" s="164"/>
      <c r="V600" s="229"/>
      <c r="X600" s="259"/>
      <c r="Y600" s="259"/>
      <c r="Z600" s="229"/>
      <c r="AA600" s="229"/>
      <c r="AB600" s="264"/>
      <c r="AC600" s="229"/>
    </row>
    <row r="601" spans="1:29" s="160" customFormat="1" x14ac:dyDescent="0.25">
      <c r="A601" s="115"/>
      <c r="B601" s="115"/>
      <c r="C601" s="115"/>
      <c r="D601" s="117"/>
      <c r="E601" s="117"/>
      <c r="F601" s="117"/>
      <c r="G601" s="117"/>
      <c r="H601" s="117"/>
      <c r="I601" s="117"/>
      <c r="J601" s="117"/>
      <c r="K601" s="117"/>
      <c r="L601" s="117"/>
      <c r="M601" s="117"/>
      <c r="N601" s="117"/>
      <c r="O601" s="117"/>
      <c r="P601" s="117"/>
      <c r="Q601" s="117"/>
      <c r="R601" s="117"/>
      <c r="S601" s="163"/>
      <c r="T601" s="164"/>
      <c r="U601" s="164"/>
      <c r="V601" s="229"/>
      <c r="X601" s="259"/>
      <c r="Y601" s="259"/>
      <c r="Z601" s="229"/>
      <c r="AA601" s="229"/>
      <c r="AB601" s="264"/>
      <c r="AC601" s="229"/>
    </row>
    <row r="602" spans="1:29" s="160" customFormat="1" x14ac:dyDescent="0.25">
      <c r="A602" s="115"/>
      <c r="B602" s="115"/>
      <c r="C602" s="115"/>
      <c r="D602" s="117"/>
      <c r="E602" s="117"/>
      <c r="F602" s="117"/>
      <c r="G602" s="117"/>
      <c r="H602" s="117"/>
      <c r="I602" s="117"/>
      <c r="J602" s="117"/>
      <c r="K602" s="117"/>
      <c r="L602" s="117"/>
      <c r="M602" s="117"/>
      <c r="N602" s="117"/>
      <c r="O602" s="117"/>
      <c r="P602" s="117"/>
      <c r="Q602" s="117"/>
      <c r="R602" s="117"/>
      <c r="S602" s="163"/>
      <c r="T602" s="164"/>
      <c r="U602" s="164"/>
      <c r="V602" s="229"/>
      <c r="X602" s="259"/>
      <c r="Y602" s="259"/>
      <c r="Z602" s="229"/>
      <c r="AA602" s="229"/>
      <c r="AB602" s="264"/>
      <c r="AC602" s="229"/>
    </row>
    <row r="603" spans="1:29" s="160" customFormat="1" x14ac:dyDescent="0.25">
      <c r="A603" s="115"/>
      <c r="B603" s="115"/>
      <c r="C603" s="115"/>
      <c r="D603" s="117"/>
      <c r="E603" s="117"/>
      <c r="F603" s="117"/>
      <c r="G603" s="117"/>
      <c r="H603" s="117"/>
      <c r="I603" s="117"/>
      <c r="J603" s="117"/>
      <c r="K603" s="117"/>
      <c r="L603" s="117"/>
      <c r="M603" s="117"/>
      <c r="N603" s="117"/>
      <c r="O603" s="117"/>
      <c r="P603" s="117"/>
      <c r="Q603" s="117"/>
      <c r="R603" s="117"/>
      <c r="S603" s="163"/>
      <c r="T603" s="164"/>
      <c r="U603" s="164"/>
      <c r="V603" s="229"/>
      <c r="X603" s="259"/>
      <c r="Y603" s="259"/>
      <c r="Z603" s="229"/>
      <c r="AA603" s="229"/>
      <c r="AB603" s="264"/>
      <c r="AC603" s="229"/>
    </row>
    <row r="604" spans="1:29" s="160" customFormat="1" x14ac:dyDescent="0.25">
      <c r="A604" s="115"/>
      <c r="B604" s="115"/>
      <c r="C604" s="115"/>
      <c r="D604" s="117"/>
      <c r="E604" s="117"/>
      <c r="F604" s="117"/>
      <c r="G604" s="117"/>
      <c r="H604" s="117"/>
      <c r="I604" s="117"/>
      <c r="J604" s="117"/>
      <c r="K604" s="117"/>
      <c r="L604" s="117"/>
      <c r="M604" s="117"/>
      <c r="N604" s="117"/>
      <c r="O604" s="117"/>
      <c r="P604" s="117"/>
      <c r="Q604" s="117"/>
      <c r="R604" s="117"/>
      <c r="S604" s="163"/>
      <c r="T604" s="164"/>
      <c r="U604" s="164"/>
      <c r="V604" s="229"/>
      <c r="X604" s="259"/>
      <c r="Y604" s="259"/>
      <c r="Z604" s="229"/>
      <c r="AA604" s="229"/>
      <c r="AB604" s="264"/>
      <c r="AC604" s="229"/>
    </row>
    <row r="605" spans="1:29" s="160" customFormat="1" x14ac:dyDescent="0.25">
      <c r="A605" s="115"/>
      <c r="B605" s="115"/>
      <c r="C605" s="115"/>
      <c r="D605" s="117"/>
      <c r="E605" s="117"/>
      <c r="F605" s="117"/>
      <c r="G605" s="117"/>
      <c r="H605" s="117"/>
      <c r="I605" s="117"/>
      <c r="J605" s="117"/>
      <c r="K605" s="117"/>
      <c r="L605" s="117"/>
      <c r="M605" s="117"/>
      <c r="N605" s="117"/>
      <c r="O605" s="117"/>
      <c r="P605" s="117"/>
      <c r="Q605" s="117"/>
      <c r="R605" s="117"/>
      <c r="S605" s="163"/>
      <c r="T605" s="164"/>
      <c r="U605" s="164"/>
      <c r="V605" s="229"/>
      <c r="X605" s="259"/>
      <c r="Y605" s="259"/>
      <c r="Z605" s="229"/>
      <c r="AA605" s="229"/>
      <c r="AB605" s="264"/>
      <c r="AC605" s="229"/>
    </row>
    <row r="606" spans="1:29" s="160" customFormat="1" x14ac:dyDescent="0.25">
      <c r="A606" s="115"/>
      <c r="B606" s="115"/>
      <c r="C606" s="115"/>
      <c r="D606" s="117"/>
      <c r="E606" s="117"/>
      <c r="F606" s="117"/>
      <c r="G606" s="117"/>
      <c r="H606" s="117"/>
      <c r="I606" s="117"/>
      <c r="J606" s="117"/>
      <c r="K606" s="117"/>
      <c r="L606" s="117"/>
      <c r="M606" s="117"/>
      <c r="N606" s="117"/>
      <c r="O606" s="117"/>
      <c r="P606" s="117"/>
      <c r="Q606" s="117"/>
      <c r="R606" s="117"/>
      <c r="S606" s="163"/>
      <c r="T606" s="164"/>
      <c r="U606" s="164"/>
      <c r="V606" s="229"/>
      <c r="X606" s="259"/>
      <c r="Y606" s="259"/>
      <c r="Z606" s="229"/>
      <c r="AA606" s="229"/>
      <c r="AB606" s="264"/>
      <c r="AC606" s="229"/>
    </row>
    <row r="607" spans="1:29" s="160" customFormat="1" x14ac:dyDescent="0.25">
      <c r="A607" s="115"/>
      <c r="B607" s="115"/>
      <c r="C607" s="115"/>
      <c r="D607" s="117"/>
      <c r="E607" s="117"/>
      <c r="F607" s="117"/>
      <c r="G607" s="117"/>
      <c r="H607" s="117"/>
      <c r="I607" s="117"/>
      <c r="J607" s="117"/>
      <c r="K607" s="117"/>
      <c r="L607" s="117"/>
      <c r="M607" s="117"/>
      <c r="N607" s="117"/>
      <c r="O607" s="117"/>
      <c r="P607" s="117"/>
      <c r="Q607" s="117"/>
      <c r="R607" s="117"/>
      <c r="S607" s="163"/>
      <c r="T607" s="164"/>
      <c r="U607" s="164"/>
      <c r="V607" s="229"/>
      <c r="X607" s="259"/>
      <c r="Y607" s="259"/>
      <c r="Z607" s="229"/>
      <c r="AA607" s="229"/>
      <c r="AB607" s="264"/>
      <c r="AC607" s="229"/>
    </row>
    <row r="608" spans="1:29" s="160" customFormat="1" x14ac:dyDescent="0.25">
      <c r="A608" s="115"/>
      <c r="B608" s="115"/>
      <c r="C608" s="115"/>
      <c r="D608" s="117"/>
      <c r="E608" s="117"/>
      <c r="F608" s="117"/>
      <c r="G608" s="117"/>
      <c r="H608" s="117"/>
      <c r="I608" s="117"/>
      <c r="J608" s="117"/>
      <c r="K608" s="117"/>
      <c r="L608" s="117"/>
      <c r="M608" s="117"/>
      <c r="N608" s="117"/>
      <c r="O608" s="117"/>
      <c r="P608" s="117"/>
      <c r="Q608" s="117"/>
      <c r="R608" s="117"/>
      <c r="S608" s="163"/>
      <c r="T608" s="164"/>
      <c r="U608" s="164"/>
      <c r="V608" s="229"/>
      <c r="X608" s="259"/>
      <c r="Y608" s="259"/>
      <c r="Z608" s="229"/>
      <c r="AA608" s="229"/>
      <c r="AB608" s="264"/>
      <c r="AC608" s="229"/>
    </row>
    <row r="609" spans="1:29" s="160" customFormat="1" x14ac:dyDescent="0.25">
      <c r="A609" s="115"/>
      <c r="B609" s="115"/>
      <c r="C609" s="115"/>
      <c r="D609" s="117"/>
      <c r="E609" s="117"/>
      <c r="F609" s="117"/>
      <c r="G609" s="117"/>
      <c r="H609" s="117"/>
      <c r="I609" s="117"/>
      <c r="J609" s="117"/>
      <c r="K609" s="117"/>
      <c r="L609" s="117"/>
      <c r="M609" s="117"/>
      <c r="N609" s="117"/>
      <c r="O609" s="117"/>
      <c r="P609" s="117"/>
      <c r="Q609" s="117"/>
      <c r="R609" s="117"/>
      <c r="S609" s="163"/>
      <c r="T609" s="164"/>
      <c r="U609" s="164"/>
      <c r="V609" s="229"/>
      <c r="X609" s="259"/>
      <c r="Y609" s="259"/>
      <c r="Z609" s="229"/>
      <c r="AA609" s="229"/>
      <c r="AB609" s="264"/>
      <c r="AC609" s="229"/>
    </row>
    <row r="610" spans="1:29" s="160" customFormat="1" x14ac:dyDescent="0.25">
      <c r="A610" s="115"/>
      <c r="B610" s="115"/>
      <c r="C610" s="115"/>
      <c r="D610" s="117"/>
      <c r="E610" s="117"/>
      <c r="F610" s="117"/>
      <c r="G610" s="117"/>
      <c r="H610" s="117"/>
      <c r="I610" s="117"/>
      <c r="J610" s="117"/>
      <c r="K610" s="117"/>
      <c r="L610" s="117"/>
      <c r="M610" s="117"/>
      <c r="N610" s="117"/>
      <c r="O610" s="117"/>
      <c r="P610" s="117"/>
      <c r="Q610" s="117"/>
      <c r="R610" s="117"/>
      <c r="S610" s="163"/>
      <c r="T610" s="164"/>
      <c r="U610" s="164"/>
      <c r="V610" s="229"/>
      <c r="X610" s="259"/>
      <c r="Y610" s="259"/>
      <c r="Z610" s="229"/>
      <c r="AA610" s="229"/>
      <c r="AB610" s="264"/>
      <c r="AC610" s="229"/>
    </row>
    <row r="611" spans="1:29" s="160" customFormat="1" x14ac:dyDescent="0.25">
      <c r="A611" s="115"/>
      <c r="B611" s="115"/>
      <c r="C611" s="115"/>
      <c r="D611" s="117"/>
      <c r="E611" s="117"/>
      <c r="F611" s="117"/>
      <c r="G611" s="117"/>
      <c r="H611" s="117"/>
      <c r="I611" s="117"/>
      <c r="J611" s="117"/>
      <c r="K611" s="117"/>
      <c r="L611" s="117"/>
      <c r="M611" s="117"/>
      <c r="N611" s="117"/>
      <c r="O611" s="117"/>
      <c r="P611" s="117"/>
      <c r="Q611" s="117"/>
      <c r="R611" s="117"/>
      <c r="S611" s="163"/>
      <c r="T611" s="164"/>
      <c r="U611" s="164"/>
      <c r="V611" s="229"/>
      <c r="X611" s="259"/>
      <c r="Y611" s="259"/>
      <c r="Z611" s="229"/>
      <c r="AA611" s="229"/>
      <c r="AB611" s="264"/>
      <c r="AC611" s="229"/>
    </row>
    <row r="612" spans="1:29" s="160" customFormat="1" x14ac:dyDescent="0.25">
      <c r="A612" s="115"/>
      <c r="B612" s="115"/>
      <c r="C612" s="115"/>
      <c r="D612" s="117"/>
      <c r="E612" s="117"/>
      <c r="F612" s="117"/>
      <c r="G612" s="117"/>
      <c r="H612" s="117"/>
      <c r="I612" s="117"/>
      <c r="J612" s="117"/>
      <c r="K612" s="117"/>
      <c r="L612" s="117"/>
      <c r="M612" s="117"/>
      <c r="N612" s="117"/>
      <c r="O612" s="117"/>
      <c r="P612" s="117"/>
      <c r="Q612" s="117"/>
      <c r="R612" s="117"/>
      <c r="S612" s="163"/>
      <c r="T612" s="164"/>
      <c r="U612" s="164"/>
      <c r="V612" s="229"/>
      <c r="X612" s="259"/>
      <c r="Y612" s="259"/>
      <c r="Z612" s="229"/>
      <c r="AA612" s="229"/>
      <c r="AB612" s="264"/>
      <c r="AC612" s="229"/>
    </row>
    <row r="613" spans="1:29" s="160" customFormat="1" x14ac:dyDescent="0.25">
      <c r="A613" s="115"/>
      <c r="B613" s="115"/>
      <c r="C613" s="115"/>
      <c r="D613" s="117"/>
      <c r="E613" s="117"/>
      <c r="F613" s="117"/>
      <c r="G613" s="117"/>
      <c r="H613" s="117"/>
      <c r="I613" s="117"/>
      <c r="J613" s="117"/>
      <c r="K613" s="117"/>
      <c r="L613" s="117"/>
      <c r="M613" s="117"/>
      <c r="N613" s="117"/>
      <c r="O613" s="117"/>
      <c r="P613" s="117"/>
      <c r="Q613" s="117"/>
      <c r="R613" s="117"/>
      <c r="S613" s="163"/>
      <c r="T613" s="164"/>
      <c r="U613" s="164"/>
      <c r="V613" s="229"/>
      <c r="X613" s="259"/>
      <c r="Y613" s="259"/>
      <c r="Z613" s="229"/>
      <c r="AA613" s="229"/>
      <c r="AB613" s="264"/>
      <c r="AC613" s="229"/>
    </row>
    <row r="614" spans="1:29" s="160" customFormat="1" x14ac:dyDescent="0.25">
      <c r="A614" s="115"/>
      <c r="B614" s="115"/>
      <c r="C614" s="115"/>
      <c r="D614" s="117"/>
      <c r="E614" s="117"/>
      <c r="F614" s="117"/>
      <c r="G614" s="117"/>
      <c r="H614" s="117"/>
      <c r="I614" s="117"/>
      <c r="J614" s="117"/>
      <c r="K614" s="117"/>
      <c r="L614" s="117"/>
      <c r="M614" s="117"/>
      <c r="N614" s="117"/>
      <c r="O614" s="117"/>
      <c r="P614" s="117"/>
      <c r="Q614" s="117"/>
      <c r="R614" s="117"/>
      <c r="S614" s="163"/>
      <c r="T614" s="164"/>
      <c r="U614" s="164"/>
      <c r="V614" s="229"/>
      <c r="X614" s="259"/>
      <c r="Y614" s="259"/>
      <c r="Z614" s="229"/>
      <c r="AA614" s="229"/>
      <c r="AB614" s="264"/>
      <c r="AC614" s="229"/>
    </row>
    <row r="615" spans="1:29" s="160" customFormat="1" x14ac:dyDescent="0.25">
      <c r="A615" s="115"/>
      <c r="B615" s="115"/>
      <c r="C615" s="115"/>
      <c r="D615" s="117"/>
      <c r="E615" s="117"/>
      <c r="F615" s="117"/>
      <c r="G615" s="117"/>
      <c r="H615" s="117"/>
      <c r="I615" s="117"/>
      <c r="J615" s="117"/>
      <c r="K615" s="117"/>
      <c r="L615" s="117"/>
      <c r="M615" s="117"/>
      <c r="N615" s="117"/>
      <c r="O615" s="117"/>
      <c r="P615" s="117"/>
      <c r="Q615" s="117"/>
      <c r="R615" s="117"/>
      <c r="S615" s="163"/>
      <c r="T615" s="164"/>
      <c r="U615" s="164"/>
      <c r="V615" s="229"/>
      <c r="X615" s="259"/>
      <c r="Y615" s="259"/>
      <c r="Z615" s="229"/>
      <c r="AA615" s="229"/>
      <c r="AB615" s="264"/>
      <c r="AC615" s="229"/>
    </row>
    <row r="616" spans="1:29" s="160" customFormat="1" x14ac:dyDescent="0.25">
      <c r="A616" s="115"/>
      <c r="B616" s="115"/>
      <c r="C616" s="115"/>
      <c r="D616" s="117"/>
      <c r="E616" s="117"/>
      <c r="F616" s="117"/>
      <c r="G616" s="117"/>
      <c r="H616" s="117"/>
      <c r="I616" s="117"/>
      <c r="J616" s="117"/>
      <c r="K616" s="117"/>
      <c r="L616" s="117"/>
      <c r="M616" s="117"/>
      <c r="N616" s="117"/>
      <c r="O616" s="117"/>
      <c r="P616" s="117"/>
      <c r="Q616" s="117"/>
      <c r="R616" s="117"/>
      <c r="S616" s="163"/>
      <c r="T616" s="164"/>
      <c r="U616" s="164"/>
      <c r="V616" s="229"/>
      <c r="X616" s="259"/>
      <c r="Y616" s="259"/>
      <c r="Z616" s="229"/>
      <c r="AA616" s="229"/>
      <c r="AB616" s="264"/>
      <c r="AC616" s="229"/>
    </row>
    <row r="617" spans="1:29" s="160" customFormat="1" x14ac:dyDescent="0.25">
      <c r="A617" s="115"/>
      <c r="B617" s="115"/>
      <c r="C617" s="115"/>
      <c r="D617" s="117"/>
      <c r="E617" s="117"/>
      <c r="F617" s="117"/>
      <c r="G617" s="117"/>
      <c r="H617" s="117"/>
      <c r="I617" s="117"/>
      <c r="J617" s="117"/>
      <c r="K617" s="117"/>
      <c r="L617" s="117"/>
      <c r="M617" s="117"/>
      <c r="N617" s="117"/>
      <c r="O617" s="117"/>
      <c r="P617" s="117"/>
      <c r="Q617" s="117"/>
      <c r="R617" s="117"/>
      <c r="S617" s="163"/>
      <c r="T617" s="164"/>
      <c r="U617" s="164"/>
      <c r="V617" s="229"/>
      <c r="X617" s="259"/>
      <c r="Y617" s="259"/>
      <c r="Z617" s="229"/>
      <c r="AA617" s="229"/>
      <c r="AB617" s="264"/>
      <c r="AC617" s="229"/>
    </row>
    <row r="618" spans="1:29" s="160" customFormat="1" x14ac:dyDescent="0.25">
      <c r="A618" s="115"/>
      <c r="B618" s="115"/>
      <c r="C618" s="115"/>
      <c r="D618" s="117"/>
      <c r="E618" s="117"/>
      <c r="F618" s="117"/>
      <c r="G618" s="117"/>
      <c r="H618" s="117"/>
      <c r="I618" s="117"/>
      <c r="J618" s="117"/>
      <c r="K618" s="117"/>
      <c r="L618" s="117"/>
      <c r="M618" s="117"/>
      <c r="N618" s="117"/>
      <c r="O618" s="117"/>
      <c r="P618" s="117"/>
      <c r="Q618" s="117"/>
      <c r="R618" s="117"/>
      <c r="S618" s="163"/>
      <c r="T618" s="164"/>
      <c r="U618" s="164"/>
      <c r="V618" s="229"/>
      <c r="X618" s="259"/>
      <c r="Y618" s="259"/>
      <c r="Z618" s="229"/>
      <c r="AA618" s="229"/>
      <c r="AB618" s="264"/>
      <c r="AC618" s="229"/>
    </row>
    <row r="619" spans="1:29" s="160" customFormat="1" x14ac:dyDescent="0.25">
      <c r="A619" s="115"/>
      <c r="B619" s="115"/>
      <c r="C619" s="115"/>
      <c r="D619" s="117"/>
      <c r="E619" s="117"/>
      <c r="F619" s="117"/>
      <c r="G619" s="117"/>
      <c r="H619" s="117"/>
      <c r="I619" s="117"/>
      <c r="J619" s="117"/>
      <c r="K619" s="117"/>
      <c r="L619" s="117"/>
      <c r="M619" s="117"/>
      <c r="N619" s="117"/>
      <c r="O619" s="117"/>
      <c r="P619" s="117"/>
      <c r="Q619" s="117"/>
      <c r="R619" s="117"/>
      <c r="S619" s="163"/>
      <c r="T619" s="164"/>
      <c r="U619" s="164"/>
      <c r="V619" s="229"/>
      <c r="X619" s="259"/>
      <c r="Y619" s="259"/>
      <c r="Z619" s="229"/>
      <c r="AA619" s="229"/>
      <c r="AB619" s="264"/>
      <c r="AC619" s="229"/>
    </row>
    <row r="620" spans="1:29" s="160" customFormat="1" x14ac:dyDescent="0.25">
      <c r="A620" s="115"/>
      <c r="B620" s="115"/>
      <c r="C620" s="115"/>
      <c r="D620" s="117"/>
      <c r="E620" s="117"/>
      <c r="F620" s="117"/>
      <c r="G620" s="117"/>
      <c r="H620" s="117"/>
      <c r="I620" s="117"/>
      <c r="J620" s="117"/>
      <c r="K620" s="117"/>
      <c r="L620" s="117"/>
      <c r="M620" s="117"/>
      <c r="N620" s="117"/>
      <c r="O620" s="117"/>
      <c r="P620" s="117"/>
      <c r="Q620" s="117"/>
      <c r="R620" s="117"/>
      <c r="S620" s="163"/>
      <c r="T620" s="164"/>
      <c r="U620" s="164"/>
      <c r="V620" s="229"/>
      <c r="X620" s="259"/>
      <c r="Y620" s="259"/>
      <c r="Z620" s="229"/>
      <c r="AA620" s="229"/>
      <c r="AB620" s="264"/>
      <c r="AC620" s="229"/>
    </row>
    <row r="621" spans="1:29" s="160" customFormat="1" x14ac:dyDescent="0.25">
      <c r="A621" s="115"/>
      <c r="B621" s="115"/>
      <c r="C621" s="115"/>
      <c r="D621" s="117"/>
      <c r="E621" s="117"/>
      <c r="F621" s="117"/>
      <c r="G621" s="117"/>
      <c r="H621" s="117"/>
      <c r="I621" s="117"/>
      <c r="J621" s="117"/>
      <c r="K621" s="117"/>
      <c r="L621" s="117"/>
      <c r="M621" s="117"/>
      <c r="N621" s="117"/>
      <c r="O621" s="117"/>
      <c r="P621" s="117"/>
      <c r="Q621" s="117"/>
      <c r="R621" s="117"/>
      <c r="S621" s="163"/>
      <c r="T621" s="164"/>
      <c r="U621" s="164"/>
      <c r="V621" s="229"/>
      <c r="X621" s="259"/>
      <c r="Y621" s="259"/>
      <c r="Z621" s="229"/>
      <c r="AA621" s="229"/>
      <c r="AB621" s="264"/>
      <c r="AC621" s="229"/>
    </row>
    <row r="622" spans="1:29" s="160" customFormat="1" x14ac:dyDescent="0.25">
      <c r="A622" s="115"/>
      <c r="B622" s="115"/>
      <c r="C622" s="115"/>
      <c r="D622" s="117"/>
      <c r="E622" s="117"/>
      <c r="F622" s="117"/>
      <c r="G622" s="117"/>
      <c r="H622" s="117"/>
      <c r="I622" s="117"/>
      <c r="J622" s="117"/>
      <c r="K622" s="117"/>
      <c r="L622" s="117"/>
      <c r="M622" s="117"/>
      <c r="N622" s="117"/>
      <c r="O622" s="117"/>
      <c r="P622" s="117"/>
      <c r="Q622" s="117"/>
      <c r="R622" s="117"/>
      <c r="S622" s="163"/>
      <c r="T622" s="164"/>
      <c r="U622" s="164"/>
      <c r="V622" s="229"/>
      <c r="X622" s="259"/>
      <c r="Y622" s="259"/>
      <c r="Z622" s="229"/>
      <c r="AA622" s="229"/>
      <c r="AB622" s="264"/>
      <c r="AC622" s="229"/>
    </row>
    <row r="623" spans="1:29" s="160" customFormat="1" x14ac:dyDescent="0.25">
      <c r="A623" s="115"/>
      <c r="B623" s="115"/>
      <c r="C623" s="115"/>
      <c r="D623" s="117"/>
      <c r="E623" s="117"/>
      <c r="F623" s="117"/>
      <c r="G623" s="117"/>
      <c r="H623" s="117"/>
      <c r="I623" s="117"/>
      <c r="J623" s="117"/>
      <c r="K623" s="117"/>
      <c r="L623" s="117"/>
      <c r="M623" s="117"/>
      <c r="N623" s="117"/>
      <c r="O623" s="117"/>
      <c r="P623" s="117"/>
      <c r="Q623" s="117"/>
      <c r="R623" s="117"/>
      <c r="S623" s="163"/>
      <c r="T623" s="164"/>
      <c r="U623" s="164"/>
      <c r="V623" s="229"/>
      <c r="X623" s="259"/>
      <c r="Y623" s="259"/>
      <c r="Z623" s="229"/>
      <c r="AA623" s="229"/>
      <c r="AB623" s="264"/>
      <c r="AC623" s="229"/>
    </row>
    <row r="624" spans="1:29" s="160" customFormat="1" x14ac:dyDescent="0.25">
      <c r="A624" s="115"/>
      <c r="B624" s="115"/>
      <c r="C624" s="115"/>
      <c r="D624" s="117"/>
      <c r="E624" s="117"/>
      <c r="F624" s="117"/>
      <c r="G624" s="117"/>
      <c r="H624" s="117"/>
      <c r="I624" s="117"/>
      <c r="J624" s="117"/>
      <c r="K624" s="117"/>
      <c r="L624" s="117"/>
      <c r="M624" s="117"/>
      <c r="N624" s="117"/>
      <c r="O624" s="117"/>
      <c r="P624" s="117"/>
      <c r="Q624" s="117"/>
      <c r="R624" s="117"/>
      <c r="S624" s="163"/>
      <c r="T624" s="164"/>
      <c r="U624" s="164"/>
      <c r="V624" s="229"/>
      <c r="X624" s="259"/>
      <c r="Y624" s="259"/>
      <c r="Z624" s="229"/>
      <c r="AA624" s="229"/>
      <c r="AB624" s="264"/>
      <c r="AC624" s="229"/>
    </row>
    <row r="625" spans="1:29" s="160" customFormat="1" x14ac:dyDescent="0.25">
      <c r="A625" s="115"/>
      <c r="B625" s="115"/>
      <c r="C625" s="115"/>
      <c r="D625" s="117"/>
      <c r="E625" s="117"/>
      <c r="F625" s="117"/>
      <c r="G625" s="117"/>
      <c r="H625" s="117"/>
      <c r="I625" s="117"/>
      <c r="J625" s="117"/>
      <c r="K625" s="117"/>
      <c r="L625" s="117"/>
      <c r="M625" s="117"/>
      <c r="N625" s="117"/>
      <c r="O625" s="117"/>
      <c r="P625" s="117"/>
      <c r="Q625" s="117"/>
      <c r="R625" s="117"/>
      <c r="S625" s="163"/>
      <c r="T625" s="164"/>
      <c r="U625" s="164"/>
      <c r="V625" s="229"/>
      <c r="X625" s="259"/>
      <c r="Y625" s="259"/>
      <c r="Z625" s="229"/>
      <c r="AA625" s="229"/>
      <c r="AB625" s="264"/>
      <c r="AC625" s="229"/>
    </row>
    <row r="626" spans="1:29" s="160" customFormat="1" x14ac:dyDescent="0.25">
      <c r="A626" s="115"/>
      <c r="B626" s="115"/>
      <c r="C626" s="115"/>
      <c r="D626" s="117"/>
      <c r="E626" s="117"/>
      <c r="F626" s="117"/>
      <c r="G626" s="117"/>
      <c r="H626" s="117"/>
      <c r="I626" s="117"/>
      <c r="J626" s="117"/>
      <c r="K626" s="117"/>
      <c r="L626" s="117"/>
      <c r="M626" s="117"/>
      <c r="N626" s="117"/>
      <c r="O626" s="117"/>
      <c r="P626" s="117"/>
      <c r="Q626" s="117"/>
      <c r="R626" s="117"/>
      <c r="S626" s="163"/>
      <c r="T626" s="164"/>
      <c r="U626" s="164"/>
      <c r="V626" s="229"/>
      <c r="X626" s="259"/>
      <c r="Y626" s="259"/>
      <c r="Z626" s="229"/>
      <c r="AA626" s="229"/>
      <c r="AB626" s="264"/>
      <c r="AC626" s="229"/>
    </row>
    <row r="627" spans="1:29" s="160" customFormat="1" x14ac:dyDescent="0.25">
      <c r="A627" s="115"/>
      <c r="B627" s="115"/>
      <c r="C627" s="115"/>
      <c r="D627" s="117"/>
      <c r="E627" s="117"/>
      <c r="F627" s="117"/>
      <c r="G627" s="117"/>
      <c r="H627" s="117"/>
      <c r="I627" s="117"/>
      <c r="J627" s="117"/>
      <c r="K627" s="117"/>
      <c r="L627" s="117"/>
      <c r="M627" s="117"/>
      <c r="N627" s="117"/>
      <c r="O627" s="117"/>
      <c r="P627" s="117"/>
      <c r="Q627" s="117"/>
      <c r="R627" s="117"/>
      <c r="S627" s="163"/>
      <c r="T627" s="164"/>
      <c r="U627" s="164"/>
      <c r="V627" s="229"/>
      <c r="X627" s="259"/>
      <c r="Y627" s="259"/>
      <c r="Z627" s="229"/>
      <c r="AA627" s="229"/>
      <c r="AB627" s="264"/>
      <c r="AC627" s="229"/>
    </row>
    <row r="628" spans="1:29" s="160" customFormat="1" x14ac:dyDescent="0.25">
      <c r="A628" s="115"/>
      <c r="B628" s="115"/>
      <c r="C628" s="115"/>
      <c r="D628" s="117"/>
      <c r="E628" s="117"/>
      <c r="F628" s="117"/>
      <c r="G628" s="117"/>
      <c r="H628" s="117"/>
      <c r="I628" s="117"/>
      <c r="J628" s="117"/>
      <c r="K628" s="117"/>
      <c r="L628" s="117"/>
      <c r="M628" s="117"/>
      <c r="N628" s="117"/>
      <c r="O628" s="117"/>
      <c r="P628" s="117"/>
      <c r="Q628" s="117"/>
      <c r="R628" s="117"/>
      <c r="S628" s="163"/>
      <c r="T628" s="164"/>
      <c r="U628" s="164"/>
      <c r="V628" s="229"/>
      <c r="X628" s="259"/>
      <c r="Y628" s="259"/>
      <c r="Z628" s="229"/>
      <c r="AA628" s="229"/>
      <c r="AB628" s="264"/>
      <c r="AC628" s="229"/>
    </row>
    <row r="629" spans="1:29" s="160" customFormat="1" x14ac:dyDescent="0.25">
      <c r="A629" s="115"/>
      <c r="B629" s="115"/>
      <c r="C629" s="115"/>
      <c r="D629" s="117"/>
      <c r="E629" s="117"/>
      <c r="F629" s="117"/>
      <c r="G629" s="117"/>
      <c r="H629" s="117"/>
      <c r="I629" s="117"/>
      <c r="J629" s="117"/>
      <c r="K629" s="117"/>
      <c r="L629" s="117"/>
      <c r="M629" s="117"/>
      <c r="N629" s="117"/>
      <c r="O629" s="117"/>
      <c r="P629" s="117"/>
      <c r="Q629" s="117"/>
      <c r="R629" s="117"/>
      <c r="S629" s="163"/>
      <c r="T629" s="164"/>
      <c r="U629" s="164"/>
      <c r="V629" s="229"/>
      <c r="X629" s="259"/>
      <c r="Y629" s="259"/>
      <c r="Z629" s="229"/>
      <c r="AA629" s="229"/>
      <c r="AB629" s="264"/>
      <c r="AC629" s="229"/>
    </row>
    <row r="630" spans="1:29" s="160" customFormat="1" x14ac:dyDescent="0.25">
      <c r="A630" s="115"/>
      <c r="B630" s="115"/>
      <c r="C630" s="115"/>
      <c r="D630" s="117"/>
      <c r="E630" s="117"/>
      <c r="F630" s="117"/>
      <c r="G630" s="117"/>
      <c r="H630" s="117"/>
      <c r="I630" s="117"/>
      <c r="J630" s="117"/>
      <c r="K630" s="117"/>
      <c r="L630" s="117"/>
      <c r="M630" s="117"/>
      <c r="N630" s="117"/>
      <c r="O630" s="117"/>
      <c r="P630" s="117"/>
      <c r="Q630" s="117"/>
      <c r="R630" s="117"/>
      <c r="S630" s="163"/>
      <c r="T630" s="164"/>
      <c r="U630" s="164"/>
      <c r="V630" s="229"/>
      <c r="X630" s="259"/>
      <c r="Y630" s="259"/>
      <c r="Z630" s="229"/>
      <c r="AA630" s="229"/>
      <c r="AB630" s="264"/>
      <c r="AC630" s="229"/>
    </row>
    <row r="631" spans="1:29" s="160" customFormat="1" x14ac:dyDescent="0.25">
      <c r="A631" s="115"/>
      <c r="B631" s="115"/>
      <c r="C631" s="115"/>
      <c r="D631" s="117"/>
      <c r="E631" s="117"/>
      <c r="F631" s="117"/>
      <c r="G631" s="117"/>
      <c r="H631" s="117"/>
      <c r="I631" s="117"/>
      <c r="J631" s="117"/>
      <c r="K631" s="117"/>
      <c r="L631" s="117"/>
      <c r="M631" s="117"/>
      <c r="N631" s="117"/>
      <c r="O631" s="117"/>
      <c r="P631" s="117"/>
      <c r="Q631" s="117"/>
      <c r="R631" s="117"/>
      <c r="S631" s="163"/>
      <c r="T631" s="164"/>
      <c r="U631" s="164"/>
      <c r="V631" s="229"/>
      <c r="X631" s="259"/>
      <c r="Y631" s="259"/>
      <c r="Z631" s="229"/>
      <c r="AA631" s="229"/>
      <c r="AB631" s="264"/>
      <c r="AC631" s="229"/>
    </row>
    <row r="632" spans="1:29" s="160" customFormat="1" x14ac:dyDescent="0.25">
      <c r="A632" s="115"/>
      <c r="B632" s="115"/>
      <c r="C632" s="115"/>
      <c r="D632" s="117"/>
      <c r="E632" s="117"/>
      <c r="F632" s="117"/>
      <c r="G632" s="117"/>
      <c r="H632" s="117"/>
      <c r="I632" s="117"/>
      <c r="J632" s="117"/>
      <c r="K632" s="117"/>
      <c r="L632" s="117"/>
      <c r="M632" s="117"/>
      <c r="N632" s="117"/>
      <c r="O632" s="117"/>
      <c r="P632" s="117"/>
      <c r="Q632" s="117"/>
      <c r="R632" s="117"/>
      <c r="S632" s="163"/>
      <c r="T632" s="164"/>
      <c r="U632" s="164"/>
      <c r="V632" s="229"/>
      <c r="X632" s="259"/>
      <c r="Y632" s="259"/>
      <c r="Z632" s="229"/>
      <c r="AA632" s="229"/>
      <c r="AB632" s="264"/>
      <c r="AC632" s="229"/>
    </row>
    <row r="633" spans="1:29" s="160" customFormat="1" x14ac:dyDescent="0.25">
      <c r="A633" s="115"/>
      <c r="B633" s="115"/>
      <c r="C633" s="115"/>
      <c r="D633" s="117"/>
      <c r="E633" s="117"/>
      <c r="F633" s="117"/>
      <c r="G633" s="117"/>
      <c r="H633" s="117"/>
      <c r="I633" s="117"/>
      <c r="J633" s="117"/>
      <c r="K633" s="117"/>
      <c r="L633" s="117"/>
      <c r="M633" s="117"/>
      <c r="N633" s="117"/>
      <c r="O633" s="117"/>
      <c r="P633" s="117"/>
      <c r="Q633" s="117"/>
      <c r="R633" s="117"/>
      <c r="S633" s="163"/>
      <c r="T633" s="164"/>
      <c r="U633" s="164"/>
      <c r="V633" s="229"/>
      <c r="X633" s="259"/>
      <c r="Y633" s="259"/>
      <c r="Z633" s="229"/>
      <c r="AA633" s="229"/>
      <c r="AB633" s="264"/>
      <c r="AC633" s="229"/>
    </row>
    <row r="634" spans="1:29" s="160" customFormat="1" x14ac:dyDescent="0.25">
      <c r="A634" s="115"/>
      <c r="B634" s="115"/>
      <c r="C634" s="115"/>
      <c r="D634" s="117"/>
      <c r="E634" s="117"/>
      <c r="F634" s="117"/>
      <c r="G634" s="117"/>
      <c r="H634" s="117"/>
      <c r="I634" s="117"/>
      <c r="J634" s="117"/>
      <c r="K634" s="117"/>
      <c r="L634" s="117"/>
      <c r="M634" s="117"/>
      <c r="N634" s="117"/>
      <c r="O634" s="117"/>
      <c r="P634" s="117"/>
      <c r="Q634" s="117"/>
      <c r="R634" s="117"/>
      <c r="S634" s="163"/>
      <c r="T634" s="164"/>
      <c r="U634" s="164"/>
      <c r="V634" s="229"/>
      <c r="X634" s="259"/>
      <c r="Y634" s="259"/>
      <c r="Z634" s="229"/>
      <c r="AA634" s="229"/>
      <c r="AB634" s="264"/>
      <c r="AC634" s="229"/>
    </row>
    <row r="635" spans="1:29" s="160" customFormat="1" x14ac:dyDescent="0.25">
      <c r="A635" s="115"/>
      <c r="B635" s="115"/>
      <c r="C635" s="115"/>
      <c r="D635" s="117"/>
      <c r="E635" s="117"/>
      <c r="F635" s="117"/>
      <c r="G635" s="117"/>
      <c r="H635" s="117"/>
      <c r="I635" s="117"/>
      <c r="J635" s="117"/>
      <c r="K635" s="117"/>
      <c r="L635" s="117"/>
      <c r="M635" s="117"/>
      <c r="N635" s="117"/>
      <c r="O635" s="117"/>
      <c r="P635" s="117"/>
      <c r="Q635" s="117"/>
      <c r="R635" s="117"/>
      <c r="S635" s="163"/>
      <c r="T635" s="164"/>
      <c r="U635" s="164"/>
      <c r="V635" s="229"/>
      <c r="X635" s="259"/>
      <c r="Y635" s="259"/>
      <c r="Z635" s="229"/>
      <c r="AA635" s="229"/>
      <c r="AB635" s="264"/>
      <c r="AC635" s="229"/>
    </row>
    <row r="636" spans="1:29" s="160" customFormat="1" x14ac:dyDescent="0.25">
      <c r="A636" s="115"/>
      <c r="B636" s="115"/>
      <c r="C636" s="115"/>
      <c r="D636" s="117"/>
      <c r="E636" s="117"/>
      <c r="F636" s="117"/>
      <c r="G636" s="117"/>
      <c r="H636" s="117"/>
      <c r="I636" s="117"/>
      <c r="J636" s="117"/>
      <c r="K636" s="117"/>
      <c r="L636" s="117"/>
      <c r="M636" s="117"/>
      <c r="N636" s="117"/>
      <c r="O636" s="117"/>
      <c r="P636" s="117"/>
      <c r="Q636" s="117"/>
      <c r="R636" s="117"/>
      <c r="S636" s="163"/>
      <c r="T636" s="164"/>
      <c r="U636" s="164"/>
      <c r="V636" s="229"/>
      <c r="X636" s="259"/>
      <c r="Y636" s="259"/>
      <c r="Z636" s="229"/>
      <c r="AA636" s="229"/>
      <c r="AB636" s="264"/>
      <c r="AC636" s="229"/>
    </row>
    <row r="637" spans="1:29" s="160" customFormat="1" x14ac:dyDescent="0.25">
      <c r="A637" s="115"/>
      <c r="B637" s="115"/>
      <c r="C637" s="115"/>
      <c r="D637" s="117"/>
      <c r="E637" s="117"/>
      <c r="F637" s="117"/>
      <c r="G637" s="117"/>
      <c r="H637" s="117"/>
      <c r="I637" s="117"/>
      <c r="J637" s="117"/>
      <c r="K637" s="117"/>
      <c r="L637" s="117"/>
      <c r="M637" s="117"/>
      <c r="N637" s="117"/>
      <c r="O637" s="117"/>
      <c r="P637" s="117"/>
      <c r="Q637" s="117"/>
      <c r="R637" s="117"/>
      <c r="S637" s="163"/>
      <c r="T637" s="164"/>
      <c r="U637" s="164"/>
      <c r="V637" s="229"/>
      <c r="X637" s="259"/>
      <c r="Y637" s="259"/>
      <c r="Z637" s="229"/>
      <c r="AA637" s="229"/>
      <c r="AB637" s="264"/>
      <c r="AC637" s="229"/>
    </row>
    <row r="638" spans="1:29" s="160" customFormat="1" x14ac:dyDescent="0.25">
      <c r="A638" s="115"/>
      <c r="B638" s="115"/>
      <c r="C638" s="115"/>
      <c r="D638" s="117"/>
      <c r="E638" s="117"/>
      <c r="F638" s="117"/>
      <c r="G638" s="117"/>
      <c r="H638" s="117"/>
      <c r="I638" s="117"/>
      <c r="J638" s="117"/>
      <c r="K638" s="117"/>
      <c r="L638" s="117"/>
      <c r="M638" s="117"/>
      <c r="N638" s="117"/>
      <c r="O638" s="117"/>
      <c r="P638" s="117"/>
      <c r="Q638" s="117"/>
      <c r="R638" s="117"/>
      <c r="S638" s="163"/>
      <c r="T638" s="164"/>
      <c r="U638" s="164"/>
      <c r="V638" s="229"/>
      <c r="X638" s="259"/>
      <c r="Y638" s="259"/>
      <c r="Z638" s="229"/>
      <c r="AA638" s="229"/>
      <c r="AB638" s="264"/>
      <c r="AC638" s="229"/>
    </row>
    <row r="639" spans="1:29" s="160" customFormat="1" x14ac:dyDescent="0.25">
      <c r="A639" s="115"/>
      <c r="B639" s="115"/>
      <c r="C639" s="115"/>
      <c r="D639" s="117"/>
      <c r="E639" s="117"/>
      <c r="F639" s="117"/>
      <c r="G639" s="117"/>
      <c r="H639" s="117"/>
      <c r="I639" s="117"/>
      <c r="J639" s="117"/>
      <c r="K639" s="117"/>
      <c r="L639" s="117"/>
      <c r="M639" s="117"/>
      <c r="N639" s="117"/>
      <c r="O639" s="117"/>
      <c r="P639" s="117"/>
      <c r="Q639" s="117"/>
      <c r="R639" s="117"/>
      <c r="S639" s="163"/>
      <c r="T639" s="164"/>
      <c r="U639" s="164"/>
      <c r="V639" s="229"/>
      <c r="X639" s="259"/>
      <c r="Y639" s="259"/>
      <c r="Z639" s="229"/>
      <c r="AA639" s="229"/>
      <c r="AB639" s="264"/>
      <c r="AC639" s="229"/>
    </row>
    <row r="640" spans="1:29" s="160" customFormat="1" x14ac:dyDescent="0.25">
      <c r="A640" s="115"/>
      <c r="B640" s="115"/>
      <c r="C640" s="115"/>
      <c r="D640" s="117"/>
      <c r="E640" s="117"/>
      <c r="F640" s="117"/>
      <c r="G640" s="117"/>
      <c r="H640" s="117"/>
      <c r="I640" s="117"/>
      <c r="J640" s="117"/>
      <c r="K640" s="117"/>
      <c r="L640" s="117"/>
      <c r="M640" s="117"/>
      <c r="N640" s="117"/>
      <c r="O640" s="117"/>
      <c r="P640" s="117"/>
      <c r="Q640" s="117"/>
      <c r="R640" s="117"/>
      <c r="S640" s="163"/>
      <c r="T640" s="164"/>
      <c r="U640" s="164"/>
      <c r="V640" s="229"/>
      <c r="X640" s="259"/>
      <c r="Y640" s="259"/>
      <c r="Z640" s="229"/>
      <c r="AA640" s="229"/>
      <c r="AB640" s="264"/>
      <c r="AC640" s="229"/>
    </row>
    <row r="641" spans="1:29" s="160" customFormat="1" x14ac:dyDescent="0.25">
      <c r="A641" s="115"/>
      <c r="B641" s="115"/>
      <c r="C641" s="115"/>
      <c r="D641" s="117"/>
      <c r="E641" s="117"/>
      <c r="F641" s="117"/>
      <c r="G641" s="117"/>
      <c r="H641" s="117"/>
      <c r="I641" s="117"/>
      <c r="J641" s="117"/>
      <c r="K641" s="117"/>
      <c r="L641" s="117"/>
      <c r="M641" s="117"/>
      <c r="N641" s="117"/>
      <c r="O641" s="117"/>
      <c r="P641" s="117"/>
      <c r="Q641" s="117"/>
      <c r="R641" s="117"/>
      <c r="S641" s="163"/>
      <c r="T641" s="164"/>
      <c r="U641" s="164"/>
      <c r="V641" s="229"/>
      <c r="X641" s="259"/>
      <c r="Y641" s="259"/>
      <c r="Z641" s="229"/>
      <c r="AA641" s="229"/>
      <c r="AB641" s="264"/>
      <c r="AC641" s="229"/>
    </row>
    <row r="642" spans="1:29" s="160" customFormat="1" x14ac:dyDescent="0.25">
      <c r="A642" s="115"/>
      <c r="B642" s="115"/>
      <c r="C642" s="115"/>
      <c r="D642" s="117"/>
      <c r="E642" s="117"/>
      <c r="F642" s="117"/>
      <c r="G642" s="117"/>
      <c r="H642" s="117"/>
      <c r="I642" s="117"/>
      <c r="J642" s="117"/>
      <c r="K642" s="117"/>
      <c r="L642" s="117"/>
      <c r="M642" s="117"/>
      <c r="N642" s="117"/>
      <c r="O642" s="117"/>
      <c r="P642" s="117"/>
      <c r="Q642" s="117"/>
      <c r="R642" s="117"/>
      <c r="S642" s="163"/>
      <c r="T642" s="164"/>
      <c r="U642" s="164"/>
      <c r="V642" s="229"/>
      <c r="X642" s="259"/>
      <c r="Y642" s="259"/>
      <c r="Z642" s="229"/>
      <c r="AA642" s="229"/>
      <c r="AB642" s="264"/>
      <c r="AC642" s="229"/>
    </row>
    <row r="643" spans="1:29" s="160" customFormat="1" x14ac:dyDescent="0.25">
      <c r="A643" s="115"/>
      <c r="B643" s="115"/>
      <c r="C643" s="115"/>
      <c r="D643" s="117"/>
      <c r="E643" s="117"/>
      <c r="F643" s="117"/>
      <c r="G643" s="117"/>
      <c r="H643" s="117"/>
      <c r="I643" s="117"/>
      <c r="J643" s="117"/>
      <c r="K643" s="117"/>
      <c r="L643" s="117"/>
      <c r="M643" s="117"/>
      <c r="N643" s="117"/>
      <c r="O643" s="117"/>
      <c r="P643" s="117"/>
      <c r="Q643" s="117"/>
      <c r="R643" s="117"/>
      <c r="S643" s="163"/>
      <c r="T643" s="164"/>
      <c r="U643" s="164"/>
      <c r="V643" s="229"/>
      <c r="X643" s="259"/>
      <c r="Y643" s="259"/>
      <c r="Z643" s="229"/>
      <c r="AA643" s="229"/>
      <c r="AB643" s="264"/>
      <c r="AC643" s="229"/>
    </row>
    <row r="644" spans="1:29" s="160" customFormat="1" x14ac:dyDescent="0.25">
      <c r="A644" s="115"/>
      <c r="B644" s="115"/>
      <c r="C644" s="115"/>
      <c r="D644" s="117"/>
      <c r="E644" s="117"/>
      <c r="F644" s="117"/>
      <c r="G644" s="117"/>
      <c r="H644" s="117"/>
      <c r="I644" s="117"/>
      <c r="J644" s="117"/>
      <c r="K644" s="117"/>
      <c r="L644" s="117"/>
      <c r="M644" s="117"/>
      <c r="N644" s="117"/>
      <c r="O644" s="117"/>
      <c r="P644" s="117"/>
      <c r="Q644" s="117"/>
      <c r="R644" s="117"/>
      <c r="S644" s="163"/>
      <c r="T644" s="164"/>
      <c r="U644" s="164"/>
      <c r="V644" s="229"/>
      <c r="X644" s="259"/>
      <c r="Y644" s="259"/>
      <c r="Z644" s="229"/>
      <c r="AA644" s="229"/>
      <c r="AB644" s="264"/>
      <c r="AC644" s="229"/>
    </row>
    <row r="645" spans="1:29" s="160" customFormat="1" x14ac:dyDescent="0.25">
      <c r="A645" s="115"/>
      <c r="B645" s="115"/>
      <c r="C645" s="115"/>
      <c r="D645" s="117"/>
      <c r="E645" s="117"/>
      <c r="F645" s="117"/>
      <c r="G645" s="117"/>
      <c r="H645" s="117"/>
      <c r="I645" s="117"/>
      <c r="J645" s="117"/>
      <c r="K645" s="117"/>
      <c r="L645" s="117"/>
      <c r="M645" s="117"/>
      <c r="N645" s="117"/>
      <c r="O645" s="117"/>
      <c r="P645" s="117"/>
      <c r="Q645" s="117"/>
      <c r="R645" s="117"/>
      <c r="S645" s="163"/>
      <c r="T645" s="164"/>
      <c r="U645" s="164"/>
      <c r="V645" s="229"/>
      <c r="X645" s="259"/>
      <c r="Y645" s="259"/>
      <c r="Z645" s="229"/>
      <c r="AA645" s="229"/>
      <c r="AB645" s="264"/>
      <c r="AC645" s="229"/>
    </row>
    <row r="646" spans="1:29" s="160" customFormat="1" x14ac:dyDescent="0.25">
      <c r="A646" s="115"/>
      <c r="B646" s="115"/>
      <c r="C646" s="115"/>
      <c r="D646" s="117"/>
      <c r="E646" s="117"/>
      <c r="F646" s="117"/>
      <c r="G646" s="117"/>
      <c r="H646" s="117"/>
      <c r="I646" s="117"/>
      <c r="J646" s="117"/>
      <c r="K646" s="117"/>
      <c r="L646" s="117"/>
      <c r="M646" s="117"/>
      <c r="N646" s="117"/>
      <c r="O646" s="117"/>
      <c r="P646" s="117"/>
      <c r="Q646" s="117"/>
      <c r="R646" s="117"/>
      <c r="S646" s="163"/>
      <c r="T646" s="164"/>
      <c r="U646" s="164"/>
      <c r="V646" s="229"/>
      <c r="X646" s="259"/>
      <c r="Y646" s="259"/>
      <c r="Z646" s="229"/>
      <c r="AA646" s="229"/>
      <c r="AB646" s="264"/>
      <c r="AC646" s="229"/>
    </row>
    <row r="647" spans="1:29" s="160" customFormat="1" x14ac:dyDescent="0.25">
      <c r="A647" s="115"/>
      <c r="B647" s="115"/>
      <c r="C647" s="115"/>
      <c r="D647" s="117"/>
      <c r="E647" s="117"/>
      <c r="F647" s="117"/>
      <c r="G647" s="117"/>
      <c r="H647" s="117"/>
      <c r="I647" s="117"/>
      <c r="J647" s="117"/>
      <c r="K647" s="117"/>
      <c r="L647" s="117"/>
      <c r="M647" s="117"/>
      <c r="N647" s="117"/>
      <c r="O647" s="117"/>
      <c r="P647" s="117"/>
      <c r="Q647" s="117"/>
      <c r="R647" s="117"/>
      <c r="S647" s="163"/>
      <c r="T647" s="164"/>
      <c r="U647" s="164"/>
      <c r="V647" s="229"/>
      <c r="X647" s="259"/>
      <c r="Y647" s="259"/>
      <c r="Z647" s="229"/>
      <c r="AA647" s="229"/>
      <c r="AB647" s="264"/>
      <c r="AC647" s="229"/>
    </row>
    <row r="648" spans="1:29" s="160" customFormat="1" x14ac:dyDescent="0.25">
      <c r="A648" s="115"/>
      <c r="B648" s="115"/>
      <c r="C648" s="115"/>
      <c r="D648" s="117"/>
      <c r="E648" s="117"/>
      <c r="F648" s="117"/>
      <c r="G648" s="117"/>
      <c r="H648" s="117"/>
      <c r="I648" s="117"/>
      <c r="J648" s="117"/>
      <c r="K648" s="117"/>
      <c r="L648" s="117"/>
      <c r="M648" s="117"/>
      <c r="N648" s="117"/>
      <c r="O648" s="117"/>
      <c r="P648" s="117"/>
      <c r="Q648" s="117"/>
      <c r="R648" s="117"/>
      <c r="S648" s="163"/>
      <c r="T648" s="164"/>
      <c r="U648" s="164"/>
      <c r="V648" s="229"/>
      <c r="X648" s="259"/>
      <c r="Y648" s="259"/>
      <c r="Z648" s="229"/>
      <c r="AA648" s="229"/>
      <c r="AB648" s="264"/>
      <c r="AC648" s="229"/>
    </row>
    <row r="649" spans="1:29" s="160" customFormat="1" x14ac:dyDescent="0.25">
      <c r="A649" s="115"/>
      <c r="B649" s="115"/>
      <c r="C649" s="115"/>
      <c r="D649" s="117"/>
      <c r="E649" s="117"/>
      <c r="F649" s="117"/>
      <c r="G649" s="117"/>
      <c r="H649" s="117"/>
      <c r="I649" s="117"/>
      <c r="J649" s="117"/>
      <c r="K649" s="117"/>
      <c r="L649" s="117"/>
      <c r="M649" s="117"/>
      <c r="N649" s="117"/>
      <c r="O649" s="117"/>
      <c r="P649" s="117"/>
      <c r="Q649" s="117"/>
      <c r="R649" s="117"/>
      <c r="S649" s="163"/>
      <c r="T649" s="164"/>
      <c r="U649" s="164"/>
      <c r="V649" s="229"/>
      <c r="X649" s="259"/>
      <c r="Y649" s="259"/>
      <c r="Z649" s="229"/>
      <c r="AA649" s="229"/>
      <c r="AB649" s="264"/>
      <c r="AC649" s="229"/>
    </row>
    <row r="650" spans="1:29" s="160" customFormat="1" x14ac:dyDescent="0.25">
      <c r="A650" s="115"/>
      <c r="B650" s="115"/>
      <c r="C650" s="115"/>
      <c r="D650" s="117"/>
      <c r="E650" s="117"/>
      <c r="F650" s="117"/>
      <c r="G650" s="117"/>
      <c r="H650" s="117"/>
      <c r="I650" s="117"/>
      <c r="J650" s="117"/>
      <c r="K650" s="117"/>
      <c r="L650" s="117"/>
      <c r="M650" s="117"/>
      <c r="N650" s="117"/>
      <c r="O650" s="117"/>
      <c r="P650" s="117"/>
      <c r="Q650" s="117"/>
      <c r="R650" s="117"/>
      <c r="S650" s="163"/>
      <c r="T650" s="164"/>
      <c r="U650" s="164"/>
      <c r="V650" s="229"/>
      <c r="X650" s="259"/>
      <c r="Y650" s="259"/>
      <c r="Z650" s="229"/>
      <c r="AA650" s="229"/>
      <c r="AB650" s="264"/>
      <c r="AC650" s="229"/>
    </row>
    <row r="651" spans="1:29" s="160" customFormat="1" x14ac:dyDescent="0.25">
      <c r="A651" s="115"/>
      <c r="B651" s="115"/>
      <c r="C651" s="115"/>
      <c r="D651" s="117"/>
      <c r="E651" s="117"/>
      <c r="F651" s="117"/>
      <c r="G651" s="117"/>
      <c r="H651" s="117"/>
      <c r="I651" s="117"/>
      <c r="J651" s="117"/>
      <c r="K651" s="117"/>
      <c r="L651" s="117"/>
      <c r="M651" s="117"/>
      <c r="N651" s="117"/>
      <c r="O651" s="117"/>
      <c r="P651" s="117"/>
      <c r="Q651" s="117"/>
      <c r="R651" s="117"/>
      <c r="S651" s="163"/>
      <c r="T651" s="164"/>
      <c r="U651" s="164"/>
      <c r="V651" s="229"/>
      <c r="X651" s="259"/>
      <c r="Y651" s="259"/>
      <c r="Z651" s="229"/>
      <c r="AA651" s="229"/>
      <c r="AB651" s="264"/>
      <c r="AC651" s="229"/>
    </row>
    <row r="652" spans="1:29" s="160" customFormat="1" x14ac:dyDescent="0.25">
      <c r="A652" s="115"/>
      <c r="B652" s="115"/>
      <c r="C652" s="115"/>
      <c r="D652" s="117"/>
      <c r="E652" s="117"/>
      <c r="F652" s="117"/>
      <c r="G652" s="117"/>
      <c r="H652" s="117"/>
      <c r="I652" s="117"/>
      <c r="J652" s="117"/>
      <c r="K652" s="117"/>
      <c r="L652" s="117"/>
      <c r="M652" s="117"/>
      <c r="N652" s="117"/>
      <c r="O652" s="117"/>
      <c r="P652" s="117"/>
      <c r="Q652" s="117"/>
      <c r="R652" s="117"/>
      <c r="S652" s="163"/>
      <c r="T652" s="164"/>
      <c r="U652" s="164"/>
      <c r="V652" s="229"/>
      <c r="X652" s="259"/>
      <c r="Y652" s="259"/>
      <c r="Z652" s="229"/>
      <c r="AA652" s="229"/>
      <c r="AB652" s="264"/>
      <c r="AC652" s="229"/>
    </row>
    <row r="653" spans="1:29" s="160" customFormat="1" x14ac:dyDescent="0.25">
      <c r="A653" s="115"/>
      <c r="B653" s="115"/>
      <c r="C653" s="115"/>
      <c r="D653" s="117"/>
      <c r="E653" s="117"/>
      <c r="F653" s="117"/>
      <c r="G653" s="117"/>
      <c r="H653" s="117"/>
      <c r="I653" s="117"/>
      <c r="J653" s="117"/>
      <c r="K653" s="117"/>
      <c r="L653" s="117"/>
      <c r="M653" s="117"/>
      <c r="N653" s="117"/>
      <c r="O653" s="117"/>
      <c r="P653" s="117"/>
      <c r="Q653" s="117"/>
      <c r="R653" s="117"/>
      <c r="S653" s="163"/>
      <c r="T653" s="164"/>
      <c r="U653" s="164"/>
      <c r="V653" s="229"/>
      <c r="X653" s="259"/>
      <c r="Y653" s="259"/>
      <c r="Z653" s="229"/>
      <c r="AA653" s="229"/>
      <c r="AB653" s="264"/>
      <c r="AC653" s="229"/>
    </row>
    <row r="654" spans="1:29" s="160" customFormat="1" x14ac:dyDescent="0.25">
      <c r="A654" s="115"/>
      <c r="B654" s="115"/>
      <c r="C654" s="115"/>
      <c r="D654" s="117"/>
      <c r="E654" s="117"/>
      <c r="F654" s="117"/>
      <c r="G654" s="117"/>
      <c r="H654" s="117"/>
      <c r="I654" s="117"/>
      <c r="J654" s="117"/>
      <c r="K654" s="117"/>
      <c r="L654" s="117"/>
      <c r="M654" s="117"/>
      <c r="N654" s="117"/>
      <c r="O654" s="117"/>
      <c r="P654" s="117"/>
      <c r="Q654" s="117"/>
      <c r="R654" s="117"/>
      <c r="S654" s="163"/>
      <c r="T654" s="164"/>
      <c r="U654" s="164"/>
      <c r="V654" s="229"/>
      <c r="X654" s="259"/>
      <c r="Y654" s="259"/>
      <c r="Z654" s="229"/>
      <c r="AA654" s="229"/>
      <c r="AB654" s="264"/>
      <c r="AC654" s="229"/>
    </row>
    <row r="655" spans="1:29" s="160" customFormat="1" x14ac:dyDescent="0.25">
      <c r="A655" s="115"/>
      <c r="B655" s="115"/>
      <c r="C655" s="115"/>
      <c r="D655" s="117"/>
      <c r="E655" s="117"/>
      <c r="F655" s="117"/>
      <c r="G655" s="117"/>
      <c r="H655" s="117"/>
      <c r="I655" s="117"/>
      <c r="J655" s="117"/>
      <c r="K655" s="117"/>
      <c r="L655" s="117"/>
      <c r="M655" s="117"/>
      <c r="N655" s="117"/>
      <c r="O655" s="117"/>
      <c r="P655" s="117"/>
      <c r="Q655" s="117"/>
      <c r="R655" s="117"/>
      <c r="S655" s="163"/>
      <c r="T655" s="164"/>
      <c r="U655" s="164"/>
      <c r="V655" s="229"/>
      <c r="X655" s="259"/>
      <c r="Y655" s="259"/>
      <c r="Z655" s="229"/>
      <c r="AA655" s="229"/>
      <c r="AB655" s="264"/>
      <c r="AC655" s="229"/>
    </row>
    <row r="656" spans="1:29" s="160" customFormat="1" x14ac:dyDescent="0.25">
      <c r="A656" s="115"/>
      <c r="B656" s="115"/>
      <c r="C656" s="115"/>
      <c r="D656" s="117"/>
      <c r="E656" s="117"/>
      <c r="F656" s="117"/>
      <c r="G656" s="117"/>
      <c r="H656" s="117"/>
      <c r="I656" s="117"/>
      <c r="J656" s="117"/>
      <c r="K656" s="117"/>
      <c r="L656" s="117"/>
      <c r="M656" s="117"/>
      <c r="N656" s="117"/>
      <c r="O656" s="117"/>
      <c r="P656" s="117"/>
      <c r="Q656" s="117"/>
      <c r="R656" s="117"/>
      <c r="S656" s="163"/>
      <c r="T656" s="164"/>
      <c r="U656" s="164"/>
      <c r="V656" s="229"/>
      <c r="X656" s="259"/>
      <c r="Y656" s="259"/>
      <c r="Z656" s="229"/>
      <c r="AA656" s="229"/>
      <c r="AB656" s="264"/>
      <c r="AC656" s="229"/>
    </row>
    <row r="657" spans="1:29" s="160" customFormat="1" x14ac:dyDescent="0.25">
      <c r="A657" s="115"/>
      <c r="B657" s="115"/>
      <c r="C657" s="115"/>
      <c r="D657" s="117"/>
      <c r="E657" s="117"/>
      <c r="F657" s="117"/>
      <c r="G657" s="117"/>
      <c r="H657" s="117"/>
      <c r="I657" s="117"/>
      <c r="J657" s="117"/>
      <c r="K657" s="117"/>
      <c r="L657" s="117"/>
      <c r="M657" s="117"/>
      <c r="N657" s="117"/>
      <c r="O657" s="117"/>
      <c r="P657" s="117"/>
      <c r="Q657" s="117"/>
      <c r="R657" s="117"/>
      <c r="S657" s="163"/>
      <c r="T657" s="164"/>
      <c r="U657" s="164"/>
      <c r="V657" s="229"/>
      <c r="X657" s="259"/>
      <c r="Y657" s="259"/>
      <c r="Z657" s="229"/>
      <c r="AA657" s="229"/>
      <c r="AB657" s="264"/>
      <c r="AC657" s="229"/>
    </row>
    <row r="658" spans="1:29" s="160" customFormat="1" x14ac:dyDescent="0.25">
      <c r="A658" s="115"/>
      <c r="B658" s="115"/>
      <c r="C658" s="115"/>
      <c r="D658" s="117"/>
      <c r="E658" s="117"/>
      <c r="F658" s="117"/>
      <c r="G658" s="117"/>
      <c r="H658" s="117"/>
      <c r="I658" s="117"/>
      <c r="J658" s="117"/>
      <c r="K658" s="117"/>
      <c r="L658" s="117"/>
      <c r="M658" s="117"/>
      <c r="N658" s="117"/>
      <c r="O658" s="117"/>
      <c r="P658" s="117"/>
      <c r="Q658" s="117"/>
      <c r="R658" s="117"/>
      <c r="S658" s="163"/>
      <c r="T658" s="164"/>
      <c r="U658" s="164"/>
      <c r="V658" s="229"/>
      <c r="X658" s="259"/>
      <c r="Y658" s="259"/>
      <c r="Z658" s="229"/>
      <c r="AA658" s="229"/>
      <c r="AB658" s="264"/>
      <c r="AC658" s="229"/>
    </row>
    <row r="659" spans="1:29" s="160" customFormat="1" x14ac:dyDescent="0.25">
      <c r="A659" s="115"/>
      <c r="B659" s="115"/>
      <c r="C659" s="115"/>
      <c r="D659" s="117"/>
      <c r="E659" s="117"/>
      <c r="F659" s="117"/>
      <c r="G659" s="117"/>
      <c r="H659" s="117"/>
      <c r="I659" s="117"/>
      <c r="J659" s="117"/>
      <c r="K659" s="117"/>
      <c r="L659" s="117"/>
      <c r="M659" s="117"/>
      <c r="N659" s="117"/>
      <c r="O659" s="117"/>
      <c r="P659" s="117"/>
      <c r="Q659" s="117"/>
      <c r="R659" s="117"/>
      <c r="S659" s="163"/>
      <c r="T659" s="164"/>
      <c r="U659" s="164"/>
      <c r="V659" s="229"/>
      <c r="X659" s="259"/>
      <c r="Y659" s="259"/>
      <c r="Z659" s="229"/>
      <c r="AA659" s="229"/>
      <c r="AB659" s="264"/>
      <c r="AC659" s="229"/>
    </row>
    <row r="660" spans="1:29" s="160" customFormat="1" x14ac:dyDescent="0.25">
      <c r="A660" s="115"/>
      <c r="B660" s="115"/>
      <c r="C660" s="115"/>
      <c r="D660" s="117"/>
      <c r="E660" s="117"/>
      <c r="F660" s="117"/>
      <c r="G660" s="117"/>
      <c r="H660" s="117"/>
      <c r="I660" s="117"/>
      <c r="J660" s="117"/>
      <c r="K660" s="117"/>
      <c r="L660" s="117"/>
      <c r="M660" s="117"/>
      <c r="N660" s="117"/>
      <c r="O660" s="117"/>
      <c r="P660" s="117"/>
      <c r="Q660" s="117"/>
      <c r="R660" s="117"/>
      <c r="S660" s="163"/>
      <c r="T660" s="164"/>
      <c r="U660" s="164"/>
      <c r="V660" s="229"/>
      <c r="X660" s="259"/>
      <c r="Y660" s="259"/>
      <c r="Z660" s="229"/>
      <c r="AA660" s="229"/>
      <c r="AB660" s="264"/>
      <c r="AC660" s="229"/>
    </row>
    <row r="661" spans="1:29" s="160" customFormat="1" x14ac:dyDescent="0.25">
      <c r="A661" s="115"/>
      <c r="B661" s="115"/>
      <c r="C661" s="115"/>
      <c r="D661" s="117"/>
      <c r="E661" s="117"/>
      <c r="F661" s="117"/>
      <c r="G661" s="117"/>
      <c r="H661" s="117"/>
      <c r="I661" s="117"/>
      <c r="J661" s="117"/>
      <c r="K661" s="117"/>
      <c r="L661" s="117"/>
      <c r="M661" s="117"/>
      <c r="N661" s="117"/>
      <c r="O661" s="117"/>
      <c r="P661" s="117"/>
      <c r="Q661" s="117"/>
      <c r="R661" s="117"/>
      <c r="S661" s="163"/>
      <c r="T661" s="164"/>
      <c r="U661" s="164"/>
      <c r="V661" s="229"/>
      <c r="X661" s="259"/>
      <c r="Y661" s="259"/>
      <c r="Z661" s="229"/>
      <c r="AA661" s="229"/>
      <c r="AB661" s="264"/>
      <c r="AC661" s="229"/>
    </row>
    <row r="662" spans="1:29" s="160" customFormat="1" x14ac:dyDescent="0.25">
      <c r="A662" s="115"/>
      <c r="B662" s="115"/>
      <c r="C662" s="115"/>
      <c r="D662" s="117"/>
      <c r="E662" s="117"/>
      <c r="F662" s="117"/>
      <c r="G662" s="117"/>
      <c r="H662" s="117"/>
      <c r="I662" s="117"/>
      <c r="J662" s="117"/>
      <c r="K662" s="117"/>
      <c r="L662" s="117"/>
      <c r="M662" s="117"/>
      <c r="N662" s="117"/>
      <c r="O662" s="117"/>
      <c r="P662" s="117"/>
      <c r="Q662" s="117"/>
      <c r="R662" s="117"/>
      <c r="S662" s="163"/>
      <c r="T662" s="164"/>
      <c r="U662" s="164"/>
      <c r="V662" s="229"/>
      <c r="X662" s="259"/>
      <c r="Y662" s="259"/>
      <c r="Z662" s="229"/>
      <c r="AA662" s="229"/>
      <c r="AB662" s="264"/>
      <c r="AC662" s="229"/>
    </row>
    <row r="663" spans="1:29" s="160" customFormat="1" x14ac:dyDescent="0.25">
      <c r="A663" s="115"/>
      <c r="B663" s="115"/>
      <c r="C663" s="115"/>
      <c r="D663" s="117"/>
      <c r="E663" s="117"/>
      <c r="F663" s="117"/>
      <c r="G663" s="117"/>
      <c r="H663" s="117"/>
      <c r="I663" s="117"/>
      <c r="J663" s="117"/>
      <c r="K663" s="117"/>
      <c r="L663" s="117"/>
      <c r="M663" s="117"/>
      <c r="N663" s="117"/>
      <c r="O663" s="117"/>
      <c r="P663" s="117"/>
      <c r="Q663" s="117"/>
      <c r="R663" s="117"/>
      <c r="S663" s="163"/>
      <c r="T663" s="164"/>
      <c r="U663" s="164"/>
      <c r="V663" s="229"/>
      <c r="X663" s="259"/>
      <c r="Y663" s="259"/>
      <c r="Z663" s="229"/>
      <c r="AA663" s="229"/>
      <c r="AB663" s="264"/>
      <c r="AC663" s="229"/>
    </row>
    <row r="664" spans="1:29" s="160" customFormat="1" x14ac:dyDescent="0.25">
      <c r="A664" s="115"/>
      <c r="B664" s="115"/>
      <c r="C664" s="115"/>
      <c r="D664" s="117"/>
      <c r="E664" s="117"/>
      <c r="F664" s="117"/>
      <c r="G664" s="117"/>
      <c r="H664" s="117"/>
      <c r="I664" s="117"/>
      <c r="J664" s="117"/>
      <c r="K664" s="117"/>
      <c r="L664" s="117"/>
      <c r="M664" s="117"/>
      <c r="N664" s="117"/>
      <c r="O664" s="117"/>
      <c r="P664" s="117"/>
      <c r="Q664" s="117"/>
      <c r="R664" s="117"/>
      <c r="S664" s="163"/>
      <c r="T664" s="164"/>
      <c r="U664" s="164"/>
      <c r="V664" s="229"/>
      <c r="X664" s="259"/>
      <c r="Y664" s="259"/>
      <c r="Z664" s="229"/>
      <c r="AA664" s="229"/>
      <c r="AB664" s="264"/>
      <c r="AC664" s="229"/>
    </row>
    <row r="665" spans="1:29" s="160" customFormat="1" x14ac:dyDescent="0.25">
      <c r="A665" s="115"/>
      <c r="B665" s="115"/>
      <c r="C665" s="115"/>
      <c r="D665" s="117"/>
      <c r="E665" s="117"/>
      <c r="F665" s="117"/>
      <c r="G665" s="117"/>
      <c r="H665" s="117"/>
      <c r="I665" s="117"/>
      <c r="J665" s="117"/>
      <c r="K665" s="117"/>
      <c r="L665" s="117"/>
      <c r="M665" s="117"/>
      <c r="N665" s="117"/>
      <c r="O665" s="117"/>
      <c r="P665" s="117"/>
      <c r="Q665" s="117"/>
      <c r="R665" s="117"/>
      <c r="S665" s="163"/>
      <c r="T665" s="164"/>
      <c r="U665" s="164"/>
      <c r="V665" s="229"/>
      <c r="X665" s="259"/>
      <c r="Y665" s="259"/>
      <c r="Z665" s="229"/>
      <c r="AA665" s="229"/>
      <c r="AB665" s="264"/>
      <c r="AC665" s="229"/>
    </row>
    <row r="666" spans="1:29" s="160" customFormat="1" x14ac:dyDescent="0.25">
      <c r="A666" s="115"/>
      <c r="B666" s="115"/>
      <c r="C666" s="115"/>
      <c r="D666" s="117"/>
      <c r="E666" s="117"/>
      <c r="F666" s="117"/>
      <c r="G666" s="117"/>
      <c r="H666" s="117"/>
      <c r="I666" s="117"/>
      <c r="J666" s="117"/>
      <c r="K666" s="117"/>
      <c r="L666" s="117"/>
      <c r="M666" s="117"/>
      <c r="N666" s="117"/>
      <c r="O666" s="117"/>
      <c r="P666" s="117"/>
      <c r="Q666" s="117"/>
      <c r="R666" s="117"/>
      <c r="S666" s="163"/>
      <c r="T666" s="164"/>
      <c r="U666" s="164"/>
      <c r="V666" s="229"/>
      <c r="X666" s="259"/>
      <c r="Y666" s="259"/>
      <c r="Z666" s="229"/>
      <c r="AA666" s="229"/>
      <c r="AB666" s="264"/>
      <c r="AC666" s="229"/>
    </row>
    <row r="667" spans="1:29" s="160" customFormat="1" x14ac:dyDescent="0.25">
      <c r="A667" s="115"/>
      <c r="B667" s="115"/>
      <c r="C667" s="115"/>
      <c r="D667" s="117"/>
      <c r="E667" s="117"/>
      <c r="F667" s="117"/>
      <c r="G667" s="117"/>
      <c r="H667" s="117"/>
      <c r="I667" s="117"/>
      <c r="J667" s="117"/>
      <c r="K667" s="117"/>
      <c r="L667" s="117"/>
      <c r="M667" s="117"/>
      <c r="N667" s="117"/>
      <c r="O667" s="117"/>
      <c r="P667" s="117"/>
      <c r="Q667" s="117"/>
      <c r="R667" s="117"/>
      <c r="S667" s="163"/>
      <c r="T667" s="164"/>
      <c r="U667" s="164"/>
      <c r="V667" s="229"/>
      <c r="X667" s="259"/>
      <c r="Y667" s="259"/>
      <c r="Z667" s="229"/>
      <c r="AA667" s="229"/>
      <c r="AB667" s="264"/>
      <c r="AC667" s="229"/>
    </row>
    <row r="668" spans="1:29" s="160" customFormat="1" x14ac:dyDescent="0.25">
      <c r="A668" s="115"/>
      <c r="B668" s="115"/>
      <c r="C668" s="115"/>
      <c r="D668" s="117"/>
      <c r="E668" s="117"/>
      <c r="F668" s="117"/>
      <c r="G668" s="117"/>
      <c r="H668" s="117"/>
      <c r="I668" s="117"/>
      <c r="J668" s="117"/>
      <c r="K668" s="117"/>
      <c r="L668" s="117"/>
      <c r="M668" s="117"/>
      <c r="N668" s="117"/>
      <c r="O668" s="117"/>
      <c r="P668" s="117"/>
      <c r="Q668" s="117"/>
      <c r="R668" s="117"/>
      <c r="S668" s="163"/>
      <c r="T668" s="164"/>
      <c r="U668" s="164"/>
      <c r="V668" s="229"/>
      <c r="X668" s="259"/>
      <c r="Y668" s="259"/>
      <c r="Z668" s="229"/>
      <c r="AA668" s="229"/>
      <c r="AB668" s="264"/>
      <c r="AC668" s="229"/>
    </row>
    <row r="669" spans="1:29" s="160" customFormat="1" x14ac:dyDescent="0.25">
      <c r="A669" s="115"/>
      <c r="B669" s="115"/>
      <c r="C669" s="115"/>
      <c r="D669" s="117"/>
      <c r="E669" s="117"/>
      <c r="F669" s="117"/>
      <c r="G669" s="117"/>
      <c r="H669" s="117"/>
      <c r="I669" s="117"/>
      <c r="J669" s="117"/>
      <c r="K669" s="117"/>
      <c r="L669" s="117"/>
      <c r="M669" s="117"/>
      <c r="N669" s="117"/>
      <c r="O669" s="117"/>
      <c r="P669" s="117"/>
      <c r="Q669" s="117"/>
      <c r="R669" s="117"/>
      <c r="S669" s="163"/>
      <c r="T669" s="164"/>
      <c r="U669" s="164"/>
      <c r="V669" s="229"/>
      <c r="X669" s="259"/>
      <c r="Y669" s="259"/>
      <c r="Z669" s="229"/>
      <c r="AA669" s="229"/>
      <c r="AB669" s="264"/>
      <c r="AC669" s="229"/>
    </row>
    <row r="670" spans="1:29" s="160" customFormat="1" x14ac:dyDescent="0.25">
      <c r="A670" s="115"/>
      <c r="B670" s="115"/>
      <c r="C670" s="115"/>
      <c r="D670" s="117"/>
      <c r="E670" s="117"/>
      <c r="F670" s="117"/>
      <c r="G670" s="117"/>
      <c r="H670" s="117"/>
      <c r="I670" s="117"/>
      <c r="J670" s="117"/>
      <c r="K670" s="117"/>
      <c r="L670" s="117"/>
      <c r="M670" s="117"/>
      <c r="N670" s="117"/>
      <c r="O670" s="117"/>
      <c r="P670" s="117"/>
      <c r="Q670" s="117"/>
      <c r="R670" s="117"/>
      <c r="S670" s="163"/>
      <c r="T670" s="164"/>
      <c r="U670" s="164"/>
      <c r="V670" s="229"/>
      <c r="X670" s="259"/>
      <c r="Y670" s="259"/>
      <c r="Z670" s="229"/>
      <c r="AA670" s="229"/>
      <c r="AB670" s="264"/>
      <c r="AC670" s="229"/>
    </row>
    <row r="671" spans="1:29" s="160" customFormat="1" x14ac:dyDescent="0.25">
      <c r="A671" s="115"/>
      <c r="B671" s="115"/>
      <c r="C671" s="115"/>
      <c r="D671" s="117"/>
      <c r="E671" s="117"/>
      <c r="F671" s="117"/>
      <c r="G671" s="117"/>
      <c r="H671" s="117"/>
      <c r="I671" s="117"/>
      <c r="J671" s="117"/>
      <c r="K671" s="117"/>
      <c r="L671" s="117"/>
      <c r="M671" s="117"/>
      <c r="N671" s="117"/>
      <c r="O671" s="117"/>
      <c r="P671" s="117"/>
      <c r="Q671" s="117"/>
      <c r="R671" s="117"/>
      <c r="S671" s="163"/>
      <c r="T671" s="164"/>
      <c r="U671" s="164"/>
      <c r="V671" s="229"/>
      <c r="X671" s="259"/>
      <c r="Y671" s="259"/>
      <c r="Z671" s="229"/>
      <c r="AA671" s="229"/>
      <c r="AB671" s="264"/>
      <c r="AC671" s="229"/>
    </row>
    <row r="672" spans="1:29" s="160" customFormat="1" x14ac:dyDescent="0.25">
      <c r="A672" s="115"/>
      <c r="B672" s="115"/>
      <c r="C672" s="115"/>
      <c r="D672" s="117"/>
      <c r="E672" s="117"/>
      <c r="F672" s="117"/>
      <c r="G672" s="117"/>
      <c r="H672" s="117"/>
      <c r="I672" s="117"/>
      <c r="J672" s="117"/>
      <c r="K672" s="117"/>
      <c r="L672" s="117"/>
      <c r="M672" s="117"/>
      <c r="N672" s="117"/>
      <c r="O672" s="117"/>
      <c r="P672" s="117"/>
      <c r="Q672" s="117"/>
      <c r="R672" s="117"/>
      <c r="S672" s="163"/>
      <c r="T672" s="164"/>
      <c r="U672" s="164"/>
      <c r="V672" s="229"/>
      <c r="X672" s="259"/>
      <c r="Y672" s="259"/>
      <c r="Z672" s="229"/>
      <c r="AA672" s="229"/>
      <c r="AB672" s="264"/>
      <c r="AC672" s="229"/>
    </row>
  </sheetData>
  <sortState xmlns:xlrd2="http://schemas.microsoft.com/office/spreadsheetml/2017/richdata2" ref="A7:AW672">
    <sortCondition descending="1" ref="D7"/>
  </sortState>
  <mergeCells count="12">
    <mergeCell ref="O3:P3"/>
    <mergeCell ref="AD5:AD6"/>
    <mergeCell ref="A5:A6"/>
    <mergeCell ref="B5:B6"/>
    <mergeCell ref="C5:C6"/>
    <mergeCell ref="E5:E6"/>
    <mergeCell ref="F5:I5"/>
    <mergeCell ref="E1:J1"/>
    <mergeCell ref="K1:P1"/>
    <mergeCell ref="Q1:U1"/>
    <mergeCell ref="V1:Z1"/>
    <mergeCell ref="O2:P2"/>
  </mergeCells>
  <phoneticPr fontId="6" type="noConversion"/>
  <conditionalFormatting sqref="U7:U3780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{C2BC43EC-AAA9-41C0-A1EA-D50EC5CA90BE}</x14:id>
        </ext>
      </extLst>
    </cfRule>
  </conditionalFormatting>
  <conditionalFormatting sqref="E3:J3">
    <cfRule type="cellIs" dxfId="9" priority="5" operator="greaterThan">
      <formula>0</formula>
    </cfRule>
    <cfRule type="cellIs" dxfId="8" priority="4" operator="lessThan">
      <formula>0</formula>
    </cfRule>
  </conditionalFormatting>
  <conditionalFormatting sqref="H7:I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{4944595D-C4F2-4ED5-A444-D26D7767B324}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tCBEB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2BC43EC-AAA9-41C0-A1EA-D50EC5CA90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U7:U3780</xm:sqref>
        </x14:conditionalFormatting>
        <x14:conditionalFormatting xmlns:xm="http://schemas.microsoft.com/office/excel/2006/main">
          <x14:cfRule type="dataBar" id="{4944595D-C4F2-4ED5-A444-D26D7767B324}">
            <x14:dataBar minLength="0" maxLength="100" gradient="0">
              <x14:cfvo type="autoMin"/>
              <x14:cfvo type="autoMax"/>
              <x14:negativeFillColor rgb="FF00B050"/>
              <x14:axisColor rgb="FF000000"/>
            </x14:dataBar>
          </x14:cfRule>
          <xm:sqref>H7:I1048576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FN662"/>
  <sheetViews>
    <sheetView showGridLines="0" topLeftCell="A103" zoomScale="130" zoomScaleNormal="130" workbookViewId="0">
      <selection activeCell="C122" sqref="C122"/>
    </sheetView>
  </sheetViews>
  <sheetFormatPr defaultColWidth="9.140625" defaultRowHeight="10.75" x14ac:dyDescent="0.25"/>
  <cols>
    <col min="1" max="1" width="9.85546875" style="142" customWidth="1"/>
    <col min="2" max="2" width="8.140625" style="151" bestFit="1" customWidth="1"/>
    <col min="3" max="3" width="7.85546875" style="142" bestFit="1" customWidth="1"/>
    <col min="4" max="4" width="9.140625" style="152" bestFit="1" customWidth="1"/>
    <col min="5" max="6" width="7.2109375" style="151" bestFit="1" customWidth="1"/>
    <col min="7" max="7" width="7.2109375" style="152" bestFit="1" customWidth="1"/>
    <col min="8" max="8" width="15.2109375" style="151" bestFit="1" customWidth="1"/>
    <col min="9" max="9" width="9" style="151" bestFit="1" customWidth="1"/>
    <col min="10" max="10" width="30.35546875" style="316" bestFit="1" customWidth="1"/>
    <col min="11" max="11" width="40.7109375" style="316" bestFit="1" customWidth="1"/>
    <col min="12" max="12" width="28.640625" style="316" customWidth="1"/>
    <col min="13" max="13" width="44.85546875" style="316" customWidth="1"/>
    <col min="14" max="15" width="5.35546875" style="153" bestFit="1" customWidth="1"/>
    <col min="16" max="16" width="5.35546875" style="145" bestFit="1" customWidth="1"/>
    <col min="17" max="17" width="11.140625" style="146" bestFit="1" customWidth="1"/>
    <col min="18" max="18" width="9.7109375" style="149" bestFit="1" customWidth="1"/>
    <col min="19" max="20" width="9" style="149" bestFit="1" customWidth="1"/>
    <col min="21" max="28" width="10.640625" style="149" customWidth="1"/>
    <col min="29" max="47" width="9.140625" style="149"/>
    <col min="48" max="16384" width="9.140625" style="150"/>
  </cols>
  <sheetData>
    <row r="1" spans="1:170" s="100" customFormat="1" ht="14.6" thickBot="1" x14ac:dyDescent="0.4">
      <c r="A1" s="93"/>
      <c r="B1" s="94"/>
      <c r="C1" s="93"/>
      <c r="D1" s="95"/>
      <c r="E1" s="94"/>
      <c r="F1" s="94"/>
      <c r="G1" s="95"/>
      <c r="H1" s="94"/>
      <c r="I1" s="94"/>
      <c r="J1" s="309"/>
      <c r="K1" s="309"/>
      <c r="L1" s="309"/>
      <c r="M1" s="309"/>
      <c r="N1" s="96"/>
      <c r="O1" s="96"/>
      <c r="P1" s="97"/>
      <c r="Q1" s="98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</row>
    <row r="2" spans="1:170" s="100" customFormat="1" ht="14.15" x14ac:dyDescent="0.35">
      <c r="A2" s="442" t="s">
        <v>1029</v>
      </c>
      <c r="B2" s="448" t="str">
        <f ca="1">[1]!td(TODAY())</f>
        <v>2021-09-08</v>
      </c>
      <c r="C2" s="449"/>
      <c r="D2" s="218"/>
      <c r="I2" s="94"/>
      <c r="J2" s="309"/>
      <c r="K2" s="309"/>
      <c r="L2" s="309"/>
      <c r="M2" s="309"/>
      <c r="N2" s="96"/>
      <c r="O2" s="96"/>
      <c r="P2" s="97"/>
      <c r="Q2" s="98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</row>
    <row r="3" spans="1:170" s="100" customFormat="1" ht="14.6" thickBot="1" x14ac:dyDescent="0.4">
      <c r="A3" s="443"/>
      <c r="B3" s="450"/>
      <c r="C3" s="451"/>
      <c r="D3" s="218"/>
      <c r="I3" s="94"/>
      <c r="J3" s="309"/>
      <c r="K3" s="309"/>
      <c r="L3" s="309"/>
      <c r="M3" s="309"/>
      <c r="N3" s="96"/>
      <c r="O3" s="96"/>
      <c r="P3" s="97"/>
      <c r="Q3" s="98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99"/>
      <c r="AU3" s="99"/>
    </row>
    <row r="4" spans="1:170" s="100" customFormat="1" ht="18" customHeight="1" thickBot="1" x14ac:dyDescent="0.4">
      <c r="A4" s="441"/>
      <c r="B4" s="441"/>
      <c r="C4" s="101"/>
      <c r="D4" s="219"/>
      <c r="E4" s="102"/>
      <c r="F4" s="441"/>
      <c r="G4" s="441"/>
      <c r="H4" s="94"/>
      <c r="I4" s="103"/>
      <c r="J4" s="310"/>
      <c r="K4" s="310"/>
      <c r="L4" s="310"/>
      <c r="M4" s="310"/>
      <c r="N4" s="104"/>
      <c r="O4" s="96"/>
      <c r="P4" s="104"/>
      <c r="Q4" s="105"/>
      <c r="R4" s="103"/>
      <c r="S4" s="103"/>
      <c r="T4" s="103"/>
      <c r="U4" s="103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</row>
    <row r="5" spans="1:170" s="303" customFormat="1" ht="18.75" customHeight="1" x14ac:dyDescent="0.25">
      <c r="A5" s="446" t="s">
        <v>1616</v>
      </c>
      <c r="B5" s="446" t="s">
        <v>1617</v>
      </c>
      <c r="C5" s="446" t="s">
        <v>1618</v>
      </c>
      <c r="D5" s="295" t="s">
        <v>1600</v>
      </c>
      <c r="E5" s="296" t="s">
        <v>660</v>
      </c>
      <c r="F5" s="297" t="s">
        <v>1619</v>
      </c>
      <c r="G5" s="295" t="s">
        <v>1620</v>
      </c>
      <c r="H5" s="297" t="s">
        <v>1621</v>
      </c>
      <c r="I5" s="297" t="s">
        <v>1622</v>
      </c>
      <c r="J5" s="297" t="s">
        <v>1623</v>
      </c>
      <c r="K5" s="444" t="s">
        <v>1624</v>
      </c>
      <c r="L5" s="444" t="s">
        <v>1625</v>
      </c>
      <c r="M5" s="444" t="s">
        <v>1626</v>
      </c>
      <c r="N5" s="298" t="s">
        <v>1627</v>
      </c>
      <c r="O5" s="298" t="s">
        <v>1628</v>
      </c>
      <c r="P5" s="298" t="s">
        <v>1629</v>
      </c>
      <c r="Q5" s="299" t="s">
        <v>1630</v>
      </c>
      <c r="R5" s="297" t="s">
        <v>1631</v>
      </c>
      <c r="S5" s="297" t="s">
        <v>1632</v>
      </c>
      <c r="T5" s="297" t="s">
        <v>1633</v>
      </c>
      <c r="U5" s="300" t="s">
        <v>891</v>
      </c>
      <c r="V5" s="301"/>
      <c r="W5" s="301"/>
      <c r="X5" s="301"/>
      <c r="Y5" s="301"/>
      <c r="Z5" s="301"/>
      <c r="AA5" s="301"/>
      <c r="AB5" s="301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</row>
    <row r="6" spans="1:170" s="308" customFormat="1" ht="14.4" customHeight="1" thickBot="1" x14ac:dyDescent="0.3">
      <c r="A6" s="447"/>
      <c r="B6" s="447"/>
      <c r="C6" s="447"/>
      <c r="D6" s="304" t="s">
        <v>1615</v>
      </c>
      <c r="E6" s="304" t="s">
        <v>1615</v>
      </c>
      <c r="F6" s="304" t="s">
        <v>1615</v>
      </c>
      <c r="G6" s="304" t="s">
        <v>1615</v>
      </c>
      <c r="H6" s="304" t="s">
        <v>1615</v>
      </c>
      <c r="I6" s="304" t="s">
        <v>1615</v>
      </c>
      <c r="J6" s="304" t="s">
        <v>1615</v>
      </c>
      <c r="K6" s="445"/>
      <c r="L6" s="445"/>
      <c r="M6" s="445"/>
      <c r="N6" s="304" t="s">
        <v>1615</v>
      </c>
      <c r="O6" s="304" t="s">
        <v>1615</v>
      </c>
      <c r="P6" s="304" t="s">
        <v>1615</v>
      </c>
      <c r="Q6" s="304" t="s">
        <v>1615</v>
      </c>
      <c r="R6" s="304" t="s">
        <v>1615</v>
      </c>
      <c r="S6" s="304" t="s">
        <v>1615</v>
      </c>
      <c r="T6" s="304" t="s">
        <v>1615</v>
      </c>
      <c r="U6" s="305" t="s">
        <v>1615</v>
      </c>
      <c r="V6" s="306"/>
      <c r="W6" s="306"/>
      <c r="X6" s="306"/>
      <c r="Y6" s="306"/>
      <c r="Z6" s="306"/>
      <c r="AA6" s="306"/>
      <c r="AB6" s="306"/>
      <c r="AC6" s="307"/>
      <c r="AD6" s="307"/>
      <c r="AE6" s="307"/>
      <c r="AF6" s="307"/>
      <c r="AG6" s="307"/>
      <c r="AH6" s="307"/>
      <c r="AI6" s="307"/>
      <c r="AJ6" s="307"/>
      <c r="AK6" s="307"/>
      <c r="AL6" s="307"/>
      <c r="AM6" s="307"/>
      <c r="AN6" s="307"/>
      <c r="AO6" s="307"/>
      <c r="AP6" s="307"/>
      <c r="AQ6" s="307"/>
      <c r="AR6" s="307"/>
      <c r="AS6" s="307"/>
      <c r="AT6" s="307"/>
      <c r="AU6" s="307"/>
    </row>
    <row r="7" spans="1:170" s="179" customFormat="1" ht="10.3" x14ac:dyDescent="0.25">
      <c r="A7" s="170" t="s">
        <v>0</v>
      </c>
      <c r="B7" s="170" t="s">
        <v>1283</v>
      </c>
      <c r="C7" s="170" t="s">
        <v>1284</v>
      </c>
      <c r="D7" s="172">
        <v>5.5561643835616437</v>
      </c>
      <c r="E7" s="171">
        <v>150</v>
      </c>
      <c r="F7" s="171">
        <v>150</v>
      </c>
      <c r="G7" s="172">
        <v>12.99</v>
      </c>
      <c r="H7" s="171">
        <v>76</v>
      </c>
      <c r="I7" s="171" t="s">
        <v>941</v>
      </c>
      <c r="J7" s="317" t="s">
        <v>936</v>
      </c>
      <c r="K7" s="317" t="s">
        <v>1420</v>
      </c>
      <c r="L7" s="311"/>
      <c r="M7" s="311" t="s">
        <v>987</v>
      </c>
      <c r="N7" s="173">
        <v>80</v>
      </c>
      <c r="O7" s="173"/>
      <c r="P7" s="173">
        <v>130</v>
      </c>
      <c r="Q7" s="174">
        <v>108</v>
      </c>
      <c r="R7" s="199">
        <v>46475</v>
      </c>
      <c r="S7" s="175">
        <v>44477</v>
      </c>
      <c r="T7" s="175">
        <v>44477</v>
      </c>
      <c r="U7" s="176">
        <f ca="1">[1]!cb_clause_conversion_2_relativeswapsharemonth(B7)</f>
        <v>6</v>
      </c>
      <c r="V7" s="177"/>
      <c r="W7" s="177"/>
      <c r="X7" s="177"/>
      <c r="Y7" s="177"/>
      <c r="Z7" s="177"/>
      <c r="AA7" s="177"/>
      <c r="AB7" s="177"/>
      <c r="AC7" s="178"/>
      <c r="AD7" s="178"/>
      <c r="AE7" s="178"/>
      <c r="AF7" s="178"/>
      <c r="AG7" s="178"/>
      <c r="AH7" s="178"/>
      <c r="AI7" s="178"/>
      <c r="AJ7" s="178"/>
      <c r="AK7" s="178"/>
      <c r="AL7" s="178"/>
      <c r="AM7" s="178"/>
      <c r="AN7" s="178"/>
      <c r="AO7" s="178"/>
      <c r="AP7" s="178"/>
      <c r="AQ7" s="178"/>
      <c r="AR7" s="178"/>
      <c r="AS7" s="178"/>
      <c r="AT7" s="178"/>
      <c r="AU7" s="178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  <c r="BY7" s="200"/>
      <c r="BZ7" s="200"/>
      <c r="CA7" s="200"/>
      <c r="CB7" s="200"/>
      <c r="CC7" s="200"/>
      <c r="CD7" s="200"/>
      <c r="CE7" s="200"/>
      <c r="CF7" s="200"/>
      <c r="CG7" s="200"/>
      <c r="CH7" s="200"/>
      <c r="CI7" s="200"/>
      <c r="CJ7" s="200"/>
      <c r="CK7" s="200"/>
      <c r="CL7" s="200"/>
      <c r="CM7" s="200"/>
      <c r="CN7" s="200"/>
      <c r="CO7" s="200"/>
      <c r="CP7" s="200"/>
      <c r="CQ7" s="200"/>
      <c r="CR7" s="200"/>
      <c r="CS7" s="200"/>
      <c r="CT7" s="200"/>
      <c r="CU7" s="200"/>
      <c r="CV7" s="200"/>
      <c r="CW7" s="200"/>
      <c r="CX7" s="200"/>
      <c r="CY7" s="200"/>
      <c r="CZ7" s="200"/>
      <c r="DA7" s="200"/>
      <c r="DB7" s="200"/>
      <c r="DC7" s="200"/>
      <c r="DD7" s="200"/>
      <c r="DE7" s="200"/>
      <c r="DF7" s="200"/>
      <c r="DG7" s="200"/>
      <c r="DH7" s="200"/>
      <c r="DI7" s="200"/>
      <c r="DJ7" s="200"/>
      <c r="DK7" s="200"/>
      <c r="DL7" s="200"/>
      <c r="DM7" s="200"/>
      <c r="DN7" s="200"/>
      <c r="DO7" s="200"/>
      <c r="DP7" s="200"/>
      <c r="DQ7" s="200"/>
      <c r="DR7" s="200"/>
      <c r="DS7" s="200"/>
      <c r="DT7" s="200"/>
      <c r="DU7" s="200"/>
      <c r="DV7" s="200"/>
      <c r="DW7" s="200"/>
      <c r="DX7" s="200"/>
      <c r="DY7" s="200"/>
      <c r="DZ7" s="200"/>
      <c r="EA7" s="200"/>
      <c r="EB7" s="200"/>
      <c r="EC7" s="200"/>
      <c r="ED7" s="200"/>
      <c r="EE7" s="200"/>
      <c r="EF7" s="200"/>
      <c r="EG7" s="200"/>
      <c r="EH7" s="200"/>
      <c r="EI7" s="200"/>
      <c r="EJ7" s="200"/>
      <c r="EK7" s="200"/>
      <c r="EL7" s="200"/>
      <c r="EM7" s="200"/>
      <c r="EN7" s="200"/>
      <c r="EO7" s="200"/>
      <c r="EP7" s="200"/>
      <c r="EQ7" s="200"/>
      <c r="ER7" s="200"/>
      <c r="ES7" s="200"/>
      <c r="ET7" s="200"/>
      <c r="EU7" s="200"/>
      <c r="EV7" s="200"/>
      <c r="EW7" s="200"/>
      <c r="EX7" s="200"/>
      <c r="EY7" s="200"/>
      <c r="EZ7" s="200"/>
      <c r="FA7" s="200"/>
      <c r="FB7" s="200"/>
      <c r="FC7" s="200"/>
      <c r="FD7" s="200"/>
      <c r="FE7" s="200"/>
      <c r="FF7" s="200"/>
      <c r="FG7" s="200"/>
      <c r="FH7" s="200"/>
      <c r="FI7" s="200"/>
      <c r="FJ7" s="200"/>
      <c r="FK7" s="200"/>
      <c r="FL7" s="200"/>
      <c r="FM7" s="200"/>
      <c r="FN7" s="200"/>
    </row>
    <row r="8" spans="1:170" s="141" customFormat="1" ht="10.3" x14ac:dyDescent="0.25">
      <c r="A8" s="132" t="s">
        <v>5</v>
      </c>
      <c r="B8" s="132" t="s">
        <v>1287</v>
      </c>
      <c r="C8" s="132" t="s">
        <v>1288</v>
      </c>
      <c r="D8" s="134">
        <v>5.5561643835616437</v>
      </c>
      <c r="E8" s="133">
        <v>92.97</v>
      </c>
      <c r="F8" s="133">
        <v>93</v>
      </c>
      <c r="G8" s="134">
        <v>17.62</v>
      </c>
      <c r="H8" s="133">
        <v>71</v>
      </c>
      <c r="I8" s="133" t="s">
        <v>941</v>
      </c>
      <c r="J8" s="318" t="s">
        <v>1775</v>
      </c>
      <c r="K8" s="318" t="s">
        <v>1496</v>
      </c>
      <c r="L8" s="312"/>
      <c r="M8" s="312" t="s">
        <v>1034</v>
      </c>
      <c r="N8" s="135">
        <v>90</v>
      </c>
      <c r="O8" s="135">
        <v>70</v>
      </c>
      <c r="P8" s="135">
        <v>130</v>
      </c>
      <c r="Q8" s="136">
        <v>108</v>
      </c>
      <c r="R8" s="137">
        <v>46475</v>
      </c>
      <c r="S8" s="138">
        <v>44477</v>
      </c>
      <c r="T8" s="138">
        <v>44477</v>
      </c>
      <c r="U8" s="181">
        <f ca="1">[1]!cb_clause_conversion_2_relativeswapsharemonth(B8)</f>
        <v>6</v>
      </c>
      <c r="V8" s="139"/>
      <c r="W8" s="139"/>
      <c r="X8" s="139"/>
      <c r="Y8" s="139"/>
      <c r="Z8" s="139"/>
      <c r="AA8" s="139"/>
      <c r="AB8" s="139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</row>
    <row r="9" spans="1:170" s="179" customFormat="1" ht="10.3" x14ac:dyDescent="0.25">
      <c r="A9" s="170" t="s">
        <v>0</v>
      </c>
      <c r="B9" s="170" t="s">
        <v>921</v>
      </c>
      <c r="C9" s="170" t="s">
        <v>922</v>
      </c>
      <c r="D9" s="172">
        <v>5.5452054794520551</v>
      </c>
      <c r="E9" s="171">
        <v>11.5</v>
      </c>
      <c r="F9" s="171">
        <v>11.5</v>
      </c>
      <c r="G9" s="172">
        <v>23.08</v>
      </c>
      <c r="H9" s="171">
        <v>0</v>
      </c>
      <c r="I9" s="171" t="s">
        <v>935</v>
      </c>
      <c r="J9" s="317" t="s">
        <v>974</v>
      </c>
      <c r="K9" s="317" t="s">
        <v>1244</v>
      </c>
      <c r="L9" s="311"/>
      <c r="M9" s="311" t="s">
        <v>982</v>
      </c>
      <c r="N9" s="173">
        <v>85</v>
      </c>
      <c r="O9" s="173">
        <v>70</v>
      </c>
      <c r="P9" s="173">
        <v>130</v>
      </c>
      <c r="Q9" s="174">
        <v>108</v>
      </c>
      <c r="R9" s="180">
        <v>46471</v>
      </c>
      <c r="S9" s="175">
        <v>44477</v>
      </c>
      <c r="T9" s="175">
        <v>44477</v>
      </c>
      <c r="U9" s="176">
        <f ca="1">[1]!cb_clause_conversion_2_relativeswapsharemonth(B9)</f>
        <v>6</v>
      </c>
      <c r="V9" s="177"/>
      <c r="W9" s="177"/>
      <c r="X9" s="177"/>
      <c r="Y9" s="177"/>
      <c r="Z9" s="177"/>
      <c r="AA9" s="177"/>
      <c r="AB9" s="177"/>
      <c r="AC9" s="178"/>
      <c r="AD9" s="178"/>
      <c r="AE9" s="178"/>
      <c r="AF9" s="178"/>
      <c r="AG9" s="178"/>
      <c r="AH9" s="178"/>
      <c r="AI9" s="178"/>
      <c r="AJ9" s="178"/>
      <c r="AK9" s="178"/>
      <c r="AL9" s="178"/>
      <c r="AM9" s="178"/>
      <c r="AN9" s="178"/>
      <c r="AO9" s="178"/>
      <c r="AP9" s="178"/>
      <c r="AQ9" s="178"/>
      <c r="AR9" s="178"/>
      <c r="AS9" s="178"/>
      <c r="AT9" s="178"/>
      <c r="AU9" s="178"/>
    </row>
    <row r="10" spans="1:170" s="141" customFormat="1" ht="10.3" x14ac:dyDescent="0.25">
      <c r="A10" s="132" t="s">
        <v>5</v>
      </c>
      <c r="B10" s="132" t="s">
        <v>931</v>
      </c>
      <c r="C10" s="132" t="s">
        <v>932</v>
      </c>
      <c r="D10" s="134">
        <v>5.5452054794520551</v>
      </c>
      <c r="E10" s="133">
        <v>10</v>
      </c>
      <c r="F10" s="133">
        <v>10</v>
      </c>
      <c r="G10" s="134">
        <v>19.940000000000001</v>
      </c>
      <c r="H10" s="133">
        <v>0</v>
      </c>
      <c r="I10" s="133" t="s">
        <v>957</v>
      </c>
      <c r="J10" s="318" t="s">
        <v>951</v>
      </c>
      <c r="K10" s="318" t="s">
        <v>1506</v>
      </c>
      <c r="L10" s="312"/>
      <c r="M10" s="312" t="s">
        <v>1044</v>
      </c>
      <c r="N10" s="135">
        <v>85</v>
      </c>
      <c r="O10" s="135">
        <v>70</v>
      </c>
      <c r="P10" s="135">
        <v>130</v>
      </c>
      <c r="Q10" s="136">
        <v>112</v>
      </c>
      <c r="R10" s="137">
        <v>46471</v>
      </c>
      <c r="S10" s="138">
        <v>44477</v>
      </c>
      <c r="T10" s="138">
        <v>44477</v>
      </c>
      <c r="U10" s="181">
        <f ca="1">[1]!cb_clause_conversion_2_relativeswapsharemonth(B10)</f>
        <v>6</v>
      </c>
      <c r="V10" s="139"/>
      <c r="W10" s="139"/>
      <c r="X10" s="139"/>
      <c r="Y10" s="139"/>
      <c r="Z10" s="139"/>
      <c r="AA10" s="139"/>
      <c r="AB10" s="139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</row>
    <row r="11" spans="1:170" s="179" customFormat="1" ht="10.3" x14ac:dyDescent="0.25">
      <c r="A11" s="170" t="s">
        <v>5</v>
      </c>
      <c r="B11" s="170" t="s">
        <v>925</v>
      </c>
      <c r="C11" s="170" t="s">
        <v>926</v>
      </c>
      <c r="D11" s="172">
        <v>5.5424657534246577</v>
      </c>
      <c r="E11" s="171">
        <v>3.2</v>
      </c>
      <c r="F11" s="171">
        <v>3.2</v>
      </c>
      <c r="G11" s="172">
        <v>7.5</v>
      </c>
      <c r="H11" s="171">
        <v>0</v>
      </c>
      <c r="I11" s="171" t="s">
        <v>983</v>
      </c>
      <c r="J11" s="317" t="s">
        <v>955</v>
      </c>
      <c r="K11" s="317" t="s">
        <v>1007</v>
      </c>
      <c r="L11" s="311"/>
      <c r="M11" s="311" t="s">
        <v>1426</v>
      </c>
      <c r="N11" s="173">
        <v>85</v>
      </c>
      <c r="O11" s="173">
        <v>70</v>
      </c>
      <c r="P11" s="173">
        <v>130</v>
      </c>
      <c r="Q11" s="174">
        <v>120</v>
      </c>
      <c r="R11" s="180">
        <v>46470</v>
      </c>
      <c r="S11" s="175">
        <v>44469</v>
      </c>
      <c r="T11" s="175">
        <v>44469</v>
      </c>
      <c r="U11" s="176">
        <f ca="1">[1]!cb_clause_conversion_2_relativeswapsharemonth(B11)</f>
        <v>6</v>
      </c>
      <c r="V11" s="177"/>
      <c r="W11" s="177"/>
      <c r="X11" s="177"/>
      <c r="Y11" s="177"/>
      <c r="Z11" s="177"/>
      <c r="AA11" s="177"/>
      <c r="AB11" s="177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</row>
    <row r="12" spans="1:170" s="141" customFormat="1" ht="10.3" x14ac:dyDescent="0.25">
      <c r="A12" s="132" t="s">
        <v>0</v>
      </c>
      <c r="B12" s="132" t="s">
        <v>919</v>
      </c>
      <c r="C12" s="132" t="s">
        <v>920</v>
      </c>
      <c r="D12" s="134">
        <v>5.536986301369863</v>
      </c>
      <c r="E12" s="133">
        <v>15</v>
      </c>
      <c r="F12" s="133">
        <v>15</v>
      </c>
      <c r="G12" s="134">
        <v>10.75</v>
      </c>
      <c r="H12" s="133">
        <v>0</v>
      </c>
      <c r="I12" s="133" t="s">
        <v>935</v>
      </c>
      <c r="J12" s="318" t="s">
        <v>951</v>
      </c>
      <c r="K12" s="318" t="s">
        <v>1314</v>
      </c>
      <c r="L12" s="312"/>
      <c r="M12" s="312" t="s">
        <v>1315</v>
      </c>
      <c r="N12" s="135">
        <v>80</v>
      </c>
      <c r="O12" s="135">
        <v>70</v>
      </c>
      <c r="P12" s="135">
        <v>130</v>
      </c>
      <c r="Q12" s="136">
        <v>110</v>
      </c>
      <c r="R12" s="137">
        <v>46468</v>
      </c>
      <c r="S12" s="138">
        <v>44466</v>
      </c>
      <c r="T12" s="138">
        <v>44466</v>
      </c>
      <c r="U12" s="181">
        <f ca="1">[1]!cb_clause_conversion_2_relativeswapsharemonth(B12)</f>
        <v>6</v>
      </c>
      <c r="V12" s="139"/>
      <c r="W12" s="139"/>
      <c r="X12" s="139"/>
      <c r="Y12" s="139"/>
      <c r="Z12" s="139"/>
      <c r="AA12" s="139"/>
      <c r="AB12" s="139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</row>
    <row r="13" spans="1:170" s="179" customFormat="1" ht="10.3" x14ac:dyDescent="0.25">
      <c r="A13" s="170" t="s">
        <v>5</v>
      </c>
      <c r="B13" s="170" t="s">
        <v>929</v>
      </c>
      <c r="C13" s="170" t="s">
        <v>930</v>
      </c>
      <c r="D13" s="172">
        <v>5.536986301369863</v>
      </c>
      <c r="E13" s="171">
        <v>50</v>
      </c>
      <c r="F13" s="171">
        <v>50</v>
      </c>
      <c r="G13" s="172">
        <v>14.1</v>
      </c>
      <c r="H13" s="171">
        <v>0</v>
      </c>
      <c r="I13" s="171" t="s">
        <v>935</v>
      </c>
      <c r="J13" s="317" t="s">
        <v>942</v>
      </c>
      <c r="K13" s="317" t="s">
        <v>1348</v>
      </c>
      <c r="L13" s="311"/>
      <c r="M13" s="311" t="s">
        <v>947</v>
      </c>
      <c r="N13" s="173">
        <v>80</v>
      </c>
      <c r="O13" s="173">
        <v>70</v>
      </c>
      <c r="P13" s="173">
        <v>130</v>
      </c>
      <c r="Q13" s="174">
        <v>108</v>
      </c>
      <c r="R13" s="180">
        <v>46468</v>
      </c>
      <c r="S13" s="175">
        <v>44466</v>
      </c>
      <c r="T13" s="175">
        <v>44466</v>
      </c>
      <c r="U13" s="176">
        <f ca="1">[1]!cb_clause_conversion_2_relativeswapsharemonth(B13)</f>
        <v>6</v>
      </c>
      <c r="V13" s="177"/>
      <c r="W13" s="177"/>
      <c r="X13" s="177"/>
      <c r="Y13" s="177"/>
      <c r="Z13" s="177"/>
      <c r="AA13" s="177"/>
      <c r="AB13" s="177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</row>
    <row r="14" spans="1:170" s="141" customFormat="1" ht="10.3" x14ac:dyDescent="0.25">
      <c r="A14" s="132" t="s">
        <v>5</v>
      </c>
      <c r="B14" s="132" t="s">
        <v>923</v>
      </c>
      <c r="C14" s="132" t="s">
        <v>924</v>
      </c>
      <c r="D14" s="134">
        <v>5.5287671232876709</v>
      </c>
      <c r="E14" s="133">
        <v>8</v>
      </c>
      <c r="F14" s="133">
        <v>8</v>
      </c>
      <c r="G14" s="134">
        <v>9.9600000000000009</v>
      </c>
      <c r="H14" s="133">
        <v>0</v>
      </c>
      <c r="I14" s="133" t="s">
        <v>973</v>
      </c>
      <c r="J14" s="318" t="s">
        <v>951</v>
      </c>
      <c r="K14" s="318" t="s">
        <v>1495</v>
      </c>
      <c r="L14" s="312"/>
      <c r="M14" s="312" t="s">
        <v>943</v>
      </c>
      <c r="N14" s="135">
        <v>85</v>
      </c>
      <c r="O14" s="135">
        <v>70</v>
      </c>
      <c r="P14" s="135">
        <v>130</v>
      </c>
      <c r="Q14" s="136">
        <v>115</v>
      </c>
      <c r="R14" s="137">
        <v>46465</v>
      </c>
      <c r="S14" s="138">
        <v>44466</v>
      </c>
      <c r="T14" s="138">
        <v>44466</v>
      </c>
      <c r="U14" s="181">
        <f ca="1">[1]!cb_clause_conversion_2_relativeswapsharemonth(B14)</f>
        <v>6</v>
      </c>
      <c r="V14" s="139"/>
      <c r="W14" s="139"/>
      <c r="X14" s="139"/>
      <c r="Y14" s="139"/>
      <c r="Z14" s="139"/>
      <c r="AA14" s="139"/>
      <c r="AB14" s="139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</row>
    <row r="15" spans="1:170" s="179" customFormat="1" ht="10.3" x14ac:dyDescent="0.25">
      <c r="A15" s="170" t="s">
        <v>5</v>
      </c>
      <c r="B15" s="170" t="s">
        <v>927</v>
      </c>
      <c r="C15" s="170" t="s">
        <v>928</v>
      </c>
      <c r="D15" s="172">
        <v>5.5287671232876709</v>
      </c>
      <c r="E15" s="171">
        <v>9.6</v>
      </c>
      <c r="F15" s="171">
        <v>9.6</v>
      </c>
      <c r="G15" s="172">
        <v>5.89</v>
      </c>
      <c r="H15" s="171">
        <v>0</v>
      </c>
      <c r="I15" s="171" t="s">
        <v>952</v>
      </c>
      <c r="J15" s="317" t="s">
        <v>1099</v>
      </c>
      <c r="K15" s="317" t="s">
        <v>1155</v>
      </c>
      <c r="L15" s="311"/>
      <c r="M15" s="311" t="s">
        <v>1113</v>
      </c>
      <c r="N15" s="173">
        <v>85</v>
      </c>
      <c r="O15" s="173">
        <v>70</v>
      </c>
      <c r="P15" s="173">
        <v>130</v>
      </c>
      <c r="Q15" s="174">
        <v>113</v>
      </c>
      <c r="R15" s="180">
        <v>46465</v>
      </c>
      <c r="S15" s="175">
        <v>44466</v>
      </c>
      <c r="T15" s="175">
        <v>44466</v>
      </c>
      <c r="U15" s="176">
        <f ca="1">[1]!cb_clause_conversion_2_relativeswapsharemonth(B15)</f>
        <v>6</v>
      </c>
      <c r="V15" s="177"/>
      <c r="W15" s="177"/>
      <c r="X15" s="177"/>
      <c r="Y15" s="177"/>
      <c r="Z15" s="177"/>
      <c r="AA15" s="177"/>
      <c r="AB15" s="177"/>
      <c r="AC15" s="178"/>
      <c r="AD15" s="178"/>
      <c r="AE15" s="178"/>
      <c r="AF15" s="178"/>
      <c r="AG15" s="178"/>
      <c r="AH15" s="178"/>
      <c r="AI15" s="178"/>
      <c r="AJ15" s="178"/>
      <c r="AK15" s="178"/>
      <c r="AL15" s="178"/>
      <c r="AM15" s="178"/>
      <c r="AN15" s="178"/>
      <c r="AO15" s="178"/>
      <c r="AP15" s="178"/>
      <c r="AQ15" s="178"/>
      <c r="AR15" s="178"/>
      <c r="AS15" s="178"/>
      <c r="AT15" s="178"/>
      <c r="AU15" s="178"/>
    </row>
    <row r="16" spans="1:170" s="141" customFormat="1" ht="10.3" x14ac:dyDescent="0.25">
      <c r="A16" s="132" t="s">
        <v>5</v>
      </c>
      <c r="B16" s="132" t="s">
        <v>908</v>
      </c>
      <c r="C16" s="132" t="s">
        <v>909</v>
      </c>
      <c r="D16" s="134">
        <v>5.5205479452054798</v>
      </c>
      <c r="E16" s="133">
        <v>9.7026500000000002</v>
      </c>
      <c r="F16" s="133">
        <v>9.6999999999999993</v>
      </c>
      <c r="G16" s="134">
        <v>17.739999999999998</v>
      </c>
      <c r="H16" s="133">
        <v>0</v>
      </c>
      <c r="I16" s="133" t="s">
        <v>939</v>
      </c>
      <c r="J16" s="318" t="s">
        <v>974</v>
      </c>
      <c r="K16" s="318" t="s">
        <v>1124</v>
      </c>
      <c r="L16" s="312"/>
      <c r="M16" s="312" t="s">
        <v>971</v>
      </c>
      <c r="N16" s="135">
        <v>85</v>
      </c>
      <c r="O16" s="135">
        <v>70</v>
      </c>
      <c r="P16" s="135">
        <v>130</v>
      </c>
      <c r="Q16" s="136">
        <v>120</v>
      </c>
      <c r="R16" s="137">
        <v>46462</v>
      </c>
      <c r="S16" s="138">
        <v>44461</v>
      </c>
      <c r="T16" s="138">
        <v>44461</v>
      </c>
      <c r="U16" s="181">
        <f ca="1">[1]!cb_clause_conversion_2_relativeswapsharemonth(B16)</f>
        <v>6</v>
      </c>
      <c r="V16" s="139"/>
      <c r="W16" s="139"/>
      <c r="X16" s="139"/>
      <c r="Y16" s="139"/>
      <c r="Z16" s="139"/>
      <c r="AA16" s="139"/>
      <c r="AB16" s="139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</row>
    <row r="17" spans="1:47" s="179" customFormat="1" ht="10.3" x14ac:dyDescent="0.25">
      <c r="A17" s="170" t="s">
        <v>5</v>
      </c>
      <c r="B17" s="170" t="s">
        <v>904</v>
      </c>
      <c r="C17" s="170" t="s">
        <v>905</v>
      </c>
      <c r="D17" s="172">
        <v>5.5095890410958903</v>
      </c>
      <c r="E17" s="171">
        <v>6.7</v>
      </c>
      <c r="F17" s="171">
        <v>6.7</v>
      </c>
      <c r="G17" s="172">
        <v>9.25</v>
      </c>
      <c r="H17" s="171">
        <v>0</v>
      </c>
      <c r="I17" s="171" t="s">
        <v>973</v>
      </c>
      <c r="J17" s="317" t="s">
        <v>974</v>
      </c>
      <c r="K17" s="317" t="s">
        <v>1493</v>
      </c>
      <c r="L17" s="311"/>
      <c r="M17" s="311" t="s">
        <v>1086</v>
      </c>
      <c r="N17" s="173">
        <v>90</v>
      </c>
      <c r="O17" s="173">
        <v>70</v>
      </c>
      <c r="P17" s="173">
        <v>130</v>
      </c>
      <c r="Q17" s="174">
        <v>119</v>
      </c>
      <c r="R17" s="180">
        <v>46458</v>
      </c>
      <c r="S17" s="175">
        <v>44461</v>
      </c>
      <c r="T17" s="175">
        <v>44461</v>
      </c>
      <c r="U17" s="176">
        <f ca="1">[1]!cb_clause_conversion_2_relativeswapsharemonth(B17)</f>
        <v>6</v>
      </c>
      <c r="V17" s="177"/>
      <c r="W17" s="177"/>
      <c r="X17" s="177"/>
      <c r="Y17" s="177"/>
      <c r="Z17" s="177"/>
      <c r="AA17" s="177"/>
      <c r="AB17" s="177"/>
      <c r="AC17" s="178"/>
      <c r="AD17" s="178"/>
      <c r="AE17" s="178"/>
      <c r="AF17" s="178"/>
      <c r="AG17" s="178"/>
      <c r="AH17" s="178"/>
      <c r="AI17" s="178"/>
      <c r="AJ17" s="178"/>
      <c r="AK17" s="178"/>
      <c r="AL17" s="178"/>
      <c r="AM17" s="178"/>
      <c r="AN17" s="178"/>
      <c r="AO17" s="178"/>
      <c r="AP17" s="178"/>
      <c r="AQ17" s="178"/>
      <c r="AR17" s="178"/>
      <c r="AS17" s="178"/>
      <c r="AT17" s="178"/>
      <c r="AU17" s="178"/>
    </row>
    <row r="18" spans="1:47" s="141" customFormat="1" ht="10.3" x14ac:dyDescent="0.25">
      <c r="A18" s="132" t="s">
        <v>5</v>
      </c>
      <c r="B18" s="132" t="s">
        <v>906</v>
      </c>
      <c r="C18" s="132" t="s">
        <v>907</v>
      </c>
      <c r="D18" s="134">
        <v>5.5095890410958903</v>
      </c>
      <c r="E18" s="133">
        <v>2.85</v>
      </c>
      <c r="F18" s="133">
        <v>2.8</v>
      </c>
      <c r="G18" s="134">
        <v>56.89</v>
      </c>
      <c r="H18" s="133">
        <v>0</v>
      </c>
      <c r="I18" s="133" t="s">
        <v>1049</v>
      </c>
      <c r="J18" s="318" t="s">
        <v>970</v>
      </c>
      <c r="K18" s="318" t="s">
        <v>1494</v>
      </c>
      <c r="L18" s="313"/>
      <c r="M18" s="313" t="s">
        <v>998</v>
      </c>
      <c r="N18" s="135">
        <v>80</v>
      </c>
      <c r="O18" s="135">
        <v>70</v>
      </c>
      <c r="P18" s="135">
        <v>130</v>
      </c>
      <c r="Q18" s="136">
        <v>115</v>
      </c>
      <c r="R18" s="137">
        <v>46458</v>
      </c>
      <c r="S18" s="138">
        <v>44461</v>
      </c>
      <c r="T18" s="138">
        <v>44461</v>
      </c>
      <c r="U18" s="181">
        <f ca="1">[1]!cb_clause_conversion_2_relativeswapsharemonth(B18)</f>
        <v>6</v>
      </c>
      <c r="V18" s="139"/>
      <c r="W18" s="139"/>
      <c r="X18" s="139"/>
      <c r="Y18" s="139"/>
      <c r="Z18" s="139"/>
      <c r="AA18" s="139"/>
      <c r="AB18" s="139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</row>
    <row r="19" spans="1:47" s="179" customFormat="1" ht="10.3" x14ac:dyDescent="0.25">
      <c r="A19" s="170" t="s">
        <v>5</v>
      </c>
      <c r="B19" s="170" t="s">
        <v>902</v>
      </c>
      <c r="C19" s="170" t="s">
        <v>903</v>
      </c>
      <c r="D19" s="172">
        <v>5.5041095890410956</v>
      </c>
      <c r="E19" s="171">
        <v>6.7</v>
      </c>
      <c r="F19" s="171">
        <v>6.7</v>
      </c>
      <c r="G19" s="172">
        <v>26.18</v>
      </c>
      <c r="H19" s="171">
        <v>0</v>
      </c>
      <c r="I19" s="171" t="s">
        <v>939</v>
      </c>
      <c r="J19" s="317" t="s">
        <v>970</v>
      </c>
      <c r="K19" s="317" t="s">
        <v>1397</v>
      </c>
      <c r="L19" s="314"/>
      <c r="M19" s="314" t="s">
        <v>1234</v>
      </c>
      <c r="N19" s="173">
        <v>85</v>
      </c>
      <c r="O19" s="173">
        <v>70</v>
      </c>
      <c r="P19" s="173">
        <v>130</v>
      </c>
      <c r="Q19" s="174">
        <v>110</v>
      </c>
      <c r="R19" s="180">
        <v>46456</v>
      </c>
      <c r="S19" s="175">
        <v>44455</v>
      </c>
      <c r="T19" s="175">
        <v>44455</v>
      </c>
      <c r="U19" s="176">
        <f ca="1">[1]!cb_clause_conversion_2_relativeswapsharemonth(B19)</f>
        <v>6</v>
      </c>
      <c r="V19" s="177"/>
      <c r="W19" s="177"/>
      <c r="X19" s="177"/>
      <c r="Y19" s="177"/>
      <c r="Z19" s="177"/>
      <c r="AA19" s="177"/>
      <c r="AB19" s="177"/>
      <c r="AC19" s="178"/>
      <c r="AD19" s="178"/>
      <c r="AE19" s="178"/>
      <c r="AF19" s="178"/>
      <c r="AG19" s="178"/>
      <c r="AH19" s="178"/>
      <c r="AI19" s="178"/>
      <c r="AJ19" s="178"/>
      <c r="AK19" s="178"/>
      <c r="AL19" s="178"/>
      <c r="AM19" s="178"/>
      <c r="AN19" s="178"/>
      <c r="AO19" s="178"/>
      <c r="AP19" s="178"/>
      <c r="AQ19" s="178"/>
      <c r="AR19" s="178"/>
      <c r="AS19" s="178"/>
      <c r="AT19" s="178"/>
      <c r="AU19" s="178"/>
    </row>
    <row r="20" spans="1:47" s="141" customFormat="1" ht="10.3" x14ac:dyDescent="0.25">
      <c r="A20" s="132" t="s">
        <v>0</v>
      </c>
      <c r="B20" s="132" t="s">
        <v>900</v>
      </c>
      <c r="C20" s="132" t="s">
        <v>901</v>
      </c>
      <c r="D20" s="134">
        <v>5.5041095890410956</v>
      </c>
      <c r="E20" s="133">
        <v>10</v>
      </c>
      <c r="F20" s="133">
        <v>10</v>
      </c>
      <c r="G20" s="134">
        <v>14.51</v>
      </c>
      <c r="H20" s="133">
        <v>0</v>
      </c>
      <c r="I20" s="133" t="s">
        <v>939</v>
      </c>
      <c r="J20" s="318" t="s">
        <v>974</v>
      </c>
      <c r="K20" s="318" t="s">
        <v>1017</v>
      </c>
      <c r="L20" s="312"/>
      <c r="M20" s="312" t="s">
        <v>978</v>
      </c>
      <c r="N20" s="135">
        <v>85</v>
      </c>
      <c r="O20" s="135">
        <v>70</v>
      </c>
      <c r="P20" s="135">
        <v>130</v>
      </c>
      <c r="Q20" s="136">
        <v>116</v>
      </c>
      <c r="R20" s="137">
        <v>46456</v>
      </c>
      <c r="S20" s="138">
        <v>44455</v>
      </c>
      <c r="T20" s="138">
        <v>44455</v>
      </c>
      <c r="U20" s="181">
        <f ca="1">[1]!cb_clause_conversion_2_relativeswapsharemonth(B20)</f>
        <v>6</v>
      </c>
      <c r="V20" s="139"/>
      <c r="W20" s="139"/>
      <c r="X20" s="139"/>
      <c r="Y20" s="139"/>
      <c r="Z20" s="139"/>
      <c r="AA20" s="139"/>
      <c r="AB20" s="139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</row>
    <row r="21" spans="1:47" s="179" customFormat="1" ht="10.3" x14ac:dyDescent="0.25">
      <c r="A21" s="170" t="s">
        <v>0</v>
      </c>
      <c r="B21" s="170" t="s">
        <v>876</v>
      </c>
      <c r="C21" s="170" t="s">
        <v>877</v>
      </c>
      <c r="D21" s="172">
        <v>5.4876712328767123</v>
      </c>
      <c r="E21" s="171">
        <v>34.5</v>
      </c>
      <c r="F21" s="171">
        <v>34.5</v>
      </c>
      <c r="G21" s="172">
        <v>19.75</v>
      </c>
      <c r="H21" s="171">
        <v>0</v>
      </c>
      <c r="I21" s="171" t="s">
        <v>952</v>
      </c>
      <c r="J21" s="317" t="s">
        <v>1082</v>
      </c>
      <c r="K21" s="317" t="s">
        <v>1105</v>
      </c>
      <c r="L21" s="311"/>
      <c r="M21" s="311" t="s">
        <v>1435</v>
      </c>
      <c r="N21" s="173">
        <v>80</v>
      </c>
      <c r="O21" s="173">
        <v>70</v>
      </c>
      <c r="P21" s="173">
        <v>130</v>
      </c>
      <c r="Q21" s="174">
        <v>108</v>
      </c>
      <c r="R21" s="180">
        <v>46450</v>
      </c>
      <c r="S21" s="175">
        <v>44540</v>
      </c>
      <c r="T21" s="175">
        <v>44540</v>
      </c>
      <c r="U21" s="176">
        <f ca="1">[1]!cb_clause_conversion_2_relativeswapsharemonth(B21)</f>
        <v>9</v>
      </c>
      <c r="V21" s="177"/>
      <c r="W21" s="177"/>
      <c r="X21" s="177"/>
      <c r="Y21" s="177"/>
      <c r="Z21" s="177"/>
      <c r="AA21" s="177"/>
      <c r="AB21" s="177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8"/>
      <c r="AP21" s="178"/>
      <c r="AQ21" s="178"/>
      <c r="AR21" s="178"/>
      <c r="AS21" s="178"/>
      <c r="AT21" s="178"/>
      <c r="AU21" s="178"/>
    </row>
    <row r="22" spans="1:47" s="141" customFormat="1" ht="10.3" x14ac:dyDescent="0.25">
      <c r="A22" s="132" t="s">
        <v>5</v>
      </c>
      <c r="B22" s="132" t="s">
        <v>933</v>
      </c>
      <c r="C22" s="132" t="s">
        <v>934</v>
      </c>
      <c r="D22" s="134">
        <v>5.4794520547945202</v>
      </c>
      <c r="E22" s="133">
        <v>9.8000000000000007</v>
      </c>
      <c r="F22" s="133">
        <v>9.8000000000000007</v>
      </c>
      <c r="G22" s="134">
        <v>11.5</v>
      </c>
      <c r="H22" s="133">
        <v>0</v>
      </c>
      <c r="I22" s="133" t="s">
        <v>939</v>
      </c>
      <c r="J22" s="318" t="s">
        <v>1082</v>
      </c>
      <c r="K22" s="318" t="s">
        <v>1545</v>
      </c>
      <c r="L22" s="313"/>
      <c r="M22" s="313" t="s">
        <v>956</v>
      </c>
      <c r="N22" s="135">
        <v>85</v>
      </c>
      <c r="O22" s="135">
        <v>70</v>
      </c>
      <c r="P22" s="135">
        <v>130</v>
      </c>
      <c r="Q22" s="136">
        <v>110</v>
      </c>
      <c r="R22" s="137">
        <v>46447</v>
      </c>
      <c r="S22" s="138">
        <v>44445</v>
      </c>
      <c r="T22" s="138">
        <v>44445</v>
      </c>
      <c r="U22" s="181">
        <f ca="1">[1]!cb_clause_conversion_2_relativeswapsharemonth(B22)</f>
        <v>6</v>
      </c>
      <c r="V22" s="139"/>
      <c r="W22" s="139"/>
      <c r="X22" s="139"/>
      <c r="Y22" s="139"/>
      <c r="Z22" s="139"/>
      <c r="AA22" s="139"/>
      <c r="AB22" s="139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</row>
    <row r="23" spans="1:47" s="179" customFormat="1" ht="10.3" x14ac:dyDescent="0.25">
      <c r="A23" s="170" t="s">
        <v>0</v>
      </c>
      <c r="B23" s="170" t="s">
        <v>880</v>
      </c>
      <c r="C23" s="170" t="s">
        <v>915</v>
      </c>
      <c r="D23" s="172">
        <v>5.463013698630137</v>
      </c>
      <c r="E23" s="171">
        <v>12.399732999999999</v>
      </c>
      <c r="F23" s="171">
        <v>12.4</v>
      </c>
      <c r="G23" s="172">
        <v>78.739999999999995</v>
      </c>
      <c r="H23" s="171">
        <v>0</v>
      </c>
      <c r="I23" s="171" t="s">
        <v>983</v>
      </c>
      <c r="J23" s="317" t="s">
        <v>1099</v>
      </c>
      <c r="K23" s="317" t="s">
        <v>1462</v>
      </c>
      <c r="L23" s="314"/>
      <c r="M23" s="314" t="s">
        <v>1334</v>
      </c>
      <c r="N23" s="173">
        <v>85</v>
      </c>
      <c r="O23" s="173">
        <v>70</v>
      </c>
      <c r="P23" s="173">
        <v>130</v>
      </c>
      <c r="Q23" s="174">
        <v>115</v>
      </c>
      <c r="R23" s="180">
        <v>46441</v>
      </c>
      <c r="S23" s="175">
        <v>44440</v>
      </c>
      <c r="T23" s="175">
        <v>44440</v>
      </c>
      <c r="U23" s="176">
        <f ca="1">[1]!cb_clause_conversion_2_relativeswapsharemonth(B23)</f>
        <v>6</v>
      </c>
      <c r="V23" s="177"/>
      <c r="W23" s="177"/>
      <c r="X23" s="177"/>
      <c r="Y23" s="177"/>
      <c r="Z23" s="177"/>
      <c r="AA23" s="177"/>
      <c r="AB23" s="177"/>
      <c r="AC23" s="178"/>
      <c r="AD23" s="178"/>
      <c r="AE23" s="178"/>
      <c r="AF23" s="178"/>
      <c r="AG23" s="178"/>
      <c r="AH23" s="178"/>
      <c r="AI23" s="178"/>
      <c r="AJ23" s="178"/>
      <c r="AK23" s="178"/>
      <c r="AL23" s="178"/>
      <c r="AM23" s="178"/>
      <c r="AN23" s="178"/>
      <c r="AO23" s="178"/>
      <c r="AP23" s="178"/>
      <c r="AQ23" s="178"/>
      <c r="AR23" s="178"/>
      <c r="AS23" s="178"/>
      <c r="AT23" s="178"/>
      <c r="AU23" s="178"/>
    </row>
    <row r="24" spans="1:47" s="141" customFormat="1" ht="10.3" x14ac:dyDescent="0.25">
      <c r="A24" s="132" t="s">
        <v>5</v>
      </c>
      <c r="B24" s="132" t="s">
        <v>852</v>
      </c>
      <c r="C24" s="132" t="s">
        <v>853</v>
      </c>
      <c r="D24" s="134">
        <v>5.4246575342465757</v>
      </c>
      <c r="E24" s="133">
        <v>8.4997290000000003</v>
      </c>
      <c r="F24" s="133">
        <v>8.5</v>
      </c>
      <c r="G24" s="134">
        <v>46.03</v>
      </c>
      <c r="H24" s="133">
        <v>0</v>
      </c>
      <c r="I24" s="133" t="s">
        <v>973</v>
      </c>
      <c r="J24" s="318" t="s">
        <v>974</v>
      </c>
      <c r="K24" s="318" t="s">
        <v>1123</v>
      </c>
      <c r="L24" s="312"/>
      <c r="M24" s="312" t="s">
        <v>1048</v>
      </c>
      <c r="N24" s="135">
        <v>85</v>
      </c>
      <c r="O24" s="135">
        <v>70</v>
      </c>
      <c r="P24" s="135">
        <v>130</v>
      </c>
      <c r="Q24" s="136">
        <v>118</v>
      </c>
      <c r="R24" s="137">
        <v>46427</v>
      </c>
      <c r="S24" s="138">
        <v>44431</v>
      </c>
      <c r="T24" s="138">
        <v>44431</v>
      </c>
      <c r="U24" s="181">
        <f ca="1">[1]!cb_clause_conversion_2_relativeswapsharemonth(B24)</f>
        <v>6</v>
      </c>
      <c r="V24" s="139"/>
      <c r="W24" s="139"/>
      <c r="X24" s="139"/>
      <c r="Y24" s="139"/>
      <c r="Z24" s="139"/>
      <c r="AA24" s="139"/>
      <c r="AB24" s="139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</row>
    <row r="25" spans="1:47" s="179" customFormat="1" ht="10.3" x14ac:dyDescent="0.25">
      <c r="A25" s="170" t="s">
        <v>5</v>
      </c>
      <c r="B25" s="170" t="s">
        <v>854</v>
      </c>
      <c r="C25" s="170" t="s">
        <v>855</v>
      </c>
      <c r="D25" s="172">
        <v>5.4246575342465757</v>
      </c>
      <c r="E25" s="171">
        <v>3.799188</v>
      </c>
      <c r="F25" s="171">
        <v>3.8</v>
      </c>
      <c r="G25" s="172">
        <v>11.61</v>
      </c>
      <c r="H25" s="171">
        <v>0</v>
      </c>
      <c r="I25" s="171" t="s">
        <v>973</v>
      </c>
      <c r="J25" s="317" t="s">
        <v>974</v>
      </c>
      <c r="K25" s="317" t="s">
        <v>1492</v>
      </c>
      <c r="L25" s="311"/>
      <c r="M25" s="311" t="s">
        <v>1090</v>
      </c>
      <c r="N25" s="173">
        <v>85</v>
      </c>
      <c r="O25" s="173">
        <v>70</v>
      </c>
      <c r="P25" s="173">
        <v>130</v>
      </c>
      <c r="Q25" s="174">
        <v>112</v>
      </c>
      <c r="R25" s="180">
        <v>46427</v>
      </c>
      <c r="S25" s="175">
        <v>44431</v>
      </c>
      <c r="T25" s="175">
        <v>44431</v>
      </c>
      <c r="U25" s="176">
        <f ca="1">[1]!cb_clause_conversion_2_relativeswapsharemonth(B25)</f>
        <v>6</v>
      </c>
      <c r="V25" s="177"/>
      <c r="W25" s="177"/>
      <c r="X25" s="177"/>
      <c r="Y25" s="177"/>
      <c r="Z25" s="177"/>
      <c r="AA25" s="177"/>
      <c r="AB25" s="177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8"/>
      <c r="AP25" s="178"/>
      <c r="AQ25" s="178"/>
      <c r="AR25" s="178"/>
      <c r="AS25" s="178"/>
      <c r="AT25" s="178"/>
      <c r="AU25" s="178"/>
    </row>
    <row r="26" spans="1:47" s="141" customFormat="1" ht="10.3" x14ac:dyDescent="0.25">
      <c r="A26" s="132" t="s">
        <v>5</v>
      </c>
      <c r="B26" s="132" t="s">
        <v>850</v>
      </c>
      <c r="C26" s="132" t="s">
        <v>851</v>
      </c>
      <c r="D26" s="134">
        <v>5.3917808219178083</v>
      </c>
      <c r="E26" s="133">
        <v>4.2523999999999997</v>
      </c>
      <c r="F26" s="133">
        <v>4.8</v>
      </c>
      <c r="G26" s="134">
        <v>25.48</v>
      </c>
      <c r="H26" s="133">
        <v>0</v>
      </c>
      <c r="I26" s="133" t="s">
        <v>973</v>
      </c>
      <c r="J26" s="318" t="s">
        <v>974</v>
      </c>
      <c r="K26" s="318" t="s">
        <v>1330</v>
      </c>
      <c r="L26" s="312"/>
      <c r="M26" s="312" t="s">
        <v>1086</v>
      </c>
      <c r="N26" s="135">
        <v>85</v>
      </c>
      <c r="O26" s="135">
        <v>70</v>
      </c>
      <c r="P26" s="135">
        <v>130</v>
      </c>
      <c r="Q26" s="136">
        <v>118</v>
      </c>
      <c r="R26" s="137">
        <v>46415</v>
      </c>
      <c r="S26" s="138">
        <v>44411</v>
      </c>
      <c r="T26" s="138">
        <v>44411</v>
      </c>
      <c r="U26" s="181">
        <f ca="1">[1]!cb_clause_conversion_2_relativeswapsharemonth(B26)</f>
        <v>6</v>
      </c>
      <c r="V26" s="139"/>
      <c r="W26" s="139"/>
      <c r="X26" s="139"/>
      <c r="Y26" s="139"/>
      <c r="Z26" s="139"/>
      <c r="AA26" s="139"/>
      <c r="AB26" s="139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</row>
    <row r="27" spans="1:47" s="179" customFormat="1" ht="10.3" x14ac:dyDescent="0.25">
      <c r="A27" s="170" t="s">
        <v>5</v>
      </c>
      <c r="B27" s="170" t="s">
        <v>848</v>
      </c>
      <c r="C27" s="170" t="s">
        <v>849</v>
      </c>
      <c r="D27" s="172">
        <v>5.3890410958904109</v>
      </c>
      <c r="E27" s="171">
        <v>2.9993219999999998</v>
      </c>
      <c r="F27" s="171">
        <v>3</v>
      </c>
      <c r="G27" s="172">
        <v>9.2799999999999994</v>
      </c>
      <c r="H27" s="171">
        <v>0</v>
      </c>
      <c r="I27" s="171" t="s">
        <v>1031</v>
      </c>
      <c r="J27" s="317" t="s">
        <v>951</v>
      </c>
      <c r="K27" s="317" t="s">
        <v>1296</v>
      </c>
      <c r="L27" s="311"/>
      <c r="M27" s="311" t="s">
        <v>1030</v>
      </c>
      <c r="N27" s="173">
        <v>85</v>
      </c>
      <c r="O27" s="173">
        <v>70</v>
      </c>
      <c r="P27" s="173">
        <v>130</v>
      </c>
      <c r="Q27" s="174">
        <v>115</v>
      </c>
      <c r="R27" s="180">
        <v>46414</v>
      </c>
      <c r="S27" s="175">
        <v>44410</v>
      </c>
      <c r="T27" s="175">
        <v>44410</v>
      </c>
      <c r="U27" s="176">
        <f ca="1">[1]!cb_clause_conversion_2_relativeswapsharemonth(B27)</f>
        <v>6</v>
      </c>
      <c r="V27" s="177"/>
      <c r="W27" s="177"/>
      <c r="X27" s="177"/>
      <c r="Y27" s="177"/>
      <c r="Z27" s="177"/>
      <c r="AA27" s="177"/>
      <c r="AB27" s="177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</row>
    <row r="28" spans="1:47" s="141" customFormat="1" ht="10.3" x14ac:dyDescent="0.25">
      <c r="A28" s="132" t="s">
        <v>5</v>
      </c>
      <c r="B28" s="132" t="s">
        <v>846</v>
      </c>
      <c r="C28" s="132" t="s">
        <v>847</v>
      </c>
      <c r="D28" s="134">
        <v>5.3863013698630136</v>
      </c>
      <c r="E28" s="133">
        <v>8.1697240000000004</v>
      </c>
      <c r="F28" s="133">
        <v>8.1999999999999993</v>
      </c>
      <c r="G28" s="134">
        <v>8.26</v>
      </c>
      <c r="H28" s="133">
        <v>0</v>
      </c>
      <c r="I28" s="133" t="s">
        <v>983</v>
      </c>
      <c r="J28" s="318" t="s">
        <v>970</v>
      </c>
      <c r="K28" s="318" t="s">
        <v>1005</v>
      </c>
      <c r="L28" s="312"/>
      <c r="M28" s="312" t="s">
        <v>956</v>
      </c>
      <c r="N28" s="135">
        <v>85</v>
      </c>
      <c r="O28" s="135">
        <v>70</v>
      </c>
      <c r="P28" s="135">
        <v>130</v>
      </c>
      <c r="Q28" s="136">
        <v>118</v>
      </c>
      <c r="R28" s="137">
        <v>46413</v>
      </c>
      <c r="S28" s="138">
        <v>44410</v>
      </c>
      <c r="T28" s="138">
        <v>44410</v>
      </c>
      <c r="U28" s="181">
        <f ca="1">[1]!cb_clause_conversion_2_relativeswapsharemonth(B28)</f>
        <v>6</v>
      </c>
      <c r="V28" s="139"/>
      <c r="W28" s="139"/>
      <c r="X28" s="139"/>
      <c r="Y28" s="139"/>
      <c r="Z28" s="139"/>
      <c r="AA28" s="139"/>
      <c r="AB28" s="139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</row>
    <row r="29" spans="1:47" s="179" customFormat="1" ht="10.3" x14ac:dyDescent="0.25">
      <c r="A29" s="170" t="s">
        <v>0</v>
      </c>
      <c r="B29" s="170" t="s">
        <v>840</v>
      </c>
      <c r="C29" s="170" t="s">
        <v>841</v>
      </c>
      <c r="D29" s="172">
        <v>5.3863013698630136</v>
      </c>
      <c r="E29" s="171">
        <v>5.3740269999999999</v>
      </c>
      <c r="F29" s="171">
        <v>8</v>
      </c>
      <c r="G29" s="172">
        <v>32.619999999999997</v>
      </c>
      <c r="H29" s="171">
        <v>0</v>
      </c>
      <c r="I29" s="171" t="s">
        <v>939</v>
      </c>
      <c r="J29" s="317" t="s">
        <v>955</v>
      </c>
      <c r="K29" s="317" t="s">
        <v>1461</v>
      </c>
      <c r="L29" s="314"/>
      <c r="M29" s="314" t="s">
        <v>977</v>
      </c>
      <c r="N29" s="173">
        <v>85</v>
      </c>
      <c r="O29" s="173">
        <v>70</v>
      </c>
      <c r="P29" s="173">
        <v>130</v>
      </c>
      <c r="Q29" s="174">
        <v>110</v>
      </c>
      <c r="R29" s="180">
        <v>46413</v>
      </c>
      <c r="S29" s="175">
        <v>44410</v>
      </c>
      <c r="T29" s="175">
        <v>44410</v>
      </c>
      <c r="U29" s="176">
        <f ca="1">[1]!cb_clause_conversion_2_relativeswapsharemonth(B29)</f>
        <v>6</v>
      </c>
      <c r="V29" s="177"/>
      <c r="W29" s="177"/>
      <c r="X29" s="177"/>
      <c r="Y29" s="177"/>
      <c r="Z29" s="177"/>
      <c r="AA29" s="177"/>
      <c r="AB29" s="177"/>
      <c r="AC29" s="178"/>
      <c r="AD29" s="178"/>
      <c r="AE29" s="178"/>
      <c r="AF29" s="178"/>
      <c r="AG29" s="178"/>
      <c r="AH29" s="178"/>
      <c r="AI29" s="178"/>
      <c r="AJ29" s="178"/>
      <c r="AK29" s="178"/>
      <c r="AL29" s="178"/>
      <c r="AM29" s="178"/>
      <c r="AN29" s="178"/>
      <c r="AO29" s="178"/>
      <c r="AP29" s="178"/>
      <c r="AQ29" s="178"/>
      <c r="AR29" s="178"/>
      <c r="AS29" s="178"/>
      <c r="AT29" s="178"/>
      <c r="AU29" s="178"/>
    </row>
    <row r="30" spans="1:47" s="141" customFormat="1" ht="10.3" x14ac:dyDescent="0.25">
      <c r="A30" s="132" t="s">
        <v>0</v>
      </c>
      <c r="B30" s="132" t="s">
        <v>872</v>
      </c>
      <c r="C30" s="132" t="s">
        <v>873</v>
      </c>
      <c r="D30" s="134">
        <v>5.3835616438356162</v>
      </c>
      <c r="E30" s="133">
        <v>199.99189100000001</v>
      </c>
      <c r="F30" s="133">
        <v>200</v>
      </c>
      <c r="G30" s="134">
        <v>10.63</v>
      </c>
      <c r="H30" s="133">
        <v>68</v>
      </c>
      <c r="I30" s="133" t="s">
        <v>941</v>
      </c>
      <c r="J30" s="318" t="s">
        <v>942</v>
      </c>
      <c r="K30" s="318" t="s">
        <v>1052</v>
      </c>
      <c r="L30" s="312"/>
      <c r="M30" s="312" t="s">
        <v>971</v>
      </c>
      <c r="N30" s="135">
        <v>80</v>
      </c>
      <c r="O30" s="135"/>
      <c r="P30" s="135">
        <v>130</v>
      </c>
      <c r="Q30" s="136">
        <v>112</v>
      </c>
      <c r="R30" s="137">
        <v>46412</v>
      </c>
      <c r="S30" s="138">
        <v>44406</v>
      </c>
      <c r="T30" s="138">
        <v>44406</v>
      </c>
      <c r="U30" s="181">
        <f ca="1">[1]!cb_clause_conversion_2_relativeswapsharemonth(B30)</f>
        <v>6</v>
      </c>
      <c r="V30" s="139"/>
      <c r="W30" s="139"/>
      <c r="X30" s="139"/>
      <c r="Y30" s="139"/>
      <c r="Z30" s="139"/>
      <c r="AA30" s="139"/>
      <c r="AB30" s="139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</row>
    <row r="31" spans="1:47" s="179" customFormat="1" ht="10.3" x14ac:dyDescent="0.25">
      <c r="A31" s="170" t="s">
        <v>0</v>
      </c>
      <c r="B31" s="170" t="s">
        <v>838</v>
      </c>
      <c r="C31" s="170" t="s">
        <v>839</v>
      </c>
      <c r="D31" s="172">
        <v>5.3698630136986303</v>
      </c>
      <c r="E31" s="171">
        <v>9.9994399999999999</v>
      </c>
      <c r="F31" s="171">
        <v>10</v>
      </c>
      <c r="G31" s="172">
        <v>19.920000000000002</v>
      </c>
      <c r="H31" s="171">
        <v>0</v>
      </c>
      <c r="I31" s="171" t="s">
        <v>939</v>
      </c>
      <c r="J31" s="317" t="s">
        <v>970</v>
      </c>
      <c r="K31" s="317" t="s">
        <v>1250</v>
      </c>
      <c r="L31" s="314"/>
      <c r="M31" s="314" t="s">
        <v>956</v>
      </c>
      <c r="N31" s="173">
        <v>85</v>
      </c>
      <c r="O31" s="173">
        <v>70</v>
      </c>
      <c r="P31" s="173">
        <v>130</v>
      </c>
      <c r="Q31" s="174">
        <v>110</v>
      </c>
      <c r="R31" s="180">
        <v>46407</v>
      </c>
      <c r="S31" s="175">
        <v>44403</v>
      </c>
      <c r="T31" s="175">
        <v>44403</v>
      </c>
      <c r="U31" s="176">
        <f ca="1">[1]!cb_clause_conversion_2_relativeswapsharemonth(B31)</f>
        <v>6</v>
      </c>
      <c r="V31" s="177"/>
      <c r="W31" s="177"/>
      <c r="X31" s="177"/>
      <c r="Y31" s="177"/>
      <c r="Z31" s="177"/>
      <c r="AA31" s="177"/>
      <c r="AB31" s="177"/>
      <c r="AC31" s="178"/>
      <c r="AD31" s="178"/>
      <c r="AE31" s="178"/>
      <c r="AF31" s="178"/>
      <c r="AG31" s="178"/>
      <c r="AH31" s="178"/>
      <c r="AI31" s="178"/>
      <c r="AJ31" s="178"/>
      <c r="AK31" s="178"/>
      <c r="AL31" s="178"/>
      <c r="AM31" s="178"/>
      <c r="AN31" s="178"/>
      <c r="AO31" s="178"/>
      <c r="AP31" s="178"/>
      <c r="AQ31" s="178"/>
      <c r="AR31" s="178"/>
      <c r="AS31" s="178"/>
      <c r="AT31" s="178"/>
      <c r="AU31" s="178"/>
    </row>
    <row r="32" spans="1:47" s="141" customFormat="1" ht="10.3" x14ac:dyDescent="0.25">
      <c r="A32" s="132" t="s">
        <v>5</v>
      </c>
      <c r="B32" s="132" t="s">
        <v>844</v>
      </c>
      <c r="C32" s="132" t="s">
        <v>845</v>
      </c>
      <c r="D32" s="134">
        <v>5.3698630136986303</v>
      </c>
      <c r="E32" s="133">
        <v>0.53177600000000003</v>
      </c>
      <c r="F32" s="133">
        <v>10</v>
      </c>
      <c r="G32" s="134">
        <v>19.64</v>
      </c>
      <c r="H32" s="133">
        <v>0</v>
      </c>
      <c r="I32" s="133" t="s">
        <v>957</v>
      </c>
      <c r="J32" s="318" t="s">
        <v>942</v>
      </c>
      <c r="K32" s="318" t="s">
        <v>1148</v>
      </c>
      <c r="L32" s="312"/>
      <c r="M32" s="312" t="s">
        <v>1090</v>
      </c>
      <c r="N32" s="135">
        <v>90</v>
      </c>
      <c r="O32" s="135">
        <v>60</v>
      </c>
      <c r="P32" s="135">
        <v>130</v>
      </c>
      <c r="Q32" s="136">
        <v>112</v>
      </c>
      <c r="R32" s="137">
        <v>46407</v>
      </c>
      <c r="S32" s="138">
        <v>44403</v>
      </c>
      <c r="T32" s="138">
        <v>44403</v>
      </c>
      <c r="U32" s="181">
        <f ca="1">[1]!cb_clause_conversion_2_relativeswapsharemonth(B32)</f>
        <v>6</v>
      </c>
      <c r="V32" s="139"/>
      <c r="W32" s="139"/>
      <c r="X32" s="139"/>
      <c r="Y32" s="139"/>
      <c r="Z32" s="139"/>
      <c r="AA32" s="139"/>
      <c r="AB32" s="139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</row>
    <row r="33" spans="1:47" s="179" customFormat="1" ht="10.3" x14ac:dyDescent="0.25">
      <c r="A33" s="170" t="s">
        <v>5</v>
      </c>
      <c r="B33" s="170" t="s">
        <v>842</v>
      </c>
      <c r="C33" s="170" t="s">
        <v>843</v>
      </c>
      <c r="D33" s="172">
        <v>5.3671232876712329</v>
      </c>
      <c r="E33" s="171">
        <v>2.4998629999999999</v>
      </c>
      <c r="F33" s="171">
        <v>2.5</v>
      </c>
      <c r="G33" s="172">
        <v>49.19</v>
      </c>
      <c r="H33" s="171">
        <v>0</v>
      </c>
      <c r="I33" s="171" t="s">
        <v>1031</v>
      </c>
      <c r="J33" s="317" t="s">
        <v>942</v>
      </c>
      <c r="K33" s="317" t="s">
        <v>1491</v>
      </c>
      <c r="L33" s="311"/>
      <c r="M33" s="311" t="s">
        <v>971</v>
      </c>
      <c r="N33" s="173">
        <v>85</v>
      </c>
      <c r="O33" s="173">
        <v>70</v>
      </c>
      <c r="P33" s="173">
        <v>130</v>
      </c>
      <c r="Q33" s="174">
        <v>120</v>
      </c>
      <c r="R33" s="180">
        <v>46406</v>
      </c>
      <c r="S33" s="175">
        <v>44403</v>
      </c>
      <c r="T33" s="175">
        <v>44403</v>
      </c>
      <c r="U33" s="176">
        <f ca="1">[1]!cb_clause_conversion_2_relativeswapsharemonth(B33)</f>
        <v>6</v>
      </c>
      <c r="V33" s="177"/>
      <c r="W33" s="177"/>
      <c r="X33" s="177"/>
      <c r="Y33" s="177"/>
      <c r="Z33" s="177"/>
      <c r="AA33" s="177"/>
      <c r="AB33" s="177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78"/>
      <c r="AP33" s="178"/>
      <c r="AQ33" s="178"/>
      <c r="AR33" s="178"/>
      <c r="AS33" s="178"/>
      <c r="AT33" s="178"/>
      <c r="AU33" s="178"/>
    </row>
    <row r="34" spans="1:47" s="141" customFormat="1" ht="10.3" x14ac:dyDescent="0.25">
      <c r="A34" s="132" t="s">
        <v>0</v>
      </c>
      <c r="B34" s="132" t="s">
        <v>836</v>
      </c>
      <c r="C34" s="132" t="s">
        <v>837</v>
      </c>
      <c r="D34" s="134">
        <v>5.3534246575342461</v>
      </c>
      <c r="E34" s="133">
        <v>5.1989340000000004</v>
      </c>
      <c r="F34" s="133">
        <v>5.2</v>
      </c>
      <c r="G34" s="134">
        <v>37.47</v>
      </c>
      <c r="H34" s="133">
        <v>0</v>
      </c>
      <c r="I34" s="133" t="s">
        <v>983</v>
      </c>
      <c r="J34" s="318" t="s">
        <v>970</v>
      </c>
      <c r="K34" s="318" t="s">
        <v>1248</v>
      </c>
      <c r="L34" s="313" t="s">
        <v>1552</v>
      </c>
      <c r="M34" s="313" t="s">
        <v>1249</v>
      </c>
      <c r="N34" s="135">
        <v>90</v>
      </c>
      <c r="O34" s="135">
        <v>70</v>
      </c>
      <c r="P34" s="135">
        <v>130</v>
      </c>
      <c r="Q34" s="136">
        <v>110</v>
      </c>
      <c r="R34" s="137">
        <v>46401</v>
      </c>
      <c r="S34" s="138">
        <v>44397</v>
      </c>
      <c r="T34" s="138">
        <v>44397</v>
      </c>
      <c r="U34" s="181">
        <f ca="1">[1]!cb_clause_conversion_2_relativeswapsharemonth(B34)</f>
        <v>6</v>
      </c>
      <c r="V34" s="139"/>
      <c r="W34" s="139"/>
      <c r="X34" s="139"/>
      <c r="Y34" s="139"/>
      <c r="Z34" s="139"/>
      <c r="AA34" s="139"/>
      <c r="AB34" s="139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</row>
    <row r="35" spans="1:47" s="179" customFormat="1" ht="10.3" x14ac:dyDescent="0.25">
      <c r="A35" s="170" t="s">
        <v>5</v>
      </c>
      <c r="B35" s="170" t="s">
        <v>834</v>
      </c>
      <c r="C35" s="170" t="s">
        <v>835</v>
      </c>
      <c r="D35" s="172">
        <v>5.3369863013698629</v>
      </c>
      <c r="E35" s="171">
        <v>2.443908</v>
      </c>
      <c r="F35" s="171">
        <v>2.4</v>
      </c>
      <c r="G35" s="172">
        <v>12.73</v>
      </c>
      <c r="H35" s="171">
        <v>0</v>
      </c>
      <c r="I35" s="171" t="s">
        <v>1049</v>
      </c>
      <c r="J35" s="317" t="s">
        <v>970</v>
      </c>
      <c r="K35" s="317" t="s">
        <v>1394</v>
      </c>
      <c r="L35" s="314"/>
      <c r="M35" s="314" t="s">
        <v>1395</v>
      </c>
      <c r="N35" s="173">
        <v>85</v>
      </c>
      <c r="O35" s="173">
        <v>70</v>
      </c>
      <c r="P35" s="173">
        <v>130</v>
      </c>
      <c r="Q35" s="174">
        <v>115</v>
      </c>
      <c r="R35" s="180">
        <v>46395</v>
      </c>
      <c r="S35" s="175">
        <v>44391</v>
      </c>
      <c r="T35" s="175">
        <v>44391</v>
      </c>
      <c r="U35" s="177"/>
      <c r="V35" s="177"/>
      <c r="W35" s="177"/>
      <c r="X35" s="177"/>
      <c r="Y35" s="177"/>
      <c r="Z35" s="177"/>
      <c r="AA35" s="177"/>
      <c r="AB35" s="177"/>
      <c r="AC35" s="178"/>
      <c r="AD35" s="178"/>
      <c r="AE35" s="178"/>
      <c r="AF35" s="178"/>
      <c r="AG35" s="178"/>
      <c r="AH35" s="178"/>
      <c r="AI35" s="178"/>
      <c r="AJ35" s="178"/>
      <c r="AK35" s="178"/>
      <c r="AL35" s="178"/>
      <c r="AM35" s="178"/>
      <c r="AN35" s="178"/>
      <c r="AO35" s="178"/>
      <c r="AP35" s="178"/>
      <c r="AQ35" s="178"/>
      <c r="AR35" s="178"/>
      <c r="AS35" s="178"/>
      <c r="AT35" s="178"/>
      <c r="AU35" s="178"/>
    </row>
    <row r="36" spans="1:47" s="141" customFormat="1" ht="10.3" x14ac:dyDescent="0.25">
      <c r="A36" s="132" t="s">
        <v>5</v>
      </c>
      <c r="B36" s="132" t="s">
        <v>638</v>
      </c>
      <c r="C36" s="132" t="s">
        <v>639</v>
      </c>
      <c r="D36" s="134">
        <v>5.3287671232876708</v>
      </c>
      <c r="E36" s="133">
        <v>5.9993090000000002</v>
      </c>
      <c r="F36" s="133">
        <v>6</v>
      </c>
      <c r="G36" s="134">
        <v>13.4</v>
      </c>
      <c r="H36" s="133">
        <v>0</v>
      </c>
      <c r="I36" s="133" t="s">
        <v>935</v>
      </c>
      <c r="J36" s="318" t="s">
        <v>951</v>
      </c>
      <c r="K36" s="318" t="s">
        <v>1386</v>
      </c>
      <c r="L36" s="312"/>
      <c r="M36" s="312" t="s">
        <v>1090</v>
      </c>
      <c r="N36" s="135">
        <v>85</v>
      </c>
      <c r="O36" s="135">
        <v>70</v>
      </c>
      <c r="P36" s="135">
        <v>130</v>
      </c>
      <c r="Q36" s="136">
        <v>108</v>
      </c>
      <c r="R36" s="137">
        <v>46392</v>
      </c>
      <c r="S36" s="138">
        <v>44389</v>
      </c>
      <c r="T36" s="138">
        <v>44389</v>
      </c>
      <c r="U36" s="181">
        <f ca="1">[1]!cb_clause_conversion_2_relativeswapsharemonth(B36)</f>
        <v>6</v>
      </c>
      <c r="V36" s="139"/>
      <c r="W36" s="139"/>
      <c r="X36" s="139"/>
      <c r="Y36" s="139"/>
      <c r="Z36" s="139"/>
      <c r="AA36" s="139"/>
      <c r="AB36" s="139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</row>
    <row r="37" spans="1:47" s="179" customFormat="1" ht="10.3" x14ac:dyDescent="0.25">
      <c r="A37" s="170" t="s">
        <v>0</v>
      </c>
      <c r="B37" s="170" t="s">
        <v>575</v>
      </c>
      <c r="C37" s="170" t="s">
        <v>576</v>
      </c>
      <c r="D37" s="172">
        <v>5.3068493150684928</v>
      </c>
      <c r="E37" s="171">
        <v>24.343724999999999</v>
      </c>
      <c r="F37" s="171">
        <v>24.4</v>
      </c>
      <c r="G37" s="172">
        <v>222.52</v>
      </c>
      <c r="H37" s="171">
        <v>0</v>
      </c>
      <c r="I37" s="171" t="s">
        <v>952</v>
      </c>
      <c r="J37" s="317" t="s">
        <v>951</v>
      </c>
      <c r="K37" s="317" t="s">
        <v>1230</v>
      </c>
      <c r="L37" s="311"/>
      <c r="M37" s="311" t="s">
        <v>961</v>
      </c>
      <c r="N37" s="173">
        <v>85</v>
      </c>
      <c r="O37" s="173">
        <v>70</v>
      </c>
      <c r="P37" s="173">
        <v>130</v>
      </c>
      <c r="Q37" s="174">
        <v>110</v>
      </c>
      <c r="R37" s="180">
        <v>46384</v>
      </c>
      <c r="S37" s="175">
        <v>44382</v>
      </c>
      <c r="T37" s="175">
        <v>44382</v>
      </c>
      <c r="U37" s="176">
        <f ca="1">[1]!cb_clause_conversion_2_relativeswapsharemonth(B37)</f>
        <v>6</v>
      </c>
      <c r="V37" s="177"/>
      <c r="W37" s="177"/>
      <c r="X37" s="177"/>
      <c r="Y37" s="177"/>
      <c r="Z37" s="177"/>
      <c r="AA37" s="177"/>
      <c r="AB37" s="177"/>
      <c r="AC37" s="178"/>
      <c r="AD37" s="178"/>
      <c r="AE37" s="178"/>
      <c r="AF37" s="178"/>
      <c r="AG37" s="178"/>
      <c r="AH37" s="178"/>
      <c r="AI37" s="178"/>
      <c r="AJ37" s="178"/>
      <c r="AK37" s="178"/>
      <c r="AL37" s="178"/>
      <c r="AM37" s="178"/>
      <c r="AN37" s="178"/>
      <c r="AO37" s="178"/>
      <c r="AP37" s="178"/>
      <c r="AQ37" s="178"/>
      <c r="AR37" s="178"/>
      <c r="AS37" s="178"/>
      <c r="AT37" s="178"/>
      <c r="AU37" s="178"/>
    </row>
    <row r="38" spans="1:47" s="141" customFormat="1" ht="10.3" x14ac:dyDescent="0.25">
      <c r="A38" s="132" t="s">
        <v>5</v>
      </c>
      <c r="B38" s="132" t="s">
        <v>624</v>
      </c>
      <c r="C38" s="132" t="s">
        <v>625</v>
      </c>
      <c r="D38" s="134">
        <v>5.2958904109589042</v>
      </c>
      <c r="E38" s="133">
        <v>4.2288800000000002</v>
      </c>
      <c r="F38" s="133">
        <v>4.2</v>
      </c>
      <c r="G38" s="134">
        <v>5.19</v>
      </c>
      <c r="H38" s="133">
        <v>0</v>
      </c>
      <c r="I38" s="133" t="s">
        <v>1031</v>
      </c>
      <c r="J38" s="318" t="s">
        <v>974</v>
      </c>
      <c r="K38" s="318" t="s">
        <v>1004</v>
      </c>
      <c r="L38" s="312"/>
      <c r="M38" s="312" t="s">
        <v>943</v>
      </c>
      <c r="N38" s="135">
        <v>85</v>
      </c>
      <c r="O38" s="135">
        <v>70</v>
      </c>
      <c r="P38" s="135">
        <v>130</v>
      </c>
      <c r="Q38" s="136">
        <v>115</v>
      </c>
      <c r="R38" s="137">
        <v>46380</v>
      </c>
      <c r="S38" s="138">
        <v>44377</v>
      </c>
      <c r="T38" s="138">
        <v>44377</v>
      </c>
      <c r="U38" s="181">
        <f ca="1">[1]!cb_clause_conversion_2_relativeswapsharemonth(B38)</f>
        <v>6</v>
      </c>
      <c r="V38" s="139"/>
      <c r="W38" s="139"/>
      <c r="X38" s="139"/>
      <c r="Y38" s="139"/>
      <c r="Z38" s="139"/>
      <c r="AA38" s="139"/>
      <c r="AB38" s="139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</row>
    <row r="39" spans="1:47" s="179" customFormat="1" ht="10.3" x14ac:dyDescent="0.25">
      <c r="A39" s="170" t="s">
        <v>5</v>
      </c>
      <c r="B39" s="170" t="s">
        <v>622</v>
      </c>
      <c r="C39" s="170" t="s">
        <v>623</v>
      </c>
      <c r="D39" s="172">
        <v>5.2931506849315069</v>
      </c>
      <c r="E39" s="171">
        <v>5.4980770000000003</v>
      </c>
      <c r="F39" s="171">
        <v>5.5</v>
      </c>
      <c r="G39" s="172">
        <v>16.14</v>
      </c>
      <c r="H39" s="171">
        <v>0</v>
      </c>
      <c r="I39" s="171" t="s">
        <v>957</v>
      </c>
      <c r="J39" s="317" t="s">
        <v>974</v>
      </c>
      <c r="K39" s="317" t="s">
        <v>1132</v>
      </c>
      <c r="L39" s="311"/>
      <c r="M39" s="311" t="s">
        <v>943</v>
      </c>
      <c r="N39" s="173">
        <v>85</v>
      </c>
      <c r="O39" s="173">
        <v>70</v>
      </c>
      <c r="P39" s="173">
        <v>130</v>
      </c>
      <c r="Q39" s="174">
        <v>111</v>
      </c>
      <c r="R39" s="180">
        <v>46379</v>
      </c>
      <c r="S39" s="175">
        <v>44376</v>
      </c>
      <c r="T39" s="175">
        <v>44376</v>
      </c>
      <c r="U39" s="176">
        <f ca="1">[1]!cb_clause_conversion_2_relativeswapsharemonth(B39)</f>
        <v>6</v>
      </c>
      <c r="V39" s="177"/>
      <c r="W39" s="177"/>
      <c r="X39" s="177"/>
      <c r="Y39" s="177"/>
      <c r="Z39" s="177"/>
      <c r="AA39" s="177"/>
      <c r="AB39" s="177"/>
      <c r="AC39" s="178"/>
      <c r="AD39" s="178"/>
      <c r="AE39" s="178"/>
      <c r="AF39" s="178"/>
      <c r="AG39" s="178"/>
      <c r="AH39" s="178"/>
      <c r="AI39" s="178"/>
      <c r="AJ39" s="178"/>
      <c r="AK39" s="178"/>
      <c r="AL39" s="178"/>
      <c r="AM39" s="178"/>
      <c r="AN39" s="178"/>
      <c r="AO39" s="178"/>
      <c r="AP39" s="178"/>
      <c r="AQ39" s="178"/>
      <c r="AR39" s="178"/>
      <c r="AS39" s="178"/>
      <c r="AT39" s="178"/>
      <c r="AU39" s="178"/>
    </row>
    <row r="40" spans="1:47" s="141" customFormat="1" ht="10.3" x14ac:dyDescent="0.25">
      <c r="A40" s="132" t="s">
        <v>0</v>
      </c>
      <c r="B40" s="132" t="s">
        <v>573</v>
      </c>
      <c r="C40" s="132" t="s">
        <v>574</v>
      </c>
      <c r="D40" s="134">
        <v>5.2931506849315069</v>
      </c>
      <c r="E40" s="133">
        <v>8.9838880000000003</v>
      </c>
      <c r="F40" s="133">
        <v>10</v>
      </c>
      <c r="G40" s="134">
        <v>12.65</v>
      </c>
      <c r="H40" s="133">
        <v>0</v>
      </c>
      <c r="I40" s="133" t="s">
        <v>957</v>
      </c>
      <c r="J40" s="318" t="s">
        <v>942</v>
      </c>
      <c r="K40" s="318" t="s">
        <v>1300</v>
      </c>
      <c r="L40" s="312"/>
      <c r="M40" s="312" t="s">
        <v>1090</v>
      </c>
      <c r="N40" s="135">
        <v>90</v>
      </c>
      <c r="O40" s="135">
        <v>70</v>
      </c>
      <c r="P40" s="135">
        <v>130</v>
      </c>
      <c r="Q40" s="136">
        <v>112</v>
      </c>
      <c r="R40" s="137">
        <v>46379</v>
      </c>
      <c r="S40" s="138">
        <v>44376</v>
      </c>
      <c r="T40" s="138">
        <v>44376</v>
      </c>
      <c r="U40" s="181">
        <f ca="1">[1]!cb_clause_conversion_2_relativeswapsharemonth(B40)</f>
        <v>6</v>
      </c>
      <c r="V40" s="139"/>
      <c r="W40" s="139"/>
      <c r="X40" s="139"/>
      <c r="Y40" s="139"/>
      <c r="Z40" s="139"/>
      <c r="AA40" s="139"/>
      <c r="AB40" s="139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</row>
    <row r="41" spans="1:47" s="179" customFormat="1" ht="10.3" x14ac:dyDescent="0.25">
      <c r="A41" s="170" t="s">
        <v>5</v>
      </c>
      <c r="B41" s="170" t="s">
        <v>620</v>
      </c>
      <c r="C41" s="170" t="s">
        <v>621</v>
      </c>
      <c r="D41" s="172">
        <v>5.2876712328767121</v>
      </c>
      <c r="E41" s="171">
        <v>4.9997850000000001</v>
      </c>
      <c r="F41" s="171">
        <v>5</v>
      </c>
      <c r="G41" s="172">
        <v>35.18</v>
      </c>
      <c r="H41" s="171">
        <v>0</v>
      </c>
      <c r="I41" s="171" t="s">
        <v>957</v>
      </c>
      <c r="J41" s="317" t="s">
        <v>974</v>
      </c>
      <c r="K41" s="317" t="s">
        <v>1045</v>
      </c>
      <c r="L41" s="311"/>
      <c r="M41" s="311" t="s">
        <v>1090</v>
      </c>
      <c r="N41" s="173">
        <v>80</v>
      </c>
      <c r="O41" s="173">
        <v>70</v>
      </c>
      <c r="P41" s="173">
        <v>130</v>
      </c>
      <c r="Q41" s="174">
        <v>112</v>
      </c>
      <c r="R41" s="180">
        <v>46377</v>
      </c>
      <c r="S41" s="175">
        <v>44372</v>
      </c>
      <c r="T41" s="175">
        <v>44372</v>
      </c>
      <c r="U41" s="176">
        <f ca="1">[1]!cb_clause_conversion_2_relativeswapsharemonth(B41)</f>
        <v>6</v>
      </c>
      <c r="V41" s="177"/>
      <c r="W41" s="177"/>
      <c r="X41" s="177"/>
      <c r="Y41" s="177"/>
      <c r="Z41" s="177"/>
      <c r="AA41" s="177"/>
      <c r="AB41" s="177"/>
      <c r="AC41" s="178"/>
      <c r="AD41" s="178"/>
      <c r="AE41" s="178"/>
      <c r="AF41" s="178"/>
      <c r="AG41" s="178"/>
      <c r="AH41" s="178"/>
      <c r="AI41" s="178"/>
      <c r="AJ41" s="178"/>
      <c r="AK41" s="178"/>
      <c r="AL41" s="178"/>
      <c r="AM41" s="178"/>
      <c r="AN41" s="178"/>
      <c r="AO41" s="178"/>
      <c r="AP41" s="178"/>
      <c r="AQ41" s="178"/>
      <c r="AR41" s="178"/>
      <c r="AS41" s="178"/>
      <c r="AT41" s="178"/>
      <c r="AU41" s="178"/>
    </row>
    <row r="42" spans="1:47" s="141" customFormat="1" ht="10.3" x14ac:dyDescent="0.25">
      <c r="A42" s="132" t="s">
        <v>5</v>
      </c>
      <c r="B42" s="132" t="s">
        <v>618</v>
      </c>
      <c r="C42" s="132" t="s">
        <v>619</v>
      </c>
      <c r="D42" s="134">
        <v>5.2876712328767121</v>
      </c>
      <c r="E42" s="133">
        <v>3.065404</v>
      </c>
      <c r="F42" s="133">
        <v>5</v>
      </c>
      <c r="G42" s="134">
        <v>5.68</v>
      </c>
      <c r="H42" s="133">
        <v>0</v>
      </c>
      <c r="I42" s="133" t="s">
        <v>973</v>
      </c>
      <c r="J42" s="318" t="s">
        <v>942</v>
      </c>
      <c r="K42" s="318" t="s">
        <v>1140</v>
      </c>
      <c r="L42" s="312"/>
      <c r="M42" s="312" t="s">
        <v>995</v>
      </c>
      <c r="N42" s="135">
        <v>85</v>
      </c>
      <c r="O42" s="135">
        <v>70</v>
      </c>
      <c r="P42" s="135">
        <v>130</v>
      </c>
      <c r="Q42" s="136">
        <v>115</v>
      </c>
      <c r="R42" s="137">
        <v>46377</v>
      </c>
      <c r="S42" s="138">
        <v>44372</v>
      </c>
      <c r="T42" s="138">
        <v>44372</v>
      </c>
      <c r="U42" s="181">
        <f ca="1">[1]!cb_clause_conversion_2_relativeswapsharemonth(B42)</f>
        <v>6</v>
      </c>
      <c r="V42" s="139"/>
      <c r="W42" s="139"/>
      <c r="X42" s="139"/>
      <c r="Y42" s="139"/>
      <c r="Z42" s="139"/>
      <c r="AA42" s="139"/>
      <c r="AB42" s="139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</row>
    <row r="43" spans="1:47" s="179" customFormat="1" ht="10.3" x14ac:dyDescent="0.25">
      <c r="A43" s="170" t="s">
        <v>5</v>
      </c>
      <c r="B43" s="170" t="s">
        <v>658</v>
      </c>
      <c r="C43" s="170" t="s">
        <v>659</v>
      </c>
      <c r="D43" s="172">
        <v>5.279452054794521</v>
      </c>
      <c r="E43" s="171">
        <v>7.1799569999999999</v>
      </c>
      <c r="F43" s="171">
        <v>7.2</v>
      </c>
      <c r="G43" s="172">
        <v>18.47</v>
      </c>
      <c r="H43" s="171">
        <v>0</v>
      </c>
      <c r="I43" s="171" t="s">
        <v>939</v>
      </c>
      <c r="J43" s="317" t="s">
        <v>1082</v>
      </c>
      <c r="K43" s="317" t="s">
        <v>1269</v>
      </c>
      <c r="L43" s="311"/>
      <c r="M43" s="311" t="s">
        <v>956</v>
      </c>
      <c r="N43" s="173">
        <v>80</v>
      </c>
      <c r="O43" s="173">
        <v>70</v>
      </c>
      <c r="P43" s="173">
        <v>130</v>
      </c>
      <c r="Q43" s="174">
        <v>110</v>
      </c>
      <c r="R43" s="180">
        <v>46374</v>
      </c>
      <c r="S43" s="175">
        <v>44371</v>
      </c>
      <c r="T43" s="175">
        <v>44371</v>
      </c>
      <c r="U43" s="176">
        <f ca="1">[1]!cb_clause_conversion_2_relativeswapsharemonth(B43)</f>
        <v>6</v>
      </c>
      <c r="V43" s="177"/>
      <c r="W43" s="177"/>
      <c r="X43" s="177"/>
      <c r="Y43" s="177"/>
      <c r="Z43" s="177"/>
      <c r="AA43" s="177"/>
      <c r="AB43" s="177"/>
      <c r="AC43" s="178"/>
      <c r="AD43" s="178"/>
      <c r="AE43" s="178"/>
      <c r="AF43" s="178"/>
      <c r="AG43" s="178"/>
      <c r="AH43" s="178"/>
      <c r="AI43" s="178"/>
      <c r="AJ43" s="178"/>
      <c r="AK43" s="178"/>
      <c r="AL43" s="178"/>
      <c r="AM43" s="178"/>
      <c r="AN43" s="178"/>
      <c r="AO43" s="178"/>
      <c r="AP43" s="178"/>
      <c r="AQ43" s="178"/>
      <c r="AR43" s="178"/>
      <c r="AS43" s="178"/>
      <c r="AT43" s="178"/>
      <c r="AU43" s="178"/>
    </row>
    <row r="44" spans="1:47" s="141" customFormat="1" ht="10.3" x14ac:dyDescent="0.25">
      <c r="A44" s="132" t="s">
        <v>5</v>
      </c>
      <c r="B44" s="132" t="s">
        <v>656</v>
      </c>
      <c r="C44" s="132" t="s">
        <v>657</v>
      </c>
      <c r="D44" s="134">
        <v>5.2767123287671236</v>
      </c>
      <c r="E44" s="133">
        <v>13.998969000000001</v>
      </c>
      <c r="F44" s="133">
        <v>14</v>
      </c>
      <c r="G44" s="134">
        <v>15.97</v>
      </c>
      <c r="H44" s="133">
        <v>0</v>
      </c>
      <c r="I44" s="133" t="s">
        <v>939</v>
      </c>
      <c r="J44" s="318" t="s">
        <v>1082</v>
      </c>
      <c r="K44" s="318" t="s">
        <v>1291</v>
      </c>
      <c r="L44" s="313"/>
      <c r="M44" s="313" t="s">
        <v>984</v>
      </c>
      <c r="N44" s="135">
        <v>85</v>
      </c>
      <c r="O44" s="135">
        <v>70</v>
      </c>
      <c r="P44" s="135">
        <v>130</v>
      </c>
      <c r="Q44" s="136">
        <v>110</v>
      </c>
      <c r="R44" s="137">
        <v>46373</v>
      </c>
      <c r="S44" s="138">
        <v>44370</v>
      </c>
      <c r="T44" s="138">
        <v>44370</v>
      </c>
      <c r="U44" s="181">
        <f ca="1">[1]!cb_clause_conversion_2_relativeswapsharemonth(B44)</f>
        <v>6</v>
      </c>
      <c r="V44" s="139"/>
      <c r="W44" s="139"/>
      <c r="X44" s="139"/>
      <c r="Y44" s="139"/>
      <c r="Z44" s="139"/>
      <c r="AA44" s="139"/>
      <c r="AB44" s="139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</row>
    <row r="45" spans="1:47" s="179" customFormat="1" ht="10.3" x14ac:dyDescent="0.25">
      <c r="A45" s="170" t="s">
        <v>0</v>
      </c>
      <c r="B45" s="170" t="s">
        <v>571</v>
      </c>
      <c r="C45" s="170" t="s">
        <v>572</v>
      </c>
      <c r="D45" s="172">
        <v>5.2767123287671236</v>
      </c>
      <c r="E45" s="171">
        <v>7.7988200000000001</v>
      </c>
      <c r="F45" s="171">
        <v>7.8</v>
      </c>
      <c r="G45" s="172">
        <v>29.12</v>
      </c>
      <c r="H45" s="171">
        <v>0</v>
      </c>
      <c r="I45" s="171" t="s">
        <v>957</v>
      </c>
      <c r="J45" s="317" t="s">
        <v>942</v>
      </c>
      <c r="K45" s="317" t="s">
        <v>1033</v>
      </c>
      <c r="L45" s="311"/>
      <c r="M45" s="311" t="s">
        <v>1034</v>
      </c>
      <c r="N45" s="173">
        <v>90</v>
      </c>
      <c r="O45" s="173">
        <v>70</v>
      </c>
      <c r="P45" s="173">
        <v>130</v>
      </c>
      <c r="Q45" s="174">
        <v>109</v>
      </c>
      <c r="R45" s="180">
        <v>46373</v>
      </c>
      <c r="S45" s="175">
        <v>44370</v>
      </c>
      <c r="T45" s="175">
        <v>44370</v>
      </c>
      <c r="U45" s="176">
        <f ca="1">[1]!cb_clause_conversion_2_relativeswapsharemonth(B45)</f>
        <v>6</v>
      </c>
      <c r="V45" s="177"/>
      <c r="W45" s="177"/>
      <c r="X45" s="177"/>
      <c r="Y45" s="177"/>
      <c r="Z45" s="177"/>
      <c r="AA45" s="177"/>
      <c r="AB45" s="177"/>
      <c r="AC45" s="178"/>
      <c r="AD45" s="178"/>
      <c r="AE45" s="178"/>
      <c r="AF45" s="178"/>
      <c r="AG45" s="178"/>
      <c r="AH45" s="178"/>
      <c r="AI45" s="178"/>
      <c r="AJ45" s="178"/>
      <c r="AK45" s="178"/>
      <c r="AL45" s="178"/>
      <c r="AM45" s="178"/>
      <c r="AN45" s="178"/>
      <c r="AO45" s="178"/>
      <c r="AP45" s="178"/>
      <c r="AQ45" s="178"/>
      <c r="AR45" s="178"/>
      <c r="AS45" s="178"/>
      <c r="AT45" s="178"/>
      <c r="AU45" s="178"/>
    </row>
    <row r="46" spans="1:47" s="141" customFormat="1" ht="10.3" x14ac:dyDescent="0.25">
      <c r="A46" s="132" t="s">
        <v>5</v>
      </c>
      <c r="B46" s="132" t="s">
        <v>615</v>
      </c>
      <c r="C46" s="132" t="s">
        <v>832</v>
      </c>
      <c r="D46" s="134">
        <v>5.2712328767123289</v>
      </c>
      <c r="E46" s="133">
        <v>4.1897869999999999</v>
      </c>
      <c r="F46" s="133">
        <v>6.7</v>
      </c>
      <c r="G46" s="134">
        <v>16.32</v>
      </c>
      <c r="H46" s="133">
        <v>0</v>
      </c>
      <c r="I46" s="133" t="s">
        <v>983</v>
      </c>
      <c r="J46" s="318" t="s">
        <v>970</v>
      </c>
      <c r="K46" s="318" t="s">
        <v>1335</v>
      </c>
      <c r="L46" s="313"/>
      <c r="M46" s="313" t="s">
        <v>998</v>
      </c>
      <c r="N46" s="135">
        <v>85</v>
      </c>
      <c r="O46" s="135">
        <v>60</v>
      </c>
      <c r="P46" s="135">
        <v>130</v>
      </c>
      <c r="Q46" s="136">
        <v>115</v>
      </c>
      <c r="R46" s="137">
        <v>46371</v>
      </c>
      <c r="S46" s="138">
        <v>44368</v>
      </c>
      <c r="T46" s="138">
        <v>44368</v>
      </c>
      <c r="U46" s="181">
        <f ca="1">[1]!cb_clause_conversion_2_relativeswapsharemonth(B46)</f>
        <v>6</v>
      </c>
      <c r="V46" s="139"/>
      <c r="W46" s="139"/>
      <c r="X46" s="139"/>
      <c r="Y46" s="139"/>
      <c r="Z46" s="139"/>
      <c r="AA46" s="139"/>
      <c r="AB46" s="139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</row>
    <row r="47" spans="1:47" s="179" customFormat="1" ht="10.3" x14ac:dyDescent="0.25">
      <c r="A47" s="170" t="s">
        <v>5</v>
      </c>
      <c r="B47" s="170" t="s">
        <v>616</v>
      </c>
      <c r="C47" s="170" t="s">
        <v>617</v>
      </c>
      <c r="D47" s="172">
        <v>5.2712328767123289</v>
      </c>
      <c r="E47" s="171">
        <v>3.012283</v>
      </c>
      <c r="F47" s="171">
        <v>3</v>
      </c>
      <c r="G47" s="172">
        <v>20.72</v>
      </c>
      <c r="H47" s="171">
        <v>0</v>
      </c>
      <c r="I47" s="171" t="s">
        <v>1049</v>
      </c>
      <c r="J47" s="317" t="s">
        <v>970</v>
      </c>
      <c r="K47" s="317" t="s">
        <v>1352</v>
      </c>
      <c r="L47" s="314"/>
      <c r="M47" s="314" t="s">
        <v>940</v>
      </c>
      <c r="N47" s="173">
        <v>85</v>
      </c>
      <c r="O47" s="173">
        <v>70</v>
      </c>
      <c r="P47" s="173">
        <v>130</v>
      </c>
      <c r="Q47" s="174">
        <v>115</v>
      </c>
      <c r="R47" s="180">
        <v>46371</v>
      </c>
      <c r="S47" s="175">
        <v>44368</v>
      </c>
      <c r="T47" s="175">
        <v>44368</v>
      </c>
      <c r="U47" s="176">
        <f ca="1">[1]!cb_clause_conversion_2_relativeswapsharemonth(B47)</f>
        <v>6</v>
      </c>
      <c r="V47" s="177"/>
      <c r="W47" s="177"/>
      <c r="X47" s="177"/>
      <c r="Y47" s="177"/>
      <c r="Z47" s="177"/>
      <c r="AA47" s="177"/>
      <c r="AB47" s="177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</row>
    <row r="48" spans="1:47" s="141" customFormat="1" ht="10.3" x14ac:dyDescent="0.25">
      <c r="A48" s="132" t="s">
        <v>0</v>
      </c>
      <c r="B48" s="132" t="s">
        <v>549</v>
      </c>
      <c r="C48" s="132" t="s">
        <v>550</v>
      </c>
      <c r="D48" s="134">
        <v>5.2684931506849315</v>
      </c>
      <c r="E48" s="133">
        <v>319.9923</v>
      </c>
      <c r="F48" s="133">
        <v>320</v>
      </c>
      <c r="G48" s="134">
        <v>7.18</v>
      </c>
      <c r="H48" s="133">
        <v>68</v>
      </c>
      <c r="I48" s="133" t="s">
        <v>941</v>
      </c>
      <c r="J48" s="318" t="s">
        <v>942</v>
      </c>
      <c r="K48" s="318" t="s">
        <v>1434</v>
      </c>
      <c r="L48" s="312"/>
      <c r="M48" s="312" t="s">
        <v>971</v>
      </c>
      <c r="N48" s="135">
        <v>85</v>
      </c>
      <c r="O48" s="135">
        <v>70</v>
      </c>
      <c r="P48" s="135">
        <v>120</v>
      </c>
      <c r="Q48" s="136">
        <v>108</v>
      </c>
      <c r="R48" s="137">
        <v>46370</v>
      </c>
      <c r="S48" s="138">
        <v>44365</v>
      </c>
      <c r="T48" s="138">
        <v>44365</v>
      </c>
      <c r="U48" s="181">
        <f ca="1">[1]!cb_clause_conversion_2_relativeswapsharemonth(B48)</f>
        <v>6</v>
      </c>
      <c r="V48" s="139"/>
      <c r="W48" s="139"/>
      <c r="X48" s="139"/>
      <c r="Y48" s="139"/>
      <c r="Z48" s="139"/>
      <c r="AA48" s="139"/>
      <c r="AB48" s="139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</row>
    <row r="49" spans="1:47" s="179" customFormat="1" ht="10.3" x14ac:dyDescent="0.25">
      <c r="A49" s="170" t="s">
        <v>5</v>
      </c>
      <c r="B49" s="170" t="s">
        <v>611</v>
      </c>
      <c r="C49" s="170" t="s">
        <v>612</v>
      </c>
      <c r="D49" s="172">
        <v>5.2602739726027394</v>
      </c>
      <c r="E49" s="171">
        <v>8.716253</v>
      </c>
      <c r="F49" s="171">
        <v>9</v>
      </c>
      <c r="G49" s="172">
        <v>6.2</v>
      </c>
      <c r="H49" s="171">
        <v>0</v>
      </c>
      <c r="I49" s="171" t="s">
        <v>983</v>
      </c>
      <c r="J49" s="317" t="s">
        <v>958</v>
      </c>
      <c r="K49" s="317" t="s">
        <v>1151</v>
      </c>
      <c r="L49" s="314"/>
      <c r="M49" s="314" t="s">
        <v>998</v>
      </c>
      <c r="N49" s="173">
        <v>80</v>
      </c>
      <c r="O49" s="173">
        <v>70</v>
      </c>
      <c r="P49" s="173">
        <v>130</v>
      </c>
      <c r="Q49" s="174">
        <v>108</v>
      </c>
      <c r="R49" s="180">
        <v>46367</v>
      </c>
      <c r="S49" s="175">
        <v>44364</v>
      </c>
      <c r="T49" s="175">
        <v>44364</v>
      </c>
      <c r="U49" s="176">
        <f ca="1">[1]!cb_clause_conversion_2_relativeswapsharemonth(B49)</f>
        <v>6</v>
      </c>
      <c r="V49" s="177"/>
      <c r="W49" s="177"/>
      <c r="X49" s="177"/>
      <c r="Y49" s="177"/>
      <c r="Z49" s="177"/>
      <c r="AA49" s="177"/>
      <c r="AB49" s="177"/>
      <c r="AC49" s="178"/>
      <c r="AD49" s="178"/>
      <c r="AE49" s="178"/>
      <c r="AF49" s="178"/>
      <c r="AG49" s="178"/>
      <c r="AH49" s="178"/>
      <c r="AI49" s="178"/>
      <c r="AJ49" s="178"/>
      <c r="AK49" s="178"/>
      <c r="AL49" s="178"/>
      <c r="AM49" s="178"/>
      <c r="AN49" s="178"/>
      <c r="AO49" s="178"/>
      <c r="AP49" s="178"/>
      <c r="AQ49" s="178"/>
      <c r="AR49" s="178"/>
      <c r="AS49" s="178"/>
      <c r="AT49" s="178"/>
      <c r="AU49" s="178"/>
    </row>
    <row r="50" spans="1:47" s="141" customFormat="1" ht="10.3" x14ac:dyDescent="0.25">
      <c r="A50" s="132" t="s">
        <v>5</v>
      </c>
      <c r="B50" s="132" t="s">
        <v>613</v>
      </c>
      <c r="C50" s="132" t="s">
        <v>614</v>
      </c>
      <c r="D50" s="134">
        <v>5.2602739726027394</v>
      </c>
      <c r="E50" s="133">
        <v>6.0781999999999998</v>
      </c>
      <c r="F50" s="133">
        <v>7.3</v>
      </c>
      <c r="G50" s="134">
        <v>7.27</v>
      </c>
      <c r="H50" s="133">
        <v>0</v>
      </c>
      <c r="I50" s="133" t="s">
        <v>973</v>
      </c>
      <c r="J50" s="318" t="s">
        <v>942</v>
      </c>
      <c r="K50" s="318" t="s">
        <v>1376</v>
      </c>
      <c r="L50" s="312"/>
      <c r="M50" s="312" t="s">
        <v>1090</v>
      </c>
      <c r="N50" s="135">
        <v>90</v>
      </c>
      <c r="O50" s="135">
        <v>70</v>
      </c>
      <c r="P50" s="135">
        <v>130</v>
      </c>
      <c r="Q50" s="136">
        <v>118</v>
      </c>
      <c r="R50" s="137">
        <v>46367</v>
      </c>
      <c r="S50" s="138">
        <v>44364</v>
      </c>
      <c r="T50" s="138">
        <v>44364</v>
      </c>
      <c r="U50" s="181">
        <f ca="1">[1]!cb_clause_conversion_2_relativeswapsharemonth(B50)</f>
        <v>6</v>
      </c>
      <c r="V50" s="139"/>
      <c r="W50" s="139"/>
      <c r="X50" s="139"/>
      <c r="Y50" s="139"/>
      <c r="Z50" s="139"/>
      <c r="AA50" s="139"/>
      <c r="AB50" s="139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</row>
    <row r="51" spans="1:47" s="179" customFormat="1" ht="10.3" x14ac:dyDescent="0.25">
      <c r="A51" s="170" t="s">
        <v>0</v>
      </c>
      <c r="B51" s="170" t="s">
        <v>874</v>
      </c>
      <c r="C51" s="170" t="s">
        <v>875</v>
      </c>
      <c r="D51" s="172">
        <v>5.2575342465753421</v>
      </c>
      <c r="E51" s="171">
        <v>37.998330000000003</v>
      </c>
      <c r="F51" s="171">
        <v>38</v>
      </c>
      <c r="G51" s="172">
        <v>13.13</v>
      </c>
      <c r="H51" s="171">
        <v>73</v>
      </c>
      <c r="I51" s="171" t="s">
        <v>941</v>
      </c>
      <c r="J51" s="317" t="s">
        <v>1776</v>
      </c>
      <c r="K51" s="317" t="s">
        <v>1315</v>
      </c>
      <c r="L51" s="311"/>
      <c r="M51" s="311" t="s">
        <v>1362</v>
      </c>
      <c r="N51" s="173">
        <v>80</v>
      </c>
      <c r="O51" s="173"/>
      <c r="P51" s="173">
        <v>130</v>
      </c>
      <c r="Q51" s="174">
        <v>106</v>
      </c>
      <c r="R51" s="180">
        <v>46366</v>
      </c>
      <c r="S51" s="175">
        <v>44363</v>
      </c>
      <c r="T51" s="175">
        <v>44363</v>
      </c>
      <c r="U51" s="176">
        <f ca="1">[1]!cb_clause_conversion_2_relativeswapsharemonth(B51)</f>
        <v>6</v>
      </c>
      <c r="V51" s="177"/>
      <c r="W51" s="177"/>
      <c r="X51" s="177"/>
      <c r="Y51" s="177"/>
      <c r="Z51" s="177"/>
      <c r="AA51" s="177"/>
      <c r="AB51" s="177"/>
      <c r="AC51" s="178"/>
      <c r="AD51" s="178"/>
      <c r="AE51" s="178"/>
      <c r="AF51" s="178"/>
      <c r="AG51" s="178"/>
      <c r="AH51" s="178"/>
      <c r="AI51" s="178"/>
      <c r="AJ51" s="178"/>
      <c r="AK51" s="178"/>
      <c r="AL51" s="178"/>
      <c r="AM51" s="178"/>
      <c r="AN51" s="178"/>
      <c r="AO51" s="178"/>
      <c r="AP51" s="178"/>
      <c r="AQ51" s="178"/>
      <c r="AR51" s="178"/>
      <c r="AS51" s="178"/>
      <c r="AT51" s="178"/>
      <c r="AU51" s="178"/>
    </row>
    <row r="52" spans="1:47" s="141" customFormat="1" ht="10.3" x14ac:dyDescent="0.25">
      <c r="A52" s="132" t="s">
        <v>5</v>
      </c>
      <c r="B52" s="132" t="s">
        <v>636</v>
      </c>
      <c r="C52" s="132" t="s">
        <v>637</v>
      </c>
      <c r="D52" s="134">
        <v>5.2575342465753421</v>
      </c>
      <c r="E52" s="133">
        <v>27.993478</v>
      </c>
      <c r="F52" s="133">
        <v>28</v>
      </c>
      <c r="G52" s="134">
        <v>3.23</v>
      </c>
      <c r="H52" s="133">
        <v>0</v>
      </c>
      <c r="I52" s="133" t="s">
        <v>952</v>
      </c>
      <c r="J52" s="318" t="s">
        <v>970</v>
      </c>
      <c r="K52" s="318" t="s">
        <v>1505</v>
      </c>
      <c r="L52" s="313"/>
      <c r="M52" s="313" t="s">
        <v>956</v>
      </c>
      <c r="N52" s="135">
        <v>85</v>
      </c>
      <c r="O52" s="135">
        <v>70</v>
      </c>
      <c r="P52" s="135">
        <v>130</v>
      </c>
      <c r="Q52" s="136">
        <v>110</v>
      </c>
      <c r="R52" s="137">
        <v>46366</v>
      </c>
      <c r="S52" s="138">
        <v>44363</v>
      </c>
      <c r="T52" s="138">
        <v>44363</v>
      </c>
      <c r="U52" s="181">
        <f ca="1">[1]!cb_clause_conversion_2_relativeswapsharemonth(B52)</f>
        <v>6</v>
      </c>
      <c r="V52" s="139"/>
      <c r="W52" s="139"/>
      <c r="X52" s="139"/>
      <c r="Y52" s="139"/>
      <c r="Z52" s="139"/>
      <c r="AA52" s="139"/>
      <c r="AB52" s="139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</row>
    <row r="53" spans="1:47" s="179" customFormat="1" ht="10.3" x14ac:dyDescent="0.25">
      <c r="A53" s="170" t="s">
        <v>5</v>
      </c>
      <c r="B53" s="170" t="s">
        <v>609</v>
      </c>
      <c r="C53" s="170" t="s">
        <v>610</v>
      </c>
      <c r="D53" s="172">
        <v>5.2575342465753421</v>
      </c>
      <c r="E53" s="171">
        <v>2.6786509999999999</v>
      </c>
      <c r="F53" s="171">
        <v>2.8</v>
      </c>
      <c r="G53" s="172">
        <v>9</v>
      </c>
      <c r="H53" s="171">
        <v>0</v>
      </c>
      <c r="I53" s="171" t="s">
        <v>1031</v>
      </c>
      <c r="J53" s="317" t="s">
        <v>974</v>
      </c>
      <c r="K53" s="317" t="s">
        <v>1258</v>
      </c>
      <c r="L53" s="311"/>
      <c r="M53" s="311" t="s">
        <v>1259</v>
      </c>
      <c r="N53" s="173">
        <v>90</v>
      </c>
      <c r="O53" s="173">
        <v>70</v>
      </c>
      <c r="P53" s="173">
        <v>130</v>
      </c>
      <c r="Q53" s="174">
        <v>115</v>
      </c>
      <c r="R53" s="180">
        <v>46366</v>
      </c>
      <c r="S53" s="175">
        <v>44363</v>
      </c>
      <c r="T53" s="175">
        <v>44363</v>
      </c>
      <c r="U53" s="176">
        <f ca="1">[1]!cb_clause_conversion_2_relativeswapsharemonth(B53)</f>
        <v>6</v>
      </c>
      <c r="V53" s="177"/>
      <c r="W53" s="177"/>
      <c r="X53" s="177"/>
      <c r="Y53" s="177"/>
      <c r="Z53" s="177"/>
      <c r="AA53" s="177"/>
      <c r="AB53" s="177"/>
      <c r="AC53" s="178"/>
      <c r="AD53" s="178"/>
      <c r="AE53" s="178"/>
      <c r="AF53" s="178"/>
      <c r="AG53" s="178"/>
      <c r="AH53" s="178"/>
      <c r="AI53" s="178"/>
      <c r="AJ53" s="178"/>
      <c r="AK53" s="178"/>
      <c r="AL53" s="178"/>
      <c r="AM53" s="178"/>
      <c r="AN53" s="178"/>
      <c r="AO53" s="178"/>
      <c r="AP53" s="178"/>
      <c r="AQ53" s="178"/>
      <c r="AR53" s="178"/>
      <c r="AS53" s="178"/>
      <c r="AT53" s="178"/>
      <c r="AU53" s="178"/>
    </row>
    <row r="54" spans="1:47" s="141" customFormat="1" ht="10.3" x14ac:dyDescent="0.25">
      <c r="A54" s="132" t="s">
        <v>5</v>
      </c>
      <c r="B54" s="132" t="s">
        <v>607</v>
      </c>
      <c r="C54" s="132" t="s">
        <v>608</v>
      </c>
      <c r="D54" s="134">
        <v>5.2547945205479456</v>
      </c>
      <c r="E54" s="133">
        <v>7.9981819999999999</v>
      </c>
      <c r="F54" s="133">
        <v>8</v>
      </c>
      <c r="G54" s="134">
        <v>15.45</v>
      </c>
      <c r="H54" s="133">
        <v>0</v>
      </c>
      <c r="I54" s="133" t="s">
        <v>939</v>
      </c>
      <c r="J54" s="318" t="s">
        <v>962</v>
      </c>
      <c r="K54" s="318" t="s">
        <v>1074</v>
      </c>
      <c r="L54" s="312"/>
      <c r="M54" s="312" t="s">
        <v>956</v>
      </c>
      <c r="N54" s="135">
        <v>85</v>
      </c>
      <c r="O54" s="135">
        <v>70</v>
      </c>
      <c r="P54" s="135">
        <v>130</v>
      </c>
      <c r="Q54" s="136">
        <v>110</v>
      </c>
      <c r="R54" s="137">
        <v>46365</v>
      </c>
      <c r="S54" s="138">
        <v>44362</v>
      </c>
      <c r="T54" s="138">
        <v>44362</v>
      </c>
      <c r="U54" s="181">
        <f ca="1">[1]!cb_clause_conversion_2_relativeswapsharemonth(B54)</f>
        <v>6</v>
      </c>
      <c r="V54" s="139"/>
      <c r="W54" s="139"/>
      <c r="X54" s="139"/>
      <c r="Y54" s="139"/>
      <c r="Z54" s="139"/>
      <c r="AA54" s="139"/>
      <c r="AB54" s="139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</row>
    <row r="55" spans="1:47" s="179" customFormat="1" ht="10.3" x14ac:dyDescent="0.25">
      <c r="A55" s="170" t="s">
        <v>0</v>
      </c>
      <c r="B55" s="170" t="s">
        <v>569</v>
      </c>
      <c r="C55" s="170" t="s">
        <v>570</v>
      </c>
      <c r="D55" s="172">
        <v>5.2520547945205482</v>
      </c>
      <c r="E55" s="171">
        <v>1.264292</v>
      </c>
      <c r="F55" s="171">
        <v>5.2</v>
      </c>
      <c r="G55" s="172">
        <v>20.59</v>
      </c>
      <c r="H55" s="171">
        <v>0</v>
      </c>
      <c r="I55" s="171" t="s">
        <v>983</v>
      </c>
      <c r="J55" s="317" t="s">
        <v>970</v>
      </c>
      <c r="K55" s="317" t="s">
        <v>1342</v>
      </c>
      <c r="L55" s="314"/>
      <c r="M55" s="314" t="s">
        <v>1043</v>
      </c>
      <c r="N55" s="173">
        <v>85</v>
      </c>
      <c r="O55" s="173">
        <v>70</v>
      </c>
      <c r="P55" s="173">
        <v>130</v>
      </c>
      <c r="Q55" s="174">
        <v>115</v>
      </c>
      <c r="R55" s="180">
        <v>46364</v>
      </c>
      <c r="S55" s="175">
        <v>44362</v>
      </c>
      <c r="T55" s="175">
        <v>44362</v>
      </c>
      <c r="U55" s="176">
        <f ca="1">[1]!cb_clause_conversion_2_relativeswapsharemonth(B55)</f>
        <v>6</v>
      </c>
      <c r="V55" s="177"/>
      <c r="W55" s="177"/>
      <c r="X55" s="177"/>
      <c r="Y55" s="177"/>
      <c r="Z55" s="177"/>
      <c r="AA55" s="177"/>
      <c r="AB55" s="177"/>
      <c r="AC55" s="178"/>
      <c r="AD55" s="178"/>
      <c r="AE55" s="178"/>
      <c r="AF55" s="178"/>
      <c r="AG55" s="178"/>
      <c r="AH55" s="178"/>
      <c r="AI55" s="178"/>
      <c r="AJ55" s="178"/>
      <c r="AK55" s="178"/>
      <c r="AL55" s="178"/>
      <c r="AM55" s="178"/>
      <c r="AN55" s="178"/>
      <c r="AO55" s="178"/>
      <c r="AP55" s="178"/>
      <c r="AQ55" s="178"/>
      <c r="AR55" s="178"/>
      <c r="AS55" s="178"/>
      <c r="AT55" s="178"/>
      <c r="AU55" s="178"/>
    </row>
    <row r="56" spans="1:47" s="141" customFormat="1" ht="10.3" x14ac:dyDescent="0.25">
      <c r="A56" s="132" t="s">
        <v>5</v>
      </c>
      <c r="B56" s="132" t="s">
        <v>634</v>
      </c>
      <c r="C56" s="132" t="s">
        <v>635</v>
      </c>
      <c r="D56" s="134">
        <v>5.2520547945205482</v>
      </c>
      <c r="E56" s="133">
        <v>6.9980820000000001</v>
      </c>
      <c r="F56" s="133">
        <v>7</v>
      </c>
      <c r="G56" s="134">
        <v>12.72</v>
      </c>
      <c r="H56" s="133">
        <v>0</v>
      </c>
      <c r="I56" s="133" t="s">
        <v>939</v>
      </c>
      <c r="J56" s="318" t="s">
        <v>970</v>
      </c>
      <c r="K56" s="318" t="s">
        <v>1504</v>
      </c>
      <c r="L56" s="313"/>
      <c r="M56" s="313" t="s">
        <v>998</v>
      </c>
      <c r="N56" s="135">
        <v>85</v>
      </c>
      <c r="O56" s="135">
        <v>70</v>
      </c>
      <c r="P56" s="135">
        <v>130</v>
      </c>
      <c r="Q56" s="136">
        <v>108</v>
      </c>
      <c r="R56" s="137">
        <v>46364</v>
      </c>
      <c r="S56" s="138">
        <v>44362</v>
      </c>
      <c r="T56" s="138">
        <v>44362</v>
      </c>
      <c r="U56" s="181">
        <f ca="1">[1]!cb_clause_conversion_2_relativeswapsharemonth(B56)</f>
        <v>6</v>
      </c>
      <c r="V56" s="139"/>
      <c r="W56" s="139"/>
      <c r="X56" s="139"/>
      <c r="Y56" s="139"/>
      <c r="Z56" s="139"/>
      <c r="AA56" s="139"/>
      <c r="AB56" s="139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</row>
    <row r="57" spans="1:47" s="179" customFormat="1" ht="10.3" x14ac:dyDescent="0.25">
      <c r="A57" s="170" t="s">
        <v>5</v>
      </c>
      <c r="B57" s="170" t="s">
        <v>654</v>
      </c>
      <c r="C57" s="170" t="s">
        <v>655</v>
      </c>
      <c r="D57" s="172">
        <v>5.2493150684931509</v>
      </c>
      <c r="E57" s="171">
        <v>10.898399</v>
      </c>
      <c r="F57" s="171">
        <v>10.9</v>
      </c>
      <c r="G57" s="172">
        <v>26.4</v>
      </c>
      <c r="H57" s="171">
        <v>0</v>
      </c>
      <c r="I57" s="171" t="s">
        <v>957</v>
      </c>
      <c r="J57" s="317" t="s">
        <v>974</v>
      </c>
      <c r="K57" s="317" t="s">
        <v>1164</v>
      </c>
      <c r="L57" s="311"/>
      <c r="M57" s="311" t="s">
        <v>943</v>
      </c>
      <c r="N57" s="173">
        <v>90</v>
      </c>
      <c r="O57" s="173">
        <v>70</v>
      </c>
      <c r="P57" s="173">
        <v>130</v>
      </c>
      <c r="Q57" s="174">
        <v>110</v>
      </c>
      <c r="R57" s="180">
        <v>46363</v>
      </c>
      <c r="S57" s="175">
        <v>44362</v>
      </c>
      <c r="T57" s="175">
        <v>44362</v>
      </c>
      <c r="U57" s="176">
        <f ca="1">[1]!cb_clause_conversion_2_relativeswapsharemonth(B57)</f>
        <v>6</v>
      </c>
      <c r="V57" s="177"/>
      <c r="W57" s="177"/>
      <c r="X57" s="177"/>
      <c r="Y57" s="177"/>
      <c r="Z57" s="177"/>
      <c r="AA57" s="177"/>
      <c r="AB57" s="177"/>
      <c r="AC57" s="178"/>
      <c r="AD57" s="178"/>
      <c r="AE57" s="178"/>
      <c r="AF57" s="178"/>
      <c r="AG57" s="178"/>
      <c r="AH57" s="178"/>
      <c r="AI57" s="178"/>
      <c r="AJ57" s="178"/>
      <c r="AK57" s="178"/>
      <c r="AL57" s="178"/>
      <c r="AM57" s="178"/>
      <c r="AN57" s="178"/>
      <c r="AO57" s="178"/>
      <c r="AP57" s="178"/>
      <c r="AQ57" s="178"/>
      <c r="AR57" s="178"/>
      <c r="AS57" s="178"/>
      <c r="AT57" s="178"/>
      <c r="AU57" s="178"/>
    </row>
    <row r="58" spans="1:47" s="141" customFormat="1" ht="10.3" x14ac:dyDescent="0.25">
      <c r="A58" s="132" t="s">
        <v>5</v>
      </c>
      <c r="B58" s="132" t="s">
        <v>605</v>
      </c>
      <c r="C58" s="132" t="s">
        <v>606</v>
      </c>
      <c r="D58" s="134">
        <v>5.2493150684931509</v>
      </c>
      <c r="E58" s="133">
        <v>4.9979469999999999</v>
      </c>
      <c r="F58" s="133">
        <v>5</v>
      </c>
      <c r="G58" s="134">
        <v>8.81</v>
      </c>
      <c r="H58" s="133">
        <v>0</v>
      </c>
      <c r="I58" s="133" t="s">
        <v>1049</v>
      </c>
      <c r="J58" s="318" t="s">
        <v>1099</v>
      </c>
      <c r="K58" s="318" t="s">
        <v>1373</v>
      </c>
      <c r="L58" s="312"/>
      <c r="M58" s="312" t="s">
        <v>945</v>
      </c>
      <c r="N58" s="135">
        <v>85</v>
      </c>
      <c r="O58" s="135">
        <v>70</v>
      </c>
      <c r="P58" s="135">
        <v>130</v>
      </c>
      <c r="Q58" s="136">
        <v>115</v>
      </c>
      <c r="R58" s="137">
        <v>46363</v>
      </c>
      <c r="S58" s="138">
        <v>44358</v>
      </c>
      <c r="T58" s="138">
        <v>44358</v>
      </c>
      <c r="U58" s="181">
        <f ca="1">[1]!cb_clause_conversion_2_relativeswapsharemonth(B58)</f>
        <v>6</v>
      </c>
      <c r="V58" s="139"/>
      <c r="W58" s="139"/>
      <c r="X58" s="139"/>
      <c r="Y58" s="139"/>
      <c r="Z58" s="139"/>
      <c r="AA58" s="139"/>
      <c r="AB58" s="139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</row>
    <row r="59" spans="1:47" s="179" customFormat="1" ht="10.3" x14ac:dyDescent="0.25">
      <c r="A59" s="170" t="s">
        <v>5</v>
      </c>
      <c r="B59" s="170" t="s">
        <v>603</v>
      </c>
      <c r="C59" s="170" t="s">
        <v>604</v>
      </c>
      <c r="D59" s="172">
        <v>5.2383561643835614</v>
      </c>
      <c r="E59" s="171">
        <v>5.6990439999999998</v>
      </c>
      <c r="F59" s="171">
        <v>5.7</v>
      </c>
      <c r="G59" s="172">
        <v>53.4</v>
      </c>
      <c r="H59" s="171">
        <v>0</v>
      </c>
      <c r="I59" s="171" t="s">
        <v>973</v>
      </c>
      <c r="J59" s="317" t="s">
        <v>974</v>
      </c>
      <c r="K59" s="317" t="s">
        <v>1344</v>
      </c>
      <c r="L59" s="311"/>
      <c r="M59" s="311" t="s">
        <v>989</v>
      </c>
      <c r="N59" s="173">
        <v>85</v>
      </c>
      <c r="O59" s="173">
        <v>70</v>
      </c>
      <c r="P59" s="173">
        <v>130</v>
      </c>
      <c r="Q59" s="174">
        <v>115</v>
      </c>
      <c r="R59" s="180">
        <v>46359</v>
      </c>
      <c r="S59" s="175">
        <v>44356</v>
      </c>
      <c r="T59" s="175">
        <v>44356</v>
      </c>
      <c r="U59" s="176">
        <f ca="1">[1]!cb_clause_conversion_2_relativeswapsharemonth(B59)</f>
        <v>6</v>
      </c>
      <c r="V59" s="177"/>
      <c r="W59" s="177"/>
      <c r="X59" s="177"/>
      <c r="Y59" s="177"/>
      <c r="Z59" s="177"/>
      <c r="AA59" s="177"/>
      <c r="AB59" s="177"/>
      <c r="AC59" s="178"/>
      <c r="AD59" s="178"/>
      <c r="AE59" s="178"/>
      <c r="AF59" s="178"/>
      <c r="AG59" s="178"/>
      <c r="AH59" s="178"/>
      <c r="AI59" s="178"/>
      <c r="AJ59" s="178"/>
      <c r="AK59" s="178"/>
      <c r="AL59" s="178"/>
      <c r="AM59" s="178"/>
      <c r="AN59" s="178"/>
      <c r="AO59" s="178"/>
      <c r="AP59" s="178"/>
      <c r="AQ59" s="178"/>
      <c r="AR59" s="178"/>
      <c r="AS59" s="178"/>
      <c r="AT59" s="178"/>
      <c r="AU59" s="178"/>
    </row>
    <row r="60" spans="1:47" s="141" customFormat="1" ht="10.3" x14ac:dyDescent="0.25">
      <c r="A60" s="132" t="s">
        <v>5</v>
      </c>
      <c r="B60" s="132" t="s">
        <v>601</v>
      </c>
      <c r="C60" s="132" t="s">
        <v>602</v>
      </c>
      <c r="D60" s="134">
        <v>5.2356164383561641</v>
      </c>
      <c r="E60" s="133">
        <v>2.4369329999999998</v>
      </c>
      <c r="F60" s="133">
        <v>2.4</v>
      </c>
      <c r="G60" s="134">
        <v>11.58</v>
      </c>
      <c r="H60" s="133">
        <v>0</v>
      </c>
      <c r="I60" s="133" t="s">
        <v>1031</v>
      </c>
      <c r="J60" s="318" t="s">
        <v>974</v>
      </c>
      <c r="K60" s="318" t="s">
        <v>1351</v>
      </c>
      <c r="L60" s="312"/>
      <c r="M60" s="312" t="s">
        <v>950</v>
      </c>
      <c r="N60" s="135">
        <v>85</v>
      </c>
      <c r="O60" s="135">
        <v>70</v>
      </c>
      <c r="P60" s="135">
        <v>130</v>
      </c>
      <c r="Q60" s="136">
        <v>120</v>
      </c>
      <c r="R60" s="137">
        <v>46358</v>
      </c>
      <c r="S60" s="138">
        <v>44355</v>
      </c>
      <c r="T60" s="138">
        <v>44355</v>
      </c>
      <c r="U60" s="181">
        <f ca="1">[1]!cb_clause_conversion_2_relativeswapsharemonth(B60)</f>
        <v>6</v>
      </c>
      <c r="V60" s="139"/>
      <c r="W60" s="139"/>
      <c r="X60" s="139"/>
      <c r="Y60" s="139"/>
      <c r="Z60" s="139"/>
      <c r="AA60" s="139"/>
      <c r="AB60" s="139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</row>
    <row r="61" spans="1:47" s="179" customFormat="1" ht="10.3" x14ac:dyDescent="0.25">
      <c r="A61" s="170" t="s">
        <v>5</v>
      </c>
      <c r="B61" s="170" t="s">
        <v>652</v>
      </c>
      <c r="C61" s="170" t="s">
        <v>653</v>
      </c>
      <c r="D61" s="172">
        <v>5.2328767123287667</v>
      </c>
      <c r="E61" s="171">
        <v>6.4696829999999999</v>
      </c>
      <c r="F61" s="171">
        <v>6.5</v>
      </c>
      <c r="G61" s="172">
        <v>36.96</v>
      </c>
      <c r="H61" s="171">
        <v>0</v>
      </c>
      <c r="I61" s="171" t="s">
        <v>973</v>
      </c>
      <c r="J61" s="317" t="s">
        <v>974</v>
      </c>
      <c r="K61" s="317" t="s">
        <v>1061</v>
      </c>
      <c r="L61" s="311"/>
      <c r="M61" s="311" t="s">
        <v>949</v>
      </c>
      <c r="N61" s="173">
        <v>80</v>
      </c>
      <c r="O61" s="173">
        <v>70</v>
      </c>
      <c r="P61" s="173">
        <v>130</v>
      </c>
      <c r="Q61" s="174">
        <v>115</v>
      </c>
      <c r="R61" s="180">
        <v>46357</v>
      </c>
      <c r="S61" s="175">
        <v>44354</v>
      </c>
      <c r="T61" s="175">
        <v>44354</v>
      </c>
      <c r="U61" s="176">
        <f ca="1">[1]!cb_clause_conversion_2_relativeswapsharemonth(B61)</f>
        <v>6</v>
      </c>
      <c r="V61" s="177"/>
      <c r="W61" s="177"/>
      <c r="X61" s="177"/>
      <c r="Y61" s="177"/>
      <c r="Z61" s="177"/>
      <c r="AA61" s="177"/>
      <c r="AB61" s="177"/>
      <c r="AC61" s="178"/>
      <c r="AD61" s="178"/>
      <c r="AE61" s="178"/>
      <c r="AF61" s="178"/>
      <c r="AG61" s="178"/>
      <c r="AH61" s="178"/>
      <c r="AI61" s="178"/>
      <c r="AJ61" s="178"/>
      <c r="AK61" s="178"/>
      <c r="AL61" s="178"/>
      <c r="AM61" s="178"/>
      <c r="AN61" s="178"/>
      <c r="AO61" s="178"/>
      <c r="AP61" s="178"/>
      <c r="AQ61" s="178"/>
      <c r="AR61" s="178"/>
      <c r="AS61" s="178"/>
      <c r="AT61" s="178"/>
      <c r="AU61" s="178"/>
    </row>
    <row r="62" spans="1:47" s="141" customFormat="1" ht="10.3" x14ac:dyDescent="0.25">
      <c r="A62" s="132" t="s">
        <v>5</v>
      </c>
      <c r="B62" s="132" t="s">
        <v>599</v>
      </c>
      <c r="C62" s="132" t="s">
        <v>600</v>
      </c>
      <c r="D62" s="134">
        <v>5.2328767123287667</v>
      </c>
      <c r="E62" s="133">
        <v>0.51600900000000005</v>
      </c>
      <c r="F62" s="133">
        <v>5.8</v>
      </c>
      <c r="G62" s="134">
        <v>15.12</v>
      </c>
      <c r="H62" s="133">
        <v>0</v>
      </c>
      <c r="I62" s="133" t="s">
        <v>939</v>
      </c>
      <c r="J62" s="318" t="s">
        <v>1082</v>
      </c>
      <c r="K62" s="318" t="s">
        <v>1489</v>
      </c>
      <c r="L62" s="313"/>
      <c r="M62" s="313" t="s">
        <v>1490</v>
      </c>
      <c r="N62" s="135">
        <v>85</v>
      </c>
      <c r="O62" s="135">
        <v>70</v>
      </c>
      <c r="P62" s="135">
        <v>130</v>
      </c>
      <c r="Q62" s="136">
        <v>110</v>
      </c>
      <c r="R62" s="137">
        <v>46357</v>
      </c>
      <c r="S62" s="138">
        <v>44354</v>
      </c>
      <c r="T62" s="138">
        <v>44354</v>
      </c>
      <c r="U62" s="181">
        <f ca="1">[1]!cb_clause_conversion_2_relativeswapsharemonth(B62)</f>
        <v>6</v>
      </c>
      <c r="V62" s="139"/>
      <c r="W62" s="139"/>
      <c r="X62" s="139"/>
      <c r="Y62" s="139"/>
      <c r="Z62" s="139"/>
      <c r="AA62" s="139"/>
      <c r="AB62" s="139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</row>
    <row r="63" spans="1:47" s="179" customFormat="1" ht="10.3" x14ac:dyDescent="0.25">
      <c r="A63" s="170" t="s">
        <v>0</v>
      </c>
      <c r="B63" s="170" t="s">
        <v>567</v>
      </c>
      <c r="C63" s="170" t="s">
        <v>568</v>
      </c>
      <c r="D63" s="172">
        <v>5.2328767123287667</v>
      </c>
      <c r="E63" s="171">
        <v>0</v>
      </c>
      <c r="F63" s="171">
        <v>17</v>
      </c>
      <c r="G63" s="172">
        <v>61.03</v>
      </c>
      <c r="H63" s="171">
        <v>0</v>
      </c>
      <c r="I63" s="171" t="s">
        <v>957</v>
      </c>
      <c r="J63" s="317" t="s">
        <v>942</v>
      </c>
      <c r="K63" s="317" t="s">
        <v>1459</v>
      </c>
      <c r="L63" s="311"/>
      <c r="M63" s="311" t="s">
        <v>1460</v>
      </c>
      <c r="N63" s="173">
        <v>85</v>
      </c>
      <c r="O63" s="173">
        <v>70</v>
      </c>
      <c r="P63" s="173">
        <v>130</v>
      </c>
      <c r="Q63" s="174">
        <v>108</v>
      </c>
      <c r="R63" s="180">
        <v>46357</v>
      </c>
      <c r="S63" s="175">
        <v>44354</v>
      </c>
      <c r="T63" s="175">
        <v>44354</v>
      </c>
      <c r="U63" s="176">
        <f ca="1">[1]!cb_clause_conversion_2_relativeswapsharemonth(B63)</f>
        <v>6</v>
      </c>
      <c r="V63" s="177"/>
      <c r="W63" s="177"/>
      <c r="X63" s="177"/>
      <c r="Y63" s="177"/>
      <c r="Z63" s="177"/>
      <c r="AA63" s="177"/>
      <c r="AB63" s="177"/>
      <c r="AC63" s="178"/>
      <c r="AD63" s="178"/>
      <c r="AE63" s="178"/>
      <c r="AF63" s="178"/>
      <c r="AG63" s="178"/>
      <c r="AH63" s="178"/>
      <c r="AI63" s="178"/>
      <c r="AJ63" s="178"/>
      <c r="AK63" s="178"/>
      <c r="AL63" s="178"/>
      <c r="AM63" s="178"/>
      <c r="AN63" s="178"/>
      <c r="AO63" s="178"/>
      <c r="AP63" s="178"/>
      <c r="AQ63" s="178"/>
      <c r="AR63" s="178"/>
      <c r="AS63" s="178"/>
      <c r="AT63" s="178"/>
      <c r="AU63" s="178"/>
    </row>
    <row r="64" spans="1:47" s="141" customFormat="1" ht="10.3" x14ac:dyDescent="0.25">
      <c r="A64" s="132" t="s">
        <v>0</v>
      </c>
      <c r="B64" s="132" t="s">
        <v>565</v>
      </c>
      <c r="C64" s="132" t="s">
        <v>566</v>
      </c>
      <c r="D64" s="134">
        <v>5.2328767123287667</v>
      </c>
      <c r="E64" s="133">
        <v>4.5847239999999996</v>
      </c>
      <c r="F64" s="133">
        <v>5.2</v>
      </c>
      <c r="G64" s="134">
        <v>8.61</v>
      </c>
      <c r="H64" s="133">
        <v>0</v>
      </c>
      <c r="I64" s="133" t="s">
        <v>983</v>
      </c>
      <c r="J64" s="318" t="s">
        <v>1099</v>
      </c>
      <c r="K64" s="318" t="s">
        <v>1457</v>
      </c>
      <c r="L64" s="313" t="s">
        <v>1553</v>
      </c>
      <c r="M64" s="313" t="s">
        <v>1458</v>
      </c>
      <c r="N64" s="135">
        <v>85</v>
      </c>
      <c r="O64" s="135">
        <v>70</v>
      </c>
      <c r="P64" s="135">
        <v>130</v>
      </c>
      <c r="Q64" s="136">
        <v>115</v>
      </c>
      <c r="R64" s="137">
        <v>46357</v>
      </c>
      <c r="S64" s="138">
        <v>44354</v>
      </c>
      <c r="T64" s="138">
        <v>44354</v>
      </c>
      <c r="U64" s="181">
        <f ca="1">[1]!cb_clause_conversion_2_relativeswapsharemonth(B64)</f>
        <v>6</v>
      </c>
      <c r="V64" s="139"/>
      <c r="W64" s="139"/>
      <c r="X64" s="139"/>
      <c r="Y64" s="139"/>
      <c r="Z64" s="139"/>
      <c r="AA64" s="139"/>
      <c r="AB64" s="139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</row>
    <row r="65" spans="1:47" s="179" customFormat="1" ht="10.3" x14ac:dyDescent="0.25">
      <c r="A65" s="170" t="s">
        <v>5</v>
      </c>
      <c r="B65" s="170" t="s">
        <v>597</v>
      </c>
      <c r="C65" s="170" t="s">
        <v>598</v>
      </c>
      <c r="D65" s="172">
        <v>5.2219178082191782</v>
      </c>
      <c r="E65" s="171">
        <v>8.1464429999999997</v>
      </c>
      <c r="F65" s="171">
        <v>8.1999999999999993</v>
      </c>
      <c r="G65" s="172">
        <v>15.56</v>
      </c>
      <c r="H65" s="171">
        <v>0</v>
      </c>
      <c r="I65" s="171" t="s">
        <v>957</v>
      </c>
      <c r="J65" s="317" t="s">
        <v>951</v>
      </c>
      <c r="K65" s="317" t="s">
        <v>1777</v>
      </c>
      <c r="L65" s="311"/>
      <c r="M65" s="311" t="s">
        <v>963</v>
      </c>
      <c r="N65" s="173">
        <v>85</v>
      </c>
      <c r="O65" s="173">
        <v>70</v>
      </c>
      <c r="P65" s="173">
        <v>120</v>
      </c>
      <c r="Q65" s="174">
        <v>110</v>
      </c>
      <c r="R65" s="180">
        <v>46353</v>
      </c>
      <c r="S65" s="175">
        <v>44350</v>
      </c>
      <c r="T65" s="175">
        <v>44350</v>
      </c>
      <c r="U65" s="176">
        <f ca="1">[1]!cb_clause_conversion_2_relativeswapsharemonth(B65)</f>
        <v>6</v>
      </c>
      <c r="V65" s="177"/>
      <c r="W65" s="177"/>
      <c r="X65" s="177"/>
      <c r="Y65" s="177"/>
      <c r="Z65" s="177"/>
      <c r="AA65" s="177"/>
      <c r="AB65" s="177"/>
      <c r="AC65" s="178"/>
      <c r="AD65" s="178"/>
      <c r="AE65" s="178"/>
      <c r="AF65" s="178"/>
      <c r="AG65" s="178"/>
      <c r="AH65" s="178"/>
      <c r="AI65" s="178"/>
      <c r="AJ65" s="178"/>
      <c r="AK65" s="178"/>
      <c r="AL65" s="178"/>
      <c r="AM65" s="178"/>
      <c r="AN65" s="178"/>
      <c r="AO65" s="178"/>
      <c r="AP65" s="178"/>
      <c r="AQ65" s="178"/>
      <c r="AR65" s="178"/>
      <c r="AS65" s="178"/>
      <c r="AT65" s="178"/>
      <c r="AU65" s="178"/>
    </row>
    <row r="66" spans="1:47" s="141" customFormat="1" ht="10.3" x14ac:dyDescent="0.25">
      <c r="A66" s="132" t="s">
        <v>0</v>
      </c>
      <c r="B66" s="132" t="s">
        <v>563</v>
      </c>
      <c r="C66" s="132" t="s">
        <v>564</v>
      </c>
      <c r="D66" s="134">
        <v>5.2136986301369861</v>
      </c>
      <c r="E66" s="133">
        <v>7.3430499999999999</v>
      </c>
      <c r="F66" s="133">
        <v>8.9</v>
      </c>
      <c r="G66" s="134">
        <v>16.48</v>
      </c>
      <c r="H66" s="133">
        <v>0</v>
      </c>
      <c r="I66" s="133" t="s">
        <v>973</v>
      </c>
      <c r="J66" s="318" t="s">
        <v>951</v>
      </c>
      <c r="K66" s="318" t="s">
        <v>1160</v>
      </c>
      <c r="L66" s="312"/>
      <c r="M66" s="312" t="s">
        <v>1034</v>
      </c>
      <c r="N66" s="135">
        <v>90</v>
      </c>
      <c r="O66" s="135">
        <v>70</v>
      </c>
      <c r="P66" s="135">
        <v>130</v>
      </c>
      <c r="Q66" s="136">
        <v>115</v>
      </c>
      <c r="R66" s="137">
        <v>46350</v>
      </c>
      <c r="S66" s="138">
        <v>44347</v>
      </c>
      <c r="T66" s="138">
        <v>44347</v>
      </c>
      <c r="U66" s="181">
        <f ca="1">[1]!cb_clause_conversion_2_relativeswapsharemonth(B66)</f>
        <v>6</v>
      </c>
      <c r="V66" s="139"/>
      <c r="W66" s="139"/>
      <c r="X66" s="139"/>
      <c r="Y66" s="139"/>
      <c r="Z66" s="139"/>
      <c r="AA66" s="139"/>
      <c r="AB66" s="139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</row>
    <row r="67" spans="1:47" s="179" customFormat="1" ht="10.3" x14ac:dyDescent="0.25">
      <c r="A67" s="170" t="s">
        <v>5</v>
      </c>
      <c r="B67" s="170" t="s">
        <v>595</v>
      </c>
      <c r="C67" s="170" t="s">
        <v>596</v>
      </c>
      <c r="D67" s="172">
        <v>5.2109589041095887</v>
      </c>
      <c r="E67" s="171">
        <v>9.3677849999999996</v>
      </c>
      <c r="F67" s="171">
        <v>9.4</v>
      </c>
      <c r="G67" s="172">
        <v>9.69</v>
      </c>
      <c r="H67" s="171">
        <v>0</v>
      </c>
      <c r="I67" s="171" t="s">
        <v>957</v>
      </c>
      <c r="J67" s="317" t="s">
        <v>951</v>
      </c>
      <c r="K67" s="317" t="s">
        <v>1278</v>
      </c>
      <c r="L67" s="311"/>
      <c r="M67" s="311" t="s">
        <v>1279</v>
      </c>
      <c r="N67" s="173">
        <v>85</v>
      </c>
      <c r="O67" s="173">
        <v>70</v>
      </c>
      <c r="P67" s="173">
        <v>130</v>
      </c>
      <c r="Q67" s="174">
        <v>120</v>
      </c>
      <c r="R67" s="180">
        <v>46349</v>
      </c>
      <c r="S67" s="175">
        <v>44343</v>
      </c>
      <c r="T67" s="175">
        <v>44343</v>
      </c>
      <c r="U67" s="176">
        <f ca="1">[1]!cb_clause_conversion_2_relativeswapsharemonth(B67)</f>
        <v>6</v>
      </c>
      <c r="V67" s="177"/>
      <c r="W67" s="177"/>
      <c r="X67" s="177"/>
      <c r="Y67" s="177"/>
      <c r="Z67" s="177"/>
      <c r="AA67" s="177"/>
      <c r="AB67" s="177"/>
      <c r="AC67" s="178"/>
      <c r="AD67" s="178"/>
      <c r="AE67" s="178"/>
      <c r="AF67" s="178"/>
      <c r="AG67" s="178"/>
      <c r="AH67" s="178"/>
      <c r="AI67" s="178"/>
      <c r="AJ67" s="178"/>
      <c r="AK67" s="178"/>
      <c r="AL67" s="178"/>
      <c r="AM67" s="178"/>
      <c r="AN67" s="178"/>
      <c r="AO67" s="178"/>
      <c r="AP67" s="178"/>
      <c r="AQ67" s="178"/>
      <c r="AR67" s="178"/>
      <c r="AS67" s="178"/>
      <c r="AT67" s="178"/>
      <c r="AU67" s="178"/>
    </row>
    <row r="68" spans="1:47" s="141" customFormat="1" ht="10.3" x14ac:dyDescent="0.25">
      <c r="A68" s="132" t="s">
        <v>0</v>
      </c>
      <c r="B68" s="132" t="s">
        <v>543</v>
      </c>
      <c r="C68" s="132" t="s">
        <v>544</v>
      </c>
      <c r="D68" s="134">
        <v>5.2027397260273975</v>
      </c>
      <c r="E68" s="133">
        <v>17.994910000000001</v>
      </c>
      <c r="F68" s="133">
        <v>18</v>
      </c>
      <c r="G68" s="134">
        <v>6.71</v>
      </c>
      <c r="H68" s="133">
        <v>0</v>
      </c>
      <c r="I68" s="133" t="s">
        <v>935</v>
      </c>
      <c r="J68" s="318" t="s">
        <v>968</v>
      </c>
      <c r="K68" s="318" t="s">
        <v>969</v>
      </c>
      <c r="L68" s="312"/>
      <c r="M68" s="312" t="s">
        <v>954</v>
      </c>
      <c r="N68" s="135">
        <v>80</v>
      </c>
      <c r="O68" s="135">
        <v>70</v>
      </c>
      <c r="P68" s="135">
        <v>130</v>
      </c>
      <c r="Q68" s="136">
        <v>110</v>
      </c>
      <c r="R68" s="137">
        <v>46346</v>
      </c>
      <c r="S68" s="138">
        <v>44342</v>
      </c>
      <c r="T68" s="138">
        <v>44342</v>
      </c>
      <c r="U68" s="181">
        <f ca="1">[1]!cb_clause_conversion_2_relativeswapsharemonth(B68)</f>
        <v>6</v>
      </c>
      <c r="V68" s="139"/>
      <c r="W68" s="139"/>
      <c r="X68" s="139"/>
      <c r="Y68" s="139"/>
      <c r="Z68" s="139"/>
      <c r="AA68" s="139"/>
      <c r="AB68" s="139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</row>
    <row r="69" spans="1:47" s="179" customFormat="1" ht="10.3" x14ac:dyDescent="0.25">
      <c r="A69" s="170" t="s">
        <v>5</v>
      </c>
      <c r="B69" s="170" t="s">
        <v>593</v>
      </c>
      <c r="C69" s="170" t="s">
        <v>594</v>
      </c>
      <c r="D69" s="172">
        <v>5.2</v>
      </c>
      <c r="E69" s="171">
        <v>8.4987980000000007</v>
      </c>
      <c r="F69" s="171">
        <v>8.5</v>
      </c>
      <c r="G69" s="172">
        <v>18.940000000000001</v>
      </c>
      <c r="H69" s="171">
        <v>0</v>
      </c>
      <c r="I69" s="171" t="s">
        <v>973</v>
      </c>
      <c r="J69" s="317" t="s">
        <v>974</v>
      </c>
      <c r="K69" s="317" t="s">
        <v>1374</v>
      </c>
      <c r="L69" s="311"/>
      <c r="M69" s="311" t="s">
        <v>1090</v>
      </c>
      <c r="N69" s="173">
        <v>85</v>
      </c>
      <c r="O69" s="173">
        <v>70</v>
      </c>
      <c r="P69" s="173">
        <v>130</v>
      </c>
      <c r="Q69" s="174">
        <v>113</v>
      </c>
      <c r="R69" s="180">
        <v>46345</v>
      </c>
      <c r="S69" s="175">
        <v>44341</v>
      </c>
      <c r="T69" s="175">
        <v>44341</v>
      </c>
      <c r="U69" s="176">
        <f ca="1">[1]!cb_clause_conversion_2_relativeswapsharemonth(B69)</f>
        <v>6</v>
      </c>
      <c r="V69" s="177"/>
      <c r="W69" s="177"/>
      <c r="X69" s="177"/>
      <c r="Y69" s="177"/>
      <c r="Z69" s="177"/>
      <c r="AA69" s="177"/>
      <c r="AB69" s="177"/>
      <c r="AC69" s="178"/>
      <c r="AD69" s="178"/>
      <c r="AE69" s="178"/>
      <c r="AF69" s="178"/>
      <c r="AG69" s="178"/>
      <c r="AH69" s="178"/>
      <c r="AI69" s="178"/>
      <c r="AJ69" s="178"/>
      <c r="AK69" s="178"/>
      <c r="AL69" s="178"/>
      <c r="AM69" s="178"/>
      <c r="AN69" s="178"/>
      <c r="AO69" s="178"/>
      <c r="AP69" s="178"/>
      <c r="AQ69" s="178"/>
      <c r="AR69" s="178"/>
      <c r="AS69" s="178"/>
      <c r="AT69" s="178"/>
      <c r="AU69" s="178"/>
    </row>
    <row r="70" spans="1:47" s="141" customFormat="1" ht="10.3" x14ac:dyDescent="0.25">
      <c r="A70" s="132" t="s">
        <v>5</v>
      </c>
      <c r="B70" s="132" t="s">
        <v>650</v>
      </c>
      <c r="C70" s="132" t="s">
        <v>651</v>
      </c>
      <c r="D70" s="134">
        <v>5.1945205479452055</v>
      </c>
      <c r="E70" s="133">
        <v>4.1991839999999998</v>
      </c>
      <c r="F70" s="133">
        <v>4.2</v>
      </c>
      <c r="G70" s="134">
        <v>25.33</v>
      </c>
      <c r="H70" s="133">
        <v>0</v>
      </c>
      <c r="I70" s="133" t="s">
        <v>973</v>
      </c>
      <c r="J70" s="318" t="s">
        <v>974</v>
      </c>
      <c r="K70" s="318" t="s">
        <v>1544</v>
      </c>
      <c r="L70" s="312"/>
      <c r="M70" s="312" t="s">
        <v>971</v>
      </c>
      <c r="N70" s="135">
        <v>85</v>
      </c>
      <c r="O70" s="135">
        <v>70</v>
      </c>
      <c r="P70" s="135">
        <v>130</v>
      </c>
      <c r="Q70" s="136">
        <v>130</v>
      </c>
      <c r="R70" s="137">
        <v>46343</v>
      </c>
      <c r="S70" s="138">
        <v>44340</v>
      </c>
      <c r="T70" s="138">
        <v>44340</v>
      </c>
      <c r="U70" s="181">
        <f ca="1">[1]!cb_clause_conversion_2_relativeswapsharemonth(B70)</f>
        <v>6</v>
      </c>
      <c r="V70" s="139"/>
      <c r="W70" s="139"/>
      <c r="X70" s="139"/>
      <c r="Y70" s="139"/>
      <c r="Z70" s="139"/>
      <c r="AA70" s="139"/>
      <c r="AB70" s="139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</row>
    <row r="71" spans="1:47" s="179" customFormat="1" ht="10.3" x14ac:dyDescent="0.25">
      <c r="A71" s="170" t="s">
        <v>0</v>
      </c>
      <c r="B71" s="170" t="s">
        <v>561</v>
      </c>
      <c r="C71" s="170" t="s">
        <v>562</v>
      </c>
      <c r="D71" s="172">
        <v>5.1726027397260275</v>
      </c>
      <c r="E71" s="171">
        <v>4.1998899999999999</v>
      </c>
      <c r="F71" s="171">
        <v>4.2</v>
      </c>
      <c r="G71" s="172">
        <v>19.079999999999998</v>
      </c>
      <c r="H71" s="171">
        <v>0</v>
      </c>
      <c r="I71" s="171" t="s">
        <v>1031</v>
      </c>
      <c r="J71" s="317" t="s">
        <v>974</v>
      </c>
      <c r="K71" s="317" t="s">
        <v>1150</v>
      </c>
      <c r="L71" s="311"/>
      <c r="M71" s="311" t="s">
        <v>943</v>
      </c>
      <c r="N71" s="173">
        <v>85</v>
      </c>
      <c r="O71" s="173">
        <v>70</v>
      </c>
      <c r="P71" s="173">
        <v>130</v>
      </c>
      <c r="Q71" s="174">
        <v>115</v>
      </c>
      <c r="R71" s="180">
        <v>46335</v>
      </c>
      <c r="S71" s="175">
        <v>44329</v>
      </c>
      <c r="T71" s="175">
        <v>44329</v>
      </c>
      <c r="U71" s="176">
        <f ca="1">[1]!cb_clause_conversion_2_relativeswapsharemonth(B71)</f>
        <v>6</v>
      </c>
      <c r="V71" s="177"/>
      <c r="W71" s="177"/>
      <c r="X71" s="177"/>
      <c r="Y71" s="177"/>
      <c r="Z71" s="177"/>
      <c r="AA71" s="177"/>
      <c r="AB71" s="177"/>
      <c r="AC71" s="178"/>
      <c r="AD71" s="178"/>
      <c r="AE71" s="178"/>
      <c r="AF71" s="178"/>
      <c r="AG71" s="178"/>
      <c r="AH71" s="178"/>
      <c r="AI71" s="178"/>
      <c r="AJ71" s="178"/>
      <c r="AK71" s="178"/>
      <c r="AL71" s="178"/>
      <c r="AM71" s="178"/>
      <c r="AN71" s="178"/>
      <c r="AO71" s="178"/>
      <c r="AP71" s="178"/>
      <c r="AQ71" s="178"/>
      <c r="AR71" s="178"/>
      <c r="AS71" s="178"/>
      <c r="AT71" s="178"/>
      <c r="AU71" s="178"/>
    </row>
    <row r="72" spans="1:47" s="141" customFormat="1" ht="10.3" x14ac:dyDescent="0.25">
      <c r="A72" s="132" t="s">
        <v>5</v>
      </c>
      <c r="B72" s="132" t="s">
        <v>632</v>
      </c>
      <c r="C72" s="132" t="s">
        <v>633</v>
      </c>
      <c r="D72" s="134">
        <v>5.161643835616438</v>
      </c>
      <c r="E72" s="133">
        <v>17.764955</v>
      </c>
      <c r="F72" s="133">
        <v>28.2</v>
      </c>
      <c r="G72" s="134">
        <v>15.28</v>
      </c>
      <c r="H72" s="133">
        <v>75</v>
      </c>
      <c r="I72" s="133" t="s">
        <v>941</v>
      </c>
      <c r="J72" s="318" t="s">
        <v>942</v>
      </c>
      <c r="K72" s="318" t="s">
        <v>1337</v>
      </c>
      <c r="L72" s="312"/>
      <c r="M72" s="312" t="s">
        <v>1338</v>
      </c>
      <c r="N72" s="135">
        <v>85</v>
      </c>
      <c r="O72" s="135">
        <v>70</v>
      </c>
      <c r="P72" s="135">
        <v>130</v>
      </c>
      <c r="Q72" s="136">
        <v>106</v>
      </c>
      <c r="R72" s="137">
        <v>46331</v>
      </c>
      <c r="S72" s="138">
        <v>44327</v>
      </c>
      <c r="T72" s="138">
        <v>44327</v>
      </c>
      <c r="U72" s="181">
        <f ca="1">[1]!cb_clause_conversion_2_relativeswapsharemonth(B72)</f>
        <v>6</v>
      </c>
      <c r="V72" s="139"/>
      <c r="W72" s="139"/>
      <c r="X72" s="139"/>
      <c r="Y72" s="139"/>
      <c r="Z72" s="139"/>
      <c r="AA72" s="139"/>
      <c r="AB72" s="139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</row>
    <row r="73" spans="1:47" s="179" customFormat="1" ht="10.3" x14ac:dyDescent="0.25">
      <c r="A73" s="170" t="s">
        <v>5</v>
      </c>
      <c r="B73" s="170" t="s">
        <v>630</v>
      </c>
      <c r="C73" s="170" t="s">
        <v>631</v>
      </c>
      <c r="D73" s="172">
        <v>5.1589041095890416</v>
      </c>
      <c r="E73" s="171">
        <v>14.761353</v>
      </c>
      <c r="F73" s="171">
        <v>14.8</v>
      </c>
      <c r="G73" s="172">
        <v>8.19</v>
      </c>
      <c r="H73" s="171">
        <v>0</v>
      </c>
      <c r="I73" s="171" t="s">
        <v>935</v>
      </c>
      <c r="J73" s="317" t="s">
        <v>936</v>
      </c>
      <c r="K73" s="317" t="s">
        <v>1009</v>
      </c>
      <c r="L73" s="311"/>
      <c r="M73" s="311" t="s">
        <v>1102</v>
      </c>
      <c r="N73" s="173">
        <v>85</v>
      </c>
      <c r="O73" s="173">
        <v>70</v>
      </c>
      <c r="P73" s="173">
        <v>130</v>
      </c>
      <c r="Q73" s="174">
        <v>110</v>
      </c>
      <c r="R73" s="180">
        <v>46330</v>
      </c>
      <c r="S73" s="175">
        <v>44326</v>
      </c>
      <c r="T73" s="175">
        <v>44326</v>
      </c>
      <c r="U73" s="176">
        <f ca="1">[1]!cb_clause_conversion_2_relativeswapsharemonth(B73)</f>
        <v>6</v>
      </c>
      <c r="V73" s="177"/>
      <c r="W73" s="177"/>
      <c r="X73" s="177"/>
      <c r="Y73" s="177"/>
      <c r="Z73" s="177"/>
      <c r="AA73" s="177"/>
      <c r="AB73" s="177"/>
      <c r="AC73" s="178"/>
      <c r="AD73" s="178"/>
      <c r="AE73" s="178"/>
      <c r="AF73" s="178"/>
      <c r="AG73" s="178"/>
      <c r="AH73" s="178"/>
      <c r="AI73" s="178"/>
      <c r="AJ73" s="178"/>
      <c r="AK73" s="178"/>
      <c r="AL73" s="178"/>
      <c r="AM73" s="178"/>
      <c r="AN73" s="178"/>
      <c r="AO73" s="178"/>
      <c r="AP73" s="178"/>
      <c r="AQ73" s="178"/>
      <c r="AR73" s="178"/>
      <c r="AS73" s="178"/>
      <c r="AT73" s="178"/>
      <c r="AU73" s="178"/>
    </row>
    <row r="74" spans="1:47" s="141" customFormat="1" ht="10.3" x14ac:dyDescent="0.25">
      <c r="A74" s="132" t="s">
        <v>5</v>
      </c>
      <c r="B74" s="132" t="s">
        <v>648</v>
      </c>
      <c r="C74" s="132" t="s">
        <v>649</v>
      </c>
      <c r="D74" s="134">
        <v>5.1589041095890416</v>
      </c>
      <c r="E74" s="133">
        <v>5.9942909999999996</v>
      </c>
      <c r="F74" s="133">
        <v>6</v>
      </c>
      <c r="G74" s="134">
        <v>27.63</v>
      </c>
      <c r="H74" s="133">
        <v>0</v>
      </c>
      <c r="I74" s="133" t="s">
        <v>973</v>
      </c>
      <c r="J74" s="318" t="s">
        <v>942</v>
      </c>
      <c r="K74" s="318" t="s">
        <v>1383</v>
      </c>
      <c r="L74" s="312"/>
      <c r="M74" s="312" t="s">
        <v>1306</v>
      </c>
      <c r="N74" s="135">
        <v>80</v>
      </c>
      <c r="O74" s="135">
        <v>70</v>
      </c>
      <c r="P74" s="135">
        <v>130</v>
      </c>
      <c r="Q74" s="136">
        <v>112</v>
      </c>
      <c r="R74" s="137">
        <v>46330</v>
      </c>
      <c r="S74" s="138">
        <v>44326</v>
      </c>
      <c r="T74" s="138">
        <v>44326</v>
      </c>
      <c r="U74" s="181">
        <f ca="1">[1]!cb_clause_conversion_2_relativeswapsharemonth(B74)</f>
        <v>6</v>
      </c>
      <c r="V74" s="139"/>
      <c r="W74" s="139"/>
      <c r="X74" s="139"/>
      <c r="Y74" s="139"/>
      <c r="Z74" s="139"/>
      <c r="AA74" s="139"/>
      <c r="AB74" s="139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</row>
    <row r="75" spans="1:47" s="179" customFormat="1" ht="10.3" x14ac:dyDescent="0.25">
      <c r="A75" s="170" t="s">
        <v>5</v>
      </c>
      <c r="B75" s="170" t="s">
        <v>646</v>
      </c>
      <c r="C75" s="170" t="s">
        <v>647</v>
      </c>
      <c r="D75" s="172">
        <v>5.1561643835616442</v>
      </c>
      <c r="E75" s="171">
        <v>29.995946</v>
      </c>
      <c r="F75" s="171">
        <v>30</v>
      </c>
      <c r="G75" s="172">
        <v>58.18</v>
      </c>
      <c r="H75" s="171">
        <v>0</v>
      </c>
      <c r="I75" s="171" t="s">
        <v>935</v>
      </c>
      <c r="J75" s="317" t="s">
        <v>968</v>
      </c>
      <c r="K75" s="317" t="s">
        <v>1262</v>
      </c>
      <c r="L75" s="311"/>
      <c r="M75" s="311" t="s">
        <v>1090</v>
      </c>
      <c r="N75" s="173">
        <v>80</v>
      </c>
      <c r="O75" s="173">
        <v>70</v>
      </c>
      <c r="P75" s="173">
        <v>130</v>
      </c>
      <c r="Q75" s="174">
        <v>108</v>
      </c>
      <c r="R75" s="180">
        <v>46329</v>
      </c>
      <c r="S75" s="175">
        <v>44326</v>
      </c>
      <c r="T75" s="175">
        <v>44326</v>
      </c>
      <c r="U75" s="176">
        <f ca="1">[1]!cb_clause_conversion_2_relativeswapsharemonth(B75)</f>
        <v>6</v>
      </c>
      <c r="V75" s="177"/>
      <c r="W75" s="177"/>
      <c r="X75" s="177"/>
      <c r="Y75" s="177"/>
      <c r="Z75" s="177"/>
      <c r="AA75" s="177"/>
      <c r="AB75" s="177"/>
      <c r="AC75" s="178"/>
      <c r="AD75" s="178"/>
      <c r="AE75" s="178"/>
      <c r="AF75" s="178"/>
      <c r="AG75" s="178"/>
      <c r="AH75" s="178"/>
      <c r="AI75" s="178"/>
      <c r="AJ75" s="178"/>
      <c r="AK75" s="178"/>
      <c r="AL75" s="178"/>
      <c r="AM75" s="178"/>
      <c r="AN75" s="178"/>
      <c r="AO75" s="178"/>
      <c r="AP75" s="178"/>
      <c r="AQ75" s="178"/>
      <c r="AR75" s="178"/>
      <c r="AS75" s="178"/>
      <c r="AT75" s="178"/>
      <c r="AU75" s="178"/>
    </row>
    <row r="76" spans="1:47" s="141" customFormat="1" ht="10.3" x14ac:dyDescent="0.25">
      <c r="A76" s="132" t="s">
        <v>0</v>
      </c>
      <c r="B76" s="132" t="s">
        <v>559</v>
      </c>
      <c r="C76" s="132" t="s">
        <v>560</v>
      </c>
      <c r="D76" s="134">
        <v>5.1534246575342468</v>
      </c>
      <c r="E76" s="133">
        <v>11.94497</v>
      </c>
      <c r="F76" s="133">
        <v>12</v>
      </c>
      <c r="G76" s="134">
        <v>21.71</v>
      </c>
      <c r="H76" s="133">
        <v>0</v>
      </c>
      <c r="I76" s="133" t="s">
        <v>957</v>
      </c>
      <c r="J76" s="318" t="s">
        <v>936</v>
      </c>
      <c r="K76" s="318" t="s">
        <v>1133</v>
      </c>
      <c r="L76" s="312"/>
      <c r="M76" s="312" t="s">
        <v>943</v>
      </c>
      <c r="N76" s="135">
        <v>90</v>
      </c>
      <c r="O76" s="135">
        <v>70</v>
      </c>
      <c r="P76" s="135">
        <v>130</v>
      </c>
      <c r="Q76" s="136">
        <v>110</v>
      </c>
      <c r="R76" s="137">
        <v>46328</v>
      </c>
      <c r="S76" s="138">
        <v>44322</v>
      </c>
      <c r="T76" s="138">
        <v>44322</v>
      </c>
      <c r="U76" s="181">
        <f ca="1">[1]!cb_clause_conversion_2_relativeswapsharemonth(B76)</f>
        <v>6</v>
      </c>
      <c r="V76" s="139"/>
      <c r="W76" s="139"/>
      <c r="X76" s="139"/>
      <c r="Y76" s="139"/>
      <c r="Z76" s="139"/>
      <c r="AA76" s="139"/>
      <c r="AB76" s="139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</row>
    <row r="77" spans="1:47" s="179" customFormat="1" ht="10.3" x14ac:dyDescent="0.25">
      <c r="A77" s="170" t="s">
        <v>5</v>
      </c>
      <c r="B77" s="170" t="s">
        <v>591</v>
      </c>
      <c r="C77" s="170" t="s">
        <v>592</v>
      </c>
      <c r="D77" s="172">
        <v>5.1534246575342468</v>
      </c>
      <c r="E77" s="171">
        <v>5.9993530000000002</v>
      </c>
      <c r="F77" s="171">
        <v>6</v>
      </c>
      <c r="G77" s="172">
        <v>23.74</v>
      </c>
      <c r="H77" s="171">
        <v>0</v>
      </c>
      <c r="I77" s="171" t="s">
        <v>973</v>
      </c>
      <c r="J77" s="317" t="s">
        <v>951</v>
      </c>
      <c r="K77" s="317" t="s">
        <v>1487</v>
      </c>
      <c r="L77" s="311"/>
      <c r="M77" s="311" t="s">
        <v>1488</v>
      </c>
      <c r="N77" s="173">
        <v>85</v>
      </c>
      <c r="O77" s="173">
        <v>70</v>
      </c>
      <c r="P77" s="173">
        <v>130</v>
      </c>
      <c r="Q77" s="174">
        <v>110</v>
      </c>
      <c r="R77" s="180">
        <v>46328</v>
      </c>
      <c r="S77" s="175">
        <v>44322</v>
      </c>
      <c r="T77" s="175">
        <v>44322</v>
      </c>
      <c r="U77" s="176">
        <f ca="1">[1]!cb_clause_conversion_2_relativeswapsharemonth(B77)</f>
        <v>6</v>
      </c>
      <c r="V77" s="177"/>
      <c r="W77" s="177"/>
      <c r="X77" s="177"/>
      <c r="Y77" s="177"/>
      <c r="Z77" s="177"/>
      <c r="AA77" s="177"/>
      <c r="AB77" s="177"/>
      <c r="AC77" s="178"/>
      <c r="AD77" s="178"/>
      <c r="AE77" s="178"/>
      <c r="AF77" s="178"/>
      <c r="AG77" s="178"/>
      <c r="AH77" s="178"/>
      <c r="AI77" s="178"/>
      <c r="AJ77" s="178"/>
      <c r="AK77" s="178"/>
      <c r="AL77" s="178"/>
      <c r="AM77" s="178"/>
      <c r="AN77" s="178"/>
      <c r="AO77" s="178"/>
      <c r="AP77" s="178"/>
      <c r="AQ77" s="178"/>
      <c r="AR77" s="178"/>
      <c r="AS77" s="178"/>
      <c r="AT77" s="178"/>
      <c r="AU77" s="178"/>
    </row>
    <row r="78" spans="1:47" s="141" customFormat="1" ht="10.3" x14ac:dyDescent="0.25">
      <c r="A78" s="132" t="s">
        <v>0</v>
      </c>
      <c r="B78" s="132" t="s">
        <v>541</v>
      </c>
      <c r="C78" s="132" t="s">
        <v>542</v>
      </c>
      <c r="D78" s="134">
        <v>5.1534246575342468</v>
      </c>
      <c r="E78" s="133">
        <v>18.425049999999999</v>
      </c>
      <c r="F78" s="133">
        <v>18.399999999999999</v>
      </c>
      <c r="G78" s="134">
        <v>33.85</v>
      </c>
      <c r="H78" s="133">
        <v>0</v>
      </c>
      <c r="I78" s="133" t="s">
        <v>939</v>
      </c>
      <c r="J78" s="318" t="s">
        <v>958</v>
      </c>
      <c r="K78" s="318" t="s">
        <v>1316</v>
      </c>
      <c r="L78" s="312"/>
      <c r="M78" s="312" t="s">
        <v>984</v>
      </c>
      <c r="N78" s="135">
        <v>80</v>
      </c>
      <c r="O78" s="135">
        <v>70</v>
      </c>
      <c r="P78" s="135">
        <v>130</v>
      </c>
      <c r="Q78" s="136">
        <v>110</v>
      </c>
      <c r="R78" s="137">
        <v>46328</v>
      </c>
      <c r="S78" s="138">
        <v>44322</v>
      </c>
      <c r="T78" s="138">
        <v>44322</v>
      </c>
      <c r="U78" s="181">
        <f ca="1">[1]!cb_clause_conversion_2_relativeswapsharemonth(B78)</f>
        <v>6</v>
      </c>
      <c r="V78" s="139"/>
      <c r="W78" s="139"/>
      <c r="X78" s="139"/>
      <c r="Y78" s="139"/>
      <c r="Z78" s="139"/>
      <c r="AA78" s="139"/>
      <c r="AB78" s="139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</row>
    <row r="79" spans="1:47" s="179" customFormat="1" ht="10.3" x14ac:dyDescent="0.25">
      <c r="A79" s="170" t="s">
        <v>0</v>
      </c>
      <c r="B79" s="170" t="s">
        <v>557</v>
      </c>
      <c r="C79" s="170" t="s">
        <v>558</v>
      </c>
      <c r="D79" s="172">
        <v>5.1452054794520548</v>
      </c>
      <c r="E79" s="171">
        <v>5.9989400000000002</v>
      </c>
      <c r="F79" s="171">
        <v>6</v>
      </c>
      <c r="G79" s="172">
        <v>32.83</v>
      </c>
      <c r="H79" s="171">
        <v>0</v>
      </c>
      <c r="I79" s="171" t="s">
        <v>983</v>
      </c>
      <c r="J79" s="317" t="s">
        <v>958</v>
      </c>
      <c r="K79" s="317" t="s">
        <v>1455</v>
      </c>
      <c r="L79" s="314"/>
      <c r="M79" s="314" t="s">
        <v>1456</v>
      </c>
      <c r="N79" s="173">
        <v>80</v>
      </c>
      <c r="O79" s="173">
        <v>70</v>
      </c>
      <c r="P79" s="173">
        <v>130</v>
      </c>
      <c r="Q79" s="174">
        <v>115</v>
      </c>
      <c r="R79" s="180">
        <v>46325</v>
      </c>
      <c r="S79" s="175">
        <v>44322</v>
      </c>
      <c r="T79" s="175">
        <v>44322</v>
      </c>
      <c r="U79" s="176">
        <f ca="1">[1]!cb_clause_conversion_2_relativeswapsharemonth(B79)</f>
        <v>6</v>
      </c>
      <c r="V79" s="177"/>
      <c r="W79" s="177"/>
      <c r="X79" s="177"/>
      <c r="Y79" s="177"/>
      <c r="Z79" s="177"/>
      <c r="AA79" s="177"/>
      <c r="AB79" s="177"/>
      <c r="AC79" s="178"/>
      <c r="AD79" s="178"/>
      <c r="AE79" s="178"/>
      <c r="AF79" s="178"/>
      <c r="AG79" s="178"/>
      <c r="AH79" s="178"/>
      <c r="AI79" s="178"/>
      <c r="AJ79" s="178"/>
      <c r="AK79" s="178"/>
      <c r="AL79" s="178"/>
      <c r="AM79" s="178"/>
      <c r="AN79" s="178"/>
      <c r="AO79" s="178"/>
      <c r="AP79" s="178"/>
      <c r="AQ79" s="178"/>
      <c r="AR79" s="178"/>
      <c r="AS79" s="178"/>
      <c r="AT79" s="178"/>
      <c r="AU79" s="178"/>
    </row>
    <row r="80" spans="1:47" s="141" customFormat="1" ht="10.3" x14ac:dyDescent="0.25">
      <c r="A80" s="132" t="s">
        <v>5</v>
      </c>
      <c r="B80" s="132" t="s">
        <v>589</v>
      </c>
      <c r="C80" s="132" t="s">
        <v>590</v>
      </c>
      <c r="D80" s="134">
        <v>5.1424657534246574</v>
      </c>
      <c r="E80" s="133">
        <v>1.4788559999999999</v>
      </c>
      <c r="F80" s="133">
        <v>3.2</v>
      </c>
      <c r="G80" s="134">
        <v>18.34</v>
      </c>
      <c r="H80" s="133">
        <v>0</v>
      </c>
      <c r="I80" s="133" t="s">
        <v>973</v>
      </c>
      <c r="J80" s="318" t="s">
        <v>974</v>
      </c>
      <c r="K80" s="318" t="s">
        <v>1054</v>
      </c>
      <c r="L80" s="312"/>
      <c r="M80" s="312" t="s">
        <v>1003</v>
      </c>
      <c r="N80" s="135">
        <v>85</v>
      </c>
      <c r="O80" s="135">
        <v>70</v>
      </c>
      <c r="P80" s="135">
        <v>130</v>
      </c>
      <c r="Q80" s="136">
        <v>118</v>
      </c>
      <c r="R80" s="137">
        <v>46324</v>
      </c>
      <c r="S80" s="138">
        <v>44322</v>
      </c>
      <c r="T80" s="138">
        <v>44322</v>
      </c>
      <c r="U80" s="181">
        <f ca="1">[1]!cb_clause_conversion_2_relativeswapsharemonth(B80)</f>
        <v>6</v>
      </c>
      <c r="V80" s="139"/>
      <c r="W80" s="139"/>
      <c r="X80" s="139"/>
      <c r="Y80" s="139"/>
      <c r="Z80" s="139"/>
      <c r="AA80" s="139"/>
      <c r="AB80" s="139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</row>
    <row r="81" spans="1:47" s="179" customFormat="1" ht="10.3" x14ac:dyDescent="0.25">
      <c r="A81" s="170" t="s">
        <v>5</v>
      </c>
      <c r="B81" s="170" t="s">
        <v>587</v>
      </c>
      <c r="C81" s="170" t="s">
        <v>588</v>
      </c>
      <c r="D81" s="172">
        <v>5.1342465753424662</v>
      </c>
      <c r="E81" s="171">
        <v>3.5894140000000001</v>
      </c>
      <c r="F81" s="171">
        <v>3.6</v>
      </c>
      <c r="G81" s="172">
        <v>14.82</v>
      </c>
      <c r="H81" s="171">
        <v>0</v>
      </c>
      <c r="I81" s="171" t="s">
        <v>1031</v>
      </c>
      <c r="J81" s="317" t="s">
        <v>974</v>
      </c>
      <c r="K81" s="317" t="s">
        <v>1368</v>
      </c>
      <c r="L81" s="311"/>
      <c r="M81" s="311" t="s">
        <v>1039</v>
      </c>
      <c r="N81" s="173">
        <v>85</v>
      </c>
      <c r="O81" s="173">
        <v>70</v>
      </c>
      <c r="P81" s="173">
        <v>130</v>
      </c>
      <c r="Q81" s="174">
        <v>116</v>
      </c>
      <c r="R81" s="180">
        <v>46321</v>
      </c>
      <c r="S81" s="175">
        <v>44322</v>
      </c>
      <c r="T81" s="175">
        <v>44322</v>
      </c>
      <c r="U81" s="176">
        <f ca="1">[1]!cb_clause_conversion_2_relativeswapsharemonth(B81)</f>
        <v>6</v>
      </c>
      <c r="V81" s="177"/>
      <c r="W81" s="177"/>
      <c r="X81" s="177"/>
      <c r="Y81" s="177"/>
      <c r="Z81" s="177"/>
      <c r="AA81" s="177"/>
      <c r="AB81" s="177"/>
      <c r="AC81" s="178"/>
      <c r="AD81" s="178"/>
      <c r="AE81" s="178"/>
      <c r="AF81" s="178"/>
      <c r="AG81" s="178"/>
      <c r="AH81" s="178"/>
      <c r="AI81" s="178"/>
      <c r="AJ81" s="178"/>
      <c r="AK81" s="178"/>
      <c r="AL81" s="178"/>
      <c r="AM81" s="178"/>
      <c r="AN81" s="178"/>
      <c r="AO81" s="178"/>
      <c r="AP81" s="178"/>
      <c r="AQ81" s="178"/>
      <c r="AR81" s="178"/>
      <c r="AS81" s="178"/>
      <c r="AT81" s="178"/>
      <c r="AU81" s="178"/>
    </row>
    <row r="82" spans="1:47" s="141" customFormat="1" ht="10.3" x14ac:dyDescent="0.25">
      <c r="A82" s="132" t="s">
        <v>5</v>
      </c>
      <c r="B82" s="132" t="s">
        <v>628</v>
      </c>
      <c r="C82" s="132" t="s">
        <v>629</v>
      </c>
      <c r="D82" s="134">
        <v>5.1260273972602741</v>
      </c>
      <c r="E82" s="133">
        <v>0</v>
      </c>
      <c r="F82" s="133">
        <v>40</v>
      </c>
      <c r="G82" s="134">
        <v>4.97</v>
      </c>
      <c r="H82" s="133">
        <v>0</v>
      </c>
      <c r="I82" s="133" t="s">
        <v>953</v>
      </c>
      <c r="J82" s="318" t="s">
        <v>955</v>
      </c>
      <c r="K82" s="318" t="s">
        <v>1503</v>
      </c>
      <c r="L82" s="313"/>
      <c r="M82" s="313" t="s">
        <v>1349</v>
      </c>
      <c r="N82" s="135">
        <v>75</v>
      </c>
      <c r="O82" s="135">
        <v>70</v>
      </c>
      <c r="P82" s="135">
        <v>125</v>
      </c>
      <c r="Q82" s="136">
        <v>106</v>
      </c>
      <c r="R82" s="137">
        <v>46318</v>
      </c>
      <c r="S82" s="138">
        <v>44315</v>
      </c>
      <c r="T82" s="138">
        <v>44315</v>
      </c>
      <c r="U82" s="181">
        <f ca="1">[1]!cb_clause_conversion_2_relativeswapsharemonth(B82)</f>
        <v>6</v>
      </c>
      <c r="V82" s="139"/>
      <c r="W82" s="139"/>
      <c r="X82" s="139"/>
      <c r="Y82" s="139"/>
      <c r="Z82" s="139"/>
      <c r="AA82" s="139"/>
      <c r="AB82" s="139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</row>
    <row r="83" spans="1:47" s="179" customFormat="1" ht="10.3" x14ac:dyDescent="0.25">
      <c r="A83" s="170" t="s">
        <v>0</v>
      </c>
      <c r="B83" s="170" t="s">
        <v>545</v>
      </c>
      <c r="C83" s="170" t="s">
        <v>546</v>
      </c>
      <c r="D83" s="172">
        <v>5.1232876712328768</v>
      </c>
      <c r="E83" s="171">
        <v>0</v>
      </c>
      <c r="F83" s="171">
        <v>15</v>
      </c>
      <c r="G83" s="172">
        <v>156.69999999999999</v>
      </c>
      <c r="H83" s="171">
        <v>0</v>
      </c>
      <c r="I83" s="171" t="s">
        <v>935</v>
      </c>
      <c r="J83" s="317" t="s">
        <v>974</v>
      </c>
      <c r="K83" s="317" t="s">
        <v>1087</v>
      </c>
      <c r="L83" s="311"/>
      <c r="M83" s="311" t="s">
        <v>971</v>
      </c>
      <c r="N83" s="173">
        <v>80</v>
      </c>
      <c r="O83" s="173">
        <v>70</v>
      </c>
      <c r="P83" s="173">
        <v>130</v>
      </c>
      <c r="Q83" s="174">
        <v>108</v>
      </c>
      <c r="R83" s="180">
        <v>46317</v>
      </c>
      <c r="S83" s="175">
        <v>44314</v>
      </c>
      <c r="T83" s="175">
        <v>44314</v>
      </c>
      <c r="U83" s="176">
        <f ca="1">[1]!cb_clause_conversion_2_relativeswapsharemonth(B83)</f>
        <v>6</v>
      </c>
      <c r="V83" s="177"/>
      <c r="W83" s="177"/>
      <c r="X83" s="177"/>
      <c r="Y83" s="177"/>
      <c r="Z83" s="177"/>
      <c r="AA83" s="177"/>
      <c r="AB83" s="177"/>
      <c r="AC83" s="178"/>
      <c r="AD83" s="178"/>
      <c r="AE83" s="178"/>
      <c r="AF83" s="178"/>
      <c r="AG83" s="178"/>
      <c r="AH83" s="178"/>
      <c r="AI83" s="178"/>
      <c r="AJ83" s="178"/>
      <c r="AK83" s="178"/>
      <c r="AL83" s="178"/>
      <c r="AM83" s="178"/>
      <c r="AN83" s="178"/>
      <c r="AO83" s="178"/>
      <c r="AP83" s="178"/>
      <c r="AQ83" s="178"/>
      <c r="AR83" s="178"/>
      <c r="AS83" s="178"/>
      <c r="AT83" s="178"/>
      <c r="AU83" s="178"/>
    </row>
    <row r="84" spans="1:47" s="141" customFormat="1" ht="10.3" x14ac:dyDescent="0.25">
      <c r="A84" s="132" t="s">
        <v>0</v>
      </c>
      <c r="B84" s="132" t="s">
        <v>555</v>
      </c>
      <c r="C84" s="132" t="s">
        <v>556</v>
      </c>
      <c r="D84" s="134">
        <v>5.1232876712328768</v>
      </c>
      <c r="E84" s="133">
        <v>14.049149999999999</v>
      </c>
      <c r="F84" s="133">
        <v>14</v>
      </c>
      <c r="G84" s="134">
        <v>69.09</v>
      </c>
      <c r="H84" s="133">
        <v>0</v>
      </c>
      <c r="I84" s="133" t="s">
        <v>957</v>
      </c>
      <c r="J84" s="318" t="s">
        <v>974</v>
      </c>
      <c r="K84" s="318" t="s">
        <v>1235</v>
      </c>
      <c r="L84" s="312"/>
      <c r="M84" s="312" t="s">
        <v>943</v>
      </c>
      <c r="N84" s="135">
        <v>85</v>
      </c>
      <c r="O84" s="135">
        <v>70</v>
      </c>
      <c r="P84" s="135">
        <v>130</v>
      </c>
      <c r="Q84" s="136">
        <v>110</v>
      </c>
      <c r="R84" s="137">
        <v>46317</v>
      </c>
      <c r="S84" s="138">
        <v>44314</v>
      </c>
      <c r="T84" s="138">
        <v>44314</v>
      </c>
      <c r="U84" s="181">
        <f ca="1">[1]!cb_clause_conversion_2_relativeswapsharemonth(B84)</f>
        <v>6</v>
      </c>
      <c r="V84" s="139"/>
      <c r="W84" s="139"/>
      <c r="X84" s="139"/>
      <c r="Y84" s="139"/>
      <c r="Z84" s="139"/>
      <c r="AA84" s="139"/>
      <c r="AB84" s="139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</row>
    <row r="85" spans="1:47" s="179" customFormat="1" ht="10.3" x14ac:dyDescent="0.25">
      <c r="A85" s="170" t="s">
        <v>5</v>
      </c>
      <c r="B85" s="170" t="s">
        <v>583</v>
      </c>
      <c r="C85" s="170" t="s">
        <v>584</v>
      </c>
      <c r="D85" s="172">
        <v>5.1205479452054794</v>
      </c>
      <c r="E85" s="171">
        <v>6.9474689999999999</v>
      </c>
      <c r="F85" s="171">
        <v>7</v>
      </c>
      <c r="G85" s="172">
        <v>7.91</v>
      </c>
      <c r="H85" s="171">
        <v>0</v>
      </c>
      <c r="I85" s="171" t="s">
        <v>983</v>
      </c>
      <c r="J85" s="317" t="s">
        <v>955</v>
      </c>
      <c r="K85" s="317" t="s">
        <v>1486</v>
      </c>
      <c r="L85" s="314"/>
      <c r="M85" s="314" t="s">
        <v>1118</v>
      </c>
      <c r="N85" s="173">
        <v>90</v>
      </c>
      <c r="O85" s="173">
        <v>70</v>
      </c>
      <c r="P85" s="173">
        <v>130</v>
      </c>
      <c r="Q85" s="174">
        <v>115</v>
      </c>
      <c r="R85" s="180">
        <v>46316</v>
      </c>
      <c r="S85" s="175">
        <v>44313</v>
      </c>
      <c r="T85" s="175">
        <v>44313</v>
      </c>
      <c r="U85" s="176">
        <f ca="1">[1]!cb_clause_conversion_2_relativeswapsharemonth(B85)</f>
        <v>6</v>
      </c>
      <c r="V85" s="177"/>
      <c r="W85" s="177"/>
      <c r="X85" s="177"/>
      <c r="Y85" s="177"/>
      <c r="Z85" s="177"/>
      <c r="AA85" s="177"/>
      <c r="AB85" s="177"/>
      <c r="AC85" s="178"/>
      <c r="AD85" s="178"/>
      <c r="AE85" s="178"/>
      <c r="AF85" s="178"/>
      <c r="AG85" s="178"/>
      <c r="AH85" s="178"/>
      <c r="AI85" s="178"/>
      <c r="AJ85" s="178"/>
      <c r="AK85" s="178"/>
      <c r="AL85" s="178"/>
      <c r="AM85" s="178"/>
      <c r="AN85" s="178"/>
      <c r="AO85" s="178"/>
      <c r="AP85" s="178"/>
      <c r="AQ85" s="178"/>
      <c r="AR85" s="178"/>
      <c r="AS85" s="178"/>
      <c r="AT85" s="178"/>
      <c r="AU85" s="178"/>
    </row>
    <row r="86" spans="1:47" s="141" customFormat="1" ht="10.3" x14ac:dyDescent="0.25">
      <c r="A86" s="132" t="s">
        <v>5</v>
      </c>
      <c r="B86" s="132" t="s">
        <v>585</v>
      </c>
      <c r="C86" s="132" t="s">
        <v>586</v>
      </c>
      <c r="D86" s="134">
        <v>5.1205479452054794</v>
      </c>
      <c r="E86" s="133">
        <v>1.419284</v>
      </c>
      <c r="F86" s="133">
        <v>1.4</v>
      </c>
      <c r="G86" s="134">
        <v>56.12</v>
      </c>
      <c r="H86" s="133">
        <v>0</v>
      </c>
      <c r="I86" s="133" t="s">
        <v>1031</v>
      </c>
      <c r="J86" s="318" t="s">
        <v>942</v>
      </c>
      <c r="K86" s="318" t="s">
        <v>1233</v>
      </c>
      <c r="L86" s="312"/>
      <c r="M86" s="312" t="s">
        <v>971</v>
      </c>
      <c r="N86" s="135">
        <v>85</v>
      </c>
      <c r="O86" s="135">
        <v>70</v>
      </c>
      <c r="P86" s="135">
        <v>130</v>
      </c>
      <c r="Q86" s="136">
        <v>120</v>
      </c>
      <c r="R86" s="137">
        <v>46316</v>
      </c>
      <c r="S86" s="138">
        <v>44313</v>
      </c>
      <c r="T86" s="138">
        <v>44313</v>
      </c>
      <c r="U86" s="181">
        <f ca="1">[1]!cb_clause_conversion_2_relativeswapsharemonth(B86)</f>
        <v>6</v>
      </c>
      <c r="V86" s="139"/>
      <c r="W86" s="139"/>
      <c r="X86" s="139"/>
      <c r="Y86" s="139"/>
      <c r="Z86" s="139"/>
      <c r="AA86" s="139"/>
      <c r="AB86" s="139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</row>
    <row r="87" spans="1:47" s="179" customFormat="1" ht="10.3" x14ac:dyDescent="0.25">
      <c r="A87" s="170" t="s">
        <v>5</v>
      </c>
      <c r="B87" s="170" t="s">
        <v>581</v>
      </c>
      <c r="C87" s="170" t="s">
        <v>582</v>
      </c>
      <c r="D87" s="172">
        <v>5.117808219178082</v>
      </c>
      <c r="E87" s="171">
        <v>7.4901580000000001</v>
      </c>
      <c r="F87" s="171">
        <v>8.9</v>
      </c>
      <c r="G87" s="172">
        <v>20.079999999999998</v>
      </c>
      <c r="H87" s="171">
        <v>0</v>
      </c>
      <c r="I87" s="171" t="s">
        <v>939</v>
      </c>
      <c r="J87" s="317" t="s">
        <v>970</v>
      </c>
      <c r="K87" s="317" t="s">
        <v>1332</v>
      </c>
      <c r="L87" s="314"/>
      <c r="M87" s="314" t="s">
        <v>1047</v>
      </c>
      <c r="N87" s="173">
        <v>80</v>
      </c>
      <c r="O87" s="173">
        <v>70</v>
      </c>
      <c r="P87" s="173">
        <v>130</v>
      </c>
      <c r="Q87" s="174">
        <v>110</v>
      </c>
      <c r="R87" s="180">
        <v>46315</v>
      </c>
      <c r="S87" s="175">
        <v>44312</v>
      </c>
      <c r="T87" s="175">
        <v>44312</v>
      </c>
      <c r="U87" s="176">
        <f ca="1">[1]!cb_clause_conversion_2_relativeswapsharemonth(B87)</f>
        <v>6</v>
      </c>
      <c r="V87" s="177"/>
      <c r="W87" s="177"/>
      <c r="X87" s="177"/>
      <c r="Y87" s="177"/>
      <c r="Z87" s="177"/>
      <c r="AA87" s="177"/>
      <c r="AB87" s="177"/>
      <c r="AC87" s="178"/>
      <c r="AD87" s="178"/>
      <c r="AE87" s="178"/>
      <c r="AF87" s="178"/>
      <c r="AG87" s="178"/>
      <c r="AH87" s="178"/>
      <c r="AI87" s="178"/>
      <c r="AJ87" s="178"/>
      <c r="AK87" s="178"/>
      <c r="AL87" s="178"/>
      <c r="AM87" s="178"/>
      <c r="AN87" s="178"/>
      <c r="AO87" s="178"/>
      <c r="AP87" s="178"/>
      <c r="AQ87" s="178"/>
      <c r="AR87" s="178"/>
      <c r="AS87" s="178"/>
      <c r="AT87" s="178"/>
      <c r="AU87" s="178"/>
    </row>
    <row r="88" spans="1:47" s="141" customFormat="1" ht="10.3" x14ac:dyDescent="0.25">
      <c r="A88" s="132" t="s">
        <v>5</v>
      </c>
      <c r="B88" s="132" t="s">
        <v>644</v>
      </c>
      <c r="C88" s="132" t="s">
        <v>645</v>
      </c>
      <c r="D88" s="134">
        <v>5.117808219178082</v>
      </c>
      <c r="E88" s="133">
        <v>13.399075</v>
      </c>
      <c r="F88" s="133">
        <v>13.4</v>
      </c>
      <c r="G88" s="134">
        <v>60.03</v>
      </c>
      <c r="H88" s="133">
        <v>0</v>
      </c>
      <c r="I88" s="133" t="s">
        <v>957</v>
      </c>
      <c r="J88" s="318" t="s">
        <v>942</v>
      </c>
      <c r="K88" s="318" t="s">
        <v>1136</v>
      </c>
      <c r="L88" s="312"/>
      <c r="M88" s="312" t="s">
        <v>963</v>
      </c>
      <c r="N88" s="135">
        <v>85</v>
      </c>
      <c r="O88" s="135">
        <v>70</v>
      </c>
      <c r="P88" s="135">
        <v>130</v>
      </c>
      <c r="Q88" s="136">
        <v>115</v>
      </c>
      <c r="R88" s="137">
        <v>46315</v>
      </c>
      <c r="S88" s="138">
        <v>44312</v>
      </c>
      <c r="T88" s="138">
        <v>44312</v>
      </c>
      <c r="U88" s="181">
        <f ca="1">[1]!cb_clause_conversion_2_relativeswapsharemonth(B88)</f>
        <v>6</v>
      </c>
      <c r="V88" s="139"/>
      <c r="W88" s="139"/>
      <c r="X88" s="139"/>
      <c r="Y88" s="139"/>
      <c r="Z88" s="139"/>
      <c r="AA88" s="139"/>
      <c r="AB88" s="139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</row>
    <row r="89" spans="1:47" s="179" customFormat="1" ht="10.3" x14ac:dyDescent="0.25">
      <c r="A89" s="170" t="s">
        <v>5</v>
      </c>
      <c r="B89" s="170" t="s">
        <v>579</v>
      </c>
      <c r="C89" s="170" t="s">
        <v>580</v>
      </c>
      <c r="D89" s="172">
        <v>5.1068493150684935</v>
      </c>
      <c r="E89" s="171">
        <v>2.2551739999999998</v>
      </c>
      <c r="F89" s="171">
        <v>3.7</v>
      </c>
      <c r="G89" s="172">
        <v>19.09</v>
      </c>
      <c r="H89" s="171">
        <v>0</v>
      </c>
      <c r="I89" s="171" t="s">
        <v>973</v>
      </c>
      <c r="J89" s="317" t="s">
        <v>974</v>
      </c>
      <c r="K89" s="317" t="s">
        <v>1032</v>
      </c>
      <c r="L89" s="311"/>
      <c r="M89" s="311" t="s">
        <v>971</v>
      </c>
      <c r="N89" s="173">
        <v>85</v>
      </c>
      <c r="O89" s="173">
        <v>70</v>
      </c>
      <c r="P89" s="173">
        <v>130</v>
      </c>
      <c r="Q89" s="174">
        <v>120</v>
      </c>
      <c r="R89" s="180">
        <v>46311</v>
      </c>
      <c r="S89" s="175">
        <v>44308</v>
      </c>
      <c r="T89" s="175">
        <v>44308</v>
      </c>
      <c r="U89" s="176">
        <f ca="1">[1]!cb_clause_conversion_2_relativeswapsharemonth(B89)</f>
        <v>6</v>
      </c>
      <c r="V89" s="177"/>
      <c r="W89" s="177"/>
      <c r="X89" s="177"/>
      <c r="Y89" s="177"/>
      <c r="Z89" s="177"/>
      <c r="AA89" s="177"/>
      <c r="AB89" s="177"/>
      <c r="AC89" s="178"/>
      <c r="AD89" s="178"/>
      <c r="AE89" s="178"/>
      <c r="AF89" s="178"/>
      <c r="AG89" s="178"/>
      <c r="AH89" s="178"/>
      <c r="AI89" s="178"/>
      <c r="AJ89" s="178"/>
      <c r="AK89" s="178"/>
      <c r="AL89" s="178"/>
      <c r="AM89" s="178"/>
      <c r="AN89" s="178"/>
      <c r="AO89" s="178"/>
      <c r="AP89" s="178"/>
      <c r="AQ89" s="178"/>
      <c r="AR89" s="178"/>
      <c r="AS89" s="178"/>
      <c r="AT89" s="178"/>
      <c r="AU89" s="178"/>
    </row>
    <row r="90" spans="1:47" s="141" customFormat="1" ht="10.3" x14ac:dyDescent="0.25">
      <c r="A90" s="132" t="s">
        <v>5</v>
      </c>
      <c r="B90" s="132" t="s">
        <v>626</v>
      </c>
      <c r="C90" s="132" t="s">
        <v>627</v>
      </c>
      <c r="D90" s="134">
        <v>5.1068493150684935</v>
      </c>
      <c r="E90" s="133">
        <v>19.998562</v>
      </c>
      <c r="F90" s="133">
        <v>20</v>
      </c>
      <c r="G90" s="134">
        <v>11.2</v>
      </c>
      <c r="H90" s="133">
        <v>0</v>
      </c>
      <c r="I90" s="133" t="s">
        <v>952</v>
      </c>
      <c r="J90" s="318" t="s">
        <v>958</v>
      </c>
      <c r="K90" s="318" t="s">
        <v>1312</v>
      </c>
      <c r="L90" s="313"/>
      <c r="M90" s="313" t="s">
        <v>956</v>
      </c>
      <c r="N90" s="135">
        <v>85</v>
      </c>
      <c r="O90" s="135">
        <v>70</v>
      </c>
      <c r="P90" s="135">
        <v>130</v>
      </c>
      <c r="Q90" s="136">
        <v>105</v>
      </c>
      <c r="R90" s="137">
        <v>46311</v>
      </c>
      <c r="S90" s="138">
        <v>44308</v>
      </c>
      <c r="T90" s="138">
        <v>44308</v>
      </c>
      <c r="U90" s="181">
        <f ca="1">[1]!cb_clause_conversion_2_relativeswapsharemonth(B90)</f>
        <v>6</v>
      </c>
      <c r="V90" s="139"/>
      <c r="W90" s="139"/>
      <c r="X90" s="139"/>
      <c r="Y90" s="139"/>
      <c r="Z90" s="139"/>
      <c r="AA90" s="139"/>
      <c r="AB90" s="139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</row>
    <row r="91" spans="1:47" s="179" customFormat="1" ht="10.3" x14ac:dyDescent="0.25">
      <c r="A91" s="170" t="s">
        <v>0</v>
      </c>
      <c r="B91" s="170" t="s">
        <v>539</v>
      </c>
      <c r="C91" s="170" t="s">
        <v>540</v>
      </c>
      <c r="D91" s="172">
        <v>5.1041095890410961</v>
      </c>
      <c r="E91" s="171">
        <v>58.967460000000003</v>
      </c>
      <c r="F91" s="171">
        <v>160</v>
      </c>
      <c r="G91" s="172">
        <v>6.24</v>
      </c>
      <c r="H91" s="171">
        <v>79</v>
      </c>
      <c r="I91" s="171" t="s">
        <v>941</v>
      </c>
      <c r="J91" s="317" t="s">
        <v>942</v>
      </c>
      <c r="K91" s="317" t="s">
        <v>966</v>
      </c>
      <c r="L91" s="311"/>
      <c r="M91" s="311" t="s">
        <v>1271</v>
      </c>
      <c r="N91" s="173">
        <v>85</v>
      </c>
      <c r="O91" s="173">
        <v>70</v>
      </c>
      <c r="P91" s="173">
        <v>130</v>
      </c>
      <c r="Q91" s="174">
        <v>106.5</v>
      </c>
      <c r="R91" s="180">
        <v>46310</v>
      </c>
      <c r="S91" s="175">
        <v>44307</v>
      </c>
      <c r="T91" s="175">
        <v>44307</v>
      </c>
      <c r="U91" s="176">
        <f ca="1">[1]!cb_clause_conversion_2_relativeswapsharemonth(B91)</f>
        <v>6</v>
      </c>
      <c r="V91" s="177"/>
      <c r="W91" s="177"/>
      <c r="X91" s="177"/>
      <c r="Y91" s="177"/>
      <c r="Z91" s="177"/>
      <c r="AA91" s="177"/>
      <c r="AB91" s="177"/>
      <c r="AC91" s="178"/>
      <c r="AD91" s="178"/>
      <c r="AE91" s="178"/>
      <c r="AF91" s="178"/>
      <c r="AG91" s="178"/>
      <c r="AH91" s="178"/>
      <c r="AI91" s="178"/>
      <c r="AJ91" s="178"/>
      <c r="AK91" s="178"/>
      <c r="AL91" s="178"/>
      <c r="AM91" s="178"/>
      <c r="AN91" s="178"/>
      <c r="AO91" s="178"/>
      <c r="AP91" s="178"/>
      <c r="AQ91" s="178"/>
      <c r="AR91" s="178"/>
      <c r="AS91" s="178"/>
      <c r="AT91" s="178"/>
      <c r="AU91" s="178"/>
    </row>
    <row r="92" spans="1:47" s="141" customFormat="1" ht="10.3" x14ac:dyDescent="0.25">
      <c r="A92" s="132" t="s">
        <v>5</v>
      </c>
      <c r="B92" s="132" t="s">
        <v>577</v>
      </c>
      <c r="C92" s="132" t="s">
        <v>578</v>
      </c>
      <c r="D92" s="134">
        <v>5.1041095890410961</v>
      </c>
      <c r="E92" s="133">
        <v>5.2895510000000003</v>
      </c>
      <c r="F92" s="133">
        <v>5.7</v>
      </c>
      <c r="G92" s="134">
        <v>15.34</v>
      </c>
      <c r="H92" s="133">
        <v>0</v>
      </c>
      <c r="I92" s="133" t="s">
        <v>973</v>
      </c>
      <c r="J92" s="318" t="s">
        <v>974</v>
      </c>
      <c r="K92" s="318" t="s">
        <v>1484</v>
      </c>
      <c r="L92" s="312"/>
      <c r="M92" s="312" t="s">
        <v>1485</v>
      </c>
      <c r="N92" s="135">
        <v>85</v>
      </c>
      <c r="O92" s="135">
        <v>70</v>
      </c>
      <c r="P92" s="135">
        <v>130</v>
      </c>
      <c r="Q92" s="136">
        <v>115</v>
      </c>
      <c r="R92" s="137">
        <v>46310</v>
      </c>
      <c r="S92" s="138">
        <v>44307</v>
      </c>
      <c r="T92" s="138">
        <v>44307</v>
      </c>
      <c r="U92" s="181">
        <f ca="1">[1]!cb_clause_conversion_2_relativeswapsharemonth(B92)</f>
        <v>6</v>
      </c>
      <c r="V92" s="139"/>
      <c r="W92" s="139"/>
      <c r="X92" s="139"/>
      <c r="Y92" s="139"/>
      <c r="Z92" s="139"/>
      <c r="AA92" s="139"/>
      <c r="AB92" s="139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</row>
    <row r="93" spans="1:47" s="179" customFormat="1" ht="10.3" x14ac:dyDescent="0.25">
      <c r="A93" s="170" t="s">
        <v>0</v>
      </c>
      <c r="B93" s="170" t="s">
        <v>553</v>
      </c>
      <c r="C93" s="170" t="s">
        <v>554</v>
      </c>
      <c r="D93" s="172">
        <v>5.0986301369863014</v>
      </c>
      <c r="E93" s="171">
        <v>6.3991499999999997</v>
      </c>
      <c r="F93" s="171">
        <v>6.4</v>
      </c>
      <c r="G93" s="172">
        <v>10.4</v>
      </c>
      <c r="H93" s="171">
        <v>0</v>
      </c>
      <c r="I93" s="171" t="s">
        <v>983</v>
      </c>
      <c r="J93" s="317" t="s">
        <v>955</v>
      </c>
      <c r="K93" s="317" t="s">
        <v>1454</v>
      </c>
      <c r="L93" s="314"/>
      <c r="M93" s="314" t="s">
        <v>1069</v>
      </c>
      <c r="N93" s="173">
        <v>90</v>
      </c>
      <c r="O93" s="173">
        <v>70</v>
      </c>
      <c r="P93" s="173">
        <v>130</v>
      </c>
      <c r="Q93" s="174">
        <v>112</v>
      </c>
      <c r="R93" s="180">
        <v>46308</v>
      </c>
      <c r="S93" s="175">
        <v>44305</v>
      </c>
      <c r="T93" s="175">
        <v>44305</v>
      </c>
      <c r="U93" s="176">
        <f ca="1">[1]!cb_clause_conversion_2_relativeswapsharemonth(B93)</f>
        <v>6</v>
      </c>
      <c r="V93" s="177"/>
      <c r="W93" s="177"/>
      <c r="X93" s="177"/>
      <c r="Y93" s="177"/>
      <c r="Z93" s="177"/>
      <c r="AA93" s="177"/>
      <c r="AB93" s="177"/>
      <c r="AC93" s="178"/>
      <c r="AD93" s="178"/>
      <c r="AE93" s="178"/>
      <c r="AF93" s="178"/>
      <c r="AG93" s="178"/>
      <c r="AH93" s="178"/>
      <c r="AI93" s="178"/>
      <c r="AJ93" s="178"/>
      <c r="AK93" s="178"/>
      <c r="AL93" s="178"/>
      <c r="AM93" s="178"/>
      <c r="AN93" s="178"/>
      <c r="AO93" s="178"/>
      <c r="AP93" s="178"/>
      <c r="AQ93" s="178"/>
      <c r="AR93" s="178"/>
      <c r="AS93" s="178"/>
      <c r="AT93" s="178"/>
      <c r="AU93" s="178"/>
    </row>
    <row r="94" spans="1:47" s="141" customFormat="1" ht="10.3" x14ac:dyDescent="0.25">
      <c r="A94" s="132" t="s">
        <v>5</v>
      </c>
      <c r="B94" s="132" t="s">
        <v>642</v>
      </c>
      <c r="C94" s="132" t="s">
        <v>643</v>
      </c>
      <c r="D94" s="134">
        <v>5.087671232876712</v>
      </c>
      <c r="E94" s="133">
        <v>15.728503</v>
      </c>
      <c r="F94" s="133">
        <v>18.8</v>
      </c>
      <c r="G94" s="134">
        <v>43.51</v>
      </c>
      <c r="H94" s="133">
        <v>0</v>
      </c>
      <c r="I94" s="133" t="s">
        <v>939</v>
      </c>
      <c r="J94" s="318" t="s">
        <v>955</v>
      </c>
      <c r="K94" s="318" t="s">
        <v>1340</v>
      </c>
      <c r="L94" s="313"/>
      <c r="M94" s="313" t="s">
        <v>993</v>
      </c>
      <c r="N94" s="135">
        <v>85</v>
      </c>
      <c r="O94" s="135">
        <v>70</v>
      </c>
      <c r="P94" s="135">
        <v>130</v>
      </c>
      <c r="Q94" s="136">
        <v>110</v>
      </c>
      <c r="R94" s="137">
        <v>46304</v>
      </c>
      <c r="S94" s="138">
        <v>44301</v>
      </c>
      <c r="T94" s="138">
        <v>44301</v>
      </c>
      <c r="U94" s="181">
        <f ca="1">[1]!cb_clause_conversion_2_relativeswapsharemonth(B94)</f>
        <v>6</v>
      </c>
      <c r="V94" s="139"/>
      <c r="W94" s="139"/>
      <c r="X94" s="139"/>
      <c r="Y94" s="139"/>
      <c r="Z94" s="139"/>
      <c r="AA94" s="139"/>
      <c r="AB94" s="139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</row>
    <row r="95" spans="1:47" s="179" customFormat="1" ht="10.3" x14ac:dyDescent="0.25">
      <c r="A95" s="170" t="s">
        <v>0</v>
      </c>
      <c r="B95" s="170" t="s">
        <v>551</v>
      </c>
      <c r="C95" s="170" t="s">
        <v>552</v>
      </c>
      <c r="D95" s="172">
        <v>5.0465753424657533</v>
      </c>
      <c r="E95" s="171">
        <v>7.9985600000000003</v>
      </c>
      <c r="F95" s="171">
        <v>8</v>
      </c>
      <c r="G95" s="172">
        <v>23.65</v>
      </c>
      <c r="H95" s="171">
        <v>0</v>
      </c>
      <c r="I95" s="171" t="s">
        <v>957</v>
      </c>
      <c r="J95" s="317" t="s">
        <v>974</v>
      </c>
      <c r="K95" s="317" t="s">
        <v>1020</v>
      </c>
      <c r="L95" s="311"/>
      <c r="M95" s="311" t="s">
        <v>1093</v>
      </c>
      <c r="N95" s="173">
        <v>85</v>
      </c>
      <c r="O95" s="173">
        <v>70</v>
      </c>
      <c r="P95" s="173">
        <v>130</v>
      </c>
      <c r="Q95" s="174">
        <v>110</v>
      </c>
      <c r="R95" s="180">
        <v>46289</v>
      </c>
      <c r="S95" s="175">
        <v>44285</v>
      </c>
      <c r="T95" s="175">
        <v>44285</v>
      </c>
      <c r="U95" s="176">
        <f ca="1">[1]!cb_clause_conversion_2_relativeswapsharemonth(B95)</f>
        <v>6</v>
      </c>
      <c r="V95" s="177"/>
      <c r="W95" s="177"/>
      <c r="X95" s="177"/>
      <c r="Y95" s="177"/>
      <c r="Z95" s="177"/>
      <c r="AA95" s="177"/>
      <c r="AB95" s="177"/>
      <c r="AC95" s="178"/>
      <c r="AD95" s="178"/>
      <c r="AE95" s="178"/>
      <c r="AF95" s="178"/>
      <c r="AG95" s="178"/>
      <c r="AH95" s="178"/>
      <c r="AI95" s="178"/>
      <c r="AJ95" s="178"/>
      <c r="AK95" s="178"/>
      <c r="AL95" s="178"/>
      <c r="AM95" s="178"/>
      <c r="AN95" s="178"/>
      <c r="AO95" s="178"/>
      <c r="AP95" s="178"/>
      <c r="AQ95" s="178"/>
      <c r="AR95" s="178"/>
      <c r="AS95" s="178"/>
      <c r="AT95" s="178"/>
      <c r="AU95" s="178"/>
    </row>
    <row r="96" spans="1:47" s="141" customFormat="1" ht="10.3" x14ac:dyDescent="0.25">
      <c r="A96" s="132" t="s">
        <v>5</v>
      </c>
      <c r="B96" s="132" t="s">
        <v>640</v>
      </c>
      <c r="C96" s="132" t="s">
        <v>641</v>
      </c>
      <c r="D96" s="134">
        <v>5.0410958904109586</v>
      </c>
      <c r="E96" s="133">
        <v>7.9966480000000004</v>
      </c>
      <c r="F96" s="133">
        <v>8</v>
      </c>
      <c r="G96" s="134">
        <v>29.78</v>
      </c>
      <c r="H96" s="133">
        <v>0</v>
      </c>
      <c r="I96" s="133" t="s">
        <v>939</v>
      </c>
      <c r="J96" s="318" t="s">
        <v>942</v>
      </c>
      <c r="K96" s="318" t="s">
        <v>1144</v>
      </c>
      <c r="L96" s="312"/>
      <c r="M96" s="312" t="s">
        <v>980</v>
      </c>
      <c r="N96" s="135">
        <v>90</v>
      </c>
      <c r="O96" s="135">
        <v>70</v>
      </c>
      <c r="P96" s="135">
        <v>130</v>
      </c>
      <c r="Q96" s="136">
        <v>112</v>
      </c>
      <c r="R96" s="137">
        <v>46287</v>
      </c>
      <c r="S96" s="138">
        <v>44284</v>
      </c>
      <c r="T96" s="138">
        <v>44284</v>
      </c>
      <c r="U96" s="181">
        <f ca="1">[1]!cb_clause_conversion_2_relativeswapsharemonth(B96)</f>
        <v>6</v>
      </c>
      <c r="V96" s="139"/>
      <c r="W96" s="139"/>
      <c r="X96" s="139"/>
      <c r="Y96" s="139"/>
      <c r="Z96" s="139"/>
      <c r="AA96" s="139"/>
      <c r="AB96" s="139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</row>
    <row r="97" spans="1:47" s="179" customFormat="1" ht="10.3" x14ac:dyDescent="0.25">
      <c r="A97" s="170" t="s">
        <v>5</v>
      </c>
      <c r="B97" s="170" t="s">
        <v>18</v>
      </c>
      <c r="C97" s="170" t="s">
        <v>19</v>
      </c>
      <c r="D97" s="172">
        <v>5.0273972602739727</v>
      </c>
      <c r="E97" s="171">
        <v>3.3483529999999999</v>
      </c>
      <c r="F97" s="171">
        <v>3.9</v>
      </c>
      <c r="G97" s="172">
        <v>9.36</v>
      </c>
      <c r="H97" s="171">
        <v>0</v>
      </c>
      <c r="I97" s="171" t="s">
        <v>973</v>
      </c>
      <c r="J97" s="317" t="s">
        <v>974</v>
      </c>
      <c r="K97" s="317" t="s">
        <v>1483</v>
      </c>
      <c r="L97" s="311"/>
      <c r="M97" s="311" t="s">
        <v>979</v>
      </c>
      <c r="N97" s="173">
        <v>85</v>
      </c>
      <c r="O97" s="173">
        <v>70</v>
      </c>
      <c r="P97" s="173">
        <v>130</v>
      </c>
      <c r="Q97" s="174">
        <v>115</v>
      </c>
      <c r="R97" s="180">
        <v>46282</v>
      </c>
      <c r="S97" s="175">
        <v>44278</v>
      </c>
      <c r="T97" s="175">
        <v>44278</v>
      </c>
      <c r="U97" s="176">
        <f ca="1">[1]!cb_clause_conversion_2_relativeswapsharemonth(B97)</f>
        <v>6</v>
      </c>
      <c r="V97" s="177"/>
      <c r="W97" s="177"/>
      <c r="X97" s="177"/>
      <c r="Y97" s="177"/>
      <c r="Z97" s="177"/>
      <c r="AA97" s="177"/>
      <c r="AB97" s="177"/>
      <c r="AC97" s="178"/>
      <c r="AD97" s="178"/>
      <c r="AE97" s="178"/>
      <c r="AF97" s="178"/>
      <c r="AG97" s="178"/>
      <c r="AH97" s="178"/>
      <c r="AI97" s="178"/>
      <c r="AJ97" s="178"/>
      <c r="AK97" s="178"/>
      <c r="AL97" s="178"/>
      <c r="AM97" s="178"/>
      <c r="AN97" s="178"/>
      <c r="AO97" s="178"/>
      <c r="AP97" s="178"/>
      <c r="AQ97" s="178"/>
      <c r="AR97" s="178"/>
      <c r="AS97" s="178"/>
      <c r="AT97" s="178"/>
      <c r="AU97" s="178"/>
    </row>
    <row r="98" spans="1:47" s="141" customFormat="1" ht="10.3" x14ac:dyDescent="0.25">
      <c r="A98" s="132" t="s">
        <v>5</v>
      </c>
      <c r="B98" s="132" t="s">
        <v>16</v>
      </c>
      <c r="C98" s="132" t="s">
        <v>17</v>
      </c>
      <c r="D98" s="134">
        <v>5.0246575342465754</v>
      </c>
      <c r="E98" s="133">
        <v>0</v>
      </c>
      <c r="F98" s="133">
        <v>3.2</v>
      </c>
      <c r="G98" s="134">
        <v>14.01</v>
      </c>
      <c r="H98" s="133">
        <v>0</v>
      </c>
      <c r="I98" s="133" t="s">
        <v>1049</v>
      </c>
      <c r="J98" s="318" t="s">
        <v>970</v>
      </c>
      <c r="K98" s="318" t="s">
        <v>1482</v>
      </c>
      <c r="L98" s="313"/>
      <c r="M98" s="313" t="s">
        <v>1261</v>
      </c>
      <c r="N98" s="135">
        <v>85</v>
      </c>
      <c r="O98" s="135">
        <v>70</v>
      </c>
      <c r="P98" s="135">
        <v>130</v>
      </c>
      <c r="Q98" s="136">
        <v>115</v>
      </c>
      <c r="R98" s="137">
        <v>46281</v>
      </c>
      <c r="S98" s="138">
        <v>44277</v>
      </c>
      <c r="T98" s="138">
        <v>44277</v>
      </c>
      <c r="U98" s="181">
        <f ca="1">[1]!cb_clause_conversion_2_relativeswapsharemonth(B98)</f>
        <v>6</v>
      </c>
      <c r="V98" s="139"/>
      <c r="W98" s="139"/>
      <c r="X98" s="139"/>
      <c r="Y98" s="139"/>
      <c r="Z98" s="139"/>
      <c r="AA98" s="139"/>
      <c r="AB98" s="139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</row>
    <row r="99" spans="1:47" s="179" customFormat="1" ht="10.3" x14ac:dyDescent="0.25">
      <c r="A99" s="170" t="s">
        <v>5</v>
      </c>
      <c r="B99" s="170" t="s">
        <v>20</v>
      </c>
      <c r="C99" s="170" t="s">
        <v>21</v>
      </c>
      <c r="D99" s="172">
        <v>5.021917808219178</v>
      </c>
      <c r="E99" s="171">
        <v>8.4942430000000009</v>
      </c>
      <c r="F99" s="171">
        <v>8.5</v>
      </c>
      <c r="G99" s="172">
        <v>18.53</v>
      </c>
      <c r="H99" s="171">
        <v>0</v>
      </c>
      <c r="I99" s="171" t="s">
        <v>939</v>
      </c>
      <c r="J99" s="317" t="s">
        <v>958</v>
      </c>
      <c r="K99" s="317" t="s">
        <v>1543</v>
      </c>
      <c r="L99" s="314"/>
      <c r="M99" s="314" t="s">
        <v>1334</v>
      </c>
      <c r="N99" s="173">
        <v>85</v>
      </c>
      <c r="O99" s="173">
        <v>70</v>
      </c>
      <c r="P99" s="173">
        <v>130</v>
      </c>
      <c r="Q99" s="174">
        <v>112</v>
      </c>
      <c r="R99" s="180">
        <v>46280</v>
      </c>
      <c r="S99" s="175">
        <v>44277</v>
      </c>
      <c r="T99" s="175">
        <v>44277</v>
      </c>
      <c r="U99" s="176">
        <f ca="1">[1]!cb_clause_conversion_2_relativeswapsharemonth(B99)</f>
        <v>6</v>
      </c>
      <c r="V99" s="177"/>
      <c r="W99" s="177"/>
      <c r="X99" s="177"/>
      <c r="Y99" s="177"/>
      <c r="Z99" s="177"/>
      <c r="AA99" s="177"/>
      <c r="AB99" s="177"/>
      <c r="AC99" s="178"/>
      <c r="AD99" s="178"/>
      <c r="AE99" s="178"/>
      <c r="AF99" s="178"/>
      <c r="AG99" s="178"/>
      <c r="AH99" s="178"/>
      <c r="AI99" s="178"/>
      <c r="AJ99" s="178"/>
      <c r="AK99" s="178"/>
      <c r="AL99" s="178"/>
      <c r="AM99" s="178"/>
      <c r="AN99" s="178"/>
      <c r="AO99" s="178"/>
      <c r="AP99" s="178"/>
      <c r="AQ99" s="178"/>
      <c r="AR99" s="178"/>
      <c r="AS99" s="178"/>
      <c r="AT99" s="178"/>
      <c r="AU99" s="178"/>
    </row>
    <row r="100" spans="1:47" s="141" customFormat="1" ht="10.3" x14ac:dyDescent="0.25">
      <c r="A100" s="132" t="s">
        <v>5</v>
      </c>
      <c r="B100" s="132" t="s">
        <v>22</v>
      </c>
      <c r="C100" s="132" t="s">
        <v>23</v>
      </c>
      <c r="D100" s="134">
        <v>5</v>
      </c>
      <c r="E100" s="133">
        <v>13.999427000000001</v>
      </c>
      <c r="F100" s="133">
        <v>14</v>
      </c>
      <c r="G100" s="134">
        <v>19.38</v>
      </c>
      <c r="H100" s="133">
        <v>0</v>
      </c>
      <c r="I100" s="133" t="s">
        <v>957</v>
      </c>
      <c r="J100" s="318" t="s">
        <v>974</v>
      </c>
      <c r="K100" s="318" t="s">
        <v>1050</v>
      </c>
      <c r="L100" s="312"/>
      <c r="M100" s="312" t="s">
        <v>943</v>
      </c>
      <c r="N100" s="135">
        <v>85</v>
      </c>
      <c r="O100" s="135">
        <v>70</v>
      </c>
      <c r="P100" s="135">
        <v>130</v>
      </c>
      <c r="Q100" s="136">
        <v>110</v>
      </c>
      <c r="R100" s="137">
        <v>46272</v>
      </c>
      <c r="S100" s="138">
        <v>44266</v>
      </c>
      <c r="T100" s="138">
        <v>44266</v>
      </c>
      <c r="U100" s="181">
        <f ca="1">[1]!cb_clause_conversion_2_relativeswapsharemonth(B100)</f>
        <v>6</v>
      </c>
      <c r="V100" s="139"/>
      <c r="W100" s="139"/>
      <c r="X100" s="139"/>
      <c r="Y100" s="139"/>
      <c r="Z100" s="139"/>
      <c r="AA100" s="139"/>
      <c r="AB100" s="139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</row>
    <row r="101" spans="1:47" s="179" customFormat="1" ht="10.3" x14ac:dyDescent="0.25">
      <c r="A101" s="170" t="s">
        <v>5</v>
      </c>
      <c r="B101" s="170" t="s">
        <v>24</v>
      </c>
      <c r="C101" s="170" t="s">
        <v>25</v>
      </c>
      <c r="D101" s="172">
        <v>4.9917808219178079</v>
      </c>
      <c r="E101" s="171">
        <v>2.1886290000000002</v>
      </c>
      <c r="F101" s="171">
        <v>2.2000000000000002</v>
      </c>
      <c r="G101" s="172">
        <v>40.14</v>
      </c>
      <c r="H101" s="171">
        <v>0</v>
      </c>
      <c r="I101" s="171" t="s">
        <v>983</v>
      </c>
      <c r="J101" s="317" t="s">
        <v>974</v>
      </c>
      <c r="K101" s="317" t="s">
        <v>1481</v>
      </c>
      <c r="L101" s="311"/>
      <c r="M101" s="311" t="s">
        <v>1346</v>
      </c>
      <c r="N101" s="173">
        <v>90</v>
      </c>
      <c r="O101" s="173">
        <v>70</v>
      </c>
      <c r="P101" s="173">
        <v>130</v>
      </c>
      <c r="Q101" s="174">
        <v>115</v>
      </c>
      <c r="R101" s="180">
        <v>46269</v>
      </c>
      <c r="S101" s="175">
        <v>44266</v>
      </c>
      <c r="T101" s="175">
        <v>44266</v>
      </c>
      <c r="U101" s="176">
        <f ca="1">[1]!cb_clause_conversion_2_relativeswapsharemonth(B101)</f>
        <v>6</v>
      </c>
      <c r="V101" s="177"/>
      <c r="W101" s="177"/>
      <c r="X101" s="177"/>
      <c r="Y101" s="177"/>
      <c r="Z101" s="177"/>
      <c r="AA101" s="177"/>
      <c r="AB101" s="177"/>
      <c r="AC101" s="178"/>
      <c r="AD101" s="178"/>
      <c r="AE101" s="178"/>
      <c r="AF101" s="178"/>
      <c r="AG101" s="178"/>
      <c r="AH101" s="178"/>
      <c r="AI101" s="178"/>
      <c r="AJ101" s="178"/>
      <c r="AK101" s="178"/>
      <c r="AL101" s="178"/>
      <c r="AM101" s="178"/>
      <c r="AN101" s="178"/>
      <c r="AO101" s="178"/>
      <c r="AP101" s="178"/>
      <c r="AQ101" s="178"/>
      <c r="AR101" s="178"/>
      <c r="AS101" s="178"/>
      <c r="AT101" s="178"/>
      <c r="AU101" s="178"/>
    </row>
    <row r="102" spans="1:47" s="141" customFormat="1" ht="10.3" x14ac:dyDescent="0.25">
      <c r="A102" s="132" t="s">
        <v>5</v>
      </c>
      <c r="B102" s="132" t="s">
        <v>26</v>
      </c>
      <c r="C102" s="132" t="s">
        <v>27</v>
      </c>
      <c r="D102" s="134">
        <v>4.9835616438356167</v>
      </c>
      <c r="E102" s="133">
        <v>5.9860759999999997</v>
      </c>
      <c r="F102" s="133">
        <v>6</v>
      </c>
      <c r="G102" s="134">
        <v>71.650000000000006</v>
      </c>
      <c r="H102" s="133">
        <v>0</v>
      </c>
      <c r="I102" s="133" t="s">
        <v>957</v>
      </c>
      <c r="J102" s="318" t="s">
        <v>974</v>
      </c>
      <c r="K102" s="318" t="s">
        <v>1480</v>
      </c>
      <c r="L102" s="312"/>
      <c r="M102" s="312" t="s">
        <v>971</v>
      </c>
      <c r="N102" s="135">
        <v>80</v>
      </c>
      <c r="O102" s="135">
        <v>70</v>
      </c>
      <c r="P102" s="135">
        <v>130</v>
      </c>
      <c r="Q102" s="136">
        <v>110</v>
      </c>
      <c r="R102" s="137">
        <v>46266</v>
      </c>
      <c r="S102" s="138">
        <v>44263</v>
      </c>
      <c r="T102" s="138">
        <v>44263</v>
      </c>
      <c r="U102" s="181">
        <f ca="1">[1]!cb_clause_conversion_2_relativeswapsharemonth(B102)</f>
        <v>6</v>
      </c>
      <c r="V102" s="139"/>
      <c r="W102" s="139"/>
      <c r="X102" s="139"/>
      <c r="Y102" s="139"/>
      <c r="Z102" s="139"/>
      <c r="AA102" s="139"/>
      <c r="AB102" s="139"/>
      <c r="AC102" s="140"/>
      <c r="AD102" s="140"/>
      <c r="AE102" s="140"/>
      <c r="AF102" s="140"/>
      <c r="AG102" s="140"/>
      <c r="AH102" s="140"/>
      <c r="AI102" s="140"/>
      <c r="AJ102" s="140"/>
      <c r="AK102" s="140"/>
      <c r="AL102" s="140"/>
      <c r="AM102" s="140"/>
      <c r="AN102" s="140"/>
      <c r="AO102" s="140"/>
      <c r="AP102" s="140"/>
      <c r="AQ102" s="140"/>
      <c r="AR102" s="140"/>
      <c r="AS102" s="140"/>
      <c r="AT102" s="140"/>
      <c r="AU102" s="140"/>
    </row>
    <row r="103" spans="1:47" s="179" customFormat="1" ht="10.3" x14ac:dyDescent="0.25">
      <c r="A103" s="170" t="s">
        <v>5</v>
      </c>
      <c r="B103" s="170" t="s">
        <v>28</v>
      </c>
      <c r="C103" s="170" t="s">
        <v>29</v>
      </c>
      <c r="D103" s="172">
        <v>4.9808219178082194</v>
      </c>
      <c r="E103" s="171">
        <v>10.650347</v>
      </c>
      <c r="F103" s="171">
        <v>12.8</v>
      </c>
      <c r="G103" s="172">
        <v>3.4</v>
      </c>
      <c r="H103" s="171">
        <v>0</v>
      </c>
      <c r="I103" s="171" t="s">
        <v>939</v>
      </c>
      <c r="J103" s="317" t="s">
        <v>958</v>
      </c>
      <c r="K103" s="317" t="s">
        <v>1359</v>
      </c>
      <c r="L103" s="314"/>
      <c r="M103" s="314" t="s">
        <v>978</v>
      </c>
      <c r="N103" s="173">
        <v>80</v>
      </c>
      <c r="O103" s="173">
        <v>80</v>
      </c>
      <c r="P103" s="173">
        <v>130</v>
      </c>
      <c r="Q103" s="174">
        <v>110</v>
      </c>
      <c r="R103" s="180">
        <v>46265</v>
      </c>
      <c r="S103" s="175">
        <v>44259</v>
      </c>
      <c r="T103" s="175">
        <v>44259</v>
      </c>
      <c r="U103" s="176">
        <f ca="1">[1]!cb_clause_conversion_2_relativeswapsharemonth(B103)</f>
        <v>6</v>
      </c>
      <c r="V103" s="177"/>
      <c r="W103" s="177"/>
      <c r="X103" s="177"/>
      <c r="Y103" s="177"/>
      <c r="Z103" s="177"/>
      <c r="AA103" s="177"/>
      <c r="AB103" s="177"/>
      <c r="AC103" s="178"/>
      <c r="AD103" s="178"/>
      <c r="AE103" s="178"/>
      <c r="AF103" s="178"/>
      <c r="AG103" s="178"/>
      <c r="AH103" s="178"/>
      <c r="AI103" s="178"/>
      <c r="AJ103" s="178"/>
      <c r="AK103" s="178"/>
      <c r="AL103" s="178"/>
      <c r="AM103" s="178"/>
      <c r="AN103" s="178"/>
      <c r="AO103" s="178"/>
      <c r="AP103" s="178"/>
      <c r="AQ103" s="178"/>
      <c r="AR103" s="178"/>
      <c r="AS103" s="178"/>
      <c r="AT103" s="178"/>
      <c r="AU103" s="178"/>
    </row>
    <row r="104" spans="1:47" s="141" customFormat="1" ht="10.3" x14ac:dyDescent="0.25">
      <c r="A104" s="132" t="s">
        <v>5</v>
      </c>
      <c r="B104" s="132" t="s">
        <v>889</v>
      </c>
      <c r="C104" s="132" t="s">
        <v>890</v>
      </c>
      <c r="D104" s="134">
        <v>4.9643835616438352</v>
      </c>
      <c r="E104" s="133">
        <v>49.997821000000002</v>
      </c>
      <c r="F104" s="133">
        <v>50</v>
      </c>
      <c r="G104" s="134">
        <v>4.32</v>
      </c>
      <c r="H104" s="133">
        <v>69</v>
      </c>
      <c r="I104" s="133" t="s">
        <v>941</v>
      </c>
      <c r="J104" s="318" t="s">
        <v>942</v>
      </c>
      <c r="K104" s="318" t="s">
        <v>1542</v>
      </c>
      <c r="L104" s="312"/>
      <c r="M104" s="312" t="s">
        <v>1039</v>
      </c>
      <c r="N104" s="135">
        <v>80</v>
      </c>
      <c r="O104" s="135"/>
      <c r="P104" s="135">
        <v>130</v>
      </c>
      <c r="Q104" s="136">
        <v>108</v>
      </c>
      <c r="R104" s="137">
        <v>46259</v>
      </c>
      <c r="S104" s="138">
        <v>44256</v>
      </c>
      <c r="T104" s="138">
        <v>44256</v>
      </c>
      <c r="U104" s="181">
        <f ca="1">[1]!cb_clause_conversion_2_relativeswapsharemonth(B104)</f>
        <v>6</v>
      </c>
      <c r="V104" s="139"/>
      <c r="W104" s="139"/>
      <c r="X104" s="139"/>
      <c r="Y104" s="139"/>
      <c r="Z104" s="139"/>
      <c r="AA104" s="139"/>
      <c r="AB104" s="139"/>
      <c r="AC104" s="140"/>
      <c r="AD104" s="140"/>
      <c r="AE104" s="140"/>
      <c r="AF104" s="140"/>
      <c r="AG104" s="140"/>
      <c r="AH104" s="140"/>
      <c r="AI104" s="140"/>
      <c r="AJ104" s="140"/>
      <c r="AK104" s="140"/>
      <c r="AL104" s="140"/>
      <c r="AM104" s="140"/>
      <c r="AN104" s="140"/>
      <c r="AO104" s="140"/>
      <c r="AP104" s="140"/>
      <c r="AQ104" s="140"/>
      <c r="AR104" s="140"/>
      <c r="AS104" s="140"/>
      <c r="AT104" s="140"/>
      <c r="AU104" s="140"/>
    </row>
    <row r="105" spans="1:47" s="179" customFormat="1" ht="10.3" x14ac:dyDescent="0.25">
      <c r="A105" s="170" t="s">
        <v>0</v>
      </c>
      <c r="B105" s="170" t="s">
        <v>32</v>
      </c>
      <c r="C105" s="170" t="s">
        <v>33</v>
      </c>
      <c r="D105" s="172">
        <v>4.9616438356164387</v>
      </c>
      <c r="E105" s="171">
        <v>17.799399999999999</v>
      </c>
      <c r="F105" s="171">
        <v>17.8</v>
      </c>
      <c r="G105" s="172">
        <v>27.4</v>
      </c>
      <c r="H105" s="171">
        <v>0</v>
      </c>
      <c r="I105" s="171" t="s">
        <v>939</v>
      </c>
      <c r="J105" s="317" t="s">
        <v>970</v>
      </c>
      <c r="K105" s="317" t="s">
        <v>1308</v>
      </c>
      <c r="L105" s="314"/>
      <c r="M105" s="314" t="s">
        <v>998</v>
      </c>
      <c r="N105" s="173">
        <v>80</v>
      </c>
      <c r="O105" s="173">
        <v>70</v>
      </c>
      <c r="P105" s="173">
        <v>130</v>
      </c>
      <c r="Q105" s="174">
        <v>108</v>
      </c>
      <c r="R105" s="180">
        <v>46258</v>
      </c>
      <c r="S105" s="175">
        <v>44256</v>
      </c>
      <c r="T105" s="175">
        <v>44256</v>
      </c>
      <c r="U105" s="176">
        <f ca="1">[1]!cb_clause_conversion_2_relativeswapsharemonth(B105)</f>
        <v>6</v>
      </c>
      <c r="V105" s="177"/>
      <c r="W105" s="177"/>
      <c r="X105" s="177"/>
      <c r="Y105" s="177"/>
      <c r="Z105" s="177"/>
      <c r="AA105" s="177"/>
      <c r="AB105" s="177"/>
      <c r="AC105" s="178"/>
      <c r="AD105" s="178"/>
      <c r="AE105" s="178"/>
      <c r="AF105" s="178"/>
      <c r="AG105" s="178"/>
      <c r="AH105" s="178"/>
      <c r="AI105" s="178"/>
      <c r="AJ105" s="178"/>
      <c r="AK105" s="178"/>
      <c r="AL105" s="178"/>
      <c r="AM105" s="178"/>
      <c r="AN105" s="178"/>
      <c r="AO105" s="178"/>
      <c r="AP105" s="178"/>
      <c r="AQ105" s="178"/>
      <c r="AR105" s="178"/>
      <c r="AS105" s="178"/>
      <c r="AT105" s="178"/>
      <c r="AU105" s="178"/>
    </row>
    <row r="106" spans="1:47" s="141" customFormat="1" ht="10.3" x14ac:dyDescent="0.25">
      <c r="A106" s="132" t="s">
        <v>0</v>
      </c>
      <c r="B106" s="132" t="s">
        <v>30</v>
      </c>
      <c r="C106" s="132" t="s">
        <v>31</v>
      </c>
      <c r="D106" s="134">
        <v>4.9616438356164387</v>
      </c>
      <c r="E106" s="133">
        <v>5.3999800000000002</v>
      </c>
      <c r="F106" s="133">
        <v>13</v>
      </c>
      <c r="G106" s="134">
        <v>3.46</v>
      </c>
      <c r="H106" s="133">
        <v>0</v>
      </c>
      <c r="I106" s="133" t="s">
        <v>939</v>
      </c>
      <c r="J106" s="318" t="s">
        <v>955</v>
      </c>
      <c r="K106" s="318" t="s">
        <v>1433</v>
      </c>
      <c r="L106" s="313"/>
      <c r="M106" s="313" t="s">
        <v>977</v>
      </c>
      <c r="N106" s="135">
        <v>90</v>
      </c>
      <c r="O106" s="135">
        <v>70</v>
      </c>
      <c r="P106" s="135">
        <v>130</v>
      </c>
      <c r="Q106" s="136">
        <v>108</v>
      </c>
      <c r="R106" s="137">
        <v>46258</v>
      </c>
      <c r="S106" s="138">
        <v>44256</v>
      </c>
      <c r="T106" s="138">
        <v>44256</v>
      </c>
      <c r="U106" s="181">
        <f ca="1">[1]!cb_clause_conversion_2_relativeswapsharemonth(B106)</f>
        <v>6</v>
      </c>
      <c r="V106" s="139"/>
      <c r="W106" s="139"/>
      <c r="X106" s="139"/>
      <c r="Y106" s="139"/>
      <c r="Z106" s="139"/>
      <c r="AA106" s="139"/>
      <c r="AB106" s="139"/>
      <c r="AC106" s="140"/>
      <c r="AD106" s="140"/>
      <c r="AE106" s="140"/>
      <c r="AF106" s="140"/>
      <c r="AG106" s="140"/>
      <c r="AH106" s="140"/>
      <c r="AI106" s="140"/>
      <c r="AJ106" s="140"/>
      <c r="AK106" s="140"/>
      <c r="AL106" s="140"/>
      <c r="AM106" s="140"/>
      <c r="AN106" s="140"/>
      <c r="AO106" s="140"/>
      <c r="AP106" s="140"/>
      <c r="AQ106" s="140"/>
      <c r="AR106" s="140"/>
      <c r="AS106" s="140"/>
      <c r="AT106" s="140"/>
      <c r="AU106" s="140"/>
    </row>
    <row r="107" spans="1:47" s="179" customFormat="1" ht="10.3" x14ac:dyDescent="0.25">
      <c r="A107" s="170" t="s">
        <v>0</v>
      </c>
      <c r="B107" s="170" t="s">
        <v>34</v>
      </c>
      <c r="C107" s="170" t="s">
        <v>35</v>
      </c>
      <c r="D107" s="172">
        <v>4.9534246575342467</v>
      </c>
      <c r="E107" s="171">
        <v>5.4326429999999997</v>
      </c>
      <c r="F107" s="171">
        <v>5.4</v>
      </c>
      <c r="G107" s="172">
        <v>16.98</v>
      </c>
      <c r="H107" s="171">
        <v>0</v>
      </c>
      <c r="I107" s="171" t="s">
        <v>983</v>
      </c>
      <c r="J107" s="317" t="s">
        <v>970</v>
      </c>
      <c r="K107" s="317" t="s">
        <v>1051</v>
      </c>
      <c r="L107" s="311"/>
      <c r="M107" s="311" t="s">
        <v>1453</v>
      </c>
      <c r="N107" s="173">
        <v>85</v>
      </c>
      <c r="O107" s="173">
        <v>70</v>
      </c>
      <c r="P107" s="173">
        <v>130</v>
      </c>
      <c r="Q107" s="174">
        <v>115</v>
      </c>
      <c r="R107" s="180">
        <v>46255</v>
      </c>
      <c r="S107" s="175">
        <v>44256</v>
      </c>
      <c r="T107" s="175">
        <v>44256</v>
      </c>
      <c r="U107" s="176">
        <f ca="1">[1]!cb_clause_conversion_2_relativeswapsharemonth(B107)</f>
        <v>6</v>
      </c>
      <c r="V107" s="177"/>
      <c r="W107" s="177"/>
      <c r="X107" s="177"/>
      <c r="Y107" s="177"/>
      <c r="Z107" s="177"/>
      <c r="AA107" s="177"/>
      <c r="AB107" s="177"/>
      <c r="AC107" s="178"/>
      <c r="AD107" s="178"/>
      <c r="AE107" s="178"/>
      <c r="AF107" s="178"/>
      <c r="AG107" s="178"/>
      <c r="AH107" s="178"/>
      <c r="AI107" s="178"/>
      <c r="AJ107" s="178"/>
      <c r="AK107" s="178"/>
      <c r="AL107" s="178"/>
      <c r="AM107" s="178"/>
      <c r="AN107" s="178"/>
      <c r="AO107" s="178"/>
      <c r="AP107" s="178"/>
      <c r="AQ107" s="178"/>
      <c r="AR107" s="178"/>
      <c r="AS107" s="178"/>
      <c r="AT107" s="178"/>
      <c r="AU107" s="178"/>
    </row>
    <row r="108" spans="1:47" s="141" customFormat="1" ht="10.3" x14ac:dyDescent="0.25">
      <c r="A108" s="132" t="s">
        <v>5</v>
      </c>
      <c r="B108" s="132" t="s">
        <v>36</v>
      </c>
      <c r="C108" s="132" t="s">
        <v>37</v>
      </c>
      <c r="D108" s="134">
        <v>4.9506849315068493</v>
      </c>
      <c r="E108" s="133">
        <v>9.4979809999999993</v>
      </c>
      <c r="F108" s="133">
        <v>9.5</v>
      </c>
      <c r="G108" s="134">
        <v>4.88</v>
      </c>
      <c r="H108" s="133">
        <v>0</v>
      </c>
      <c r="I108" s="133" t="s">
        <v>973</v>
      </c>
      <c r="J108" s="318" t="s">
        <v>974</v>
      </c>
      <c r="K108" s="318" t="s">
        <v>1065</v>
      </c>
      <c r="L108" s="312"/>
      <c r="M108" s="312" t="s">
        <v>995</v>
      </c>
      <c r="N108" s="135">
        <v>90</v>
      </c>
      <c r="O108" s="135">
        <v>70</v>
      </c>
      <c r="P108" s="135">
        <v>130</v>
      </c>
      <c r="Q108" s="136">
        <v>115</v>
      </c>
      <c r="R108" s="137">
        <v>46254</v>
      </c>
      <c r="S108" s="138">
        <v>44256</v>
      </c>
      <c r="T108" s="138">
        <v>44256</v>
      </c>
      <c r="U108" s="181">
        <f ca="1">[1]!cb_clause_conversion_2_relativeswapsharemonth(B108)</f>
        <v>6</v>
      </c>
      <c r="V108" s="139"/>
      <c r="W108" s="139"/>
      <c r="X108" s="139"/>
      <c r="Y108" s="139"/>
      <c r="Z108" s="139"/>
      <c r="AA108" s="139"/>
      <c r="AB108" s="139"/>
      <c r="AC108" s="140"/>
      <c r="AD108" s="140"/>
      <c r="AE108" s="140"/>
      <c r="AF108" s="140"/>
      <c r="AG108" s="140"/>
      <c r="AH108" s="140"/>
      <c r="AI108" s="140"/>
      <c r="AJ108" s="140"/>
      <c r="AK108" s="140"/>
      <c r="AL108" s="140"/>
      <c r="AM108" s="140"/>
      <c r="AN108" s="140"/>
      <c r="AO108" s="140"/>
      <c r="AP108" s="140"/>
      <c r="AQ108" s="140"/>
      <c r="AR108" s="140"/>
      <c r="AS108" s="140"/>
      <c r="AT108" s="140"/>
      <c r="AU108" s="140"/>
    </row>
    <row r="109" spans="1:47" s="179" customFormat="1" ht="10.3" x14ac:dyDescent="0.25">
      <c r="A109" s="170" t="s">
        <v>5</v>
      </c>
      <c r="B109" s="170" t="s">
        <v>38</v>
      </c>
      <c r="C109" s="170" t="s">
        <v>39</v>
      </c>
      <c r="D109" s="172">
        <v>4.9506849315068493</v>
      </c>
      <c r="E109" s="171">
        <v>8.7352380000000007</v>
      </c>
      <c r="F109" s="171">
        <v>29.9</v>
      </c>
      <c r="G109" s="172">
        <v>7.97</v>
      </c>
      <c r="H109" s="171">
        <v>0</v>
      </c>
      <c r="I109" s="171" t="s">
        <v>939</v>
      </c>
      <c r="J109" s="317" t="s">
        <v>955</v>
      </c>
      <c r="K109" s="317" t="s">
        <v>1304</v>
      </c>
      <c r="L109" s="314"/>
      <c r="M109" s="314" t="s">
        <v>1305</v>
      </c>
      <c r="N109" s="173">
        <v>90</v>
      </c>
      <c r="O109" s="173">
        <v>70</v>
      </c>
      <c r="P109" s="173">
        <v>130</v>
      </c>
      <c r="Q109" s="174">
        <v>110</v>
      </c>
      <c r="R109" s="180">
        <v>46254</v>
      </c>
      <c r="S109" s="175">
        <v>44253</v>
      </c>
      <c r="T109" s="175">
        <v>44253</v>
      </c>
      <c r="U109" s="176">
        <f ca="1">[1]!cb_clause_conversion_2_relativeswapsharemonth(B109)</f>
        <v>6</v>
      </c>
      <c r="V109" s="177"/>
      <c r="W109" s="177"/>
      <c r="X109" s="177"/>
      <c r="Y109" s="177"/>
      <c r="Z109" s="177"/>
      <c r="AA109" s="177"/>
      <c r="AB109" s="177"/>
      <c r="AC109" s="178"/>
      <c r="AD109" s="178"/>
      <c r="AE109" s="178"/>
      <c r="AF109" s="178"/>
      <c r="AG109" s="178"/>
      <c r="AH109" s="178"/>
      <c r="AI109" s="178"/>
      <c r="AJ109" s="178"/>
      <c r="AK109" s="178"/>
      <c r="AL109" s="178"/>
      <c r="AM109" s="178"/>
      <c r="AN109" s="178"/>
      <c r="AO109" s="178"/>
      <c r="AP109" s="178"/>
      <c r="AQ109" s="178"/>
      <c r="AR109" s="178"/>
      <c r="AS109" s="178"/>
      <c r="AT109" s="178"/>
      <c r="AU109" s="178"/>
    </row>
    <row r="110" spans="1:47" s="141" customFormat="1" ht="10.3" x14ac:dyDescent="0.25">
      <c r="A110" s="132" t="s">
        <v>0</v>
      </c>
      <c r="B110" s="132" t="s">
        <v>40</v>
      </c>
      <c r="C110" s="132" t="s">
        <v>41</v>
      </c>
      <c r="D110" s="134">
        <v>4.9479452054794519</v>
      </c>
      <c r="E110" s="133">
        <v>5.6605020000000001</v>
      </c>
      <c r="F110" s="133">
        <v>7.9</v>
      </c>
      <c r="G110" s="134">
        <v>3.73</v>
      </c>
      <c r="H110" s="133">
        <v>0</v>
      </c>
      <c r="I110" s="133" t="s">
        <v>957</v>
      </c>
      <c r="J110" s="318" t="s">
        <v>942</v>
      </c>
      <c r="K110" s="318" t="s">
        <v>1088</v>
      </c>
      <c r="L110" s="312"/>
      <c r="M110" s="312" t="s">
        <v>1297</v>
      </c>
      <c r="N110" s="135">
        <v>85</v>
      </c>
      <c r="O110" s="135">
        <v>70</v>
      </c>
      <c r="P110" s="135">
        <v>130</v>
      </c>
      <c r="Q110" s="136">
        <v>112</v>
      </c>
      <c r="R110" s="137">
        <v>46253</v>
      </c>
      <c r="S110" s="138">
        <v>44252</v>
      </c>
      <c r="T110" s="138">
        <v>44252</v>
      </c>
      <c r="U110" s="181">
        <f ca="1">[1]!cb_clause_conversion_2_relativeswapsharemonth(B110)</f>
        <v>6</v>
      </c>
      <c r="V110" s="139"/>
      <c r="W110" s="139"/>
      <c r="X110" s="139"/>
      <c r="Y110" s="139"/>
      <c r="Z110" s="139"/>
      <c r="AA110" s="139"/>
      <c r="AB110" s="139"/>
      <c r="AC110" s="140"/>
      <c r="AD110" s="140"/>
      <c r="AE110" s="140"/>
      <c r="AF110" s="140"/>
      <c r="AG110" s="140"/>
      <c r="AH110" s="140"/>
      <c r="AI110" s="140"/>
      <c r="AJ110" s="140"/>
      <c r="AK110" s="140"/>
      <c r="AL110" s="140"/>
      <c r="AM110" s="140"/>
      <c r="AN110" s="140"/>
      <c r="AO110" s="140"/>
      <c r="AP110" s="140"/>
      <c r="AQ110" s="140"/>
      <c r="AR110" s="140"/>
      <c r="AS110" s="140"/>
      <c r="AT110" s="140"/>
      <c r="AU110" s="140"/>
    </row>
    <row r="111" spans="1:47" s="179" customFormat="1" ht="10.3" x14ac:dyDescent="0.25">
      <c r="A111" s="170" t="s">
        <v>0</v>
      </c>
      <c r="B111" s="170" t="s">
        <v>42</v>
      </c>
      <c r="C111" s="170" t="s">
        <v>43</v>
      </c>
      <c r="D111" s="172">
        <v>4.9452054794520546</v>
      </c>
      <c r="E111" s="171">
        <v>33.686779999999999</v>
      </c>
      <c r="F111" s="171">
        <v>33.700000000000003</v>
      </c>
      <c r="G111" s="172">
        <v>4.03</v>
      </c>
      <c r="H111" s="171">
        <v>0</v>
      </c>
      <c r="I111" s="171" t="s">
        <v>935</v>
      </c>
      <c r="J111" s="317" t="s">
        <v>942</v>
      </c>
      <c r="K111" s="317" t="s">
        <v>965</v>
      </c>
      <c r="L111" s="311"/>
      <c r="M111" s="311" t="s">
        <v>1090</v>
      </c>
      <c r="N111" s="173">
        <v>90</v>
      </c>
      <c r="O111" s="173">
        <v>70</v>
      </c>
      <c r="P111" s="173">
        <v>130</v>
      </c>
      <c r="Q111" s="174">
        <v>110</v>
      </c>
      <c r="R111" s="180">
        <v>46252</v>
      </c>
      <c r="S111" s="175">
        <v>44251</v>
      </c>
      <c r="T111" s="175">
        <v>44251</v>
      </c>
      <c r="U111" s="176">
        <f ca="1">[1]!cb_clause_conversion_2_relativeswapsharemonth(B111)</f>
        <v>6</v>
      </c>
      <c r="V111" s="177"/>
      <c r="W111" s="177"/>
      <c r="X111" s="177"/>
      <c r="Y111" s="177"/>
      <c r="Z111" s="177"/>
      <c r="AA111" s="177"/>
      <c r="AB111" s="177"/>
      <c r="AC111" s="178"/>
      <c r="AD111" s="178"/>
      <c r="AE111" s="178"/>
      <c r="AF111" s="178"/>
      <c r="AG111" s="178"/>
      <c r="AH111" s="178"/>
      <c r="AI111" s="178"/>
      <c r="AJ111" s="178"/>
      <c r="AK111" s="178"/>
      <c r="AL111" s="178"/>
      <c r="AM111" s="178"/>
      <c r="AN111" s="178"/>
      <c r="AO111" s="178"/>
      <c r="AP111" s="178"/>
      <c r="AQ111" s="178"/>
      <c r="AR111" s="178"/>
      <c r="AS111" s="178"/>
      <c r="AT111" s="178"/>
      <c r="AU111" s="178"/>
    </row>
    <row r="112" spans="1:47" s="141" customFormat="1" ht="10.3" x14ac:dyDescent="0.25">
      <c r="A112" s="132" t="s">
        <v>0</v>
      </c>
      <c r="B112" s="132" t="s">
        <v>44</v>
      </c>
      <c r="C112" s="132" t="s">
        <v>45</v>
      </c>
      <c r="D112" s="134">
        <v>4.9315068493150687</v>
      </c>
      <c r="E112" s="133">
        <v>5.9490299999999996</v>
      </c>
      <c r="F112" s="133">
        <v>6</v>
      </c>
      <c r="G112" s="134">
        <v>23.85</v>
      </c>
      <c r="H112" s="133">
        <v>0</v>
      </c>
      <c r="I112" s="133" t="s">
        <v>973</v>
      </c>
      <c r="J112" s="318" t="s">
        <v>974</v>
      </c>
      <c r="K112" s="318" t="s">
        <v>1161</v>
      </c>
      <c r="L112" s="312"/>
      <c r="M112" s="312" t="s">
        <v>1048</v>
      </c>
      <c r="N112" s="135">
        <v>85</v>
      </c>
      <c r="O112" s="135">
        <v>70</v>
      </c>
      <c r="P112" s="135">
        <v>130</v>
      </c>
      <c r="Q112" s="136">
        <v>120</v>
      </c>
      <c r="R112" s="137">
        <v>46247</v>
      </c>
      <c r="S112" s="138">
        <v>44246</v>
      </c>
      <c r="T112" s="138">
        <v>44246</v>
      </c>
      <c r="U112" s="181">
        <f ca="1">[1]!cb_clause_conversion_2_relativeswapsharemonth(B112)</f>
        <v>6</v>
      </c>
      <c r="V112" s="139"/>
      <c r="W112" s="139"/>
      <c r="X112" s="139"/>
      <c r="Y112" s="139"/>
      <c r="Z112" s="139"/>
      <c r="AA112" s="139"/>
      <c r="AB112" s="139"/>
      <c r="AC112" s="140"/>
      <c r="AD112" s="140"/>
      <c r="AE112" s="140"/>
      <c r="AF112" s="140"/>
      <c r="AG112" s="140"/>
      <c r="AH112" s="140"/>
      <c r="AI112" s="140"/>
      <c r="AJ112" s="140"/>
      <c r="AK112" s="140"/>
      <c r="AL112" s="140"/>
      <c r="AM112" s="140"/>
      <c r="AN112" s="140"/>
      <c r="AO112" s="140"/>
      <c r="AP112" s="140"/>
      <c r="AQ112" s="140"/>
      <c r="AR112" s="140"/>
      <c r="AS112" s="140"/>
      <c r="AT112" s="140"/>
      <c r="AU112" s="140"/>
    </row>
    <row r="113" spans="1:47" s="179" customFormat="1" ht="10.3" x14ac:dyDescent="0.25">
      <c r="A113" s="170" t="s">
        <v>5</v>
      </c>
      <c r="B113" s="170" t="s">
        <v>46</v>
      </c>
      <c r="C113" s="170" t="s">
        <v>47</v>
      </c>
      <c r="D113" s="172">
        <v>4.912328767123288</v>
      </c>
      <c r="E113" s="171">
        <v>0</v>
      </c>
      <c r="F113" s="171">
        <v>21.1</v>
      </c>
      <c r="G113" s="172">
        <v>60.27</v>
      </c>
      <c r="H113" s="171">
        <v>0</v>
      </c>
      <c r="I113" s="171" t="s">
        <v>957</v>
      </c>
      <c r="J113" s="317" t="s">
        <v>948</v>
      </c>
      <c r="K113" s="317" t="s">
        <v>1272</v>
      </c>
      <c r="L113" s="311"/>
      <c r="M113" s="311" t="s">
        <v>950</v>
      </c>
      <c r="N113" s="173">
        <v>80</v>
      </c>
      <c r="O113" s="173">
        <v>70</v>
      </c>
      <c r="P113" s="173">
        <v>130</v>
      </c>
      <c r="Q113" s="174">
        <v>107</v>
      </c>
      <c r="R113" s="180">
        <v>46240</v>
      </c>
      <c r="S113" s="175">
        <v>44245</v>
      </c>
      <c r="T113" s="175">
        <v>44245</v>
      </c>
      <c r="U113" s="176">
        <f ca="1">[1]!cb_clause_conversion_2_relativeswapsharemonth(B113)</f>
        <v>6</v>
      </c>
      <c r="V113" s="177"/>
      <c r="W113" s="177"/>
      <c r="X113" s="177"/>
      <c r="Y113" s="177"/>
      <c r="Z113" s="177"/>
      <c r="AA113" s="177"/>
      <c r="AB113" s="177"/>
      <c r="AC113" s="178"/>
      <c r="AD113" s="178"/>
      <c r="AE113" s="178"/>
      <c r="AF113" s="178"/>
      <c r="AG113" s="178"/>
      <c r="AH113" s="178"/>
      <c r="AI113" s="178"/>
      <c r="AJ113" s="178"/>
      <c r="AK113" s="178"/>
      <c r="AL113" s="178"/>
      <c r="AM113" s="178"/>
      <c r="AN113" s="178"/>
      <c r="AO113" s="178"/>
      <c r="AP113" s="178"/>
      <c r="AQ113" s="178"/>
      <c r="AR113" s="178"/>
      <c r="AS113" s="178"/>
      <c r="AT113" s="178"/>
      <c r="AU113" s="178"/>
    </row>
    <row r="114" spans="1:47" s="141" customFormat="1" ht="10.3" x14ac:dyDescent="0.25">
      <c r="A114" s="132" t="s">
        <v>0</v>
      </c>
      <c r="B114" s="132" t="s">
        <v>48</v>
      </c>
      <c r="C114" s="132" t="s">
        <v>49</v>
      </c>
      <c r="D114" s="134">
        <v>4.9095890410958907</v>
      </c>
      <c r="E114" s="133">
        <v>7.1983699999999997</v>
      </c>
      <c r="F114" s="133">
        <v>7.2</v>
      </c>
      <c r="G114" s="134">
        <v>18.32</v>
      </c>
      <c r="H114" s="133">
        <v>0</v>
      </c>
      <c r="I114" s="133" t="s">
        <v>973</v>
      </c>
      <c r="J114" s="318" t="s">
        <v>974</v>
      </c>
      <c r="K114" s="318" t="s">
        <v>1072</v>
      </c>
      <c r="L114" s="312"/>
      <c r="M114" s="312" t="s">
        <v>1048</v>
      </c>
      <c r="N114" s="135">
        <v>85</v>
      </c>
      <c r="O114" s="135">
        <v>70</v>
      </c>
      <c r="P114" s="135">
        <v>130</v>
      </c>
      <c r="Q114" s="136">
        <v>120</v>
      </c>
      <c r="R114" s="137">
        <v>46239</v>
      </c>
      <c r="S114" s="138">
        <v>44245</v>
      </c>
      <c r="T114" s="138">
        <v>44245</v>
      </c>
      <c r="U114" s="181">
        <f ca="1">[1]!cb_clause_conversion_2_relativeswapsharemonth(B114)</f>
        <v>6</v>
      </c>
      <c r="V114" s="139"/>
      <c r="W114" s="139"/>
      <c r="X114" s="139"/>
      <c r="Y114" s="139"/>
      <c r="Z114" s="139"/>
      <c r="AA114" s="139"/>
      <c r="AB114" s="139"/>
      <c r="AC114" s="140"/>
      <c r="AD114" s="140"/>
      <c r="AE114" s="140"/>
      <c r="AF114" s="140"/>
      <c r="AG114" s="140"/>
      <c r="AH114" s="140"/>
      <c r="AI114" s="140"/>
      <c r="AJ114" s="140"/>
      <c r="AK114" s="140"/>
      <c r="AL114" s="140"/>
      <c r="AM114" s="140"/>
      <c r="AN114" s="140"/>
      <c r="AO114" s="140"/>
      <c r="AP114" s="140"/>
      <c r="AQ114" s="140"/>
      <c r="AR114" s="140"/>
      <c r="AS114" s="140"/>
      <c r="AT114" s="140"/>
      <c r="AU114" s="140"/>
    </row>
    <row r="115" spans="1:47" s="179" customFormat="1" ht="10.3" x14ac:dyDescent="0.25">
      <c r="A115" s="170" t="s">
        <v>0</v>
      </c>
      <c r="B115" s="170" t="s">
        <v>50</v>
      </c>
      <c r="C115" s="170" t="s">
        <v>51</v>
      </c>
      <c r="D115" s="172">
        <v>4.8958904109589039</v>
      </c>
      <c r="E115" s="171">
        <v>0</v>
      </c>
      <c r="F115" s="171">
        <v>50</v>
      </c>
      <c r="G115" s="172">
        <v>52.59</v>
      </c>
      <c r="H115" s="171">
        <v>0</v>
      </c>
      <c r="I115" s="171" t="s">
        <v>941</v>
      </c>
      <c r="J115" s="317" t="s">
        <v>948</v>
      </c>
      <c r="K115" s="317" t="s">
        <v>1432</v>
      </c>
      <c r="L115" s="311"/>
      <c r="M115" s="311" t="s">
        <v>982</v>
      </c>
      <c r="N115" s="173">
        <v>85</v>
      </c>
      <c r="O115" s="173">
        <v>70</v>
      </c>
      <c r="P115" s="173">
        <v>130</v>
      </c>
      <c r="Q115" s="174">
        <v>107</v>
      </c>
      <c r="R115" s="180">
        <v>46234</v>
      </c>
      <c r="S115" s="175">
        <v>44235</v>
      </c>
      <c r="T115" s="175">
        <v>44235</v>
      </c>
      <c r="U115" s="176">
        <f ca="1">[1]!cb_clause_conversion_2_relativeswapsharemonth(B115)</f>
        <v>6</v>
      </c>
      <c r="V115" s="177"/>
      <c r="W115" s="177"/>
      <c r="X115" s="177"/>
      <c r="Y115" s="177"/>
      <c r="Z115" s="177"/>
      <c r="AA115" s="177"/>
      <c r="AB115" s="177"/>
      <c r="AC115" s="178"/>
      <c r="AD115" s="178"/>
      <c r="AE115" s="178"/>
      <c r="AF115" s="178"/>
      <c r="AG115" s="178"/>
      <c r="AH115" s="178"/>
      <c r="AI115" s="178"/>
      <c r="AJ115" s="178"/>
      <c r="AK115" s="178"/>
      <c r="AL115" s="178"/>
      <c r="AM115" s="178"/>
      <c r="AN115" s="178"/>
      <c r="AO115" s="178"/>
      <c r="AP115" s="178"/>
      <c r="AQ115" s="178"/>
      <c r="AR115" s="178"/>
      <c r="AS115" s="178"/>
      <c r="AT115" s="178"/>
      <c r="AU115" s="178"/>
    </row>
    <row r="116" spans="1:47" s="141" customFormat="1" ht="10.3" x14ac:dyDescent="0.25">
      <c r="A116" s="132" t="s">
        <v>0</v>
      </c>
      <c r="B116" s="132" t="s">
        <v>52</v>
      </c>
      <c r="C116" s="132" t="s">
        <v>53</v>
      </c>
      <c r="D116" s="134">
        <v>4.8958904109589039</v>
      </c>
      <c r="E116" s="133">
        <v>2.7532100000000002</v>
      </c>
      <c r="F116" s="133">
        <v>3.3</v>
      </c>
      <c r="G116" s="134">
        <v>9.6999999999999993</v>
      </c>
      <c r="H116" s="133">
        <v>0</v>
      </c>
      <c r="I116" s="133" t="s">
        <v>983</v>
      </c>
      <c r="J116" s="318" t="s">
        <v>974</v>
      </c>
      <c r="K116" s="318" t="s">
        <v>1364</v>
      </c>
      <c r="L116" s="312"/>
      <c r="M116" s="312" t="s">
        <v>1039</v>
      </c>
      <c r="N116" s="135">
        <v>80</v>
      </c>
      <c r="O116" s="135">
        <v>70</v>
      </c>
      <c r="P116" s="135">
        <v>130</v>
      </c>
      <c r="Q116" s="136">
        <v>115</v>
      </c>
      <c r="R116" s="137">
        <v>46234</v>
      </c>
      <c r="S116" s="138">
        <v>44235</v>
      </c>
      <c r="T116" s="138">
        <v>44235</v>
      </c>
      <c r="U116" s="181">
        <f ca="1">[1]!cb_clause_conversion_2_relativeswapsharemonth(B116)</f>
        <v>6</v>
      </c>
      <c r="V116" s="139"/>
      <c r="W116" s="139"/>
      <c r="X116" s="139"/>
      <c r="Y116" s="139"/>
      <c r="Z116" s="139"/>
      <c r="AA116" s="139"/>
      <c r="AB116" s="139"/>
      <c r="AC116" s="140"/>
      <c r="AD116" s="140"/>
      <c r="AE116" s="140"/>
      <c r="AF116" s="140"/>
      <c r="AG116" s="140"/>
      <c r="AH116" s="140"/>
      <c r="AI116" s="140"/>
      <c r="AJ116" s="140"/>
      <c r="AK116" s="140"/>
      <c r="AL116" s="140"/>
      <c r="AM116" s="140"/>
      <c r="AN116" s="140"/>
      <c r="AO116" s="140"/>
      <c r="AP116" s="140"/>
      <c r="AQ116" s="140"/>
      <c r="AR116" s="140"/>
      <c r="AS116" s="140"/>
      <c r="AT116" s="140"/>
      <c r="AU116" s="140"/>
    </row>
    <row r="117" spans="1:47" s="179" customFormat="1" ht="10.3" x14ac:dyDescent="0.25">
      <c r="A117" s="170" t="s">
        <v>0</v>
      </c>
      <c r="B117" s="170" t="s">
        <v>54</v>
      </c>
      <c r="C117" s="170" t="s">
        <v>55</v>
      </c>
      <c r="D117" s="172">
        <v>4.8931506849315065</v>
      </c>
      <c r="E117" s="171">
        <v>2.9984799999999998</v>
      </c>
      <c r="F117" s="171">
        <v>3</v>
      </c>
      <c r="G117" s="172">
        <v>23.15</v>
      </c>
      <c r="H117" s="171">
        <v>0</v>
      </c>
      <c r="I117" s="171" t="s">
        <v>983</v>
      </c>
      <c r="J117" s="317" t="s">
        <v>970</v>
      </c>
      <c r="K117" s="317" t="s">
        <v>1452</v>
      </c>
      <c r="L117" s="314" t="s">
        <v>1554</v>
      </c>
      <c r="M117" s="314" t="s">
        <v>945</v>
      </c>
      <c r="N117" s="173">
        <v>85</v>
      </c>
      <c r="O117" s="173">
        <v>70</v>
      </c>
      <c r="P117" s="173">
        <v>130</v>
      </c>
      <c r="Q117" s="174">
        <v>118</v>
      </c>
      <c r="R117" s="180">
        <v>46233</v>
      </c>
      <c r="S117" s="175">
        <v>44232</v>
      </c>
      <c r="T117" s="175">
        <v>44232</v>
      </c>
      <c r="U117" s="176">
        <f ca="1">[1]!cb_clause_conversion_2_relativeswapsharemonth(B117)</f>
        <v>6</v>
      </c>
      <c r="V117" s="177"/>
      <c r="W117" s="177"/>
      <c r="X117" s="177"/>
      <c r="Y117" s="177"/>
      <c r="Z117" s="177"/>
      <c r="AA117" s="177"/>
      <c r="AB117" s="177"/>
      <c r="AC117" s="178"/>
      <c r="AD117" s="178"/>
      <c r="AE117" s="178"/>
      <c r="AF117" s="178"/>
      <c r="AG117" s="178"/>
      <c r="AH117" s="178"/>
      <c r="AI117" s="178"/>
      <c r="AJ117" s="178"/>
      <c r="AK117" s="178"/>
      <c r="AL117" s="178"/>
      <c r="AM117" s="178"/>
      <c r="AN117" s="178"/>
      <c r="AO117" s="178"/>
      <c r="AP117" s="178"/>
      <c r="AQ117" s="178"/>
      <c r="AR117" s="178"/>
      <c r="AS117" s="178"/>
      <c r="AT117" s="178"/>
      <c r="AU117" s="178"/>
    </row>
    <row r="118" spans="1:47" s="141" customFormat="1" ht="10.3" x14ac:dyDescent="0.25">
      <c r="A118" s="132" t="s">
        <v>5</v>
      </c>
      <c r="B118" s="132" t="s">
        <v>56</v>
      </c>
      <c r="C118" s="132" t="s">
        <v>57</v>
      </c>
      <c r="D118" s="134">
        <v>4.8931506849315065</v>
      </c>
      <c r="E118" s="133">
        <v>4.4986990000000002</v>
      </c>
      <c r="F118" s="133">
        <v>4.5</v>
      </c>
      <c r="G118" s="134">
        <v>25.39</v>
      </c>
      <c r="H118" s="133">
        <v>0</v>
      </c>
      <c r="I118" s="133" t="s">
        <v>973</v>
      </c>
      <c r="J118" s="318" t="s">
        <v>974</v>
      </c>
      <c r="K118" s="318" t="s">
        <v>1019</v>
      </c>
      <c r="L118" s="312"/>
      <c r="M118" s="312" t="s">
        <v>1090</v>
      </c>
      <c r="N118" s="135">
        <v>85</v>
      </c>
      <c r="O118" s="135">
        <v>70</v>
      </c>
      <c r="P118" s="135">
        <v>130</v>
      </c>
      <c r="Q118" s="136">
        <v>113</v>
      </c>
      <c r="R118" s="137">
        <v>46233</v>
      </c>
      <c r="S118" s="138">
        <v>44232</v>
      </c>
      <c r="T118" s="138">
        <v>44232</v>
      </c>
      <c r="U118" s="181">
        <f ca="1">[1]!cb_clause_conversion_2_relativeswapsharemonth(B118)</f>
        <v>6</v>
      </c>
      <c r="V118" s="139"/>
      <c r="W118" s="139"/>
      <c r="X118" s="139"/>
      <c r="Y118" s="139"/>
      <c r="Z118" s="139"/>
      <c r="AA118" s="139"/>
      <c r="AB118" s="139"/>
      <c r="AC118" s="140"/>
      <c r="AD118" s="140"/>
      <c r="AE118" s="140"/>
      <c r="AF118" s="140"/>
      <c r="AG118" s="140"/>
      <c r="AH118" s="140"/>
      <c r="AI118" s="140"/>
      <c r="AJ118" s="140"/>
      <c r="AK118" s="140"/>
      <c r="AL118" s="140"/>
      <c r="AM118" s="140"/>
      <c r="AN118" s="140"/>
      <c r="AO118" s="140"/>
      <c r="AP118" s="140"/>
      <c r="AQ118" s="140"/>
      <c r="AR118" s="140"/>
      <c r="AS118" s="140"/>
      <c r="AT118" s="140"/>
      <c r="AU118" s="140"/>
    </row>
    <row r="119" spans="1:47" s="179" customFormat="1" ht="10.3" x14ac:dyDescent="0.25">
      <c r="A119" s="170" t="s">
        <v>5</v>
      </c>
      <c r="B119" s="170" t="s">
        <v>60</v>
      </c>
      <c r="C119" s="170" t="s">
        <v>61</v>
      </c>
      <c r="D119" s="172">
        <v>4.8876712328767127</v>
      </c>
      <c r="E119" s="171">
        <v>6.3463409999999998</v>
      </c>
      <c r="F119" s="171">
        <v>6.4</v>
      </c>
      <c r="G119" s="172">
        <v>4.83</v>
      </c>
      <c r="H119" s="171">
        <v>0</v>
      </c>
      <c r="I119" s="171" t="s">
        <v>973</v>
      </c>
      <c r="J119" s="317" t="s">
        <v>974</v>
      </c>
      <c r="K119" s="317" t="s">
        <v>1159</v>
      </c>
      <c r="L119" s="311"/>
      <c r="M119" s="311" t="s">
        <v>971</v>
      </c>
      <c r="N119" s="173">
        <v>85</v>
      </c>
      <c r="O119" s="173">
        <v>70</v>
      </c>
      <c r="P119" s="173">
        <v>130</v>
      </c>
      <c r="Q119" s="174">
        <v>120</v>
      </c>
      <c r="R119" s="180">
        <v>46231</v>
      </c>
      <c r="S119" s="175">
        <v>44230</v>
      </c>
      <c r="T119" s="175">
        <v>44230</v>
      </c>
      <c r="U119" s="176">
        <f ca="1">[1]!cb_clause_conversion_2_relativeswapsharemonth(B119)</f>
        <v>6</v>
      </c>
      <c r="V119" s="177"/>
      <c r="W119" s="177"/>
      <c r="X119" s="177"/>
      <c r="Y119" s="177"/>
      <c r="Z119" s="177"/>
      <c r="AA119" s="177"/>
      <c r="AB119" s="177"/>
      <c r="AC119" s="178"/>
      <c r="AD119" s="178"/>
      <c r="AE119" s="178"/>
      <c r="AF119" s="178"/>
      <c r="AG119" s="178"/>
      <c r="AH119" s="178"/>
      <c r="AI119" s="178"/>
      <c r="AJ119" s="178"/>
      <c r="AK119" s="178"/>
      <c r="AL119" s="178"/>
      <c r="AM119" s="178"/>
      <c r="AN119" s="178"/>
      <c r="AO119" s="178"/>
      <c r="AP119" s="178"/>
      <c r="AQ119" s="178"/>
      <c r="AR119" s="178"/>
      <c r="AS119" s="178"/>
      <c r="AT119" s="178"/>
      <c r="AU119" s="178"/>
    </row>
    <row r="120" spans="1:47" s="141" customFormat="1" ht="10.3" x14ac:dyDescent="0.25">
      <c r="A120" s="132" t="s">
        <v>0</v>
      </c>
      <c r="B120" s="132" t="s">
        <v>58</v>
      </c>
      <c r="C120" s="132" t="s">
        <v>59</v>
      </c>
      <c r="D120" s="134">
        <v>4.8876712328767127</v>
      </c>
      <c r="E120" s="133">
        <v>11.997669999999999</v>
      </c>
      <c r="F120" s="133">
        <v>12</v>
      </c>
      <c r="G120" s="134">
        <v>24.26</v>
      </c>
      <c r="H120" s="133">
        <v>0</v>
      </c>
      <c r="I120" s="133" t="s">
        <v>983</v>
      </c>
      <c r="J120" s="318" t="s">
        <v>958</v>
      </c>
      <c r="K120" s="318" t="s">
        <v>1120</v>
      </c>
      <c r="L120" s="312"/>
      <c r="M120" s="312" t="s">
        <v>1047</v>
      </c>
      <c r="N120" s="135">
        <v>85</v>
      </c>
      <c r="O120" s="135">
        <v>70</v>
      </c>
      <c r="P120" s="135">
        <v>130</v>
      </c>
      <c r="Q120" s="136">
        <v>108</v>
      </c>
      <c r="R120" s="137">
        <v>46231</v>
      </c>
      <c r="S120" s="138">
        <v>44231</v>
      </c>
      <c r="T120" s="138">
        <v>44231</v>
      </c>
      <c r="U120" s="181">
        <f ca="1">[1]!cb_clause_conversion_2_relativeswapsharemonth(B120)</f>
        <v>6</v>
      </c>
      <c r="V120" s="139"/>
      <c r="W120" s="139"/>
      <c r="X120" s="139"/>
      <c r="Y120" s="139"/>
      <c r="Z120" s="139"/>
      <c r="AA120" s="139"/>
      <c r="AB120" s="139"/>
      <c r="AC120" s="140"/>
      <c r="AD120" s="140"/>
      <c r="AE120" s="140"/>
      <c r="AF120" s="140"/>
      <c r="AG120" s="140"/>
      <c r="AH120" s="140"/>
      <c r="AI120" s="140"/>
      <c r="AJ120" s="140"/>
      <c r="AK120" s="140"/>
      <c r="AL120" s="140"/>
      <c r="AM120" s="140"/>
      <c r="AN120" s="140"/>
      <c r="AO120" s="140"/>
      <c r="AP120" s="140"/>
      <c r="AQ120" s="140"/>
      <c r="AR120" s="140"/>
      <c r="AS120" s="140"/>
      <c r="AT120" s="140"/>
      <c r="AU120" s="140"/>
    </row>
    <row r="121" spans="1:47" s="179" customFormat="1" ht="10.3" x14ac:dyDescent="0.25">
      <c r="A121" s="170" t="s">
        <v>5</v>
      </c>
      <c r="B121" s="170" t="s">
        <v>62</v>
      </c>
      <c r="C121" s="170" t="s">
        <v>63</v>
      </c>
      <c r="D121" s="172">
        <v>4.8876712328767127</v>
      </c>
      <c r="E121" s="171">
        <v>7.3768529999999997</v>
      </c>
      <c r="F121" s="171">
        <v>7.4</v>
      </c>
      <c r="G121" s="172">
        <v>21.3</v>
      </c>
      <c r="H121" s="171">
        <v>0</v>
      </c>
      <c r="I121" s="171" t="s">
        <v>957</v>
      </c>
      <c r="J121" s="317" t="s">
        <v>942</v>
      </c>
      <c r="K121" s="317" t="s">
        <v>1541</v>
      </c>
      <c r="L121" s="311"/>
      <c r="M121" s="311" t="s">
        <v>1090</v>
      </c>
      <c r="N121" s="173">
        <v>90</v>
      </c>
      <c r="O121" s="173">
        <v>70</v>
      </c>
      <c r="P121" s="173">
        <v>130</v>
      </c>
      <c r="Q121" s="174">
        <v>106</v>
      </c>
      <c r="R121" s="180">
        <v>46231</v>
      </c>
      <c r="S121" s="175">
        <v>44230</v>
      </c>
      <c r="T121" s="175">
        <v>44230</v>
      </c>
      <c r="U121" s="176">
        <f ca="1">[1]!cb_clause_conversion_2_relativeswapsharemonth(B121)</f>
        <v>6</v>
      </c>
      <c r="V121" s="177"/>
      <c r="W121" s="177"/>
      <c r="X121" s="177"/>
      <c r="Y121" s="177"/>
      <c r="Z121" s="177"/>
      <c r="AA121" s="177"/>
      <c r="AB121" s="177"/>
      <c r="AC121" s="178"/>
      <c r="AD121" s="178"/>
      <c r="AE121" s="178"/>
      <c r="AF121" s="178"/>
      <c r="AG121" s="178"/>
      <c r="AH121" s="178"/>
      <c r="AI121" s="178"/>
      <c r="AJ121" s="178"/>
      <c r="AK121" s="178"/>
      <c r="AL121" s="178"/>
      <c r="AM121" s="178"/>
      <c r="AN121" s="178"/>
      <c r="AO121" s="178"/>
      <c r="AP121" s="178"/>
      <c r="AQ121" s="178"/>
      <c r="AR121" s="178"/>
      <c r="AS121" s="178"/>
      <c r="AT121" s="178"/>
      <c r="AU121" s="178"/>
    </row>
    <row r="122" spans="1:47" s="141" customFormat="1" ht="10.3" x14ac:dyDescent="0.25">
      <c r="A122" s="132" t="s">
        <v>5</v>
      </c>
      <c r="B122" s="132" t="s">
        <v>66</v>
      </c>
      <c r="C122" s="132" t="s">
        <v>67</v>
      </c>
      <c r="D122" s="134">
        <v>4.8849315068493153</v>
      </c>
      <c r="E122" s="133">
        <v>3.199579</v>
      </c>
      <c r="F122" s="133">
        <v>3.2</v>
      </c>
      <c r="G122" s="134">
        <v>13.48</v>
      </c>
      <c r="H122" s="133">
        <v>0</v>
      </c>
      <c r="I122" s="133" t="s">
        <v>973</v>
      </c>
      <c r="J122" s="318" t="s">
        <v>974</v>
      </c>
      <c r="K122" s="318" t="s">
        <v>1540</v>
      </c>
      <c r="L122" s="312"/>
      <c r="M122" s="312" t="s">
        <v>1101</v>
      </c>
      <c r="N122" s="135">
        <v>80</v>
      </c>
      <c r="O122" s="135">
        <v>70</v>
      </c>
      <c r="P122" s="135">
        <v>130</v>
      </c>
      <c r="Q122" s="136">
        <v>110</v>
      </c>
      <c r="R122" s="137">
        <v>46230</v>
      </c>
      <c r="S122" s="138">
        <v>44228</v>
      </c>
      <c r="T122" s="138">
        <v>44228</v>
      </c>
      <c r="U122" s="181">
        <f ca="1">[1]!cb_clause_conversion_2_relativeswapsharemonth(B122)</f>
        <v>6</v>
      </c>
      <c r="V122" s="139"/>
      <c r="W122" s="139"/>
      <c r="X122" s="139"/>
      <c r="Y122" s="139"/>
      <c r="Z122" s="139"/>
      <c r="AA122" s="139"/>
      <c r="AB122" s="139"/>
      <c r="AC122" s="140"/>
      <c r="AD122" s="140"/>
      <c r="AE122" s="140"/>
      <c r="AF122" s="140"/>
      <c r="AG122" s="140"/>
      <c r="AH122" s="140"/>
      <c r="AI122" s="140"/>
      <c r="AJ122" s="140"/>
      <c r="AK122" s="140"/>
      <c r="AL122" s="140"/>
      <c r="AM122" s="140"/>
      <c r="AN122" s="140"/>
      <c r="AO122" s="140"/>
      <c r="AP122" s="140"/>
      <c r="AQ122" s="140"/>
      <c r="AR122" s="140"/>
      <c r="AS122" s="140"/>
      <c r="AT122" s="140"/>
      <c r="AU122" s="140"/>
    </row>
    <row r="123" spans="1:47" s="179" customFormat="1" ht="10.3" x14ac:dyDescent="0.25">
      <c r="A123" s="170" t="s">
        <v>5</v>
      </c>
      <c r="B123" s="170" t="s">
        <v>64</v>
      </c>
      <c r="C123" s="170" t="s">
        <v>65</v>
      </c>
      <c r="D123" s="172">
        <v>4.8849315068493153</v>
      </c>
      <c r="E123" s="171">
        <v>1.947703</v>
      </c>
      <c r="F123" s="171">
        <v>2</v>
      </c>
      <c r="G123" s="172">
        <v>17.13</v>
      </c>
      <c r="H123" s="171">
        <v>0</v>
      </c>
      <c r="I123" s="171" t="s">
        <v>1152</v>
      </c>
      <c r="J123" s="317" t="s">
        <v>1099</v>
      </c>
      <c r="K123" s="317" t="s">
        <v>1478</v>
      </c>
      <c r="L123" s="314"/>
      <c r="M123" s="314" t="s">
        <v>1479</v>
      </c>
      <c r="N123" s="173">
        <v>85</v>
      </c>
      <c r="O123" s="173">
        <v>70</v>
      </c>
      <c r="P123" s="173">
        <v>130</v>
      </c>
      <c r="Q123" s="174">
        <v>113</v>
      </c>
      <c r="R123" s="180">
        <v>46230</v>
      </c>
      <c r="S123" s="175">
        <v>44228</v>
      </c>
      <c r="T123" s="175">
        <v>44228</v>
      </c>
      <c r="U123" s="176">
        <f ca="1">[1]!cb_clause_conversion_2_relativeswapsharemonth(B123)</f>
        <v>6</v>
      </c>
      <c r="V123" s="177"/>
      <c r="W123" s="177"/>
      <c r="X123" s="177"/>
      <c r="Y123" s="177"/>
      <c r="Z123" s="177"/>
      <c r="AA123" s="177"/>
      <c r="AB123" s="177"/>
      <c r="AC123" s="178"/>
      <c r="AD123" s="178"/>
      <c r="AE123" s="178"/>
      <c r="AF123" s="178"/>
      <c r="AG123" s="178"/>
      <c r="AH123" s="178"/>
      <c r="AI123" s="178"/>
      <c r="AJ123" s="178"/>
      <c r="AK123" s="178"/>
      <c r="AL123" s="178"/>
      <c r="AM123" s="178"/>
      <c r="AN123" s="178"/>
      <c r="AO123" s="178"/>
      <c r="AP123" s="178"/>
      <c r="AQ123" s="178"/>
      <c r="AR123" s="178"/>
      <c r="AS123" s="178"/>
      <c r="AT123" s="178"/>
      <c r="AU123" s="178"/>
    </row>
    <row r="124" spans="1:47" s="141" customFormat="1" ht="10.3" x14ac:dyDescent="0.25">
      <c r="A124" s="132" t="s">
        <v>0</v>
      </c>
      <c r="B124" s="132" t="s">
        <v>68</v>
      </c>
      <c r="C124" s="132" t="s">
        <v>69</v>
      </c>
      <c r="D124" s="134">
        <v>4.8767123287671232</v>
      </c>
      <c r="E124" s="133">
        <v>79.99539</v>
      </c>
      <c r="F124" s="133">
        <v>80</v>
      </c>
      <c r="G124" s="134">
        <v>9.9</v>
      </c>
      <c r="H124" s="133">
        <v>72</v>
      </c>
      <c r="I124" s="133" t="s">
        <v>941</v>
      </c>
      <c r="J124" s="318" t="s">
        <v>942</v>
      </c>
      <c r="K124" s="318" t="s">
        <v>1418</v>
      </c>
      <c r="L124" s="312"/>
      <c r="M124" s="312" t="s">
        <v>1419</v>
      </c>
      <c r="N124" s="135">
        <v>80</v>
      </c>
      <c r="O124" s="135"/>
      <c r="P124" s="135">
        <v>130</v>
      </c>
      <c r="Q124" s="136">
        <v>107</v>
      </c>
      <c r="R124" s="137">
        <v>46227</v>
      </c>
      <c r="S124" s="138">
        <v>44228</v>
      </c>
      <c r="T124" s="138">
        <v>44228</v>
      </c>
      <c r="U124" s="181">
        <f ca="1">[1]!cb_clause_conversion_2_relativeswapsharemonth(B124)</f>
        <v>6</v>
      </c>
      <c r="V124" s="139"/>
      <c r="W124" s="139"/>
      <c r="X124" s="139"/>
      <c r="Y124" s="139"/>
      <c r="Z124" s="139"/>
      <c r="AA124" s="139"/>
      <c r="AB124" s="139"/>
      <c r="AC124" s="140"/>
      <c r="AD124" s="140"/>
      <c r="AE124" s="140"/>
      <c r="AF124" s="140"/>
      <c r="AG124" s="140"/>
      <c r="AH124" s="140"/>
      <c r="AI124" s="140"/>
      <c r="AJ124" s="140"/>
      <c r="AK124" s="140"/>
      <c r="AL124" s="140"/>
      <c r="AM124" s="140"/>
      <c r="AN124" s="140"/>
      <c r="AO124" s="140"/>
      <c r="AP124" s="140"/>
      <c r="AQ124" s="140"/>
      <c r="AR124" s="140"/>
      <c r="AS124" s="140"/>
      <c r="AT124" s="140"/>
      <c r="AU124" s="140"/>
    </row>
    <row r="125" spans="1:47" s="179" customFormat="1" ht="10.3" x14ac:dyDescent="0.25">
      <c r="A125" s="170" t="s">
        <v>0</v>
      </c>
      <c r="B125" s="170" t="s">
        <v>870</v>
      </c>
      <c r="C125" s="170" t="s">
        <v>871</v>
      </c>
      <c r="D125" s="172">
        <v>4.8739726027397259</v>
      </c>
      <c r="E125" s="171">
        <v>44.997259999999997</v>
      </c>
      <c r="F125" s="171">
        <v>45</v>
      </c>
      <c r="G125" s="172">
        <v>4.05</v>
      </c>
      <c r="H125" s="171">
        <v>0</v>
      </c>
      <c r="I125" s="171" t="s">
        <v>935</v>
      </c>
      <c r="J125" s="317" t="s">
        <v>936</v>
      </c>
      <c r="K125" s="317" t="s">
        <v>1141</v>
      </c>
      <c r="L125" s="311"/>
      <c r="M125" s="311" t="s">
        <v>1431</v>
      </c>
      <c r="N125" s="173">
        <v>80</v>
      </c>
      <c r="O125" s="173"/>
      <c r="P125" s="173">
        <v>130</v>
      </c>
      <c r="Q125" s="174">
        <v>110</v>
      </c>
      <c r="R125" s="180">
        <v>46226</v>
      </c>
      <c r="S125" s="175">
        <v>44225</v>
      </c>
      <c r="T125" s="175">
        <v>44225</v>
      </c>
      <c r="U125" s="176">
        <f ca="1">[1]!cb_clause_conversion_2_relativeswapsharemonth(B125)</f>
        <v>6</v>
      </c>
      <c r="V125" s="177"/>
      <c r="W125" s="177"/>
      <c r="X125" s="177"/>
      <c r="Y125" s="177"/>
      <c r="Z125" s="177"/>
      <c r="AA125" s="177"/>
      <c r="AB125" s="177"/>
      <c r="AC125" s="178"/>
      <c r="AD125" s="178"/>
      <c r="AE125" s="178"/>
      <c r="AF125" s="178"/>
      <c r="AG125" s="178"/>
      <c r="AH125" s="178"/>
      <c r="AI125" s="178"/>
      <c r="AJ125" s="178"/>
      <c r="AK125" s="178"/>
      <c r="AL125" s="178"/>
      <c r="AM125" s="178"/>
      <c r="AN125" s="178"/>
      <c r="AO125" s="178"/>
      <c r="AP125" s="178"/>
      <c r="AQ125" s="178"/>
      <c r="AR125" s="178"/>
      <c r="AS125" s="178"/>
      <c r="AT125" s="178"/>
      <c r="AU125" s="178"/>
    </row>
    <row r="126" spans="1:47" s="141" customFormat="1" ht="10.3" x14ac:dyDescent="0.25">
      <c r="A126" s="132" t="s">
        <v>5</v>
      </c>
      <c r="B126" s="132" t="s">
        <v>70</v>
      </c>
      <c r="C126" s="132" t="s">
        <v>71</v>
      </c>
      <c r="D126" s="134">
        <v>4.8712328767123285</v>
      </c>
      <c r="E126" s="133">
        <v>2.49681</v>
      </c>
      <c r="F126" s="133">
        <v>2.5</v>
      </c>
      <c r="G126" s="134">
        <v>14.85</v>
      </c>
      <c r="H126" s="133">
        <v>0</v>
      </c>
      <c r="I126" s="133" t="s">
        <v>1031</v>
      </c>
      <c r="J126" s="318" t="s">
        <v>951</v>
      </c>
      <c r="K126" s="318" t="s">
        <v>1477</v>
      </c>
      <c r="L126" s="312"/>
      <c r="M126" s="312" t="s">
        <v>971</v>
      </c>
      <c r="N126" s="135">
        <v>90</v>
      </c>
      <c r="O126" s="135">
        <v>70</v>
      </c>
      <c r="P126" s="135">
        <v>130</v>
      </c>
      <c r="Q126" s="136">
        <v>118</v>
      </c>
      <c r="R126" s="137">
        <v>46225</v>
      </c>
      <c r="S126" s="138">
        <v>44224</v>
      </c>
      <c r="T126" s="138">
        <v>44224</v>
      </c>
      <c r="U126" s="181">
        <f ca="1">[1]!cb_clause_conversion_2_relativeswapsharemonth(B126)</f>
        <v>6</v>
      </c>
      <c r="V126" s="139"/>
      <c r="W126" s="139"/>
      <c r="X126" s="139"/>
      <c r="Y126" s="139"/>
      <c r="Z126" s="139"/>
      <c r="AA126" s="139"/>
      <c r="AB126" s="139"/>
      <c r="AC126" s="140"/>
      <c r="AD126" s="140"/>
      <c r="AE126" s="140"/>
      <c r="AF126" s="140"/>
      <c r="AG126" s="140"/>
      <c r="AH126" s="140"/>
      <c r="AI126" s="140"/>
      <c r="AJ126" s="140"/>
      <c r="AK126" s="140"/>
      <c r="AL126" s="140"/>
      <c r="AM126" s="140"/>
      <c r="AN126" s="140"/>
      <c r="AO126" s="140"/>
      <c r="AP126" s="140"/>
      <c r="AQ126" s="140"/>
      <c r="AR126" s="140"/>
      <c r="AS126" s="140"/>
      <c r="AT126" s="140"/>
      <c r="AU126" s="140"/>
    </row>
    <row r="127" spans="1:47" s="179" customFormat="1" ht="10.3" x14ac:dyDescent="0.25">
      <c r="A127" s="170" t="s">
        <v>5</v>
      </c>
      <c r="B127" s="170" t="s">
        <v>76</v>
      </c>
      <c r="C127" s="170" t="s">
        <v>77</v>
      </c>
      <c r="D127" s="172">
        <v>4.8684931506849312</v>
      </c>
      <c r="E127" s="171">
        <v>3.096781</v>
      </c>
      <c r="F127" s="171">
        <v>3.1</v>
      </c>
      <c r="G127" s="172">
        <v>18.28</v>
      </c>
      <c r="H127" s="171">
        <v>0</v>
      </c>
      <c r="I127" s="171" t="s">
        <v>973</v>
      </c>
      <c r="J127" s="317" t="s">
        <v>974</v>
      </c>
      <c r="K127" s="317" t="s">
        <v>1264</v>
      </c>
      <c r="L127" s="311"/>
      <c r="M127" s="311" t="s">
        <v>1265</v>
      </c>
      <c r="N127" s="173">
        <v>85</v>
      </c>
      <c r="O127" s="173">
        <v>70</v>
      </c>
      <c r="P127" s="173">
        <v>130</v>
      </c>
      <c r="Q127" s="174">
        <v>112</v>
      </c>
      <c r="R127" s="180">
        <v>46224</v>
      </c>
      <c r="S127" s="175">
        <v>44223</v>
      </c>
      <c r="T127" s="175">
        <v>44223</v>
      </c>
      <c r="U127" s="176">
        <f ca="1">[1]!cb_clause_conversion_2_relativeswapsharemonth(B127)</f>
        <v>6</v>
      </c>
      <c r="V127" s="177"/>
      <c r="W127" s="177"/>
      <c r="X127" s="177"/>
      <c r="Y127" s="177"/>
      <c r="Z127" s="177"/>
      <c r="AA127" s="177"/>
      <c r="AB127" s="177"/>
      <c r="AC127" s="178"/>
      <c r="AD127" s="178"/>
      <c r="AE127" s="178"/>
      <c r="AF127" s="178"/>
      <c r="AG127" s="178"/>
      <c r="AH127" s="178"/>
      <c r="AI127" s="178"/>
      <c r="AJ127" s="178"/>
      <c r="AK127" s="178"/>
      <c r="AL127" s="178"/>
      <c r="AM127" s="178"/>
      <c r="AN127" s="178"/>
      <c r="AO127" s="178"/>
      <c r="AP127" s="178"/>
      <c r="AQ127" s="178"/>
      <c r="AR127" s="178"/>
      <c r="AS127" s="178"/>
      <c r="AT127" s="178"/>
      <c r="AU127" s="178"/>
    </row>
    <row r="128" spans="1:47" s="141" customFormat="1" ht="10.3" x14ac:dyDescent="0.25">
      <c r="A128" s="132" t="s">
        <v>0</v>
      </c>
      <c r="B128" s="132" t="s">
        <v>72</v>
      </c>
      <c r="C128" s="132" t="s">
        <v>73</v>
      </c>
      <c r="D128" s="134">
        <v>4.8684931506849312</v>
      </c>
      <c r="E128" s="133">
        <v>2.9988899999999998</v>
      </c>
      <c r="F128" s="133">
        <v>3</v>
      </c>
      <c r="G128" s="134">
        <v>27.84</v>
      </c>
      <c r="H128" s="133">
        <v>0</v>
      </c>
      <c r="I128" s="133" t="s">
        <v>1031</v>
      </c>
      <c r="J128" s="318" t="s">
        <v>974</v>
      </c>
      <c r="K128" s="318" t="s">
        <v>992</v>
      </c>
      <c r="L128" s="312"/>
      <c r="M128" s="312" t="s">
        <v>1023</v>
      </c>
      <c r="N128" s="135">
        <v>85</v>
      </c>
      <c r="O128" s="135">
        <v>70</v>
      </c>
      <c r="P128" s="135">
        <v>130</v>
      </c>
      <c r="Q128" s="136">
        <v>115</v>
      </c>
      <c r="R128" s="137">
        <v>46224</v>
      </c>
      <c r="S128" s="138">
        <v>44223</v>
      </c>
      <c r="T128" s="138">
        <v>44223</v>
      </c>
      <c r="U128" s="181">
        <f ca="1">[1]!cb_clause_conversion_2_relativeswapsharemonth(B128)</f>
        <v>6</v>
      </c>
      <c r="V128" s="139"/>
      <c r="W128" s="139"/>
      <c r="X128" s="139"/>
      <c r="Y128" s="139"/>
      <c r="Z128" s="139"/>
      <c r="AA128" s="139"/>
      <c r="AB128" s="139"/>
      <c r="AC128" s="140"/>
      <c r="AD128" s="140"/>
      <c r="AE128" s="140"/>
      <c r="AF128" s="140"/>
      <c r="AG128" s="140"/>
      <c r="AH128" s="140"/>
      <c r="AI128" s="140"/>
      <c r="AJ128" s="140"/>
      <c r="AK128" s="140"/>
      <c r="AL128" s="140"/>
      <c r="AM128" s="140"/>
      <c r="AN128" s="140"/>
      <c r="AO128" s="140"/>
      <c r="AP128" s="140"/>
      <c r="AQ128" s="140"/>
      <c r="AR128" s="140"/>
      <c r="AS128" s="140"/>
      <c r="AT128" s="140"/>
      <c r="AU128" s="140"/>
    </row>
    <row r="129" spans="1:47" s="179" customFormat="1" ht="10.3" x14ac:dyDescent="0.25">
      <c r="A129" s="170" t="s">
        <v>0</v>
      </c>
      <c r="B129" s="170" t="s">
        <v>74</v>
      </c>
      <c r="C129" s="170" t="s">
        <v>75</v>
      </c>
      <c r="D129" s="172">
        <v>4.8684931506849312</v>
      </c>
      <c r="E129" s="171">
        <v>3.2990599999999999</v>
      </c>
      <c r="F129" s="171">
        <v>3.3</v>
      </c>
      <c r="G129" s="172">
        <v>6.92</v>
      </c>
      <c r="H129" s="171">
        <v>0</v>
      </c>
      <c r="I129" s="171" t="s">
        <v>1778</v>
      </c>
      <c r="J129" s="317" t="s">
        <v>1384</v>
      </c>
      <c r="K129" s="317" t="s">
        <v>1385</v>
      </c>
      <c r="L129" s="314" t="s">
        <v>1555</v>
      </c>
      <c r="M129" s="314" t="s">
        <v>1334</v>
      </c>
      <c r="N129" s="173">
        <v>80</v>
      </c>
      <c r="O129" s="173">
        <v>70</v>
      </c>
      <c r="P129" s="173">
        <v>130</v>
      </c>
      <c r="Q129" s="174">
        <v>119</v>
      </c>
      <c r="R129" s="180">
        <v>46224</v>
      </c>
      <c r="S129" s="175">
        <v>44223</v>
      </c>
      <c r="T129" s="175">
        <v>44223</v>
      </c>
      <c r="U129" s="176">
        <f ca="1">[1]!cb_clause_conversion_2_relativeswapsharemonth(B129)</f>
        <v>6</v>
      </c>
      <c r="V129" s="177"/>
      <c r="W129" s="177"/>
      <c r="X129" s="177"/>
      <c r="Y129" s="177"/>
      <c r="Z129" s="177"/>
      <c r="AA129" s="177"/>
      <c r="AB129" s="177"/>
      <c r="AC129" s="178"/>
      <c r="AD129" s="178"/>
      <c r="AE129" s="178"/>
      <c r="AF129" s="178"/>
      <c r="AG129" s="178"/>
      <c r="AH129" s="178"/>
      <c r="AI129" s="178"/>
      <c r="AJ129" s="178"/>
      <c r="AK129" s="178"/>
      <c r="AL129" s="178"/>
      <c r="AM129" s="178"/>
      <c r="AN129" s="178"/>
      <c r="AO129" s="178"/>
      <c r="AP129" s="178"/>
      <c r="AQ129" s="178"/>
      <c r="AR129" s="178"/>
      <c r="AS129" s="178"/>
      <c r="AT129" s="178"/>
      <c r="AU129" s="178"/>
    </row>
    <row r="130" spans="1:47" s="141" customFormat="1" ht="10.3" x14ac:dyDescent="0.25">
      <c r="A130" s="132" t="s">
        <v>5</v>
      </c>
      <c r="B130" s="132" t="s">
        <v>80</v>
      </c>
      <c r="C130" s="132" t="s">
        <v>81</v>
      </c>
      <c r="D130" s="134">
        <v>4.8657534246575338</v>
      </c>
      <c r="E130" s="133">
        <v>37.900255000000001</v>
      </c>
      <c r="F130" s="133">
        <v>38</v>
      </c>
      <c r="G130" s="134">
        <v>4.63</v>
      </c>
      <c r="H130" s="133">
        <v>0</v>
      </c>
      <c r="I130" s="133" t="s">
        <v>935</v>
      </c>
      <c r="J130" s="318" t="s">
        <v>936</v>
      </c>
      <c r="K130" s="318" t="s">
        <v>1112</v>
      </c>
      <c r="L130" s="312"/>
      <c r="M130" s="312" t="s">
        <v>943</v>
      </c>
      <c r="N130" s="135">
        <v>85</v>
      </c>
      <c r="O130" s="135">
        <v>70</v>
      </c>
      <c r="P130" s="135">
        <v>130</v>
      </c>
      <c r="Q130" s="136">
        <v>110</v>
      </c>
      <c r="R130" s="137">
        <v>46223</v>
      </c>
      <c r="S130" s="138">
        <v>44221</v>
      </c>
      <c r="T130" s="138">
        <v>44221</v>
      </c>
      <c r="U130" s="181">
        <f ca="1">[1]!cb_clause_conversion_2_relativeswapsharemonth(B130)</f>
        <v>6</v>
      </c>
      <c r="V130" s="139"/>
      <c r="W130" s="139"/>
      <c r="X130" s="139"/>
      <c r="Y130" s="139"/>
      <c r="Z130" s="139"/>
      <c r="AA130" s="139"/>
      <c r="AB130" s="139"/>
      <c r="AC130" s="140"/>
      <c r="AD130" s="140"/>
      <c r="AE130" s="140"/>
      <c r="AF130" s="140"/>
      <c r="AG130" s="140"/>
      <c r="AH130" s="140"/>
      <c r="AI130" s="140"/>
      <c r="AJ130" s="140"/>
      <c r="AK130" s="140"/>
      <c r="AL130" s="140"/>
      <c r="AM130" s="140"/>
      <c r="AN130" s="140"/>
      <c r="AO130" s="140"/>
      <c r="AP130" s="140"/>
      <c r="AQ130" s="140"/>
      <c r="AR130" s="140"/>
      <c r="AS130" s="140"/>
      <c r="AT130" s="140"/>
      <c r="AU130" s="140"/>
    </row>
    <row r="131" spans="1:47" s="179" customFormat="1" ht="10.3" x14ac:dyDescent="0.25">
      <c r="A131" s="170" t="s">
        <v>0</v>
      </c>
      <c r="B131" s="170" t="s">
        <v>78</v>
      </c>
      <c r="C131" s="170" t="s">
        <v>79</v>
      </c>
      <c r="D131" s="172">
        <v>4.8657534246575338</v>
      </c>
      <c r="E131" s="171">
        <v>3.9984700000000002</v>
      </c>
      <c r="F131" s="171">
        <v>4</v>
      </c>
      <c r="G131" s="172">
        <v>21.12</v>
      </c>
      <c r="H131" s="171">
        <v>0</v>
      </c>
      <c r="I131" s="171" t="s">
        <v>1049</v>
      </c>
      <c r="J131" s="317" t="s">
        <v>955</v>
      </c>
      <c r="K131" s="317" t="s">
        <v>1327</v>
      </c>
      <c r="L131" s="314"/>
      <c r="M131" s="314" t="s">
        <v>945</v>
      </c>
      <c r="N131" s="173">
        <v>85</v>
      </c>
      <c r="O131" s="173">
        <v>70</v>
      </c>
      <c r="P131" s="173">
        <v>130</v>
      </c>
      <c r="Q131" s="174">
        <v>115</v>
      </c>
      <c r="R131" s="180">
        <v>46223</v>
      </c>
      <c r="S131" s="175">
        <v>44221</v>
      </c>
      <c r="T131" s="175">
        <v>44221</v>
      </c>
      <c r="U131" s="176">
        <f ca="1">[1]!cb_clause_conversion_2_relativeswapsharemonth(B131)</f>
        <v>6</v>
      </c>
      <c r="V131" s="177"/>
      <c r="W131" s="177"/>
      <c r="X131" s="177"/>
      <c r="Y131" s="177"/>
      <c r="Z131" s="177"/>
      <c r="AA131" s="177"/>
      <c r="AB131" s="177"/>
      <c r="AC131" s="178"/>
      <c r="AD131" s="178"/>
      <c r="AE131" s="178"/>
      <c r="AF131" s="178"/>
      <c r="AG131" s="178"/>
      <c r="AH131" s="178"/>
      <c r="AI131" s="178"/>
      <c r="AJ131" s="178"/>
      <c r="AK131" s="178"/>
      <c r="AL131" s="178"/>
      <c r="AM131" s="178"/>
      <c r="AN131" s="178"/>
      <c r="AO131" s="178"/>
      <c r="AP131" s="178"/>
      <c r="AQ131" s="178"/>
      <c r="AR131" s="178"/>
      <c r="AS131" s="178"/>
      <c r="AT131" s="178"/>
      <c r="AU131" s="178"/>
    </row>
    <row r="132" spans="1:47" s="141" customFormat="1" ht="10.3" x14ac:dyDescent="0.25">
      <c r="A132" s="132" t="s">
        <v>5</v>
      </c>
      <c r="B132" s="132" t="s">
        <v>84</v>
      </c>
      <c r="C132" s="132" t="s">
        <v>85</v>
      </c>
      <c r="D132" s="134">
        <v>4.8575342465753426</v>
      </c>
      <c r="E132" s="133">
        <v>6.6989809999999999</v>
      </c>
      <c r="F132" s="133">
        <v>6.7</v>
      </c>
      <c r="G132" s="134">
        <v>19.920000000000002</v>
      </c>
      <c r="H132" s="133">
        <v>0</v>
      </c>
      <c r="I132" s="133" t="s">
        <v>973</v>
      </c>
      <c r="J132" s="318" t="s">
        <v>974</v>
      </c>
      <c r="K132" s="318" t="s">
        <v>1538</v>
      </c>
      <c r="L132" s="312"/>
      <c r="M132" s="312" t="s">
        <v>1163</v>
      </c>
      <c r="N132" s="135">
        <v>90</v>
      </c>
      <c r="O132" s="135">
        <v>70</v>
      </c>
      <c r="P132" s="135">
        <v>130</v>
      </c>
      <c r="Q132" s="136">
        <v>108</v>
      </c>
      <c r="R132" s="137">
        <v>46220</v>
      </c>
      <c r="S132" s="138">
        <v>44221</v>
      </c>
      <c r="T132" s="138">
        <v>44221</v>
      </c>
      <c r="U132" s="181">
        <f ca="1">[1]!cb_clause_conversion_2_relativeswapsharemonth(B132)</f>
        <v>6</v>
      </c>
      <c r="V132" s="139"/>
      <c r="W132" s="139"/>
      <c r="X132" s="139"/>
      <c r="Y132" s="139"/>
      <c r="Z132" s="139"/>
      <c r="AA132" s="139"/>
      <c r="AB132" s="139"/>
      <c r="AC132" s="140"/>
      <c r="AD132" s="140"/>
      <c r="AE132" s="140"/>
      <c r="AF132" s="140"/>
      <c r="AG132" s="140"/>
      <c r="AH132" s="140"/>
      <c r="AI132" s="140"/>
      <c r="AJ132" s="140"/>
      <c r="AK132" s="140"/>
      <c r="AL132" s="140"/>
      <c r="AM132" s="140"/>
      <c r="AN132" s="140"/>
      <c r="AO132" s="140"/>
      <c r="AP132" s="140"/>
      <c r="AQ132" s="140"/>
      <c r="AR132" s="140"/>
      <c r="AS132" s="140"/>
      <c r="AT132" s="140"/>
      <c r="AU132" s="140"/>
    </row>
    <row r="133" spans="1:47" s="179" customFormat="1" ht="10.3" x14ac:dyDescent="0.25">
      <c r="A133" s="170" t="s">
        <v>5</v>
      </c>
      <c r="B133" s="170" t="s">
        <v>82</v>
      </c>
      <c r="C133" s="170" t="s">
        <v>83</v>
      </c>
      <c r="D133" s="172">
        <v>4.8575342465753426</v>
      </c>
      <c r="E133" s="171">
        <v>2.5998540000000001</v>
      </c>
      <c r="F133" s="171">
        <v>2.6</v>
      </c>
      <c r="G133" s="172">
        <v>18.440000000000001</v>
      </c>
      <c r="H133" s="171">
        <v>0</v>
      </c>
      <c r="I133" s="171" t="s">
        <v>1329</v>
      </c>
      <c r="J133" s="317" t="s">
        <v>974</v>
      </c>
      <c r="K133" s="317" t="s">
        <v>1018</v>
      </c>
      <c r="L133" s="311" t="s">
        <v>1556</v>
      </c>
      <c r="M133" s="311" t="s">
        <v>997</v>
      </c>
      <c r="N133" s="173">
        <v>85</v>
      </c>
      <c r="O133" s="173">
        <v>70</v>
      </c>
      <c r="P133" s="173">
        <v>130</v>
      </c>
      <c r="Q133" s="174">
        <v>112</v>
      </c>
      <c r="R133" s="180">
        <v>46220</v>
      </c>
      <c r="S133" s="175">
        <v>44221</v>
      </c>
      <c r="T133" s="175">
        <v>44221</v>
      </c>
      <c r="U133" s="176">
        <f ca="1">[1]!cb_clause_conversion_2_relativeswapsharemonth(B133)</f>
        <v>6</v>
      </c>
      <c r="V133" s="177"/>
      <c r="W133" s="177"/>
      <c r="X133" s="177"/>
      <c r="Y133" s="177"/>
      <c r="Z133" s="177"/>
      <c r="AA133" s="177"/>
      <c r="AB133" s="177"/>
      <c r="AC133" s="178"/>
      <c r="AD133" s="178"/>
      <c r="AE133" s="178"/>
      <c r="AF133" s="178"/>
      <c r="AG133" s="178"/>
      <c r="AH133" s="178"/>
      <c r="AI133" s="178"/>
      <c r="AJ133" s="178"/>
      <c r="AK133" s="178"/>
      <c r="AL133" s="178"/>
      <c r="AM133" s="178"/>
      <c r="AN133" s="178"/>
      <c r="AO133" s="178"/>
      <c r="AP133" s="178"/>
      <c r="AQ133" s="178"/>
      <c r="AR133" s="178"/>
      <c r="AS133" s="178"/>
      <c r="AT133" s="178"/>
      <c r="AU133" s="178"/>
    </row>
    <row r="134" spans="1:47" s="141" customFormat="1" ht="10.3" x14ac:dyDescent="0.25">
      <c r="A134" s="132" t="s">
        <v>5</v>
      </c>
      <c r="B134" s="132" t="s">
        <v>86</v>
      </c>
      <c r="C134" s="132" t="s">
        <v>87</v>
      </c>
      <c r="D134" s="134">
        <v>4.8520547945205479</v>
      </c>
      <c r="E134" s="133">
        <v>3.9132449999999999</v>
      </c>
      <c r="F134" s="133">
        <v>3.9</v>
      </c>
      <c r="G134" s="134">
        <v>9.7200000000000006</v>
      </c>
      <c r="H134" s="133">
        <v>0</v>
      </c>
      <c r="I134" s="133" t="s">
        <v>973</v>
      </c>
      <c r="J134" s="318" t="s">
        <v>942</v>
      </c>
      <c r="K134" s="318" t="s">
        <v>1476</v>
      </c>
      <c r="L134" s="312"/>
      <c r="M134" s="312" t="s">
        <v>1003</v>
      </c>
      <c r="N134" s="135">
        <v>90</v>
      </c>
      <c r="O134" s="135">
        <v>70</v>
      </c>
      <c r="P134" s="135">
        <v>130</v>
      </c>
      <c r="Q134" s="136">
        <v>118</v>
      </c>
      <c r="R134" s="137">
        <v>46218</v>
      </c>
      <c r="S134" s="138">
        <v>44217</v>
      </c>
      <c r="T134" s="138">
        <v>44217</v>
      </c>
      <c r="U134" s="181">
        <f ca="1">[1]!cb_clause_conversion_2_relativeswapsharemonth(B134)</f>
        <v>6</v>
      </c>
      <c r="V134" s="139"/>
      <c r="W134" s="139"/>
      <c r="X134" s="139"/>
      <c r="Y134" s="139"/>
      <c r="Z134" s="139"/>
      <c r="AA134" s="139"/>
      <c r="AB134" s="139"/>
      <c r="AC134" s="140"/>
      <c r="AD134" s="140"/>
      <c r="AE134" s="140"/>
      <c r="AF134" s="140"/>
      <c r="AG134" s="140"/>
      <c r="AH134" s="140"/>
      <c r="AI134" s="140"/>
      <c r="AJ134" s="140"/>
      <c r="AK134" s="140"/>
      <c r="AL134" s="140"/>
      <c r="AM134" s="140"/>
      <c r="AN134" s="140"/>
      <c r="AO134" s="140"/>
      <c r="AP134" s="140"/>
      <c r="AQ134" s="140"/>
      <c r="AR134" s="140"/>
      <c r="AS134" s="140"/>
      <c r="AT134" s="140"/>
      <c r="AU134" s="140"/>
    </row>
    <row r="135" spans="1:47" s="179" customFormat="1" ht="10.3" x14ac:dyDescent="0.25">
      <c r="A135" s="170" t="s">
        <v>5</v>
      </c>
      <c r="B135" s="170" t="s">
        <v>88</v>
      </c>
      <c r="C135" s="170" t="s">
        <v>89</v>
      </c>
      <c r="D135" s="172">
        <v>4.8520547945205479</v>
      </c>
      <c r="E135" s="171">
        <v>8.4982600000000001</v>
      </c>
      <c r="F135" s="171">
        <v>8.5</v>
      </c>
      <c r="G135" s="172">
        <v>21.06</v>
      </c>
      <c r="H135" s="171">
        <v>0</v>
      </c>
      <c r="I135" s="171" t="s">
        <v>957</v>
      </c>
      <c r="J135" s="317" t="s">
        <v>942</v>
      </c>
      <c r="K135" s="317" t="s">
        <v>1134</v>
      </c>
      <c r="L135" s="311"/>
      <c r="M135" s="311" t="s">
        <v>1135</v>
      </c>
      <c r="N135" s="173">
        <v>85</v>
      </c>
      <c r="O135" s="173">
        <v>70</v>
      </c>
      <c r="P135" s="173">
        <v>130</v>
      </c>
      <c r="Q135" s="174">
        <v>110</v>
      </c>
      <c r="R135" s="180">
        <v>46218</v>
      </c>
      <c r="S135" s="175">
        <v>44217</v>
      </c>
      <c r="T135" s="175">
        <v>44217</v>
      </c>
      <c r="U135" s="176">
        <f ca="1">[1]!cb_clause_conversion_2_relativeswapsharemonth(B135)</f>
        <v>6</v>
      </c>
      <c r="V135" s="177"/>
      <c r="W135" s="177"/>
      <c r="X135" s="177"/>
      <c r="Y135" s="177"/>
      <c r="Z135" s="177"/>
      <c r="AA135" s="177"/>
      <c r="AB135" s="177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78"/>
      <c r="AM135" s="178"/>
      <c r="AN135" s="178"/>
      <c r="AO135" s="178"/>
      <c r="AP135" s="178"/>
      <c r="AQ135" s="178"/>
      <c r="AR135" s="178"/>
      <c r="AS135" s="178"/>
      <c r="AT135" s="178"/>
      <c r="AU135" s="178"/>
    </row>
    <row r="136" spans="1:47" s="141" customFormat="1" ht="10.3" x14ac:dyDescent="0.25">
      <c r="A136" s="132" t="s">
        <v>5</v>
      </c>
      <c r="B136" s="132" t="s">
        <v>90</v>
      </c>
      <c r="C136" s="132" t="s">
        <v>91</v>
      </c>
      <c r="D136" s="134">
        <v>4.8493150684931505</v>
      </c>
      <c r="E136" s="133">
        <v>0</v>
      </c>
      <c r="F136" s="133">
        <v>11.2</v>
      </c>
      <c r="G136" s="134">
        <v>21.17</v>
      </c>
      <c r="H136" s="133">
        <v>0</v>
      </c>
      <c r="I136" s="133" t="s">
        <v>957</v>
      </c>
      <c r="J136" s="318" t="s">
        <v>974</v>
      </c>
      <c r="K136" s="318" t="s">
        <v>1251</v>
      </c>
      <c r="L136" s="312"/>
      <c r="M136" s="312" t="s">
        <v>1252</v>
      </c>
      <c r="N136" s="135">
        <v>80</v>
      </c>
      <c r="O136" s="135">
        <v>70</v>
      </c>
      <c r="P136" s="135">
        <v>130</v>
      </c>
      <c r="Q136" s="136">
        <v>111</v>
      </c>
      <c r="R136" s="137">
        <v>46217</v>
      </c>
      <c r="S136" s="138">
        <v>44216</v>
      </c>
      <c r="T136" s="138">
        <v>44216</v>
      </c>
      <c r="U136" s="181">
        <f ca="1">[1]!cb_clause_conversion_2_relativeswapsharemonth(B136)</f>
        <v>6</v>
      </c>
      <c r="V136" s="139"/>
      <c r="W136" s="139"/>
      <c r="X136" s="139"/>
      <c r="Y136" s="139"/>
      <c r="Z136" s="139"/>
      <c r="AA136" s="139"/>
      <c r="AB136" s="139"/>
      <c r="AC136" s="140"/>
      <c r="AD136" s="140"/>
      <c r="AE136" s="140"/>
      <c r="AF136" s="140"/>
      <c r="AG136" s="140"/>
      <c r="AH136" s="140"/>
      <c r="AI136" s="140"/>
      <c r="AJ136" s="140"/>
      <c r="AK136" s="140"/>
      <c r="AL136" s="140"/>
      <c r="AM136" s="140"/>
      <c r="AN136" s="140"/>
      <c r="AO136" s="140"/>
      <c r="AP136" s="140"/>
      <c r="AQ136" s="140"/>
      <c r="AR136" s="140"/>
      <c r="AS136" s="140"/>
      <c r="AT136" s="140"/>
      <c r="AU136" s="140"/>
    </row>
    <row r="137" spans="1:47" s="179" customFormat="1" ht="10.3" x14ac:dyDescent="0.25">
      <c r="A137" s="170" t="s">
        <v>5</v>
      </c>
      <c r="B137" s="170" t="s">
        <v>92</v>
      </c>
      <c r="C137" s="170" t="s">
        <v>93</v>
      </c>
      <c r="D137" s="172">
        <v>4.8465753424657532</v>
      </c>
      <c r="E137" s="171">
        <v>9.4618800000000007</v>
      </c>
      <c r="F137" s="171">
        <v>9.5</v>
      </c>
      <c r="G137" s="172">
        <v>9.2899999999999991</v>
      </c>
      <c r="H137" s="171">
        <v>0</v>
      </c>
      <c r="I137" s="171" t="s">
        <v>939</v>
      </c>
      <c r="J137" s="317" t="s">
        <v>955</v>
      </c>
      <c r="K137" s="317" t="s">
        <v>1392</v>
      </c>
      <c r="L137" s="314"/>
      <c r="M137" s="314" t="s">
        <v>1393</v>
      </c>
      <c r="N137" s="173">
        <v>90</v>
      </c>
      <c r="O137" s="173">
        <v>70</v>
      </c>
      <c r="P137" s="173">
        <v>130</v>
      </c>
      <c r="Q137" s="174">
        <v>115</v>
      </c>
      <c r="R137" s="180">
        <v>46216</v>
      </c>
      <c r="S137" s="175">
        <v>44214</v>
      </c>
      <c r="T137" s="175">
        <v>44214</v>
      </c>
      <c r="U137" s="176">
        <f ca="1">[1]!cb_clause_conversion_2_relativeswapsharemonth(B137)</f>
        <v>6</v>
      </c>
      <c r="V137" s="177"/>
      <c r="W137" s="177"/>
      <c r="X137" s="177"/>
      <c r="Y137" s="177"/>
      <c r="Z137" s="177"/>
      <c r="AA137" s="177"/>
      <c r="AB137" s="177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78"/>
      <c r="AM137" s="178"/>
      <c r="AN137" s="178"/>
      <c r="AO137" s="178"/>
      <c r="AP137" s="178"/>
      <c r="AQ137" s="178"/>
      <c r="AR137" s="178"/>
      <c r="AS137" s="178"/>
      <c r="AT137" s="178"/>
      <c r="AU137" s="178"/>
    </row>
    <row r="138" spans="1:47" s="141" customFormat="1" ht="10.3" x14ac:dyDescent="0.25">
      <c r="A138" s="132" t="s">
        <v>0</v>
      </c>
      <c r="B138" s="132" t="s">
        <v>94</v>
      </c>
      <c r="C138" s="132" t="s">
        <v>95</v>
      </c>
      <c r="D138" s="134">
        <v>4.838356164383562</v>
      </c>
      <c r="E138" s="133">
        <v>7.19834</v>
      </c>
      <c r="F138" s="133">
        <v>7.2</v>
      </c>
      <c r="G138" s="134">
        <v>6.52</v>
      </c>
      <c r="H138" s="133">
        <v>0</v>
      </c>
      <c r="I138" s="133" t="s">
        <v>939</v>
      </c>
      <c r="J138" s="318" t="s">
        <v>955</v>
      </c>
      <c r="K138" s="318" t="s">
        <v>1417</v>
      </c>
      <c r="L138" s="313"/>
      <c r="M138" s="313" t="s">
        <v>961</v>
      </c>
      <c r="N138" s="135">
        <v>90</v>
      </c>
      <c r="O138" s="135">
        <v>70</v>
      </c>
      <c r="P138" s="135">
        <v>130</v>
      </c>
      <c r="Q138" s="136">
        <v>110</v>
      </c>
      <c r="R138" s="137">
        <v>46213</v>
      </c>
      <c r="S138" s="138">
        <v>44214</v>
      </c>
      <c r="T138" s="138">
        <v>44214</v>
      </c>
      <c r="U138" s="181">
        <f ca="1">[1]!cb_clause_conversion_2_relativeswapsharemonth(B138)</f>
        <v>6</v>
      </c>
      <c r="V138" s="139"/>
      <c r="W138" s="139"/>
      <c r="X138" s="139"/>
      <c r="Y138" s="139"/>
      <c r="Z138" s="139"/>
      <c r="AA138" s="139"/>
      <c r="AB138" s="139"/>
      <c r="AC138" s="140"/>
      <c r="AD138" s="140"/>
      <c r="AE138" s="140"/>
      <c r="AF138" s="140"/>
      <c r="AG138" s="140"/>
      <c r="AH138" s="140"/>
      <c r="AI138" s="140"/>
      <c r="AJ138" s="140"/>
      <c r="AK138" s="140"/>
      <c r="AL138" s="140"/>
      <c r="AM138" s="140"/>
      <c r="AN138" s="140"/>
      <c r="AO138" s="140"/>
      <c r="AP138" s="140"/>
      <c r="AQ138" s="140"/>
      <c r="AR138" s="140"/>
      <c r="AS138" s="140"/>
      <c r="AT138" s="140"/>
      <c r="AU138" s="140"/>
    </row>
    <row r="139" spans="1:47" s="179" customFormat="1" ht="10.3" x14ac:dyDescent="0.25">
      <c r="A139" s="170" t="s">
        <v>0</v>
      </c>
      <c r="B139" s="170" t="s">
        <v>96</v>
      </c>
      <c r="C139" s="170" t="s">
        <v>97</v>
      </c>
      <c r="D139" s="172">
        <v>4.8273972602739725</v>
      </c>
      <c r="E139" s="171">
        <v>5.3994600000000004</v>
      </c>
      <c r="F139" s="171">
        <v>5.4</v>
      </c>
      <c r="G139" s="172">
        <v>4.76</v>
      </c>
      <c r="H139" s="171">
        <v>0</v>
      </c>
      <c r="I139" s="171" t="s">
        <v>957</v>
      </c>
      <c r="J139" s="317" t="s">
        <v>968</v>
      </c>
      <c r="K139" s="317" t="s">
        <v>1430</v>
      </c>
      <c r="L139" s="311"/>
      <c r="M139" s="311" t="s">
        <v>975</v>
      </c>
      <c r="N139" s="173">
        <v>90</v>
      </c>
      <c r="O139" s="173">
        <v>70</v>
      </c>
      <c r="P139" s="173">
        <v>130</v>
      </c>
      <c r="Q139" s="174">
        <v>112</v>
      </c>
      <c r="R139" s="180">
        <v>46209</v>
      </c>
      <c r="S139" s="175">
        <v>44207</v>
      </c>
      <c r="T139" s="175">
        <v>44207</v>
      </c>
      <c r="U139" s="176">
        <f ca="1">[1]!cb_clause_conversion_2_relativeswapsharemonth(B139)</f>
        <v>6</v>
      </c>
      <c r="V139" s="177"/>
      <c r="W139" s="177"/>
      <c r="X139" s="177"/>
      <c r="Y139" s="177"/>
      <c r="Z139" s="177"/>
      <c r="AA139" s="177"/>
      <c r="AB139" s="177"/>
      <c r="AC139" s="178"/>
      <c r="AD139" s="178"/>
      <c r="AE139" s="178"/>
      <c r="AF139" s="178"/>
      <c r="AG139" s="178"/>
      <c r="AH139" s="178"/>
      <c r="AI139" s="178"/>
      <c r="AJ139" s="178"/>
      <c r="AK139" s="178"/>
      <c r="AL139" s="178"/>
      <c r="AM139" s="178"/>
      <c r="AN139" s="178"/>
      <c r="AO139" s="178"/>
      <c r="AP139" s="178"/>
      <c r="AQ139" s="178"/>
      <c r="AR139" s="178"/>
      <c r="AS139" s="178"/>
      <c r="AT139" s="178"/>
      <c r="AU139" s="178"/>
    </row>
    <row r="140" spans="1:47" s="141" customFormat="1" ht="10.3" x14ac:dyDescent="0.25">
      <c r="A140" s="132" t="s">
        <v>5</v>
      </c>
      <c r="B140" s="132" t="s">
        <v>98</v>
      </c>
      <c r="C140" s="132" t="s">
        <v>99</v>
      </c>
      <c r="D140" s="134">
        <v>4.8164383561643831</v>
      </c>
      <c r="E140" s="133">
        <v>3.5991819999999999</v>
      </c>
      <c r="F140" s="133">
        <v>3.6</v>
      </c>
      <c r="G140" s="134">
        <v>28.83</v>
      </c>
      <c r="H140" s="133">
        <v>0</v>
      </c>
      <c r="I140" s="133" t="s">
        <v>973</v>
      </c>
      <c r="J140" s="318" t="s">
        <v>974</v>
      </c>
      <c r="K140" s="318" t="s">
        <v>1281</v>
      </c>
      <c r="L140" s="312" t="s">
        <v>1557</v>
      </c>
      <c r="M140" s="312" t="s">
        <v>1282</v>
      </c>
      <c r="N140" s="135">
        <v>80</v>
      </c>
      <c r="O140" s="135">
        <v>70</v>
      </c>
      <c r="P140" s="135">
        <v>130</v>
      </c>
      <c r="Q140" s="136">
        <v>118</v>
      </c>
      <c r="R140" s="137">
        <v>46205</v>
      </c>
      <c r="S140" s="138">
        <v>44204</v>
      </c>
      <c r="T140" s="138">
        <v>44204</v>
      </c>
      <c r="U140" s="181">
        <f ca="1">[1]!cb_clause_conversion_2_relativeswapsharemonth(B140)</f>
        <v>6</v>
      </c>
      <c r="V140" s="139"/>
      <c r="W140" s="139"/>
      <c r="X140" s="139"/>
      <c r="Y140" s="139"/>
      <c r="Z140" s="139"/>
      <c r="AA140" s="139"/>
      <c r="AB140" s="139"/>
      <c r="AC140" s="140"/>
      <c r="AD140" s="140"/>
      <c r="AE140" s="140"/>
      <c r="AF140" s="140"/>
      <c r="AG140" s="140"/>
      <c r="AH140" s="140"/>
      <c r="AI140" s="140"/>
      <c r="AJ140" s="140"/>
      <c r="AK140" s="140"/>
      <c r="AL140" s="140"/>
      <c r="AM140" s="140"/>
      <c r="AN140" s="140"/>
      <c r="AO140" s="140"/>
      <c r="AP140" s="140"/>
      <c r="AQ140" s="140"/>
      <c r="AR140" s="140"/>
      <c r="AS140" s="140"/>
      <c r="AT140" s="140"/>
      <c r="AU140" s="140"/>
    </row>
    <row r="141" spans="1:47" s="179" customFormat="1" ht="10.3" x14ac:dyDescent="0.25">
      <c r="A141" s="170" t="s">
        <v>5</v>
      </c>
      <c r="B141" s="170" t="s">
        <v>100</v>
      </c>
      <c r="C141" s="170" t="s">
        <v>101</v>
      </c>
      <c r="D141" s="172">
        <v>4.8164383561643831</v>
      </c>
      <c r="E141" s="171">
        <v>2.998481</v>
      </c>
      <c r="F141" s="171">
        <v>3</v>
      </c>
      <c r="G141" s="172">
        <v>21.12</v>
      </c>
      <c r="H141" s="171">
        <v>0</v>
      </c>
      <c r="I141" s="171" t="s">
        <v>983</v>
      </c>
      <c r="J141" s="317" t="s">
        <v>970</v>
      </c>
      <c r="K141" s="317" t="s">
        <v>1537</v>
      </c>
      <c r="L141" s="311"/>
      <c r="M141" s="311" t="s">
        <v>956</v>
      </c>
      <c r="N141" s="173">
        <v>85</v>
      </c>
      <c r="O141" s="173">
        <v>70</v>
      </c>
      <c r="P141" s="173">
        <v>130</v>
      </c>
      <c r="Q141" s="174">
        <v>115</v>
      </c>
      <c r="R141" s="180">
        <v>46205</v>
      </c>
      <c r="S141" s="175">
        <v>44204</v>
      </c>
      <c r="T141" s="175">
        <v>44204</v>
      </c>
      <c r="U141" s="176">
        <f ca="1">[1]!cb_clause_conversion_2_relativeswapsharemonth(B141)</f>
        <v>6</v>
      </c>
      <c r="V141" s="177"/>
      <c r="W141" s="177"/>
      <c r="X141" s="177"/>
      <c r="Y141" s="177"/>
      <c r="Z141" s="177"/>
      <c r="AA141" s="177"/>
      <c r="AB141" s="177"/>
      <c r="AC141" s="178"/>
      <c r="AD141" s="178"/>
      <c r="AE141" s="178"/>
      <c r="AF141" s="178"/>
      <c r="AG141" s="178"/>
      <c r="AH141" s="178"/>
      <c r="AI141" s="178"/>
      <c r="AJ141" s="178"/>
      <c r="AK141" s="178"/>
      <c r="AL141" s="178"/>
      <c r="AM141" s="178"/>
      <c r="AN141" s="178"/>
      <c r="AO141" s="178"/>
      <c r="AP141" s="178"/>
      <c r="AQ141" s="178"/>
      <c r="AR141" s="178"/>
      <c r="AS141" s="178"/>
      <c r="AT141" s="178"/>
      <c r="AU141" s="178"/>
    </row>
    <row r="142" spans="1:47" s="141" customFormat="1" ht="10.3" x14ac:dyDescent="0.25">
      <c r="A142" s="132" t="s">
        <v>5</v>
      </c>
      <c r="B142" s="132" t="s">
        <v>104</v>
      </c>
      <c r="C142" s="132" t="s">
        <v>105</v>
      </c>
      <c r="D142" s="134">
        <v>4.8136986301369866</v>
      </c>
      <c r="E142" s="133">
        <v>2.0662250000000002</v>
      </c>
      <c r="F142" s="133">
        <v>2.1</v>
      </c>
      <c r="G142" s="134">
        <v>9.5</v>
      </c>
      <c r="H142" s="133">
        <v>0</v>
      </c>
      <c r="I142" s="133" t="s">
        <v>983</v>
      </c>
      <c r="J142" s="318" t="s">
        <v>970</v>
      </c>
      <c r="K142" s="318" t="s">
        <v>1336</v>
      </c>
      <c r="L142" s="312"/>
      <c r="M142" s="312" t="s">
        <v>1056</v>
      </c>
      <c r="N142" s="135">
        <v>85</v>
      </c>
      <c r="O142" s="135">
        <v>70</v>
      </c>
      <c r="P142" s="135">
        <v>130</v>
      </c>
      <c r="Q142" s="136">
        <v>112</v>
      </c>
      <c r="R142" s="137">
        <v>46204</v>
      </c>
      <c r="S142" s="138">
        <v>44203</v>
      </c>
      <c r="T142" s="138">
        <v>44203</v>
      </c>
      <c r="U142" s="181">
        <f ca="1">[1]!cb_clause_conversion_2_relativeswapsharemonth(B142)</f>
        <v>6</v>
      </c>
      <c r="V142" s="139"/>
      <c r="W142" s="139"/>
      <c r="X142" s="139"/>
      <c r="Y142" s="139"/>
      <c r="Z142" s="139"/>
      <c r="AA142" s="139"/>
      <c r="AB142" s="139"/>
      <c r="AC142" s="140"/>
      <c r="AD142" s="140"/>
      <c r="AE142" s="140"/>
      <c r="AF142" s="140"/>
      <c r="AG142" s="140"/>
      <c r="AH142" s="140"/>
      <c r="AI142" s="140"/>
      <c r="AJ142" s="140"/>
      <c r="AK142" s="140"/>
      <c r="AL142" s="140"/>
      <c r="AM142" s="140"/>
      <c r="AN142" s="140"/>
      <c r="AO142" s="140"/>
      <c r="AP142" s="140"/>
      <c r="AQ142" s="140"/>
      <c r="AR142" s="140"/>
      <c r="AS142" s="140"/>
      <c r="AT142" s="140"/>
      <c r="AU142" s="140"/>
    </row>
    <row r="143" spans="1:47" s="179" customFormat="1" ht="10.3" x14ac:dyDescent="0.25">
      <c r="A143" s="170" t="s">
        <v>0</v>
      </c>
      <c r="B143" s="170" t="s">
        <v>102</v>
      </c>
      <c r="C143" s="170" t="s">
        <v>103</v>
      </c>
      <c r="D143" s="172">
        <v>4.8136986301369866</v>
      </c>
      <c r="E143" s="171">
        <v>5.4970699999999999</v>
      </c>
      <c r="F143" s="171">
        <v>5.5</v>
      </c>
      <c r="G143" s="172">
        <v>8.76</v>
      </c>
      <c r="H143" s="171">
        <v>0</v>
      </c>
      <c r="I143" s="171" t="s">
        <v>983</v>
      </c>
      <c r="J143" s="317" t="s">
        <v>955</v>
      </c>
      <c r="K143" s="317" t="s">
        <v>1451</v>
      </c>
      <c r="L143" s="314" t="s">
        <v>1558</v>
      </c>
      <c r="M143" s="314" t="s">
        <v>990</v>
      </c>
      <c r="N143" s="173">
        <v>90</v>
      </c>
      <c r="O143" s="173">
        <v>70</v>
      </c>
      <c r="P143" s="173">
        <v>130</v>
      </c>
      <c r="Q143" s="174">
        <v>116</v>
      </c>
      <c r="R143" s="180">
        <v>46204</v>
      </c>
      <c r="S143" s="175">
        <v>44204</v>
      </c>
      <c r="T143" s="175">
        <v>44204</v>
      </c>
      <c r="U143" s="176">
        <f ca="1">[1]!cb_clause_conversion_2_relativeswapsharemonth(B143)</f>
        <v>6</v>
      </c>
      <c r="V143" s="177"/>
      <c r="W143" s="177"/>
      <c r="X143" s="177"/>
      <c r="Y143" s="177"/>
      <c r="Z143" s="177"/>
      <c r="AA143" s="177"/>
      <c r="AB143" s="177"/>
      <c r="AC143" s="178"/>
      <c r="AD143" s="178"/>
      <c r="AE143" s="178"/>
      <c r="AF143" s="178"/>
      <c r="AG143" s="178"/>
      <c r="AH143" s="178"/>
      <c r="AI143" s="178"/>
      <c r="AJ143" s="178"/>
      <c r="AK143" s="178"/>
      <c r="AL143" s="178"/>
      <c r="AM143" s="178"/>
      <c r="AN143" s="178"/>
      <c r="AO143" s="178"/>
      <c r="AP143" s="178"/>
      <c r="AQ143" s="178"/>
      <c r="AR143" s="178"/>
      <c r="AS143" s="178"/>
      <c r="AT143" s="178"/>
      <c r="AU143" s="178"/>
    </row>
    <row r="144" spans="1:47" s="141" customFormat="1" ht="10.3" x14ac:dyDescent="0.25">
      <c r="A144" s="132" t="s">
        <v>5</v>
      </c>
      <c r="B144" s="132" t="s">
        <v>106</v>
      </c>
      <c r="C144" s="132" t="s">
        <v>107</v>
      </c>
      <c r="D144" s="134">
        <v>4.8082191780821919</v>
      </c>
      <c r="E144" s="133">
        <v>65.650345000000002</v>
      </c>
      <c r="F144" s="133">
        <v>68</v>
      </c>
      <c r="G144" s="134">
        <v>5.0199999999999996</v>
      </c>
      <c r="H144" s="133">
        <v>69</v>
      </c>
      <c r="I144" s="133" t="s">
        <v>953</v>
      </c>
      <c r="J144" s="318" t="s">
        <v>1082</v>
      </c>
      <c r="K144" s="318" t="s">
        <v>1502</v>
      </c>
      <c r="L144" s="313" t="s">
        <v>1559</v>
      </c>
      <c r="M144" s="313" t="s">
        <v>978</v>
      </c>
      <c r="N144" s="135">
        <v>85</v>
      </c>
      <c r="O144" s="135">
        <v>70</v>
      </c>
      <c r="P144" s="135">
        <v>130</v>
      </c>
      <c r="Q144" s="136">
        <v>119</v>
      </c>
      <c r="R144" s="137">
        <v>46202</v>
      </c>
      <c r="S144" s="138">
        <v>44200</v>
      </c>
      <c r="T144" s="138">
        <v>44200</v>
      </c>
      <c r="U144" s="181">
        <f ca="1">[1]!cb_clause_conversion_2_relativeswapsharemonth(B144)</f>
        <v>6</v>
      </c>
      <c r="V144" s="139"/>
      <c r="W144" s="139"/>
      <c r="X144" s="139"/>
      <c r="Y144" s="139"/>
      <c r="Z144" s="139"/>
      <c r="AA144" s="139"/>
      <c r="AB144" s="139"/>
      <c r="AC144" s="140"/>
      <c r="AD144" s="140"/>
      <c r="AE144" s="140"/>
      <c r="AF144" s="140"/>
      <c r="AG144" s="140"/>
      <c r="AH144" s="140"/>
      <c r="AI144" s="140"/>
      <c r="AJ144" s="140"/>
      <c r="AK144" s="140"/>
      <c r="AL144" s="140"/>
      <c r="AM144" s="140"/>
      <c r="AN144" s="140"/>
      <c r="AO144" s="140"/>
      <c r="AP144" s="140"/>
      <c r="AQ144" s="140"/>
      <c r="AR144" s="140"/>
      <c r="AS144" s="140"/>
      <c r="AT144" s="140"/>
      <c r="AU144" s="140"/>
    </row>
    <row r="145" spans="1:47" s="179" customFormat="1" ht="10.3" x14ac:dyDescent="0.25">
      <c r="A145" s="170" t="s">
        <v>5</v>
      </c>
      <c r="B145" s="170" t="s">
        <v>887</v>
      </c>
      <c r="C145" s="170" t="s">
        <v>888</v>
      </c>
      <c r="D145" s="172">
        <v>4.8082191780821919</v>
      </c>
      <c r="E145" s="171">
        <v>6.4951309999999998</v>
      </c>
      <c r="F145" s="171">
        <v>6.5</v>
      </c>
      <c r="G145" s="172">
        <v>29.55</v>
      </c>
      <c r="H145" s="171">
        <v>0</v>
      </c>
      <c r="I145" s="171" t="s">
        <v>957</v>
      </c>
      <c r="J145" s="317" t="s">
        <v>942</v>
      </c>
      <c r="K145" s="317" t="s">
        <v>1536</v>
      </c>
      <c r="L145" s="311"/>
      <c r="M145" s="311" t="s">
        <v>1090</v>
      </c>
      <c r="N145" s="173">
        <v>85</v>
      </c>
      <c r="O145" s="173">
        <v>70</v>
      </c>
      <c r="P145" s="173">
        <v>130</v>
      </c>
      <c r="Q145" s="174">
        <v>110</v>
      </c>
      <c r="R145" s="180">
        <v>46202</v>
      </c>
      <c r="S145" s="175">
        <v>44200</v>
      </c>
      <c r="T145" s="175">
        <v>44200</v>
      </c>
      <c r="U145" s="176">
        <f ca="1">[1]!cb_clause_conversion_2_relativeswapsharemonth(B145)</f>
        <v>6</v>
      </c>
      <c r="V145" s="177"/>
      <c r="W145" s="177"/>
      <c r="X145" s="177"/>
      <c r="Y145" s="177"/>
      <c r="Z145" s="177"/>
      <c r="AA145" s="177"/>
      <c r="AB145" s="177"/>
      <c r="AC145" s="178"/>
      <c r="AD145" s="178"/>
      <c r="AE145" s="178"/>
      <c r="AF145" s="178"/>
      <c r="AG145" s="178"/>
      <c r="AH145" s="178"/>
      <c r="AI145" s="178"/>
      <c r="AJ145" s="178"/>
      <c r="AK145" s="178"/>
      <c r="AL145" s="178"/>
      <c r="AM145" s="178"/>
      <c r="AN145" s="178"/>
      <c r="AO145" s="178"/>
      <c r="AP145" s="178"/>
      <c r="AQ145" s="178"/>
      <c r="AR145" s="178"/>
      <c r="AS145" s="178"/>
      <c r="AT145" s="178"/>
      <c r="AU145" s="178"/>
    </row>
    <row r="146" spans="1:47" s="141" customFormat="1" ht="10.3" x14ac:dyDescent="0.25">
      <c r="A146" s="132" t="s">
        <v>0</v>
      </c>
      <c r="B146" s="132" t="s">
        <v>108</v>
      </c>
      <c r="C146" s="132" t="s">
        <v>109</v>
      </c>
      <c r="D146" s="134">
        <v>4.7945205479452051</v>
      </c>
      <c r="E146" s="133">
        <v>5.9964700000000004</v>
      </c>
      <c r="F146" s="133">
        <v>6</v>
      </c>
      <c r="G146" s="134">
        <v>12.29</v>
      </c>
      <c r="H146" s="133">
        <v>0</v>
      </c>
      <c r="I146" s="133" t="s">
        <v>957</v>
      </c>
      <c r="J146" s="318" t="s">
        <v>974</v>
      </c>
      <c r="K146" s="318" t="s">
        <v>1277</v>
      </c>
      <c r="L146" s="312"/>
      <c r="M146" s="312" t="s">
        <v>1102</v>
      </c>
      <c r="N146" s="135">
        <v>80</v>
      </c>
      <c r="O146" s="135">
        <v>70</v>
      </c>
      <c r="P146" s="135">
        <v>130</v>
      </c>
      <c r="Q146" s="136">
        <v>110</v>
      </c>
      <c r="R146" s="137">
        <v>46197</v>
      </c>
      <c r="S146" s="138">
        <v>44200</v>
      </c>
      <c r="T146" s="138">
        <v>44200</v>
      </c>
      <c r="U146" s="181">
        <f ca="1">[1]!cb_clause_conversion_2_relativeswapsharemonth(B146)</f>
        <v>6</v>
      </c>
      <c r="V146" s="139"/>
      <c r="W146" s="139"/>
      <c r="X146" s="139"/>
      <c r="Y146" s="139"/>
      <c r="Z146" s="139"/>
      <c r="AA146" s="139"/>
      <c r="AB146" s="139"/>
      <c r="AC146" s="140"/>
      <c r="AD146" s="140"/>
      <c r="AE146" s="140"/>
      <c r="AF146" s="140"/>
      <c r="AG146" s="140"/>
      <c r="AH146" s="140"/>
      <c r="AI146" s="140"/>
      <c r="AJ146" s="140"/>
      <c r="AK146" s="140"/>
      <c r="AL146" s="140"/>
      <c r="AM146" s="140"/>
      <c r="AN146" s="140"/>
      <c r="AO146" s="140"/>
      <c r="AP146" s="140"/>
      <c r="AQ146" s="140"/>
      <c r="AR146" s="140"/>
      <c r="AS146" s="140"/>
      <c r="AT146" s="140"/>
      <c r="AU146" s="140"/>
    </row>
    <row r="147" spans="1:47" s="179" customFormat="1" ht="10.3" x14ac:dyDescent="0.25">
      <c r="A147" s="170" t="s">
        <v>5</v>
      </c>
      <c r="B147" s="170" t="s">
        <v>110</v>
      </c>
      <c r="C147" s="170" t="s">
        <v>111</v>
      </c>
      <c r="D147" s="172">
        <v>4.7945205479452051</v>
      </c>
      <c r="E147" s="171">
        <v>5.8406560000000001</v>
      </c>
      <c r="F147" s="171">
        <v>5.8</v>
      </c>
      <c r="G147" s="172">
        <v>11.77</v>
      </c>
      <c r="H147" s="171">
        <v>0</v>
      </c>
      <c r="I147" s="171" t="s">
        <v>983</v>
      </c>
      <c r="J147" s="317" t="s">
        <v>1082</v>
      </c>
      <c r="K147" s="317" t="s">
        <v>1475</v>
      </c>
      <c r="L147" s="311"/>
      <c r="M147" s="311" t="s">
        <v>994</v>
      </c>
      <c r="N147" s="173">
        <v>85</v>
      </c>
      <c r="O147" s="173">
        <v>70</v>
      </c>
      <c r="P147" s="173">
        <v>120</v>
      </c>
      <c r="Q147" s="174">
        <v>115</v>
      </c>
      <c r="R147" s="180">
        <v>46197</v>
      </c>
      <c r="S147" s="175">
        <v>44200</v>
      </c>
      <c r="T147" s="175">
        <v>44200</v>
      </c>
      <c r="U147" s="176">
        <f ca="1">[1]!cb_clause_conversion_2_relativeswapsharemonth(B147)</f>
        <v>6</v>
      </c>
      <c r="V147" s="177"/>
      <c r="W147" s="177"/>
      <c r="X147" s="177"/>
      <c r="Y147" s="177"/>
      <c r="Z147" s="177"/>
      <c r="AA147" s="177"/>
      <c r="AB147" s="177"/>
      <c r="AC147" s="178"/>
      <c r="AD147" s="178"/>
      <c r="AE147" s="178"/>
      <c r="AF147" s="178"/>
      <c r="AG147" s="178"/>
      <c r="AH147" s="178"/>
      <c r="AI147" s="178"/>
      <c r="AJ147" s="178"/>
      <c r="AK147" s="178"/>
      <c r="AL147" s="178"/>
      <c r="AM147" s="178"/>
      <c r="AN147" s="178"/>
      <c r="AO147" s="178"/>
      <c r="AP147" s="178"/>
      <c r="AQ147" s="178"/>
      <c r="AR147" s="178"/>
      <c r="AS147" s="178"/>
      <c r="AT147" s="178"/>
      <c r="AU147" s="178"/>
    </row>
    <row r="148" spans="1:47" s="141" customFormat="1" ht="10.3" x14ac:dyDescent="0.25">
      <c r="A148" s="132" t="s">
        <v>0</v>
      </c>
      <c r="B148" s="132" t="s">
        <v>112</v>
      </c>
      <c r="C148" s="132" t="s">
        <v>113</v>
      </c>
      <c r="D148" s="134">
        <v>4.7753424657534245</v>
      </c>
      <c r="E148" s="133">
        <v>5.4994699999999996</v>
      </c>
      <c r="F148" s="133">
        <v>5.5</v>
      </c>
      <c r="G148" s="134">
        <v>13.25</v>
      </c>
      <c r="H148" s="133">
        <v>0</v>
      </c>
      <c r="I148" s="133" t="s">
        <v>957</v>
      </c>
      <c r="J148" s="318" t="s">
        <v>951</v>
      </c>
      <c r="K148" s="318" t="s">
        <v>1371</v>
      </c>
      <c r="L148" s="312"/>
      <c r="M148" s="312" t="s">
        <v>949</v>
      </c>
      <c r="N148" s="135">
        <v>90</v>
      </c>
      <c r="O148" s="135">
        <v>70</v>
      </c>
      <c r="P148" s="135">
        <v>130</v>
      </c>
      <c r="Q148" s="136">
        <v>109</v>
      </c>
      <c r="R148" s="137">
        <v>46190</v>
      </c>
      <c r="S148" s="138">
        <v>44188</v>
      </c>
      <c r="T148" s="138">
        <v>44188</v>
      </c>
      <c r="U148" s="181">
        <f ca="1">[1]!cb_clause_conversion_2_relativeswapsharemonth(B148)</f>
        <v>6</v>
      </c>
      <c r="V148" s="139"/>
      <c r="W148" s="139"/>
      <c r="X148" s="139"/>
      <c r="Y148" s="139"/>
      <c r="Z148" s="139"/>
      <c r="AA148" s="139"/>
      <c r="AB148" s="139"/>
      <c r="AC148" s="140"/>
      <c r="AD148" s="140"/>
      <c r="AE148" s="140"/>
      <c r="AF148" s="140"/>
      <c r="AG148" s="140"/>
      <c r="AH148" s="140"/>
      <c r="AI148" s="140"/>
      <c r="AJ148" s="140"/>
      <c r="AK148" s="140"/>
      <c r="AL148" s="140"/>
      <c r="AM148" s="140"/>
      <c r="AN148" s="140"/>
      <c r="AO148" s="140"/>
      <c r="AP148" s="140"/>
      <c r="AQ148" s="140"/>
      <c r="AR148" s="140"/>
      <c r="AS148" s="140"/>
      <c r="AT148" s="140"/>
      <c r="AU148" s="140"/>
    </row>
    <row r="149" spans="1:47" s="179" customFormat="1" ht="10.3" x14ac:dyDescent="0.25">
      <c r="A149" s="170" t="s">
        <v>5</v>
      </c>
      <c r="B149" s="170" t="s">
        <v>114</v>
      </c>
      <c r="C149" s="170" t="s">
        <v>115</v>
      </c>
      <c r="D149" s="172">
        <v>4.7753424657534245</v>
      </c>
      <c r="E149" s="171">
        <v>15.962579</v>
      </c>
      <c r="F149" s="171">
        <v>16</v>
      </c>
      <c r="G149" s="172">
        <v>14.76</v>
      </c>
      <c r="H149" s="171">
        <v>0</v>
      </c>
      <c r="I149" s="171" t="s">
        <v>952</v>
      </c>
      <c r="J149" s="317" t="s">
        <v>1099</v>
      </c>
      <c r="K149" s="317" t="s">
        <v>1350</v>
      </c>
      <c r="L149" s="314"/>
      <c r="M149" s="314" t="s">
        <v>976</v>
      </c>
      <c r="N149" s="173">
        <v>85</v>
      </c>
      <c r="O149" s="173">
        <v>70</v>
      </c>
      <c r="P149" s="173">
        <v>130</v>
      </c>
      <c r="Q149" s="174">
        <v>110</v>
      </c>
      <c r="R149" s="180">
        <v>46190</v>
      </c>
      <c r="S149" s="175">
        <v>44188</v>
      </c>
      <c r="T149" s="175">
        <v>44188</v>
      </c>
      <c r="U149" s="176">
        <f ca="1">[1]!cb_clause_conversion_2_relativeswapsharemonth(B149)</f>
        <v>6</v>
      </c>
      <c r="V149" s="177"/>
      <c r="W149" s="177"/>
      <c r="X149" s="177"/>
      <c r="Y149" s="177"/>
      <c r="Z149" s="177"/>
      <c r="AA149" s="177"/>
      <c r="AB149" s="177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78"/>
      <c r="AM149" s="178"/>
      <c r="AN149" s="178"/>
      <c r="AO149" s="178"/>
      <c r="AP149" s="178"/>
      <c r="AQ149" s="178"/>
      <c r="AR149" s="178"/>
      <c r="AS149" s="178"/>
      <c r="AT149" s="178"/>
      <c r="AU149" s="178"/>
    </row>
    <row r="150" spans="1:47" s="141" customFormat="1" ht="10.3" x14ac:dyDescent="0.25">
      <c r="A150" s="132" t="s">
        <v>5</v>
      </c>
      <c r="B150" s="132" t="s">
        <v>116</v>
      </c>
      <c r="C150" s="132" t="s">
        <v>117</v>
      </c>
      <c r="D150" s="134">
        <v>4.7698630136986298</v>
      </c>
      <c r="E150" s="133">
        <v>3.0307710000000001</v>
      </c>
      <c r="F150" s="133">
        <v>6.9</v>
      </c>
      <c r="G150" s="134">
        <v>14.6</v>
      </c>
      <c r="H150" s="133">
        <v>0</v>
      </c>
      <c r="I150" s="133" t="s">
        <v>957</v>
      </c>
      <c r="J150" s="318" t="s">
        <v>974</v>
      </c>
      <c r="K150" s="318" t="s">
        <v>1535</v>
      </c>
      <c r="L150" s="312"/>
      <c r="M150" s="312" t="s">
        <v>971</v>
      </c>
      <c r="N150" s="135">
        <v>85</v>
      </c>
      <c r="O150" s="135">
        <v>70</v>
      </c>
      <c r="P150" s="135">
        <v>130</v>
      </c>
      <c r="Q150" s="136">
        <v>112</v>
      </c>
      <c r="R150" s="137">
        <v>46188</v>
      </c>
      <c r="S150" s="138">
        <v>44186</v>
      </c>
      <c r="T150" s="138">
        <v>44186</v>
      </c>
      <c r="U150" s="181">
        <f ca="1">[1]!cb_clause_conversion_2_relativeswapsharemonth(B150)</f>
        <v>6</v>
      </c>
      <c r="V150" s="139"/>
      <c r="W150" s="139"/>
      <c r="X150" s="139"/>
      <c r="Y150" s="139"/>
      <c r="Z150" s="139"/>
      <c r="AA150" s="139"/>
      <c r="AB150" s="139"/>
      <c r="AC150" s="140"/>
      <c r="AD150" s="140"/>
      <c r="AE150" s="140"/>
      <c r="AF150" s="140"/>
      <c r="AG150" s="140"/>
      <c r="AH150" s="140"/>
      <c r="AI150" s="140"/>
      <c r="AJ150" s="140"/>
      <c r="AK150" s="140"/>
      <c r="AL150" s="140"/>
      <c r="AM150" s="140"/>
      <c r="AN150" s="140"/>
      <c r="AO150" s="140"/>
      <c r="AP150" s="140"/>
      <c r="AQ150" s="140"/>
      <c r="AR150" s="140"/>
      <c r="AS150" s="140"/>
      <c r="AT150" s="140"/>
      <c r="AU150" s="140"/>
    </row>
    <row r="151" spans="1:47" s="179" customFormat="1" ht="10.3" x14ac:dyDescent="0.25">
      <c r="A151" s="170" t="s">
        <v>5</v>
      </c>
      <c r="B151" s="170" t="s">
        <v>118</v>
      </c>
      <c r="C151" s="170" t="s">
        <v>119</v>
      </c>
      <c r="D151" s="172">
        <v>4.7589041095890412</v>
      </c>
      <c r="E151" s="171">
        <v>1.5219130000000001</v>
      </c>
      <c r="F151" s="171">
        <v>8</v>
      </c>
      <c r="G151" s="172">
        <v>15.42</v>
      </c>
      <c r="H151" s="171">
        <v>0</v>
      </c>
      <c r="I151" s="171" t="s">
        <v>973</v>
      </c>
      <c r="J151" s="317" t="s">
        <v>942</v>
      </c>
      <c r="K151" s="317" t="s">
        <v>1014</v>
      </c>
      <c r="L151" s="311"/>
      <c r="M151" s="311" t="s">
        <v>943</v>
      </c>
      <c r="N151" s="173">
        <v>90</v>
      </c>
      <c r="O151" s="173">
        <v>70</v>
      </c>
      <c r="P151" s="173">
        <v>130</v>
      </c>
      <c r="Q151" s="174">
        <v>118</v>
      </c>
      <c r="R151" s="180">
        <v>46184</v>
      </c>
      <c r="S151" s="175">
        <v>44182</v>
      </c>
      <c r="T151" s="175">
        <v>44182</v>
      </c>
      <c r="U151" s="176">
        <f ca="1">[1]!cb_clause_conversion_2_relativeswapsharemonth(B151)</f>
        <v>6</v>
      </c>
      <c r="V151" s="177"/>
      <c r="W151" s="177"/>
      <c r="X151" s="177"/>
      <c r="Y151" s="177"/>
      <c r="Z151" s="177"/>
      <c r="AA151" s="177"/>
      <c r="AB151" s="177"/>
      <c r="AC151" s="178"/>
      <c r="AD151" s="178"/>
      <c r="AE151" s="178"/>
      <c r="AF151" s="178"/>
      <c r="AG151" s="178"/>
      <c r="AH151" s="178"/>
      <c r="AI151" s="178"/>
      <c r="AJ151" s="178"/>
      <c r="AK151" s="178"/>
      <c r="AL151" s="178"/>
      <c r="AM151" s="178"/>
      <c r="AN151" s="178"/>
      <c r="AO151" s="178"/>
      <c r="AP151" s="178"/>
      <c r="AQ151" s="178"/>
      <c r="AR151" s="178"/>
      <c r="AS151" s="178"/>
      <c r="AT151" s="178"/>
      <c r="AU151" s="178"/>
    </row>
    <row r="152" spans="1:47" s="141" customFormat="1" ht="10.3" x14ac:dyDescent="0.25">
      <c r="A152" s="132" t="s">
        <v>5</v>
      </c>
      <c r="B152" s="132" t="s">
        <v>120</v>
      </c>
      <c r="C152" s="132" t="s">
        <v>121</v>
      </c>
      <c r="D152" s="134">
        <v>4.7561643835616438</v>
      </c>
      <c r="E152" s="133">
        <v>2.0763020000000001</v>
      </c>
      <c r="F152" s="133">
        <v>2.7</v>
      </c>
      <c r="G152" s="134">
        <v>12.63</v>
      </c>
      <c r="H152" s="133">
        <v>0</v>
      </c>
      <c r="I152" s="133" t="s">
        <v>983</v>
      </c>
      <c r="J152" s="318" t="s">
        <v>958</v>
      </c>
      <c r="K152" s="318" t="s">
        <v>1331</v>
      </c>
      <c r="L152" s="313"/>
      <c r="M152" s="313" t="s">
        <v>1058</v>
      </c>
      <c r="N152" s="135">
        <v>90</v>
      </c>
      <c r="O152" s="135">
        <v>70</v>
      </c>
      <c r="P152" s="135">
        <v>130</v>
      </c>
      <c r="Q152" s="136">
        <v>115</v>
      </c>
      <c r="R152" s="137">
        <v>46183</v>
      </c>
      <c r="S152" s="138">
        <v>44181</v>
      </c>
      <c r="T152" s="138">
        <v>44181</v>
      </c>
      <c r="U152" s="181">
        <f ca="1">[1]!cb_clause_conversion_2_relativeswapsharemonth(B152)</f>
        <v>6</v>
      </c>
      <c r="V152" s="139"/>
      <c r="W152" s="139"/>
      <c r="X152" s="139"/>
      <c r="Y152" s="139"/>
      <c r="Z152" s="139"/>
      <c r="AA152" s="139"/>
      <c r="AB152" s="139"/>
      <c r="AC152" s="140"/>
      <c r="AD152" s="140"/>
      <c r="AE152" s="140"/>
      <c r="AF152" s="140"/>
      <c r="AG152" s="140"/>
      <c r="AH152" s="140"/>
      <c r="AI152" s="140"/>
      <c r="AJ152" s="140"/>
      <c r="AK152" s="140"/>
      <c r="AL152" s="140"/>
      <c r="AM152" s="140"/>
      <c r="AN152" s="140"/>
      <c r="AO152" s="140"/>
      <c r="AP152" s="140"/>
      <c r="AQ152" s="140"/>
      <c r="AR152" s="140"/>
      <c r="AS152" s="140"/>
      <c r="AT152" s="140"/>
      <c r="AU152" s="140"/>
    </row>
    <row r="153" spans="1:47" s="179" customFormat="1" ht="10.3" x14ac:dyDescent="0.25">
      <c r="A153" s="170" t="s">
        <v>0</v>
      </c>
      <c r="B153" s="170" t="s">
        <v>122</v>
      </c>
      <c r="C153" s="170" t="s">
        <v>123</v>
      </c>
      <c r="D153" s="172">
        <v>4.7534246575342465</v>
      </c>
      <c r="E153" s="171">
        <v>1.0672189999999999</v>
      </c>
      <c r="F153" s="171">
        <v>3.6</v>
      </c>
      <c r="G153" s="172">
        <v>28.38</v>
      </c>
      <c r="H153" s="171">
        <v>0</v>
      </c>
      <c r="I153" s="171" t="s">
        <v>973</v>
      </c>
      <c r="J153" s="317" t="s">
        <v>974</v>
      </c>
      <c r="K153" s="317" t="s">
        <v>1231</v>
      </c>
      <c r="L153" s="311" t="s">
        <v>1450</v>
      </c>
      <c r="M153" s="311" t="s">
        <v>982</v>
      </c>
      <c r="N153" s="173">
        <v>85</v>
      </c>
      <c r="O153" s="173">
        <v>70</v>
      </c>
      <c r="P153" s="173">
        <v>130</v>
      </c>
      <c r="Q153" s="174">
        <v>112</v>
      </c>
      <c r="R153" s="180">
        <v>46182</v>
      </c>
      <c r="S153" s="175">
        <v>44180</v>
      </c>
      <c r="T153" s="175">
        <v>44180</v>
      </c>
      <c r="U153" s="176">
        <f ca="1">[1]!cb_clause_conversion_2_relativeswapsharemonth(B153)</f>
        <v>6</v>
      </c>
      <c r="V153" s="177"/>
      <c r="W153" s="177"/>
      <c r="X153" s="177"/>
      <c r="Y153" s="177"/>
      <c r="Z153" s="177"/>
      <c r="AA153" s="177"/>
      <c r="AB153" s="177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78"/>
      <c r="AM153" s="178"/>
      <c r="AN153" s="178"/>
      <c r="AO153" s="178"/>
      <c r="AP153" s="178"/>
      <c r="AQ153" s="178"/>
      <c r="AR153" s="178"/>
      <c r="AS153" s="178"/>
      <c r="AT153" s="178"/>
      <c r="AU153" s="178"/>
    </row>
    <row r="154" spans="1:47" s="141" customFormat="1" ht="10.3" x14ac:dyDescent="0.25">
      <c r="A154" s="132" t="s">
        <v>5</v>
      </c>
      <c r="B154" s="132" t="s">
        <v>128</v>
      </c>
      <c r="C154" s="132" t="s">
        <v>129</v>
      </c>
      <c r="D154" s="134">
        <v>4.742465753424657</v>
      </c>
      <c r="E154" s="133">
        <v>4.9993230000000004</v>
      </c>
      <c r="F154" s="133">
        <v>5</v>
      </c>
      <c r="G154" s="134">
        <v>20.5</v>
      </c>
      <c r="H154" s="133">
        <v>0</v>
      </c>
      <c r="I154" s="133" t="s">
        <v>973</v>
      </c>
      <c r="J154" s="318" t="s">
        <v>942</v>
      </c>
      <c r="K154" s="318" t="s">
        <v>1106</v>
      </c>
      <c r="L154" s="312"/>
      <c r="M154" s="312" t="s">
        <v>943</v>
      </c>
      <c r="N154" s="135">
        <v>85</v>
      </c>
      <c r="O154" s="135">
        <v>70</v>
      </c>
      <c r="P154" s="135">
        <v>130</v>
      </c>
      <c r="Q154" s="136">
        <v>115</v>
      </c>
      <c r="R154" s="137">
        <v>46178</v>
      </c>
      <c r="S154" s="138">
        <v>44176</v>
      </c>
      <c r="T154" s="138">
        <v>44176</v>
      </c>
      <c r="U154" s="181">
        <f ca="1">[1]!cb_clause_conversion_2_relativeswapsharemonth(B154)</f>
        <v>6</v>
      </c>
      <c r="V154" s="139"/>
      <c r="W154" s="139"/>
      <c r="X154" s="139"/>
      <c r="Y154" s="139"/>
      <c r="Z154" s="139"/>
      <c r="AA154" s="139"/>
      <c r="AB154" s="139"/>
      <c r="AC154" s="140"/>
      <c r="AD154" s="140"/>
      <c r="AE154" s="140"/>
      <c r="AF154" s="140"/>
      <c r="AG154" s="140"/>
      <c r="AH154" s="140"/>
      <c r="AI154" s="140"/>
      <c r="AJ154" s="140"/>
      <c r="AK154" s="140"/>
      <c r="AL154" s="140"/>
      <c r="AM154" s="140"/>
      <c r="AN154" s="140"/>
      <c r="AO154" s="140"/>
      <c r="AP154" s="140"/>
      <c r="AQ154" s="140"/>
      <c r="AR154" s="140"/>
      <c r="AS154" s="140"/>
      <c r="AT154" s="140"/>
      <c r="AU154" s="140"/>
    </row>
    <row r="155" spans="1:47" s="179" customFormat="1" ht="10.3" x14ac:dyDescent="0.25">
      <c r="A155" s="170" t="s">
        <v>0</v>
      </c>
      <c r="B155" s="170" t="s">
        <v>124</v>
      </c>
      <c r="C155" s="170" t="s">
        <v>125</v>
      </c>
      <c r="D155" s="172">
        <v>4.742465753424657</v>
      </c>
      <c r="E155" s="171">
        <v>6.4496000000000002</v>
      </c>
      <c r="F155" s="171">
        <v>6.4</v>
      </c>
      <c r="G155" s="172">
        <v>37.53</v>
      </c>
      <c r="H155" s="171">
        <v>0</v>
      </c>
      <c r="I155" s="171" t="s">
        <v>957</v>
      </c>
      <c r="J155" s="317" t="s">
        <v>942</v>
      </c>
      <c r="K155" s="317" t="s">
        <v>1091</v>
      </c>
      <c r="L155" s="311"/>
      <c r="M155" s="311" t="s">
        <v>985</v>
      </c>
      <c r="N155" s="173">
        <v>85</v>
      </c>
      <c r="O155" s="173">
        <v>70</v>
      </c>
      <c r="P155" s="173">
        <v>130</v>
      </c>
      <c r="Q155" s="174">
        <v>110</v>
      </c>
      <c r="R155" s="180">
        <v>46178</v>
      </c>
      <c r="S155" s="175">
        <v>44179</v>
      </c>
      <c r="T155" s="175">
        <v>44179</v>
      </c>
      <c r="U155" s="176">
        <f ca="1">[1]!cb_clause_conversion_2_relativeswapsharemonth(B155)</f>
        <v>6</v>
      </c>
      <c r="V155" s="177"/>
      <c r="W155" s="177"/>
      <c r="X155" s="177"/>
      <c r="Y155" s="177"/>
      <c r="Z155" s="177"/>
      <c r="AA155" s="177"/>
      <c r="AB155" s="177"/>
      <c r="AC155" s="178"/>
      <c r="AD155" s="178"/>
      <c r="AE155" s="178"/>
      <c r="AF155" s="178"/>
      <c r="AG155" s="178"/>
      <c r="AH155" s="178"/>
      <c r="AI155" s="178"/>
      <c r="AJ155" s="178"/>
      <c r="AK155" s="178"/>
      <c r="AL155" s="178"/>
      <c r="AM155" s="178"/>
      <c r="AN155" s="178"/>
      <c r="AO155" s="178"/>
      <c r="AP155" s="178"/>
      <c r="AQ155" s="178"/>
      <c r="AR155" s="178"/>
      <c r="AS155" s="178"/>
      <c r="AT155" s="178"/>
      <c r="AU155" s="178"/>
    </row>
    <row r="156" spans="1:47" s="141" customFormat="1" ht="10.3" x14ac:dyDescent="0.25">
      <c r="A156" s="132" t="s">
        <v>5</v>
      </c>
      <c r="B156" s="132" t="s">
        <v>126</v>
      </c>
      <c r="C156" s="132" t="s">
        <v>127</v>
      </c>
      <c r="D156" s="134">
        <v>4.742465753424657</v>
      </c>
      <c r="E156" s="133">
        <v>1.504087</v>
      </c>
      <c r="F156" s="133">
        <v>1.8</v>
      </c>
      <c r="G156" s="134">
        <v>7.05</v>
      </c>
      <c r="H156" s="133">
        <v>0</v>
      </c>
      <c r="I156" s="133" t="s">
        <v>1031</v>
      </c>
      <c r="J156" s="318" t="s">
        <v>942</v>
      </c>
      <c r="K156" s="318" t="s">
        <v>1267</v>
      </c>
      <c r="L156" s="312"/>
      <c r="M156" s="312" t="s">
        <v>1268</v>
      </c>
      <c r="N156" s="135">
        <v>90</v>
      </c>
      <c r="O156" s="135">
        <v>70</v>
      </c>
      <c r="P156" s="135">
        <v>130</v>
      </c>
      <c r="Q156" s="136">
        <v>120</v>
      </c>
      <c r="R156" s="137">
        <v>46178</v>
      </c>
      <c r="S156" s="138">
        <v>44176</v>
      </c>
      <c r="T156" s="138">
        <v>44176</v>
      </c>
      <c r="U156" s="181">
        <f ca="1">[1]!cb_clause_conversion_2_relativeswapsharemonth(B156)</f>
        <v>6</v>
      </c>
      <c r="V156" s="139"/>
      <c r="W156" s="139"/>
      <c r="X156" s="139"/>
      <c r="Y156" s="139"/>
      <c r="Z156" s="139"/>
      <c r="AA156" s="139"/>
      <c r="AB156" s="139"/>
      <c r="AC156" s="140"/>
      <c r="AD156" s="140"/>
      <c r="AE156" s="140"/>
      <c r="AF156" s="140"/>
      <c r="AG156" s="140"/>
      <c r="AH156" s="140"/>
      <c r="AI156" s="140"/>
      <c r="AJ156" s="140"/>
      <c r="AK156" s="140"/>
      <c r="AL156" s="140"/>
      <c r="AM156" s="140"/>
      <c r="AN156" s="140"/>
      <c r="AO156" s="140"/>
      <c r="AP156" s="140"/>
      <c r="AQ156" s="140"/>
      <c r="AR156" s="140"/>
      <c r="AS156" s="140"/>
      <c r="AT156" s="140"/>
      <c r="AU156" s="140"/>
    </row>
    <row r="157" spans="1:47" s="179" customFormat="1" ht="10.3" x14ac:dyDescent="0.25">
      <c r="A157" s="170" t="s">
        <v>5</v>
      </c>
      <c r="B157" s="170" t="s">
        <v>132</v>
      </c>
      <c r="C157" s="170" t="s">
        <v>133</v>
      </c>
      <c r="D157" s="172">
        <v>4.7397260273972606</v>
      </c>
      <c r="E157" s="171">
        <v>18.298451</v>
      </c>
      <c r="F157" s="171">
        <v>18.3</v>
      </c>
      <c r="G157" s="172">
        <v>8.6300000000000008</v>
      </c>
      <c r="H157" s="171">
        <v>0</v>
      </c>
      <c r="I157" s="171" t="s">
        <v>957</v>
      </c>
      <c r="J157" s="317" t="s">
        <v>936</v>
      </c>
      <c r="K157" s="317" t="s">
        <v>1534</v>
      </c>
      <c r="L157" s="311"/>
      <c r="M157" s="311" t="s">
        <v>947</v>
      </c>
      <c r="N157" s="173">
        <v>80</v>
      </c>
      <c r="O157" s="173">
        <v>70</v>
      </c>
      <c r="P157" s="173">
        <v>130</v>
      </c>
      <c r="Q157" s="174">
        <v>110</v>
      </c>
      <c r="R157" s="180">
        <v>46177</v>
      </c>
      <c r="S157" s="175">
        <v>44175</v>
      </c>
      <c r="T157" s="175">
        <v>44175</v>
      </c>
      <c r="U157" s="176">
        <f ca="1">[1]!cb_clause_conversion_2_relativeswapsharemonth(B157)</f>
        <v>6</v>
      </c>
      <c r="V157" s="177"/>
      <c r="W157" s="177"/>
      <c r="X157" s="177"/>
      <c r="Y157" s="177"/>
      <c r="Z157" s="177"/>
      <c r="AA157" s="177"/>
      <c r="AB157" s="177"/>
      <c r="AC157" s="178"/>
      <c r="AD157" s="178"/>
      <c r="AE157" s="178"/>
      <c r="AF157" s="178"/>
      <c r="AG157" s="178"/>
      <c r="AH157" s="178"/>
      <c r="AI157" s="178"/>
      <c r="AJ157" s="178"/>
      <c r="AK157" s="178"/>
      <c r="AL157" s="178"/>
      <c r="AM157" s="178"/>
      <c r="AN157" s="178"/>
      <c r="AO157" s="178"/>
      <c r="AP157" s="178"/>
      <c r="AQ157" s="178"/>
      <c r="AR157" s="178"/>
      <c r="AS157" s="178"/>
      <c r="AT157" s="178"/>
      <c r="AU157" s="178"/>
    </row>
    <row r="158" spans="1:47" s="141" customFormat="1" ht="10.3" x14ac:dyDescent="0.25">
      <c r="A158" s="132" t="s">
        <v>5</v>
      </c>
      <c r="B158" s="132" t="s">
        <v>130</v>
      </c>
      <c r="C158" s="132" t="s">
        <v>131</v>
      </c>
      <c r="D158" s="134">
        <v>4.7397260273972606</v>
      </c>
      <c r="E158" s="133">
        <v>2.7934800000000002</v>
      </c>
      <c r="F158" s="133">
        <v>2.8</v>
      </c>
      <c r="G158" s="134">
        <v>8.6999999999999993</v>
      </c>
      <c r="H158" s="133">
        <v>0</v>
      </c>
      <c r="I158" s="133" t="s">
        <v>1031</v>
      </c>
      <c r="J158" s="318" t="s">
        <v>942</v>
      </c>
      <c r="K158" s="318" t="s">
        <v>1357</v>
      </c>
      <c r="L158" s="312"/>
      <c r="M158" s="312" t="s">
        <v>1056</v>
      </c>
      <c r="N158" s="135">
        <v>85</v>
      </c>
      <c r="O158" s="135">
        <v>70</v>
      </c>
      <c r="P158" s="135">
        <v>130</v>
      </c>
      <c r="Q158" s="136">
        <v>116</v>
      </c>
      <c r="R158" s="137">
        <v>46177</v>
      </c>
      <c r="S158" s="138">
        <v>44175</v>
      </c>
      <c r="T158" s="138">
        <v>44175</v>
      </c>
      <c r="U158" s="181">
        <f ca="1">[1]!cb_clause_conversion_2_relativeswapsharemonth(B158)</f>
        <v>6</v>
      </c>
      <c r="V158" s="139"/>
      <c r="W158" s="139"/>
      <c r="X158" s="139"/>
      <c r="Y158" s="139"/>
      <c r="Z158" s="139"/>
      <c r="AA158" s="139"/>
      <c r="AB158" s="139"/>
      <c r="AC158" s="140"/>
      <c r="AD158" s="140"/>
      <c r="AE158" s="140"/>
      <c r="AF158" s="140"/>
      <c r="AG158" s="140"/>
      <c r="AH158" s="140"/>
      <c r="AI158" s="140"/>
      <c r="AJ158" s="140"/>
      <c r="AK158" s="140"/>
      <c r="AL158" s="140"/>
      <c r="AM158" s="140"/>
      <c r="AN158" s="140"/>
      <c r="AO158" s="140"/>
      <c r="AP158" s="140"/>
      <c r="AQ158" s="140"/>
      <c r="AR158" s="140"/>
      <c r="AS158" s="140"/>
      <c r="AT158" s="140"/>
      <c r="AU158" s="140"/>
    </row>
    <row r="159" spans="1:47" s="179" customFormat="1" ht="10.3" x14ac:dyDescent="0.25">
      <c r="A159" s="170" t="s">
        <v>5</v>
      </c>
      <c r="B159" s="170" t="s">
        <v>134</v>
      </c>
      <c r="C159" s="170" t="s">
        <v>135</v>
      </c>
      <c r="D159" s="172">
        <v>4.7369863013698632</v>
      </c>
      <c r="E159" s="171">
        <v>9.9961120000000001</v>
      </c>
      <c r="F159" s="171">
        <v>10</v>
      </c>
      <c r="G159" s="172">
        <v>13.46</v>
      </c>
      <c r="H159" s="171">
        <v>0</v>
      </c>
      <c r="I159" s="171" t="s">
        <v>935</v>
      </c>
      <c r="J159" s="317" t="s">
        <v>974</v>
      </c>
      <c r="K159" s="317" t="s">
        <v>1319</v>
      </c>
      <c r="L159" s="311"/>
      <c r="M159" s="311" t="s">
        <v>971</v>
      </c>
      <c r="N159" s="173">
        <v>80</v>
      </c>
      <c r="O159" s="173">
        <v>70</v>
      </c>
      <c r="P159" s="173">
        <v>130</v>
      </c>
      <c r="Q159" s="174">
        <v>113</v>
      </c>
      <c r="R159" s="180">
        <v>46176</v>
      </c>
      <c r="S159" s="175">
        <v>44174</v>
      </c>
      <c r="T159" s="175">
        <v>44174</v>
      </c>
      <c r="U159" s="176">
        <f ca="1">[1]!cb_clause_conversion_2_relativeswapsharemonth(B159)</f>
        <v>6</v>
      </c>
      <c r="V159" s="177"/>
      <c r="W159" s="177"/>
      <c r="X159" s="177"/>
      <c r="Y159" s="177"/>
      <c r="Z159" s="177"/>
      <c r="AA159" s="177"/>
      <c r="AB159" s="177"/>
      <c r="AC159" s="178"/>
      <c r="AD159" s="178"/>
      <c r="AE159" s="178"/>
      <c r="AF159" s="178"/>
      <c r="AG159" s="178"/>
      <c r="AH159" s="178"/>
      <c r="AI159" s="178"/>
      <c r="AJ159" s="178"/>
      <c r="AK159" s="178"/>
      <c r="AL159" s="178"/>
      <c r="AM159" s="178"/>
      <c r="AN159" s="178"/>
      <c r="AO159" s="178"/>
      <c r="AP159" s="178"/>
      <c r="AQ159" s="178"/>
      <c r="AR159" s="178"/>
      <c r="AS159" s="178"/>
      <c r="AT159" s="178"/>
      <c r="AU159" s="178"/>
    </row>
    <row r="160" spans="1:47" s="141" customFormat="1" ht="10.3" x14ac:dyDescent="0.25">
      <c r="A160" s="132" t="s">
        <v>5</v>
      </c>
      <c r="B160" s="132" t="s">
        <v>136</v>
      </c>
      <c r="C160" s="132" t="s">
        <v>137</v>
      </c>
      <c r="D160" s="134">
        <v>4.7205479452054799</v>
      </c>
      <c r="E160" s="133">
        <v>15.251765000000001</v>
      </c>
      <c r="F160" s="133">
        <v>31.4</v>
      </c>
      <c r="G160" s="134">
        <v>18.239999999999998</v>
      </c>
      <c r="H160" s="133">
        <v>0</v>
      </c>
      <c r="I160" s="133" t="s">
        <v>939</v>
      </c>
      <c r="J160" s="318" t="s">
        <v>955</v>
      </c>
      <c r="K160" s="318" t="s">
        <v>1532</v>
      </c>
      <c r="L160" s="313"/>
      <c r="M160" s="313" t="s">
        <v>1533</v>
      </c>
      <c r="N160" s="135">
        <v>85</v>
      </c>
      <c r="O160" s="135">
        <v>70</v>
      </c>
      <c r="P160" s="135">
        <v>130</v>
      </c>
      <c r="Q160" s="136">
        <v>108</v>
      </c>
      <c r="R160" s="137">
        <v>46170</v>
      </c>
      <c r="S160" s="138">
        <v>44168</v>
      </c>
      <c r="T160" s="138">
        <v>44168</v>
      </c>
      <c r="U160" s="181">
        <f ca="1">[1]!cb_clause_conversion_2_relativeswapsharemonth(B160)</f>
        <v>6</v>
      </c>
      <c r="V160" s="139"/>
      <c r="W160" s="139"/>
      <c r="X160" s="139"/>
      <c r="Y160" s="139"/>
      <c r="Z160" s="139"/>
      <c r="AA160" s="139"/>
      <c r="AB160" s="139"/>
      <c r="AC160" s="140"/>
      <c r="AD160" s="140"/>
      <c r="AE160" s="140"/>
      <c r="AF160" s="140"/>
      <c r="AG160" s="140"/>
      <c r="AH160" s="140"/>
      <c r="AI160" s="140"/>
      <c r="AJ160" s="140"/>
      <c r="AK160" s="140"/>
      <c r="AL160" s="140"/>
      <c r="AM160" s="140"/>
      <c r="AN160" s="140"/>
      <c r="AO160" s="140"/>
      <c r="AP160" s="140"/>
      <c r="AQ160" s="140"/>
      <c r="AR160" s="140"/>
      <c r="AS160" s="140"/>
      <c r="AT160" s="140"/>
      <c r="AU160" s="140"/>
    </row>
    <row r="161" spans="1:47" s="179" customFormat="1" ht="10.3" x14ac:dyDescent="0.25">
      <c r="A161" s="170" t="s">
        <v>0</v>
      </c>
      <c r="B161" s="170" t="s">
        <v>138</v>
      </c>
      <c r="C161" s="170" t="s">
        <v>139</v>
      </c>
      <c r="D161" s="172">
        <v>4.7178082191780826</v>
      </c>
      <c r="E161" s="171">
        <v>4.1784600000000003</v>
      </c>
      <c r="F161" s="171">
        <v>6</v>
      </c>
      <c r="G161" s="172">
        <v>24.99</v>
      </c>
      <c r="H161" s="171">
        <v>0</v>
      </c>
      <c r="I161" s="171" t="s">
        <v>957</v>
      </c>
      <c r="J161" s="317" t="s">
        <v>942</v>
      </c>
      <c r="K161" s="317" t="s">
        <v>991</v>
      </c>
      <c r="L161" s="311"/>
      <c r="M161" s="311" t="s">
        <v>1044</v>
      </c>
      <c r="N161" s="173">
        <v>85</v>
      </c>
      <c r="O161" s="173">
        <v>70</v>
      </c>
      <c r="P161" s="173">
        <v>130</v>
      </c>
      <c r="Q161" s="174">
        <v>110</v>
      </c>
      <c r="R161" s="180">
        <v>46169</v>
      </c>
      <c r="S161" s="175">
        <v>44167</v>
      </c>
      <c r="T161" s="175">
        <v>44167</v>
      </c>
      <c r="U161" s="176">
        <f ca="1">[1]!cb_clause_conversion_2_relativeswapsharemonth(B161)</f>
        <v>6</v>
      </c>
      <c r="V161" s="177"/>
      <c r="W161" s="177"/>
      <c r="X161" s="177"/>
      <c r="Y161" s="177"/>
      <c r="Z161" s="177"/>
      <c r="AA161" s="177"/>
      <c r="AB161" s="177"/>
      <c r="AC161" s="178"/>
      <c r="AD161" s="178"/>
      <c r="AE161" s="178"/>
      <c r="AF161" s="178"/>
      <c r="AG161" s="178"/>
      <c r="AH161" s="178"/>
      <c r="AI161" s="178"/>
      <c r="AJ161" s="178"/>
      <c r="AK161" s="178"/>
      <c r="AL161" s="178"/>
      <c r="AM161" s="178"/>
      <c r="AN161" s="178"/>
      <c r="AO161" s="178"/>
      <c r="AP161" s="178"/>
      <c r="AQ161" s="178"/>
      <c r="AR161" s="178"/>
      <c r="AS161" s="178"/>
      <c r="AT161" s="178"/>
      <c r="AU161" s="178"/>
    </row>
    <row r="162" spans="1:47" s="141" customFormat="1" ht="10.3" x14ac:dyDescent="0.25">
      <c r="A162" s="132" t="s">
        <v>0</v>
      </c>
      <c r="B162" s="132" t="s">
        <v>3</v>
      </c>
      <c r="C162" s="132" t="s">
        <v>4</v>
      </c>
      <c r="D162" s="134">
        <v>4.624657534246575</v>
      </c>
      <c r="E162" s="133">
        <v>0.41120000000000001</v>
      </c>
      <c r="F162" s="133">
        <v>2</v>
      </c>
      <c r="G162" s="134">
        <v>15.51</v>
      </c>
      <c r="H162" s="133">
        <v>0</v>
      </c>
      <c r="I162" s="133" t="s">
        <v>983</v>
      </c>
      <c r="J162" s="318" t="s">
        <v>1082</v>
      </c>
      <c r="K162" s="318" t="s">
        <v>1377</v>
      </c>
      <c r="L162" s="313" t="s">
        <v>1560</v>
      </c>
      <c r="M162" s="313" t="s">
        <v>956</v>
      </c>
      <c r="N162" s="135">
        <v>80</v>
      </c>
      <c r="O162" s="135">
        <v>70</v>
      </c>
      <c r="P162" s="135">
        <v>130</v>
      </c>
      <c r="Q162" s="136">
        <v>115</v>
      </c>
      <c r="R162" s="137">
        <v>46135</v>
      </c>
      <c r="S162" s="138">
        <v>44133</v>
      </c>
      <c r="T162" s="138">
        <v>44133</v>
      </c>
      <c r="U162" s="181">
        <f ca="1">[1]!cb_clause_conversion_2_relativeswapsharemonth(B162)</f>
        <v>6</v>
      </c>
      <c r="V162" s="139"/>
      <c r="W162" s="139"/>
      <c r="X162" s="139"/>
      <c r="Y162" s="139"/>
      <c r="Z162" s="139"/>
      <c r="AA162" s="139"/>
      <c r="AB162" s="139"/>
      <c r="AC162" s="140"/>
      <c r="AD162" s="140"/>
      <c r="AE162" s="140"/>
      <c r="AF162" s="140"/>
      <c r="AG162" s="140"/>
      <c r="AH162" s="140"/>
      <c r="AI162" s="140"/>
      <c r="AJ162" s="140"/>
      <c r="AK162" s="140"/>
      <c r="AL162" s="140"/>
      <c r="AM162" s="140"/>
      <c r="AN162" s="140"/>
      <c r="AO162" s="140"/>
      <c r="AP162" s="140"/>
      <c r="AQ162" s="140"/>
      <c r="AR162" s="140"/>
      <c r="AS162" s="140"/>
      <c r="AT162" s="140"/>
      <c r="AU162" s="140"/>
    </row>
    <row r="163" spans="1:47" s="179" customFormat="1" ht="10.3" x14ac:dyDescent="0.25">
      <c r="A163" s="170" t="s">
        <v>0</v>
      </c>
      <c r="B163" s="170" t="s">
        <v>1</v>
      </c>
      <c r="C163" s="170" t="s">
        <v>2</v>
      </c>
      <c r="D163" s="172">
        <v>4.624657534246575</v>
      </c>
      <c r="E163" s="171">
        <v>5.0221</v>
      </c>
      <c r="F163" s="171">
        <v>5</v>
      </c>
      <c r="G163" s="172">
        <v>32.200000000000003</v>
      </c>
      <c r="H163" s="171">
        <v>0</v>
      </c>
      <c r="I163" s="171" t="s">
        <v>957</v>
      </c>
      <c r="J163" s="317" t="s">
        <v>942</v>
      </c>
      <c r="K163" s="317" t="s">
        <v>1033</v>
      </c>
      <c r="L163" s="311"/>
      <c r="M163" s="311" t="s">
        <v>1034</v>
      </c>
      <c r="N163" s="173">
        <v>90</v>
      </c>
      <c r="O163" s="173">
        <v>70</v>
      </c>
      <c r="P163" s="173">
        <v>130</v>
      </c>
      <c r="Q163" s="174">
        <v>109</v>
      </c>
      <c r="R163" s="180">
        <v>46135</v>
      </c>
      <c r="S163" s="175">
        <v>44133</v>
      </c>
      <c r="T163" s="175">
        <v>44133</v>
      </c>
      <c r="U163" s="176">
        <f ca="1">[1]!cb_clause_conversion_2_relativeswapsharemonth(B163)</f>
        <v>6</v>
      </c>
      <c r="V163" s="177"/>
      <c r="W163" s="177"/>
      <c r="X163" s="177"/>
      <c r="Y163" s="177"/>
      <c r="Z163" s="177"/>
      <c r="AA163" s="177"/>
      <c r="AB163" s="177"/>
      <c r="AC163" s="178"/>
      <c r="AD163" s="178"/>
      <c r="AE163" s="178"/>
      <c r="AF163" s="178"/>
      <c r="AG163" s="178"/>
      <c r="AH163" s="178"/>
      <c r="AI163" s="178"/>
      <c r="AJ163" s="178"/>
      <c r="AK163" s="178"/>
      <c r="AL163" s="178"/>
      <c r="AM163" s="178"/>
      <c r="AN163" s="178"/>
      <c r="AO163" s="178"/>
      <c r="AP163" s="178"/>
      <c r="AQ163" s="178"/>
      <c r="AR163" s="178"/>
      <c r="AS163" s="178"/>
      <c r="AT163" s="178"/>
      <c r="AU163" s="178"/>
    </row>
    <row r="164" spans="1:47" s="141" customFormat="1" ht="10.3" x14ac:dyDescent="0.25">
      <c r="A164" s="132" t="s">
        <v>5</v>
      </c>
      <c r="B164" s="132" t="s">
        <v>6</v>
      </c>
      <c r="C164" s="132" t="s">
        <v>7</v>
      </c>
      <c r="D164" s="134">
        <v>4.6219178082191785</v>
      </c>
      <c r="E164" s="133">
        <v>24.9968</v>
      </c>
      <c r="F164" s="133">
        <v>25</v>
      </c>
      <c r="G164" s="134">
        <v>5.24</v>
      </c>
      <c r="H164" s="133">
        <v>0</v>
      </c>
      <c r="I164" s="133" t="s">
        <v>935</v>
      </c>
      <c r="J164" s="318" t="s">
        <v>951</v>
      </c>
      <c r="K164" s="318" t="s">
        <v>1012</v>
      </c>
      <c r="L164" s="312"/>
      <c r="M164" s="312" t="s">
        <v>1013</v>
      </c>
      <c r="N164" s="135">
        <v>85</v>
      </c>
      <c r="O164" s="135">
        <v>70</v>
      </c>
      <c r="P164" s="135">
        <v>130</v>
      </c>
      <c r="Q164" s="136">
        <v>110</v>
      </c>
      <c r="R164" s="137">
        <v>46134</v>
      </c>
      <c r="S164" s="138">
        <v>44132</v>
      </c>
      <c r="T164" s="138">
        <v>44132</v>
      </c>
      <c r="U164" s="181">
        <f ca="1">[1]!cb_clause_conversion_2_relativeswapsharemonth(B164)</f>
        <v>6</v>
      </c>
      <c r="V164" s="139"/>
      <c r="W164" s="139"/>
      <c r="X164" s="139"/>
      <c r="Y164" s="139"/>
      <c r="Z164" s="139"/>
      <c r="AA164" s="139"/>
      <c r="AB164" s="139"/>
      <c r="AC164" s="140"/>
      <c r="AD164" s="140"/>
      <c r="AE164" s="140"/>
      <c r="AF164" s="140"/>
      <c r="AG164" s="140"/>
      <c r="AH164" s="140"/>
      <c r="AI164" s="140"/>
      <c r="AJ164" s="140"/>
      <c r="AK164" s="140"/>
      <c r="AL164" s="140"/>
      <c r="AM164" s="140"/>
      <c r="AN164" s="140"/>
      <c r="AO164" s="140"/>
      <c r="AP164" s="140"/>
      <c r="AQ164" s="140"/>
      <c r="AR164" s="140"/>
      <c r="AS164" s="140"/>
      <c r="AT164" s="140"/>
      <c r="AU164" s="140"/>
    </row>
    <row r="165" spans="1:47" s="179" customFormat="1" ht="10.3" x14ac:dyDescent="0.25">
      <c r="A165" s="170" t="s">
        <v>0</v>
      </c>
      <c r="B165" s="170" t="s">
        <v>8</v>
      </c>
      <c r="C165" s="170" t="s">
        <v>9</v>
      </c>
      <c r="D165" s="172">
        <v>4.6164383561643838</v>
      </c>
      <c r="E165" s="171">
        <v>3.8391999999999999</v>
      </c>
      <c r="F165" s="171">
        <v>3.8</v>
      </c>
      <c r="G165" s="172">
        <v>5.4</v>
      </c>
      <c r="H165" s="171">
        <v>0</v>
      </c>
      <c r="I165" s="171" t="s">
        <v>957</v>
      </c>
      <c r="J165" s="317" t="s">
        <v>968</v>
      </c>
      <c r="K165" s="317" t="s">
        <v>1092</v>
      </c>
      <c r="L165" s="311"/>
      <c r="M165" s="311" t="s">
        <v>1048</v>
      </c>
      <c r="N165" s="173">
        <v>90</v>
      </c>
      <c r="O165" s="173">
        <v>70</v>
      </c>
      <c r="P165" s="173">
        <v>130</v>
      </c>
      <c r="Q165" s="174">
        <v>113</v>
      </c>
      <c r="R165" s="180">
        <v>46132</v>
      </c>
      <c r="S165" s="175">
        <v>44130</v>
      </c>
      <c r="T165" s="175">
        <v>44130</v>
      </c>
      <c r="U165" s="176">
        <f ca="1">[1]!cb_clause_conversion_2_relativeswapsharemonth(B165)</f>
        <v>6</v>
      </c>
      <c r="V165" s="177"/>
      <c r="W165" s="177"/>
      <c r="X165" s="177"/>
      <c r="Y165" s="177"/>
      <c r="Z165" s="177"/>
      <c r="AA165" s="177"/>
      <c r="AB165" s="177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</row>
    <row r="166" spans="1:47" s="141" customFormat="1" ht="10.3" x14ac:dyDescent="0.25">
      <c r="A166" s="132" t="s">
        <v>0</v>
      </c>
      <c r="B166" s="132" t="s">
        <v>10</v>
      </c>
      <c r="C166" s="132" t="s">
        <v>11</v>
      </c>
      <c r="D166" s="134">
        <v>4.6082191780821917</v>
      </c>
      <c r="E166" s="133">
        <v>2.6983700000000002</v>
      </c>
      <c r="F166" s="133">
        <v>2.7</v>
      </c>
      <c r="G166" s="134">
        <v>18.78</v>
      </c>
      <c r="H166" s="133">
        <v>0</v>
      </c>
      <c r="I166" s="133" t="s">
        <v>1049</v>
      </c>
      <c r="J166" s="318" t="s">
        <v>955</v>
      </c>
      <c r="K166" s="318" t="s">
        <v>1449</v>
      </c>
      <c r="L166" s="313"/>
      <c r="M166" s="313" t="s">
        <v>1375</v>
      </c>
      <c r="N166" s="135">
        <v>80</v>
      </c>
      <c r="O166" s="135">
        <v>70</v>
      </c>
      <c r="P166" s="135">
        <v>130</v>
      </c>
      <c r="Q166" s="136">
        <v>118</v>
      </c>
      <c r="R166" s="137">
        <v>46129</v>
      </c>
      <c r="S166" s="138">
        <v>44127</v>
      </c>
      <c r="T166" s="138">
        <v>44127</v>
      </c>
      <c r="U166" s="181">
        <f ca="1">[1]!cb_clause_conversion_2_relativeswapsharemonth(B166)</f>
        <v>6</v>
      </c>
      <c r="V166" s="139"/>
      <c r="W166" s="139"/>
      <c r="X166" s="139"/>
      <c r="Y166" s="139"/>
      <c r="Z166" s="139"/>
      <c r="AA166" s="139"/>
      <c r="AB166" s="139"/>
      <c r="AC166" s="140"/>
      <c r="AD166" s="140"/>
      <c r="AE166" s="140"/>
      <c r="AF166" s="140"/>
      <c r="AG166" s="140"/>
      <c r="AH166" s="140"/>
      <c r="AI166" s="140"/>
      <c r="AJ166" s="140"/>
      <c r="AK166" s="140"/>
      <c r="AL166" s="140"/>
      <c r="AM166" s="140"/>
      <c r="AN166" s="140"/>
      <c r="AO166" s="140"/>
      <c r="AP166" s="140"/>
      <c r="AQ166" s="140"/>
      <c r="AR166" s="140"/>
      <c r="AS166" s="140"/>
      <c r="AT166" s="140"/>
      <c r="AU166" s="140"/>
    </row>
    <row r="167" spans="1:47" s="179" customFormat="1" ht="10.3" x14ac:dyDescent="0.25">
      <c r="A167" s="170" t="s">
        <v>0</v>
      </c>
      <c r="B167" s="170" t="s">
        <v>12</v>
      </c>
      <c r="C167" s="170" t="s">
        <v>13</v>
      </c>
      <c r="D167" s="172">
        <v>4.5999999999999996</v>
      </c>
      <c r="E167" s="171">
        <v>1.7805899999999999</v>
      </c>
      <c r="F167" s="171">
        <v>2.4</v>
      </c>
      <c r="G167" s="172">
        <v>10.85</v>
      </c>
      <c r="H167" s="171">
        <v>0</v>
      </c>
      <c r="I167" s="171" t="s">
        <v>973</v>
      </c>
      <c r="J167" s="317" t="s">
        <v>974</v>
      </c>
      <c r="K167" s="317" t="s">
        <v>1303</v>
      </c>
      <c r="L167" s="311"/>
      <c r="M167" s="311" t="s">
        <v>985</v>
      </c>
      <c r="N167" s="173">
        <v>85</v>
      </c>
      <c r="O167" s="173">
        <v>70</v>
      </c>
      <c r="P167" s="173">
        <v>130</v>
      </c>
      <c r="Q167" s="174">
        <v>112</v>
      </c>
      <c r="R167" s="180">
        <v>46126</v>
      </c>
      <c r="S167" s="175">
        <v>44124</v>
      </c>
      <c r="T167" s="175">
        <v>44124</v>
      </c>
      <c r="U167" s="176">
        <f ca="1">[1]!cb_clause_conversion_2_relativeswapsharemonth(B167)</f>
        <v>6</v>
      </c>
      <c r="V167" s="177"/>
      <c r="W167" s="177"/>
      <c r="X167" s="177"/>
      <c r="Y167" s="177"/>
      <c r="Z167" s="177"/>
      <c r="AA167" s="177"/>
      <c r="AB167" s="177"/>
      <c r="AC167" s="178"/>
      <c r="AD167" s="178"/>
      <c r="AE167" s="178"/>
      <c r="AF167" s="178"/>
      <c r="AG167" s="178"/>
      <c r="AH167" s="178"/>
      <c r="AI167" s="178"/>
      <c r="AJ167" s="178"/>
      <c r="AK167" s="178"/>
      <c r="AL167" s="178"/>
      <c r="AM167" s="178"/>
      <c r="AN167" s="178"/>
      <c r="AO167" s="178"/>
      <c r="AP167" s="178"/>
      <c r="AQ167" s="178"/>
      <c r="AR167" s="178"/>
      <c r="AS167" s="178"/>
      <c r="AT167" s="178"/>
      <c r="AU167" s="178"/>
    </row>
    <row r="168" spans="1:47" s="141" customFormat="1" ht="10.3" x14ac:dyDescent="0.25">
      <c r="A168" s="132" t="s">
        <v>5</v>
      </c>
      <c r="B168" s="132" t="s">
        <v>14</v>
      </c>
      <c r="C168" s="132" t="s">
        <v>15</v>
      </c>
      <c r="D168" s="134">
        <v>4.5999999999999996</v>
      </c>
      <c r="E168" s="133">
        <v>3.7469769999999998</v>
      </c>
      <c r="F168" s="133">
        <v>7</v>
      </c>
      <c r="G168" s="134">
        <v>5.08</v>
      </c>
      <c r="H168" s="133">
        <v>0</v>
      </c>
      <c r="I168" s="133" t="s">
        <v>983</v>
      </c>
      <c r="J168" s="318" t="s">
        <v>970</v>
      </c>
      <c r="K168" s="318" t="s">
        <v>1333</v>
      </c>
      <c r="L168" s="313"/>
      <c r="M168" s="313" t="s">
        <v>940</v>
      </c>
      <c r="N168" s="135">
        <v>85</v>
      </c>
      <c r="O168" s="135">
        <v>70</v>
      </c>
      <c r="P168" s="135">
        <v>130</v>
      </c>
      <c r="Q168" s="136">
        <v>118</v>
      </c>
      <c r="R168" s="137">
        <v>46126</v>
      </c>
      <c r="S168" s="138">
        <v>44124</v>
      </c>
      <c r="T168" s="138">
        <v>44124</v>
      </c>
      <c r="U168" s="181">
        <f ca="1">[1]!cb_clause_conversion_2_relativeswapsharemonth(B168)</f>
        <v>6</v>
      </c>
      <c r="V168" s="139"/>
      <c r="W168" s="139"/>
      <c r="X168" s="139"/>
      <c r="Y168" s="139"/>
      <c r="Z168" s="139"/>
      <c r="AA168" s="139"/>
      <c r="AB168" s="139"/>
      <c r="AC168" s="140"/>
      <c r="AD168" s="140"/>
      <c r="AE168" s="140"/>
      <c r="AF168" s="140"/>
      <c r="AG168" s="140"/>
      <c r="AH168" s="140"/>
      <c r="AI168" s="140"/>
      <c r="AJ168" s="140"/>
      <c r="AK168" s="140"/>
      <c r="AL168" s="140"/>
      <c r="AM168" s="140"/>
      <c r="AN168" s="140"/>
      <c r="AO168" s="140"/>
      <c r="AP168" s="140"/>
      <c r="AQ168" s="140"/>
      <c r="AR168" s="140"/>
      <c r="AS168" s="140"/>
      <c r="AT168" s="140"/>
      <c r="AU168" s="140"/>
    </row>
    <row r="169" spans="1:47" s="179" customFormat="1" ht="10.3" x14ac:dyDescent="0.25">
      <c r="A169" s="170" t="s">
        <v>0</v>
      </c>
      <c r="B169" s="170" t="s">
        <v>140</v>
      </c>
      <c r="C169" s="170" t="s">
        <v>141</v>
      </c>
      <c r="D169" s="172">
        <v>4.5972602739726032</v>
      </c>
      <c r="E169" s="171">
        <v>2.17123</v>
      </c>
      <c r="F169" s="171">
        <v>4.4000000000000004</v>
      </c>
      <c r="G169" s="172">
        <v>2.69</v>
      </c>
      <c r="H169" s="171">
        <v>0</v>
      </c>
      <c r="I169" s="171" t="s">
        <v>939</v>
      </c>
      <c r="J169" s="317" t="s">
        <v>1082</v>
      </c>
      <c r="K169" s="317" t="s">
        <v>1416</v>
      </c>
      <c r="L169" s="314"/>
      <c r="M169" s="314" t="s">
        <v>961</v>
      </c>
      <c r="N169" s="173">
        <v>85</v>
      </c>
      <c r="O169" s="173">
        <v>70</v>
      </c>
      <c r="P169" s="173">
        <v>130</v>
      </c>
      <c r="Q169" s="174">
        <v>112</v>
      </c>
      <c r="R169" s="180">
        <v>46125</v>
      </c>
      <c r="S169" s="175">
        <v>44123</v>
      </c>
      <c r="T169" s="175">
        <v>44123</v>
      </c>
      <c r="U169" s="176">
        <f ca="1">[1]!cb_clause_conversion_2_relativeswapsharemonth(B169)</f>
        <v>6</v>
      </c>
      <c r="V169" s="177"/>
      <c r="W169" s="177"/>
      <c r="X169" s="177"/>
      <c r="Y169" s="177"/>
      <c r="Z169" s="177"/>
      <c r="AA169" s="177"/>
      <c r="AB169" s="177"/>
      <c r="AC169" s="178"/>
      <c r="AD169" s="178"/>
      <c r="AE169" s="178"/>
      <c r="AF169" s="178"/>
      <c r="AG169" s="178"/>
      <c r="AH169" s="178"/>
      <c r="AI169" s="178"/>
      <c r="AJ169" s="178"/>
      <c r="AK169" s="178"/>
      <c r="AL169" s="178"/>
      <c r="AM169" s="178"/>
      <c r="AN169" s="178"/>
      <c r="AO169" s="178"/>
      <c r="AP169" s="178"/>
      <c r="AQ169" s="178"/>
      <c r="AR169" s="178"/>
      <c r="AS169" s="178"/>
      <c r="AT169" s="178"/>
      <c r="AU169" s="178"/>
    </row>
    <row r="170" spans="1:47" s="141" customFormat="1" ht="10.3" x14ac:dyDescent="0.25">
      <c r="A170" s="132" t="s">
        <v>5</v>
      </c>
      <c r="B170" s="132" t="s">
        <v>142</v>
      </c>
      <c r="C170" s="132" t="s">
        <v>143</v>
      </c>
      <c r="D170" s="134">
        <v>4.5972602739726032</v>
      </c>
      <c r="E170" s="133">
        <v>9.1699149999999996</v>
      </c>
      <c r="F170" s="133">
        <v>9.1999999999999993</v>
      </c>
      <c r="G170" s="134">
        <v>7.38</v>
      </c>
      <c r="H170" s="133">
        <v>0</v>
      </c>
      <c r="I170" s="133" t="s">
        <v>983</v>
      </c>
      <c r="J170" s="318" t="s">
        <v>955</v>
      </c>
      <c r="K170" s="318" t="s">
        <v>1345</v>
      </c>
      <c r="L170" s="313"/>
      <c r="M170" s="313" t="s">
        <v>956</v>
      </c>
      <c r="N170" s="135">
        <v>85</v>
      </c>
      <c r="O170" s="135">
        <v>70</v>
      </c>
      <c r="P170" s="135">
        <v>130</v>
      </c>
      <c r="Q170" s="136">
        <v>118</v>
      </c>
      <c r="R170" s="137">
        <v>46125</v>
      </c>
      <c r="S170" s="138">
        <v>44123</v>
      </c>
      <c r="T170" s="138">
        <v>44123</v>
      </c>
      <c r="U170" s="181">
        <f ca="1">[1]!cb_clause_conversion_2_relativeswapsharemonth(B170)</f>
        <v>6</v>
      </c>
      <c r="V170" s="139"/>
      <c r="W170" s="139"/>
      <c r="X170" s="139"/>
      <c r="Y170" s="139"/>
      <c r="Z170" s="139"/>
      <c r="AA170" s="139"/>
      <c r="AB170" s="139"/>
      <c r="AC170" s="140"/>
      <c r="AD170" s="140"/>
      <c r="AE170" s="140"/>
      <c r="AF170" s="140"/>
      <c r="AG170" s="140"/>
      <c r="AH170" s="140"/>
      <c r="AI170" s="140"/>
      <c r="AJ170" s="140"/>
      <c r="AK170" s="140"/>
      <c r="AL170" s="140"/>
      <c r="AM170" s="140"/>
      <c r="AN170" s="140"/>
      <c r="AO170" s="140"/>
      <c r="AP170" s="140"/>
      <c r="AQ170" s="140"/>
      <c r="AR170" s="140"/>
      <c r="AS170" s="140"/>
      <c r="AT170" s="140"/>
      <c r="AU170" s="140"/>
    </row>
    <row r="171" spans="1:47" s="179" customFormat="1" ht="10.3" x14ac:dyDescent="0.25">
      <c r="A171" s="170" t="s">
        <v>5</v>
      </c>
      <c r="B171" s="170" t="s">
        <v>150</v>
      </c>
      <c r="C171" s="170" t="s">
        <v>151</v>
      </c>
      <c r="D171" s="172">
        <v>4.5890410958904111</v>
      </c>
      <c r="E171" s="171">
        <v>5.3520200000000004</v>
      </c>
      <c r="F171" s="171">
        <v>5.5</v>
      </c>
      <c r="G171" s="172">
        <v>9.3699999999999992</v>
      </c>
      <c r="H171" s="171">
        <v>0</v>
      </c>
      <c r="I171" s="171" t="s">
        <v>939</v>
      </c>
      <c r="J171" s="317" t="s">
        <v>970</v>
      </c>
      <c r="K171" s="317" t="s">
        <v>1146</v>
      </c>
      <c r="L171" s="311" t="s">
        <v>1561</v>
      </c>
      <c r="M171" s="311" t="s">
        <v>976</v>
      </c>
      <c r="N171" s="173">
        <v>85</v>
      </c>
      <c r="O171" s="173">
        <v>70</v>
      </c>
      <c r="P171" s="173">
        <v>130</v>
      </c>
      <c r="Q171" s="174">
        <v>108</v>
      </c>
      <c r="R171" s="180">
        <v>46122</v>
      </c>
      <c r="S171" s="175">
        <v>44120</v>
      </c>
      <c r="T171" s="175">
        <v>44120</v>
      </c>
      <c r="U171" s="176">
        <f ca="1">[1]!cb_clause_conversion_2_relativeswapsharemonth(B171)</f>
        <v>6</v>
      </c>
      <c r="V171" s="177"/>
      <c r="W171" s="177"/>
      <c r="X171" s="177"/>
      <c r="Y171" s="177"/>
      <c r="Z171" s="177"/>
      <c r="AA171" s="177"/>
      <c r="AB171" s="177"/>
      <c r="AC171" s="178"/>
      <c r="AD171" s="178"/>
      <c r="AE171" s="178"/>
      <c r="AF171" s="178"/>
      <c r="AG171" s="178"/>
      <c r="AH171" s="178"/>
      <c r="AI171" s="178"/>
      <c r="AJ171" s="178"/>
      <c r="AK171" s="178"/>
      <c r="AL171" s="178"/>
      <c r="AM171" s="178"/>
      <c r="AN171" s="178"/>
      <c r="AO171" s="178"/>
      <c r="AP171" s="178"/>
      <c r="AQ171" s="178"/>
      <c r="AR171" s="178"/>
      <c r="AS171" s="178"/>
      <c r="AT171" s="178"/>
      <c r="AU171" s="178"/>
    </row>
    <row r="172" spans="1:47" s="141" customFormat="1" ht="10.3" x14ac:dyDescent="0.25">
      <c r="A172" s="132" t="s">
        <v>0</v>
      </c>
      <c r="B172" s="132" t="s">
        <v>146</v>
      </c>
      <c r="C172" s="132" t="s">
        <v>147</v>
      </c>
      <c r="D172" s="134">
        <v>4.5890410958904111</v>
      </c>
      <c r="E172" s="133">
        <v>2.6623700000000001</v>
      </c>
      <c r="F172" s="133">
        <v>5.2</v>
      </c>
      <c r="G172" s="134">
        <v>10.55</v>
      </c>
      <c r="H172" s="133">
        <v>0</v>
      </c>
      <c r="I172" s="133" t="s">
        <v>1329</v>
      </c>
      <c r="J172" s="318" t="s">
        <v>936</v>
      </c>
      <c r="K172" s="318" t="s">
        <v>1094</v>
      </c>
      <c r="L172" s="312"/>
      <c r="M172" s="312" t="s">
        <v>985</v>
      </c>
      <c r="N172" s="135">
        <v>85</v>
      </c>
      <c r="O172" s="135">
        <v>70</v>
      </c>
      <c r="P172" s="135">
        <v>130</v>
      </c>
      <c r="Q172" s="136">
        <v>115</v>
      </c>
      <c r="R172" s="137">
        <v>46122</v>
      </c>
      <c r="S172" s="138">
        <v>44120</v>
      </c>
      <c r="T172" s="138">
        <v>44120</v>
      </c>
      <c r="U172" s="181">
        <f ca="1">[1]!cb_clause_conversion_2_relativeswapsharemonth(B172)</f>
        <v>6</v>
      </c>
      <c r="V172" s="139"/>
      <c r="W172" s="139"/>
      <c r="X172" s="139"/>
      <c r="Y172" s="139"/>
      <c r="Z172" s="139"/>
      <c r="AA172" s="139"/>
      <c r="AB172" s="139"/>
      <c r="AC172" s="140"/>
      <c r="AD172" s="140"/>
      <c r="AE172" s="140"/>
      <c r="AF172" s="140"/>
      <c r="AG172" s="140"/>
      <c r="AH172" s="140"/>
      <c r="AI172" s="140"/>
      <c r="AJ172" s="140"/>
      <c r="AK172" s="140"/>
      <c r="AL172" s="140"/>
      <c r="AM172" s="140"/>
      <c r="AN172" s="140"/>
      <c r="AO172" s="140"/>
      <c r="AP172" s="140"/>
      <c r="AQ172" s="140"/>
      <c r="AR172" s="140"/>
      <c r="AS172" s="140"/>
      <c r="AT172" s="140"/>
      <c r="AU172" s="140"/>
    </row>
    <row r="173" spans="1:47" s="179" customFormat="1" ht="10.3" x14ac:dyDescent="0.25">
      <c r="A173" s="170" t="s">
        <v>0</v>
      </c>
      <c r="B173" s="170" t="s">
        <v>144</v>
      </c>
      <c r="C173" s="170" t="s">
        <v>145</v>
      </c>
      <c r="D173" s="172">
        <v>4.5890410958904111</v>
      </c>
      <c r="E173" s="171">
        <v>4.6829520000000002</v>
      </c>
      <c r="F173" s="171">
        <v>24</v>
      </c>
      <c r="G173" s="172">
        <v>4.58</v>
      </c>
      <c r="H173" s="171">
        <v>0</v>
      </c>
      <c r="I173" s="171" t="s">
        <v>957</v>
      </c>
      <c r="J173" s="317" t="s">
        <v>951</v>
      </c>
      <c r="K173" s="317" t="s">
        <v>1428</v>
      </c>
      <c r="L173" s="311"/>
      <c r="M173" s="311" t="s">
        <v>1429</v>
      </c>
      <c r="N173" s="173">
        <v>85</v>
      </c>
      <c r="O173" s="173">
        <v>70</v>
      </c>
      <c r="P173" s="173">
        <v>130</v>
      </c>
      <c r="Q173" s="174">
        <v>110</v>
      </c>
      <c r="R173" s="180">
        <v>46122</v>
      </c>
      <c r="S173" s="175">
        <v>44120</v>
      </c>
      <c r="T173" s="175">
        <v>44120</v>
      </c>
      <c r="U173" s="176">
        <f ca="1">[1]!cb_clause_conversion_2_relativeswapsharemonth(B173)</f>
        <v>6</v>
      </c>
      <c r="V173" s="177"/>
      <c r="W173" s="177"/>
      <c r="X173" s="177"/>
      <c r="Y173" s="177"/>
      <c r="Z173" s="177"/>
      <c r="AA173" s="177"/>
      <c r="AB173" s="177"/>
      <c r="AC173" s="178"/>
      <c r="AD173" s="178"/>
      <c r="AE173" s="178"/>
      <c r="AF173" s="178"/>
      <c r="AG173" s="178"/>
      <c r="AH173" s="178"/>
      <c r="AI173" s="178"/>
      <c r="AJ173" s="178"/>
      <c r="AK173" s="178"/>
      <c r="AL173" s="178"/>
      <c r="AM173" s="178"/>
      <c r="AN173" s="178"/>
      <c r="AO173" s="178"/>
      <c r="AP173" s="178"/>
      <c r="AQ173" s="178"/>
      <c r="AR173" s="178"/>
      <c r="AS173" s="178"/>
      <c r="AT173" s="178"/>
      <c r="AU173" s="178"/>
    </row>
    <row r="174" spans="1:47" s="141" customFormat="1" ht="10.3" x14ac:dyDescent="0.25">
      <c r="A174" s="132" t="s">
        <v>5</v>
      </c>
      <c r="B174" s="132" t="s">
        <v>148</v>
      </c>
      <c r="C174" s="132" t="s">
        <v>149</v>
      </c>
      <c r="D174" s="134">
        <v>4.5890410958904111</v>
      </c>
      <c r="E174" s="133">
        <v>3.7929110000000001</v>
      </c>
      <c r="F174" s="133">
        <v>8.1999999999999993</v>
      </c>
      <c r="G174" s="134">
        <v>8.8800000000000008</v>
      </c>
      <c r="H174" s="133">
        <v>0</v>
      </c>
      <c r="I174" s="133" t="s">
        <v>952</v>
      </c>
      <c r="J174" s="318" t="s">
        <v>1099</v>
      </c>
      <c r="K174" s="318" t="s">
        <v>1474</v>
      </c>
      <c r="L174" s="313"/>
      <c r="M174" s="313" t="s">
        <v>956</v>
      </c>
      <c r="N174" s="135">
        <v>85</v>
      </c>
      <c r="O174" s="135">
        <v>70</v>
      </c>
      <c r="P174" s="135">
        <v>130</v>
      </c>
      <c r="Q174" s="136">
        <v>108</v>
      </c>
      <c r="R174" s="137">
        <v>46122</v>
      </c>
      <c r="S174" s="138">
        <v>44120</v>
      </c>
      <c r="T174" s="138">
        <v>44120</v>
      </c>
      <c r="U174" s="181">
        <f ca="1">[1]!cb_clause_conversion_2_relativeswapsharemonth(B174)</f>
        <v>6</v>
      </c>
      <c r="V174" s="139"/>
      <c r="W174" s="139"/>
      <c r="X174" s="139"/>
      <c r="Y174" s="139"/>
      <c r="Z174" s="139"/>
      <c r="AA174" s="139"/>
      <c r="AB174" s="139"/>
      <c r="AC174" s="140"/>
      <c r="AD174" s="140"/>
      <c r="AE174" s="140"/>
      <c r="AF174" s="140"/>
      <c r="AG174" s="140"/>
      <c r="AH174" s="140"/>
      <c r="AI174" s="140"/>
      <c r="AJ174" s="140"/>
      <c r="AK174" s="140"/>
      <c r="AL174" s="140"/>
      <c r="AM174" s="140"/>
      <c r="AN174" s="140"/>
      <c r="AO174" s="140"/>
      <c r="AP174" s="140"/>
      <c r="AQ174" s="140"/>
      <c r="AR174" s="140"/>
      <c r="AS174" s="140"/>
      <c r="AT174" s="140"/>
      <c r="AU174" s="140"/>
    </row>
    <row r="175" spans="1:47" s="179" customFormat="1" ht="10.3" x14ac:dyDescent="0.25">
      <c r="A175" s="170" t="s">
        <v>5</v>
      </c>
      <c r="B175" s="170" t="s">
        <v>156</v>
      </c>
      <c r="C175" s="170" t="s">
        <v>157</v>
      </c>
      <c r="D175" s="172">
        <v>4.5863013698630137</v>
      </c>
      <c r="E175" s="171">
        <v>7.9953209999999997</v>
      </c>
      <c r="F175" s="171">
        <v>8</v>
      </c>
      <c r="G175" s="172">
        <v>7.91</v>
      </c>
      <c r="H175" s="171">
        <v>0</v>
      </c>
      <c r="I175" s="171" t="s">
        <v>957</v>
      </c>
      <c r="J175" s="317" t="s">
        <v>936</v>
      </c>
      <c r="K175" s="317" t="s">
        <v>1071</v>
      </c>
      <c r="L175" s="311"/>
      <c r="M175" s="311" t="s">
        <v>947</v>
      </c>
      <c r="N175" s="173">
        <v>85</v>
      </c>
      <c r="O175" s="173">
        <v>70</v>
      </c>
      <c r="P175" s="173">
        <v>130</v>
      </c>
      <c r="Q175" s="174">
        <v>110</v>
      </c>
      <c r="R175" s="180">
        <v>46121</v>
      </c>
      <c r="S175" s="175">
        <v>44119</v>
      </c>
      <c r="T175" s="175">
        <v>44119</v>
      </c>
      <c r="U175" s="176">
        <f ca="1">[1]!cb_clause_conversion_2_relativeswapsharemonth(B175)</f>
        <v>6</v>
      </c>
      <c r="V175" s="177"/>
      <c r="W175" s="177"/>
      <c r="X175" s="177"/>
      <c r="Y175" s="177"/>
      <c r="Z175" s="177"/>
      <c r="AA175" s="177"/>
      <c r="AB175" s="177"/>
      <c r="AC175" s="178"/>
      <c r="AD175" s="178"/>
      <c r="AE175" s="178"/>
      <c r="AF175" s="178"/>
      <c r="AG175" s="178"/>
      <c r="AH175" s="178"/>
      <c r="AI175" s="178"/>
      <c r="AJ175" s="178"/>
      <c r="AK175" s="178"/>
      <c r="AL175" s="178"/>
      <c r="AM175" s="178"/>
      <c r="AN175" s="178"/>
      <c r="AO175" s="178"/>
      <c r="AP175" s="178"/>
      <c r="AQ175" s="178"/>
      <c r="AR175" s="178"/>
      <c r="AS175" s="178"/>
      <c r="AT175" s="178"/>
      <c r="AU175" s="178"/>
    </row>
    <row r="176" spans="1:47" s="141" customFormat="1" ht="10.3" x14ac:dyDescent="0.25">
      <c r="A176" s="132" t="s">
        <v>5</v>
      </c>
      <c r="B176" s="132" t="s">
        <v>154</v>
      </c>
      <c r="C176" s="132" t="s">
        <v>155</v>
      </c>
      <c r="D176" s="134">
        <v>4.5863013698630137</v>
      </c>
      <c r="E176" s="133">
        <v>13.998713</v>
      </c>
      <c r="F176" s="133">
        <v>14</v>
      </c>
      <c r="G176" s="134">
        <v>8.7100000000000009</v>
      </c>
      <c r="H176" s="133">
        <v>0</v>
      </c>
      <c r="I176" s="133" t="s">
        <v>935</v>
      </c>
      <c r="J176" s="318" t="s">
        <v>942</v>
      </c>
      <c r="K176" s="318" t="s">
        <v>1022</v>
      </c>
      <c r="L176" s="312"/>
      <c r="M176" s="312" t="s">
        <v>971</v>
      </c>
      <c r="N176" s="135">
        <v>80</v>
      </c>
      <c r="O176" s="135">
        <v>70</v>
      </c>
      <c r="P176" s="135">
        <v>130</v>
      </c>
      <c r="Q176" s="136">
        <v>111</v>
      </c>
      <c r="R176" s="137">
        <v>46121</v>
      </c>
      <c r="S176" s="138">
        <v>44119</v>
      </c>
      <c r="T176" s="138">
        <v>44119</v>
      </c>
      <c r="U176" s="181">
        <f ca="1">[1]!cb_clause_conversion_2_relativeswapsharemonth(B176)</f>
        <v>6</v>
      </c>
      <c r="V176" s="139"/>
      <c r="W176" s="139"/>
      <c r="X176" s="139"/>
      <c r="Y176" s="139"/>
      <c r="Z176" s="139"/>
      <c r="AA176" s="139"/>
      <c r="AB176" s="139"/>
      <c r="AC176" s="140"/>
      <c r="AD176" s="140"/>
      <c r="AE176" s="140"/>
      <c r="AF176" s="140"/>
      <c r="AG176" s="140"/>
      <c r="AH176" s="140"/>
      <c r="AI176" s="140"/>
      <c r="AJ176" s="140"/>
      <c r="AK176" s="140"/>
      <c r="AL176" s="140"/>
      <c r="AM176" s="140"/>
      <c r="AN176" s="140"/>
      <c r="AO176" s="140"/>
      <c r="AP176" s="140"/>
      <c r="AQ176" s="140"/>
      <c r="AR176" s="140"/>
      <c r="AS176" s="140"/>
      <c r="AT176" s="140"/>
      <c r="AU176" s="140"/>
    </row>
    <row r="177" spans="1:47" s="179" customFormat="1" ht="10.3" x14ac:dyDescent="0.25">
      <c r="A177" s="170" t="s">
        <v>0</v>
      </c>
      <c r="B177" s="170" t="s">
        <v>152</v>
      </c>
      <c r="C177" s="170" t="s">
        <v>153</v>
      </c>
      <c r="D177" s="172">
        <v>4.5863013698630137</v>
      </c>
      <c r="E177" s="171">
        <v>0.98416999999999999</v>
      </c>
      <c r="F177" s="171">
        <v>4.3</v>
      </c>
      <c r="G177" s="172">
        <v>12.15</v>
      </c>
      <c r="H177" s="171">
        <v>0</v>
      </c>
      <c r="I177" s="171" t="s">
        <v>957</v>
      </c>
      <c r="J177" s="317" t="s">
        <v>942</v>
      </c>
      <c r="K177" s="317" t="s">
        <v>1162</v>
      </c>
      <c r="L177" s="311"/>
      <c r="M177" s="311" t="s">
        <v>982</v>
      </c>
      <c r="N177" s="173">
        <v>80</v>
      </c>
      <c r="O177" s="173">
        <v>70</v>
      </c>
      <c r="P177" s="173">
        <v>130</v>
      </c>
      <c r="Q177" s="174">
        <v>108</v>
      </c>
      <c r="R177" s="180">
        <v>46121</v>
      </c>
      <c r="S177" s="175">
        <v>44119</v>
      </c>
      <c r="T177" s="175">
        <v>44119</v>
      </c>
      <c r="U177" s="176">
        <f ca="1">[1]!cb_clause_conversion_2_relativeswapsharemonth(B177)</f>
        <v>6</v>
      </c>
      <c r="V177" s="177"/>
      <c r="W177" s="177"/>
      <c r="X177" s="177"/>
      <c r="Y177" s="177"/>
      <c r="Z177" s="177"/>
      <c r="AA177" s="177"/>
      <c r="AB177" s="177"/>
      <c r="AC177" s="178"/>
      <c r="AD177" s="178"/>
      <c r="AE177" s="178"/>
      <c r="AF177" s="178"/>
      <c r="AG177" s="178"/>
      <c r="AH177" s="178"/>
      <c r="AI177" s="178"/>
      <c r="AJ177" s="178"/>
      <c r="AK177" s="178"/>
      <c r="AL177" s="178"/>
      <c r="AM177" s="178"/>
      <c r="AN177" s="178"/>
      <c r="AO177" s="178"/>
      <c r="AP177" s="178"/>
      <c r="AQ177" s="178"/>
      <c r="AR177" s="178"/>
      <c r="AS177" s="178"/>
      <c r="AT177" s="178"/>
      <c r="AU177" s="178"/>
    </row>
    <row r="178" spans="1:47" s="141" customFormat="1" ht="10.3" x14ac:dyDescent="0.25">
      <c r="A178" s="132" t="s">
        <v>0</v>
      </c>
      <c r="B178" s="132" t="s">
        <v>158</v>
      </c>
      <c r="C178" s="132" t="s">
        <v>159</v>
      </c>
      <c r="D178" s="134">
        <v>4.580821917808219</v>
      </c>
      <c r="E178" s="133">
        <v>0</v>
      </c>
      <c r="F178" s="133">
        <v>9.9</v>
      </c>
      <c r="G178" s="134">
        <v>20.2</v>
      </c>
      <c r="H178" s="133">
        <v>0</v>
      </c>
      <c r="I178" s="133" t="s">
        <v>952</v>
      </c>
      <c r="J178" s="318" t="s">
        <v>1082</v>
      </c>
      <c r="K178" s="318" t="s">
        <v>1415</v>
      </c>
      <c r="L178" s="313"/>
      <c r="M178" s="313" t="s">
        <v>956</v>
      </c>
      <c r="N178" s="135">
        <v>80</v>
      </c>
      <c r="O178" s="135">
        <v>70</v>
      </c>
      <c r="P178" s="135">
        <v>130</v>
      </c>
      <c r="Q178" s="136">
        <v>110</v>
      </c>
      <c r="R178" s="137">
        <v>46119</v>
      </c>
      <c r="S178" s="138">
        <v>44117</v>
      </c>
      <c r="T178" s="138">
        <v>44117</v>
      </c>
      <c r="U178" s="181">
        <f ca="1">[1]!cb_clause_conversion_2_relativeswapsharemonth(B178)</f>
        <v>6</v>
      </c>
      <c r="V178" s="139"/>
      <c r="W178" s="139"/>
      <c r="X178" s="139"/>
      <c r="Y178" s="139"/>
      <c r="Z178" s="139"/>
      <c r="AA178" s="139"/>
      <c r="AB178" s="139"/>
      <c r="AC178" s="140"/>
      <c r="AD178" s="140"/>
      <c r="AE178" s="140"/>
      <c r="AF178" s="140"/>
      <c r="AG178" s="140"/>
      <c r="AH178" s="140"/>
      <c r="AI178" s="140"/>
      <c r="AJ178" s="140"/>
      <c r="AK178" s="140"/>
      <c r="AL178" s="140"/>
      <c r="AM178" s="140"/>
      <c r="AN178" s="140"/>
      <c r="AO178" s="140"/>
      <c r="AP178" s="140"/>
      <c r="AQ178" s="140"/>
      <c r="AR178" s="140"/>
      <c r="AS178" s="140"/>
      <c r="AT178" s="140"/>
      <c r="AU178" s="140"/>
    </row>
    <row r="179" spans="1:47" s="179" customFormat="1" ht="10.3" x14ac:dyDescent="0.25">
      <c r="A179" s="170" t="s">
        <v>0</v>
      </c>
      <c r="B179" s="170" t="s">
        <v>160</v>
      </c>
      <c r="C179" s="170" t="s">
        <v>161</v>
      </c>
      <c r="D179" s="172">
        <v>4.5643835616438357</v>
      </c>
      <c r="E179" s="171">
        <v>17.998719999999999</v>
      </c>
      <c r="F179" s="171">
        <v>18</v>
      </c>
      <c r="G179" s="172">
        <v>7.01</v>
      </c>
      <c r="H179" s="171">
        <v>0</v>
      </c>
      <c r="I179" s="171" t="s">
        <v>957</v>
      </c>
      <c r="J179" s="317" t="s">
        <v>951</v>
      </c>
      <c r="K179" s="317" t="s">
        <v>1427</v>
      </c>
      <c r="L179" s="311"/>
      <c r="M179" s="311" t="s">
        <v>1090</v>
      </c>
      <c r="N179" s="173">
        <v>85</v>
      </c>
      <c r="O179" s="173">
        <v>70</v>
      </c>
      <c r="P179" s="173">
        <v>130</v>
      </c>
      <c r="Q179" s="174">
        <v>110</v>
      </c>
      <c r="R179" s="180">
        <v>46113</v>
      </c>
      <c r="S179" s="175">
        <v>44113</v>
      </c>
      <c r="T179" s="175">
        <v>44113</v>
      </c>
      <c r="U179" s="176">
        <f ca="1">[1]!cb_clause_conversion_2_relativeswapsharemonth(B179)</f>
        <v>6</v>
      </c>
      <c r="V179" s="177"/>
      <c r="W179" s="177"/>
      <c r="X179" s="177"/>
      <c r="Y179" s="177"/>
      <c r="Z179" s="177"/>
      <c r="AA179" s="177"/>
      <c r="AB179" s="177"/>
      <c r="AC179" s="178"/>
      <c r="AD179" s="178"/>
      <c r="AE179" s="178"/>
      <c r="AF179" s="178"/>
      <c r="AG179" s="178"/>
      <c r="AH179" s="178"/>
      <c r="AI179" s="178"/>
      <c r="AJ179" s="178"/>
      <c r="AK179" s="178"/>
      <c r="AL179" s="178"/>
      <c r="AM179" s="178"/>
      <c r="AN179" s="178"/>
      <c r="AO179" s="178"/>
      <c r="AP179" s="178"/>
      <c r="AQ179" s="178"/>
      <c r="AR179" s="178"/>
      <c r="AS179" s="178"/>
      <c r="AT179" s="178"/>
      <c r="AU179" s="178"/>
    </row>
    <row r="180" spans="1:47" s="141" customFormat="1" ht="10.3" x14ac:dyDescent="0.25">
      <c r="A180" s="132" t="s">
        <v>0</v>
      </c>
      <c r="B180" s="132" t="s">
        <v>162</v>
      </c>
      <c r="C180" s="132" t="s">
        <v>163</v>
      </c>
      <c r="D180" s="134">
        <v>4.5616438356164384</v>
      </c>
      <c r="E180" s="133">
        <v>2.0878100000000002</v>
      </c>
      <c r="F180" s="133">
        <v>2.1</v>
      </c>
      <c r="G180" s="134">
        <v>33.909999999999997</v>
      </c>
      <c r="H180" s="133">
        <v>0</v>
      </c>
      <c r="I180" s="133" t="s">
        <v>1031</v>
      </c>
      <c r="J180" s="318" t="s">
        <v>942</v>
      </c>
      <c r="K180" s="318" t="s">
        <v>1280</v>
      </c>
      <c r="L180" s="312"/>
      <c r="M180" s="312" t="s">
        <v>1265</v>
      </c>
      <c r="N180" s="135">
        <v>85</v>
      </c>
      <c r="O180" s="135">
        <v>70</v>
      </c>
      <c r="P180" s="135">
        <v>130</v>
      </c>
      <c r="Q180" s="136">
        <v>110</v>
      </c>
      <c r="R180" s="137">
        <v>46112</v>
      </c>
      <c r="S180" s="138">
        <v>44113</v>
      </c>
      <c r="T180" s="138">
        <v>44113</v>
      </c>
      <c r="U180" s="181">
        <f ca="1">[1]!cb_clause_conversion_2_relativeswapsharemonth(B180)</f>
        <v>6</v>
      </c>
      <c r="V180" s="139"/>
      <c r="W180" s="139"/>
      <c r="X180" s="139"/>
      <c r="Y180" s="139"/>
      <c r="Z180" s="139"/>
      <c r="AA180" s="139"/>
      <c r="AB180" s="139"/>
      <c r="AC180" s="140"/>
      <c r="AD180" s="140"/>
      <c r="AE180" s="140"/>
      <c r="AF180" s="140"/>
      <c r="AG180" s="140"/>
      <c r="AH180" s="140"/>
      <c r="AI180" s="140"/>
      <c r="AJ180" s="140"/>
      <c r="AK180" s="140"/>
      <c r="AL180" s="140"/>
      <c r="AM180" s="140"/>
      <c r="AN180" s="140"/>
      <c r="AO180" s="140"/>
      <c r="AP180" s="140"/>
      <c r="AQ180" s="140"/>
      <c r="AR180" s="140"/>
      <c r="AS180" s="140"/>
      <c r="AT180" s="140"/>
      <c r="AU180" s="140"/>
    </row>
    <row r="181" spans="1:47" s="179" customFormat="1" ht="10.3" x14ac:dyDescent="0.25">
      <c r="A181" s="170" t="s">
        <v>5</v>
      </c>
      <c r="B181" s="170" t="s">
        <v>1289</v>
      </c>
      <c r="C181" s="170" t="s">
        <v>1290</v>
      </c>
      <c r="D181" s="172">
        <v>4.558904109589041</v>
      </c>
      <c r="E181" s="171">
        <v>16.38</v>
      </c>
      <c r="F181" s="171">
        <v>16.399999999999999</v>
      </c>
      <c r="G181" s="172">
        <v>29.5</v>
      </c>
      <c r="H181" s="171">
        <v>0</v>
      </c>
      <c r="I181" s="171" t="s">
        <v>952</v>
      </c>
      <c r="J181" s="317" t="s">
        <v>1082</v>
      </c>
      <c r="K181" s="317" t="s">
        <v>1369</v>
      </c>
      <c r="L181" s="314"/>
      <c r="M181" s="314" t="s">
        <v>1047</v>
      </c>
      <c r="N181" s="173">
        <v>80</v>
      </c>
      <c r="O181" s="173">
        <v>70</v>
      </c>
      <c r="P181" s="173">
        <v>130</v>
      </c>
      <c r="Q181" s="174">
        <v>107.8</v>
      </c>
      <c r="R181" s="180">
        <v>46111</v>
      </c>
      <c r="S181" s="175">
        <v>44477</v>
      </c>
      <c r="T181" s="175">
        <v>44477</v>
      </c>
      <c r="U181" s="176">
        <f ca="1">[1]!cb_clause_conversion_2_relativeswapsharemonth(B181)</f>
        <v>6</v>
      </c>
      <c r="V181" s="177"/>
      <c r="W181" s="177"/>
      <c r="X181" s="177"/>
      <c r="Y181" s="177"/>
      <c r="Z181" s="177"/>
      <c r="AA181" s="177"/>
      <c r="AB181" s="177"/>
      <c r="AC181" s="178"/>
      <c r="AD181" s="178"/>
      <c r="AE181" s="178"/>
      <c r="AF181" s="178"/>
      <c r="AG181" s="178"/>
      <c r="AH181" s="178"/>
      <c r="AI181" s="178"/>
      <c r="AJ181" s="178"/>
      <c r="AK181" s="178"/>
      <c r="AL181" s="178"/>
      <c r="AM181" s="178"/>
      <c r="AN181" s="178"/>
      <c r="AO181" s="178"/>
      <c r="AP181" s="178"/>
      <c r="AQ181" s="178"/>
      <c r="AR181" s="178"/>
      <c r="AS181" s="178"/>
      <c r="AT181" s="178"/>
      <c r="AU181" s="178"/>
    </row>
    <row r="182" spans="1:47" s="141" customFormat="1" ht="10.3" x14ac:dyDescent="0.25">
      <c r="A182" s="132" t="s">
        <v>5</v>
      </c>
      <c r="B182" s="132" t="s">
        <v>164</v>
      </c>
      <c r="C182" s="132" t="s">
        <v>165</v>
      </c>
      <c r="D182" s="134">
        <v>4.5479452054794525</v>
      </c>
      <c r="E182" s="133">
        <v>1.0842290000000001</v>
      </c>
      <c r="F182" s="133">
        <v>1.4</v>
      </c>
      <c r="G182" s="134">
        <v>5.08</v>
      </c>
      <c r="H182" s="133">
        <v>0</v>
      </c>
      <c r="I182" s="133" t="s">
        <v>1031</v>
      </c>
      <c r="J182" s="318" t="s">
        <v>968</v>
      </c>
      <c r="K182" s="318" t="s">
        <v>1381</v>
      </c>
      <c r="L182" s="312"/>
      <c r="M182" s="312" t="s">
        <v>995</v>
      </c>
      <c r="N182" s="135">
        <v>90</v>
      </c>
      <c r="O182" s="135">
        <v>70</v>
      </c>
      <c r="P182" s="135">
        <v>130</v>
      </c>
      <c r="Q182" s="136">
        <v>115</v>
      </c>
      <c r="R182" s="137">
        <v>46107</v>
      </c>
      <c r="S182" s="138">
        <v>44113</v>
      </c>
      <c r="T182" s="138">
        <v>44113</v>
      </c>
      <c r="U182" s="181">
        <f ca="1">[1]!cb_clause_conversion_2_relativeswapsharemonth(B182)</f>
        <v>6</v>
      </c>
      <c r="V182" s="139"/>
      <c r="W182" s="139"/>
      <c r="X182" s="139"/>
      <c r="Y182" s="139"/>
      <c r="Z182" s="139"/>
      <c r="AA182" s="139"/>
      <c r="AB182" s="139"/>
      <c r="AC182" s="140"/>
      <c r="AD182" s="140"/>
      <c r="AE182" s="140"/>
      <c r="AF182" s="140"/>
      <c r="AG182" s="140"/>
      <c r="AH182" s="140"/>
      <c r="AI182" s="140"/>
      <c r="AJ182" s="140"/>
      <c r="AK182" s="140"/>
      <c r="AL182" s="140"/>
      <c r="AM182" s="140"/>
      <c r="AN182" s="140"/>
      <c r="AO182" s="140"/>
      <c r="AP182" s="140"/>
      <c r="AQ182" s="140"/>
      <c r="AR182" s="140"/>
      <c r="AS182" s="140"/>
      <c r="AT182" s="140"/>
      <c r="AU182" s="140"/>
    </row>
    <row r="183" spans="1:47" s="179" customFormat="1" ht="10.3" x14ac:dyDescent="0.25">
      <c r="A183" s="170" t="s">
        <v>0</v>
      </c>
      <c r="B183" s="170" t="s">
        <v>166</v>
      </c>
      <c r="C183" s="170" t="s">
        <v>167</v>
      </c>
      <c r="D183" s="172">
        <v>4.5424657534246577</v>
      </c>
      <c r="E183" s="171">
        <v>19.998429999999999</v>
      </c>
      <c r="F183" s="171">
        <v>20</v>
      </c>
      <c r="G183" s="172">
        <v>10.55</v>
      </c>
      <c r="H183" s="171">
        <v>0</v>
      </c>
      <c r="I183" s="171" t="s">
        <v>952</v>
      </c>
      <c r="J183" s="317" t="s">
        <v>958</v>
      </c>
      <c r="K183" s="317" t="s">
        <v>1320</v>
      </c>
      <c r="L183" s="314"/>
      <c r="M183" s="314" t="s">
        <v>1321</v>
      </c>
      <c r="N183" s="173">
        <v>90</v>
      </c>
      <c r="O183" s="173">
        <v>70</v>
      </c>
      <c r="P183" s="173">
        <v>130</v>
      </c>
      <c r="Q183" s="174">
        <v>110</v>
      </c>
      <c r="R183" s="180">
        <v>46105</v>
      </c>
      <c r="S183" s="175">
        <v>44104</v>
      </c>
      <c r="T183" s="175">
        <v>44104</v>
      </c>
      <c r="U183" s="176">
        <f ca="1">[1]!cb_clause_conversion_2_relativeswapsharemonth(B183)</f>
        <v>6</v>
      </c>
      <c r="V183" s="177"/>
      <c r="W183" s="177"/>
      <c r="X183" s="177"/>
      <c r="Y183" s="177"/>
      <c r="Z183" s="177"/>
      <c r="AA183" s="177"/>
      <c r="AB183" s="177"/>
      <c r="AC183" s="178"/>
      <c r="AD183" s="178"/>
      <c r="AE183" s="178"/>
      <c r="AF183" s="178"/>
      <c r="AG183" s="178"/>
      <c r="AH183" s="178"/>
      <c r="AI183" s="178"/>
      <c r="AJ183" s="178"/>
      <c r="AK183" s="178"/>
      <c r="AL183" s="178"/>
      <c r="AM183" s="178"/>
      <c r="AN183" s="178"/>
      <c r="AO183" s="178"/>
      <c r="AP183" s="178"/>
      <c r="AQ183" s="178"/>
      <c r="AR183" s="178"/>
      <c r="AS183" s="178"/>
      <c r="AT183" s="178"/>
      <c r="AU183" s="178"/>
    </row>
    <row r="184" spans="1:47" s="141" customFormat="1" ht="10.3" x14ac:dyDescent="0.25">
      <c r="A184" s="132" t="s">
        <v>5</v>
      </c>
      <c r="B184" s="132" t="s">
        <v>168</v>
      </c>
      <c r="C184" s="132" t="s">
        <v>169</v>
      </c>
      <c r="D184" s="134">
        <v>4.5315068493150683</v>
      </c>
      <c r="E184" s="133">
        <v>1.5808359999999999</v>
      </c>
      <c r="F184" s="133">
        <v>2.5</v>
      </c>
      <c r="G184" s="134">
        <v>17.43</v>
      </c>
      <c r="H184" s="133">
        <v>0</v>
      </c>
      <c r="I184" s="133" t="s">
        <v>1031</v>
      </c>
      <c r="J184" s="318" t="s">
        <v>951</v>
      </c>
      <c r="K184" s="318" t="s">
        <v>1001</v>
      </c>
      <c r="L184" s="312"/>
      <c r="M184" s="312" t="s">
        <v>971</v>
      </c>
      <c r="N184" s="135">
        <v>80</v>
      </c>
      <c r="O184" s="135">
        <v>70</v>
      </c>
      <c r="P184" s="135">
        <v>130</v>
      </c>
      <c r="Q184" s="136">
        <v>121</v>
      </c>
      <c r="R184" s="137">
        <v>46101</v>
      </c>
      <c r="S184" s="138">
        <v>44102</v>
      </c>
      <c r="T184" s="138">
        <v>44102</v>
      </c>
      <c r="U184" s="181">
        <f ca="1">[1]!cb_clause_conversion_2_relativeswapsharemonth(B184)</f>
        <v>6</v>
      </c>
      <c r="V184" s="139"/>
      <c r="W184" s="139"/>
      <c r="X184" s="139"/>
      <c r="Y184" s="139"/>
      <c r="Z184" s="139"/>
      <c r="AA184" s="139"/>
      <c r="AB184" s="139"/>
      <c r="AC184" s="140"/>
      <c r="AD184" s="140"/>
      <c r="AE184" s="140"/>
      <c r="AF184" s="140"/>
      <c r="AG184" s="140"/>
      <c r="AH184" s="140"/>
      <c r="AI184" s="140"/>
      <c r="AJ184" s="140"/>
      <c r="AK184" s="140"/>
      <c r="AL184" s="140"/>
      <c r="AM184" s="140"/>
      <c r="AN184" s="140"/>
      <c r="AO184" s="140"/>
      <c r="AP184" s="140"/>
      <c r="AQ184" s="140"/>
      <c r="AR184" s="140"/>
      <c r="AS184" s="140"/>
      <c r="AT184" s="140"/>
      <c r="AU184" s="140"/>
    </row>
    <row r="185" spans="1:47" s="179" customFormat="1" ht="10.3" x14ac:dyDescent="0.25">
      <c r="A185" s="170" t="s">
        <v>5</v>
      </c>
      <c r="B185" s="170" t="s">
        <v>170</v>
      </c>
      <c r="C185" s="170" t="s">
        <v>171</v>
      </c>
      <c r="D185" s="172">
        <v>4.5287671232876709</v>
      </c>
      <c r="E185" s="171">
        <v>0.62178500000000003</v>
      </c>
      <c r="F185" s="171">
        <v>4</v>
      </c>
      <c r="G185" s="172">
        <v>5.9</v>
      </c>
      <c r="H185" s="171">
        <v>0</v>
      </c>
      <c r="I185" s="171" t="s">
        <v>983</v>
      </c>
      <c r="J185" s="317" t="s">
        <v>958</v>
      </c>
      <c r="K185" s="317" t="s">
        <v>1473</v>
      </c>
      <c r="L185" s="314"/>
      <c r="M185" s="314" t="s">
        <v>1043</v>
      </c>
      <c r="N185" s="173">
        <v>90</v>
      </c>
      <c r="O185" s="173">
        <v>70</v>
      </c>
      <c r="P185" s="173">
        <v>130</v>
      </c>
      <c r="Q185" s="174">
        <v>112</v>
      </c>
      <c r="R185" s="180">
        <v>46100</v>
      </c>
      <c r="S185" s="175">
        <v>44099</v>
      </c>
      <c r="T185" s="175">
        <v>44099</v>
      </c>
      <c r="U185" s="176">
        <f ca="1">[1]!cb_clause_conversion_2_relativeswapsharemonth(B185)</f>
        <v>6</v>
      </c>
      <c r="V185" s="177"/>
      <c r="W185" s="177"/>
      <c r="X185" s="177"/>
      <c r="Y185" s="177"/>
      <c r="Z185" s="177"/>
      <c r="AA185" s="177"/>
      <c r="AB185" s="177"/>
      <c r="AC185" s="178"/>
      <c r="AD185" s="178"/>
      <c r="AE185" s="178"/>
      <c r="AF185" s="178"/>
      <c r="AG185" s="178"/>
      <c r="AH185" s="178"/>
      <c r="AI185" s="178"/>
      <c r="AJ185" s="178"/>
      <c r="AK185" s="178"/>
      <c r="AL185" s="178"/>
      <c r="AM185" s="178"/>
      <c r="AN185" s="178"/>
      <c r="AO185" s="178"/>
      <c r="AP185" s="178"/>
      <c r="AQ185" s="178"/>
      <c r="AR185" s="178"/>
      <c r="AS185" s="178"/>
      <c r="AT185" s="178"/>
      <c r="AU185" s="178"/>
    </row>
    <row r="186" spans="1:47" s="141" customFormat="1" ht="10.3" x14ac:dyDescent="0.25">
      <c r="A186" s="132" t="s">
        <v>5</v>
      </c>
      <c r="B186" s="132" t="s">
        <v>172</v>
      </c>
      <c r="C186" s="132" t="s">
        <v>173</v>
      </c>
      <c r="D186" s="134">
        <v>4.5205479452054798</v>
      </c>
      <c r="E186" s="133">
        <v>2.9972029999999998</v>
      </c>
      <c r="F186" s="133">
        <v>3</v>
      </c>
      <c r="G186" s="134">
        <v>13.72</v>
      </c>
      <c r="H186" s="133">
        <v>0</v>
      </c>
      <c r="I186" s="133" t="s">
        <v>957</v>
      </c>
      <c r="J186" s="318" t="s">
        <v>968</v>
      </c>
      <c r="K186" s="318" t="s">
        <v>1361</v>
      </c>
      <c r="L186" s="312"/>
      <c r="M186" s="312" t="s">
        <v>1030</v>
      </c>
      <c r="N186" s="135">
        <v>85</v>
      </c>
      <c r="O186" s="135">
        <v>70</v>
      </c>
      <c r="P186" s="135">
        <v>130</v>
      </c>
      <c r="Q186" s="136">
        <v>110</v>
      </c>
      <c r="R186" s="137">
        <v>46097</v>
      </c>
      <c r="S186" s="138">
        <v>44095</v>
      </c>
      <c r="T186" s="138">
        <v>44095</v>
      </c>
      <c r="U186" s="181">
        <f ca="1">[1]!cb_clause_conversion_2_relativeswapsharemonth(B186)</f>
        <v>6</v>
      </c>
      <c r="V186" s="139"/>
      <c r="W186" s="139"/>
      <c r="X186" s="139"/>
      <c r="Y186" s="139"/>
      <c r="Z186" s="139"/>
      <c r="AA186" s="139"/>
      <c r="AB186" s="139"/>
      <c r="AC186" s="140"/>
      <c r="AD186" s="140"/>
      <c r="AE186" s="140"/>
      <c r="AF186" s="140"/>
      <c r="AG186" s="140"/>
      <c r="AH186" s="140"/>
      <c r="AI186" s="140"/>
      <c r="AJ186" s="140"/>
      <c r="AK186" s="140"/>
      <c r="AL186" s="140"/>
      <c r="AM186" s="140"/>
      <c r="AN186" s="140"/>
      <c r="AO186" s="140"/>
      <c r="AP186" s="140"/>
      <c r="AQ186" s="140"/>
      <c r="AR186" s="140"/>
      <c r="AS186" s="140"/>
      <c r="AT186" s="140"/>
      <c r="AU186" s="140"/>
    </row>
    <row r="187" spans="1:47" s="179" customFormat="1" ht="10.3" x14ac:dyDescent="0.25">
      <c r="A187" s="170" t="s">
        <v>0</v>
      </c>
      <c r="B187" s="170" t="s">
        <v>862</v>
      </c>
      <c r="C187" s="170" t="s">
        <v>863</v>
      </c>
      <c r="D187" s="172">
        <v>4.5095890410958903</v>
      </c>
      <c r="E187" s="171">
        <v>27.9953</v>
      </c>
      <c r="F187" s="171">
        <v>28</v>
      </c>
      <c r="G187" s="172">
        <v>6.22</v>
      </c>
      <c r="H187" s="171">
        <v>73</v>
      </c>
      <c r="I187" s="171" t="s">
        <v>941</v>
      </c>
      <c r="J187" s="317" t="s">
        <v>1776</v>
      </c>
      <c r="K187" s="317" t="s">
        <v>964</v>
      </c>
      <c r="L187" s="311"/>
      <c r="M187" s="311" t="s">
        <v>947</v>
      </c>
      <c r="N187" s="173">
        <v>80</v>
      </c>
      <c r="O187" s="173"/>
      <c r="P187" s="173">
        <v>130</v>
      </c>
      <c r="Q187" s="174">
        <v>107</v>
      </c>
      <c r="R187" s="180">
        <v>46093</v>
      </c>
      <c r="S187" s="175">
        <v>44092</v>
      </c>
      <c r="T187" s="175">
        <v>44092</v>
      </c>
      <c r="U187" s="176">
        <f ca="1">[1]!cb_clause_conversion_2_relativeswapsharemonth(B187)</f>
        <v>6</v>
      </c>
      <c r="V187" s="177"/>
      <c r="W187" s="177"/>
      <c r="X187" s="177"/>
      <c r="Y187" s="177"/>
      <c r="Z187" s="177"/>
      <c r="AA187" s="177"/>
      <c r="AB187" s="177"/>
      <c r="AC187" s="178"/>
      <c r="AD187" s="178"/>
      <c r="AE187" s="178"/>
      <c r="AF187" s="178"/>
      <c r="AG187" s="178"/>
      <c r="AH187" s="178"/>
      <c r="AI187" s="178"/>
      <c r="AJ187" s="178"/>
      <c r="AK187" s="178"/>
      <c r="AL187" s="178"/>
      <c r="AM187" s="178"/>
      <c r="AN187" s="178"/>
      <c r="AO187" s="178"/>
      <c r="AP187" s="178"/>
      <c r="AQ187" s="178"/>
      <c r="AR187" s="178"/>
      <c r="AS187" s="178"/>
      <c r="AT187" s="178"/>
      <c r="AU187" s="178"/>
    </row>
    <row r="188" spans="1:47" s="141" customFormat="1" ht="10.3" x14ac:dyDescent="0.25">
      <c r="A188" s="132" t="s">
        <v>5</v>
      </c>
      <c r="B188" s="132" t="s">
        <v>178</v>
      </c>
      <c r="C188" s="132" t="s">
        <v>179</v>
      </c>
      <c r="D188" s="134">
        <v>4.5095890410958903</v>
      </c>
      <c r="E188" s="133">
        <v>1.6608270000000001</v>
      </c>
      <c r="F188" s="133">
        <v>2.9</v>
      </c>
      <c r="G188" s="134">
        <v>19.63</v>
      </c>
      <c r="H188" s="133">
        <v>0</v>
      </c>
      <c r="I188" s="133" t="s">
        <v>1031</v>
      </c>
      <c r="J188" s="318" t="s">
        <v>936</v>
      </c>
      <c r="K188" s="318" t="s">
        <v>1298</v>
      </c>
      <c r="L188" s="312"/>
      <c r="M188" s="312" t="s">
        <v>949</v>
      </c>
      <c r="N188" s="135">
        <v>85</v>
      </c>
      <c r="O188" s="135">
        <v>70</v>
      </c>
      <c r="P188" s="135">
        <v>130</v>
      </c>
      <c r="Q188" s="136">
        <v>113</v>
      </c>
      <c r="R188" s="137">
        <v>46093</v>
      </c>
      <c r="S188" s="138">
        <v>44092</v>
      </c>
      <c r="T188" s="138">
        <v>44092</v>
      </c>
      <c r="U188" s="181">
        <f ca="1">[1]!cb_clause_conversion_2_relativeswapsharemonth(B188)</f>
        <v>6</v>
      </c>
      <c r="V188" s="139"/>
      <c r="W188" s="139"/>
      <c r="X188" s="139"/>
      <c r="Y188" s="139"/>
      <c r="Z188" s="139"/>
      <c r="AA188" s="139"/>
      <c r="AB188" s="139"/>
      <c r="AC188" s="140"/>
      <c r="AD188" s="140"/>
      <c r="AE188" s="140"/>
      <c r="AF188" s="140"/>
      <c r="AG188" s="140"/>
      <c r="AH188" s="140"/>
      <c r="AI188" s="140"/>
      <c r="AJ188" s="140"/>
      <c r="AK188" s="140"/>
      <c r="AL188" s="140"/>
      <c r="AM188" s="140"/>
      <c r="AN188" s="140"/>
      <c r="AO188" s="140"/>
      <c r="AP188" s="140"/>
      <c r="AQ188" s="140"/>
      <c r="AR188" s="140"/>
      <c r="AS188" s="140"/>
      <c r="AT188" s="140"/>
      <c r="AU188" s="140"/>
    </row>
    <row r="189" spans="1:47" s="179" customFormat="1" ht="10.3" x14ac:dyDescent="0.25">
      <c r="A189" s="170" t="s">
        <v>0</v>
      </c>
      <c r="B189" s="170" t="s">
        <v>174</v>
      </c>
      <c r="C189" s="170" t="s">
        <v>175</v>
      </c>
      <c r="D189" s="172">
        <v>4.5095890410958903</v>
      </c>
      <c r="E189" s="171">
        <v>1.615742</v>
      </c>
      <c r="F189" s="171">
        <v>2</v>
      </c>
      <c r="G189" s="172">
        <v>14.09</v>
      </c>
      <c r="H189" s="171">
        <v>0</v>
      </c>
      <c r="I189" s="171" t="s">
        <v>1049</v>
      </c>
      <c r="J189" s="317" t="s">
        <v>1384</v>
      </c>
      <c r="K189" s="317" t="s">
        <v>1370</v>
      </c>
      <c r="L189" s="311" t="s">
        <v>1562</v>
      </c>
      <c r="M189" s="311" t="s">
        <v>984</v>
      </c>
      <c r="N189" s="173">
        <v>90</v>
      </c>
      <c r="O189" s="173">
        <v>70</v>
      </c>
      <c r="P189" s="173">
        <v>130</v>
      </c>
      <c r="Q189" s="174">
        <v>108</v>
      </c>
      <c r="R189" s="180">
        <v>46093</v>
      </c>
      <c r="S189" s="175">
        <v>44092</v>
      </c>
      <c r="T189" s="175">
        <v>44092</v>
      </c>
      <c r="U189" s="176">
        <f ca="1">[1]!cb_clause_conversion_2_relativeswapsharemonth(B189)</f>
        <v>6</v>
      </c>
      <c r="V189" s="177"/>
      <c r="W189" s="177"/>
      <c r="X189" s="177"/>
      <c r="Y189" s="177"/>
      <c r="Z189" s="177"/>
      <c r="AA189" s="177"/>
      <c r="AB189" s="177"/>
      <c r="AC189" s="178"/>
      <c r="AD189" s="178"/>
      <c r="AE189" s="178"/>
      <c r="AF189" s="178"/>
      <c r="AG189" s="178"/>
      <c r="AH189" s="178"/>
      <c r="AI189" s="178"/>
      <c r="AJ189" s="178"/>
      <c r="AK189" s="178"/>
      <c r="AL189" s="178"/>
      <c r="AM189" s="178"/>
      <c r="AN189" s="178"/>
      <c r="AO189" s="178"/>
      <c r="AP189" s="178"/>
      <c r="AQ189" s="178"/>
      <c r="AR189" s="178"/>
      <c r="AS189" s="178"/>
      <c r="AT189" s="178"/>
      <c r="AU189" s="178"/>
    </row>
    <row r="190" spans="1:47" s="141" customFormat="1" ht="10.3" x14ac:dyDescent="0.25">
      <c r="A190" s="132" t="s">
        <v>5</v>
      </c>
      <c r="B190" s="132" t="s">
        <v>180</v>
      </c>
      <c r="C190" s="132" t="s">
        <v>181</v>
      </c>
      <c r="D190" s="134">
        <v>4.5095890410958903</v>
      </c>
      <c r="E190" s="133">
        <v>7.993455</v>
      </c>
      <c r="F190" s="133">
        <v>8</v>
      </c>
      <c r="G190" s="134">
        <v>1.62</v>
      </c>
      <c r="H190" s="133">
        <v>0</v>
      </c>
      <c r="I190" s="133" t="s">
        <v>1329</v>
      </c>
      <c r="J190" s="318" t="s">
        <v>942</v>
      </c>
      <c r="K190" s="318" t="s">
        <v>1239</v>
      </c>
      <c r="L190" s="312"/>
      <c r="M190" s="312" t="s">
        <v>1240</v>
      </c>
      <c r="N190" s="135">
        <v>90</v>
      </c>
      <c r="O190" s="135">
        <v>70</v>
      </c>
      <c r="P190" s="135">
        <v>130</v>
      </c>
      <c r="Q190" s="136">
        <v>112</v>
      </c>
      <c r="R190" s="137">
        <v>46093</v>
      </c>
      <c r="S190" s="138">
        <v>44092</v>
      </c>
      <c r="T190" s="138">
        <v>44092</v>
      </c>
      <c r="U190" s="181">
        <f ca="1">[1]!cb_clause_conversion_2_relativeswapsharemonth(B190)</f>
        <v>6</v>
      </c>
      <c r="V190" s="139"/>
      <c r="W190" s="139"/>
      <c r="X190" s="139"/>
      <c r="Y190" s="139"/>
      <c r="Z190" s="139"/>
      <c r="AA190" s="139"/>
      <c r="AB190" s="139"/>
      <c r="AC190" s="140"/>
      <c r="AD190" s="140"/>
      <c r="AE190" s="140"/>
      <c r="AF190" s="140"/>
      <c r="AG190" s="140"/>
      <c r="AH190" s="140"/>
      <c r="AI190" s="140"/>
      <c r="AJ190" s="140"/>
      <c r="AK190" s="140"/>
      <c r="AL190" s="140"/>
      <c r="AM190" s="140"/>
      <c r="AN190" s="140"/>
      <c r="AO190" s="140"/>
      <c r="AP190" s="140"/>
      <c r="AQ190" s="140"/>
      <c r="AR190" s="140"/>
      <c r="AS190" s="140"/>
      <c r="AT190" s="140"/>
      <c r="AU190" s="140"/>
    </row>
    <row r="191" spans="1:47" s="179" customFormat="1" ht="10.3" x14ac:dyDescent="0.25">
      <c r="A191" s="170" t="s">
        <v>5</v>
      </c>
      <c r="B191" s="170" t="s">
        <v>176</v>
      </c>
      <c r="C191" s="170" t="s">
        <v>177</v>
      </c>
      <c r="D191" s="172">
        <v>4.5095890410958903</v>
      </c>
      <c r="E191" s="171">
        <v>5.4959480000000003</v>
      </c>
      <c r="F191" s="171">
        <v>5.8</v>
      </c>
      <c r="G191" s="172">
        <v>18.670000000000002</v>
      </c>
      <c r="H191" s="171">
        <v>0</v>
      </c>
      <c r="I191" s="171" t="s">
        <v>973</v>
      </c>
      <c r="J191" s="317" t="s">
        <v>942</v>
      </c>
      <c r="K191" s="317" t="s">
        <v>1000</v>
      </c>
      <c r="L191" s="311"/>
      <c r="M191" s="311" t="s">
        <v>943</v>
      </c>
      <c r="N191" s="173">
        <v>85</v>
      </c>
      <c r="O191" s="173">
        <v>70</v>
      </c>
      <c r="P191" s="173">
        <v>130</v>
      </c>
      <c r="Q191" s="174">
        <v>118</v>
      </c>
      <c r="R191" s="180">
        <v>46093</v>
      </c>
      <c r="S191" s="175">
        <v>44092</v>
      </c>
      <c r="T191" s="175">
        <v>44092</v>
      </c>
      <c r="U191" s="176">
        <f ca="1">[1]!cb_clause_conversion_2_relativeswapsharemonth(B191)</f>
        <v>6</v>
      </c>
      <c r="V191" s="177"/>
      <c r="W191" s="177"/>
      <c r="X191" s="177"/>
      <c r="Y191" s="177"/>
      <c r="Z191" s="177"/>
      <c r="AA191" s="177"/>
      <c r="AB191" s="177"/>
      <c r="AC191" s="178"/>
      <c r="AD191" s="178"/>
      <c r="AE191" s="178"/>
      <c r="AF191" s="178"/>
      <c r="AG191" s="178"/>
      <c r="AH191" s="178"/>
      <c r="AI191" s="178"/>
      <c r="AJ191" s="178"/>
      <c r="AK191" s="178"/>
      <c r="AL191" s="178"/>
      <c r="AM191" s="178"/>
      <c r="AN191" s="178"/>
      <c r="AO191" s="178"/>
      <c r="AP191" s="178"/>
      <c r="AQ191" s="178"/>
      <c r="AR191" s="178"/>
      <c r="AS191" s="178"/>
      <c r="AT191" s="178"/>
      <c r="AU191" s="178"/>
    </row>
    <row r="192" spans="1:47" s="141" customFormat="1" ht="10.3" x14ac:dyDescent="0.25">
      <c r="A192" s="132" t="s">
        <v>0</v>
      </c>
      <c r="B192" s="132" t="s">
        <v>182</v>
      </c>
      <c r="C192" s="132" t="s">
        <v>183</v>
      </c>
      <c r="D192" s="134">
        <v>4.506849315068493</v>
      </c>
      <c r="E192" s="133">
        <v>2.7995100000000002</v>
      </c>
      <c r="F192" s="133">
        <v>2.8</v>
      </c>
      <c r="G192" s="134">
        <v>11.34</v>
      </c>
      <c r="H192" s="133">
        <v>0</v>
      </c>
      <c r="I192" s="133" t="s">
        <v>1049</v>
      </c>
      <c r="J192" s="318" t="s">
        <v>1384</v>
      </c>
      <c r="K192" s="318" t="s">
        <v>1448</v>
      </c>
      <c r="L192" s="313" t="s">
        <v>1563</v>
      </c>
      <c r="M192" s="313" t="s">
        <v>1118</v>
      </c>
      <c r="N192" s="135">
        <v>85</v>
      </c>
      <c r="O192" s="135">
        <v>70</v>
      </c>
      <c r="P192" s="135">
        <v>130</v>
      </c>
      <c r="Q192" s="136">
        <v>110</v>
      </c>
      <c r="R192" s="137">
        <v>46092</v>
      </c>
      <c r="S192" s="138">
        <v>44091</v>
      </c>
      <c r="T192" s="138">
        <v>44091</v>
      </c>
      <c r="U192" s="181">
        <f ca="1">[1]!cb_clause_conversion_2_relativeswapsharemonth(B192)</f>
        <v>6</v>
      </c>
      <c r="V192" s="139"/>
      <c r="W192" s="139"/>
      <c r="X192" s="139"/>
      <c r="Y192" s="139"/>
      <c r="Z192" s="139"/>
      <c r="AA192" s="139"/>
      <c r="AB192" s="139"/>
      <c r="AC192" s="140"/>
      <c r="AD192" s="140"/>
      <c r="AE192" s="140"/>
      <c r="AF192" s="140"/>
      <c r="AG192" s="140"/>
      <c r="AH192" s="140"/>
      <c r="AI192" s="140"/>
      <c r="AJ192" s="140"/>
      <c r="AK192" s="140"/>
      <c r="AL192" s="140"/>
      <c r="AM192" s="140"/>
      <c r="AN192" s="140"/>
      <c r="AO192" s="140"/>
      <c r="AP192" s="140"/>
      <c r="AQ192" s="140"/>
      <c r="AR192" s="140"/>
      <c r="AS192" s="140"/>
      <c r="AT192" s="140"/>
      <c r="AU192" s="140"/>
    </row>
    <row r="193" spans="1:47" s="179" customFormat="1" ht="10.3" x14ac:dyDescent="0.25">
      <c r="A193" s="170" t="s">
        <v>0</v>
      </c>
      <c r="B193" s="170" t="s">
        <v>184</v>
      </c>
      <c r="C193" s="170" t="s">
        <v>185</v>
      </c>
      <c r="D193" s="172">
        <v>4.5013698630136982</v>
      </c>
      <c r="E193" s="171">
        <v>5.1570499999999999</v>
      </c>
      <c r="F193" s="171">
        <v>5.2</v>
      </c>
      <c r="G193" s="172">
        <v>14.8</v>
      </c>
      <c r="H193" s="171">
        <v>0</v>
      </c>
      <c r="I193" s="171" t="s">
        <v>973</v>
      </c>
      <c r="J193" s="317" t="s">
        <v>974</v>
      </c>
      <c r="K193" s="317" t="s">
        <v>1165</v>
      </c>
      <c r="L193" s="311"/>
      <c r="M193" s="311" t="s">
        <v>1056</v>
      </c>
      <c r="N193" s="173">
        <v>85</v>
      </c>
      <c r="O193" s="173">
        <v>70</v>
      </c>
      <c r="P193" s="173">
        <v>130</v>
      </c>
      <c r="Q193" s="174">
        <v>115</v>
      </c>
      <c r="R193" s="180">
        <v>46090</v>
      </c>
      <c r="S193" s="175">
        <v>44088</v>
      </c>
      <c r="T193" s="175">
        <v>44088</v>
      </c>
      <c r="U193" s="176">
        <f ca="1">[1]!cb_clause_conversion_2_relativeswapsharemonth(B193)</f>
        <v>6</v>
      </c>
      <c r="V193" s="177"/>
      <c r="W193" s="177"/>
      <c r="X193" s="177"/>
      <c r="Y193" s="177"/>
      <c r="Z193" s="177"/>
      <c r="AA193" s="177"/>
      <c r="AB193" s="177"/>
      <c r="AC193" s="178"/>
      <c r="AD193" s="178"/>
      <c r="AE193" s="178"/>
      <c r="AF193" s="178"/>
      <c r="AG193" s="178"/>
      <c r="AH193" s="178"/>
      <c r="AI193" s="178"/>
      <c r="AJ193" s="178"/>
      <c r="AK193" s="178"/>
      <c r="AL193" s="178"/>
      <c r="AM193" s="178"/>
      <c r="AN193" s="178"/>
      <c r="AO193" s="178"/>
      <c r="AP193" s="178"/>
      <c r="AQ193" s="178"/>
      <c r="AR193" s="178"/>
      <c r="AS193" s="178"/>
      <c r="AT193" s="178"/>
      <c r="AU193" s="178"/>
    </row>
    <row r="194" spans="1:47" s="141" customFormat="1" ht="10.3" x14ac:dyDescent="0.25">
      <c r="A194" s="132" t="s">
        <v>0</v>
      </c>
      <c r="B194" s="132" t="s">
        <v>186</v>
      </c>
      <c r="C194" s="132" t="s">
        <v>187</v>
      </c>
      <c r="D194" s="134">
        <v>4.493150684931507</v>
      </c>
      <c r="E194" s="133">
        <v>2.7413110000000001</v>
      </c>
      <c r="F194" s="133">
        <v>3.3</v>
      </c>
      <c r="G194" s="134">
        <v>8.75</v>
      </c>
      <c r="H194" s="133">
        <v>0</v>
      </c>
      <c r="I194" s="133" t="s">
        <v>983</v>
      </c>
      <c r="J194" s="318" t="s">
        <v>970</v>
      </c>
      <c r="K194" s="318" t="s">
        <v>1232</v>
      </c>
      <c r="L194" s="313"/>
      <c r="M194" s="313" t="s">
        <v>1043</v>
      </c>
      <c r="N194" s="135">
        <v>85</v>
      </c>
      <c r="O194" s="135">
        <v>70</v>
      </c>
      <c r="P194" s="135">
        <v>130</v>
      </c>
      <c r="Q194" s="136">
        <v>118</v>
      </c>
      <c r="R194" s="137">
        <v>46087</v>
      </c>
      <c r="S194" s="138">
        <v>44088</v>
      </c>
      <c r="T194" s="138">
        <v>44088</v>
      </c>
      <c r="U194" s="181">
        <f ca="1">[1]!cb_clause_conversion_2_relativeswapsharemonth(B194)</f>
        <v>6</v>
      </c>
      <c r="V194" s="139"/>
      <c r="W194" s="139"/>
      <c r="X194" s="139"/>
      <c r="Y194" s="139"/>
      <c r="Z194" s="139"/>
      <c r="AA194" s="139"/>
      <c r="AB194" s="139"/>
      <c r="AC194" s="140"/>
      <c r="AD194" s="140"/>
      <c r="AE194" s="140"/>
      <c r="AF194" s="140"/>
      <c r="AG194" s="140"/>
      <c r="AH194" s="140"/>
      <c r="AI194" s="140"/>
      <c r="AJ194" s="140"/>
      <c r="AK194" s="140"/>
      <c r="AL194" s="140"/>
      <c r="AM194" s="140"/>
      <c r="AN194" s="140"/>
      <c r="AO194" s="140"/>
      <c r="AP194" s="140"/>
      <c r="AQ194" s="140"/>
      <c r="AR194" s="140"/>
      <c r="AS194" s="140"/>
      <c r="AT194" s="140"/>
      <c r="AU194" s="140"/>
    </row>
    <row r="195" spans="1:47" s="179" customFormat="1" ht="10.3" x14ac:dyDescent="0.25">
      <c r="A195" s="170" t="s">
        <v>5</v>
      </c>
      <c r="B195" s="170" t="s">
        <v>188</v>
      </c>
      <c r="C195" s="170" t="s">
        <v>189</v>
      </c>
      <c r="D195" s="172">
        <v>4.4904109589041097</v>
      </c>
      <c r="E195" s="171">
        <v>1.6576010000000001</v>
      </c>
      <c r="F195" s="171">
        <v>1.8</v>
      </c>
      <c r="G195" s="172">
        <v>15.38</v>
      </c>
      <c r="H195" s="171">
        <v>0</v>
      </c>
      <c r="I195" s="171" t="s">
        <v>1049</v>
      </c>
      <c r="J195" s="317" t="s">
        <v>1099</v>
      </c>
      <c r="K195" s="317" t="s">
        <v>999</v>
      </c>
      <c r="L195" s="311"/>
      <c r="M195" s="311" t="s">
        <v>1472</v>
      </c>
      <c r="N195" s="173">
        <v>85</v>
      </c>
      <c r="O195" s="173">
        <v>70</v>
      </c>
      <c r="P195" s="173">
        <v>130</v>
      </c>
      <c r="Q195" s="174">
        <v>115</v>
      </c>
      <c r="R195" s="180">
        <v>46086</v>
      </c>
      <c r="S195" s="175">
        <v>44085</v>
      </c>
      <c r="T195" s="175">
        <v>44085</v>
      </c>
      <c r="U195" s="176">
        <f ca="1">[1]!cb_clause_conversion_2_relativeswapsharemonth(B195)</f>
        <v>6</v>
      </c>
      <c r="V195" s="177"/>
      <c r="W195" s="177"/>
      <c r="X195" s="177"/>
      <c r="Y195" s="177"/>
      <c r="Z195" s="177"/>
      <c r="AA195" s="177"/>
      <c r="AB195" s="177"/>
      <c r="AC195" s="178"/>
      <c r="AD195" s="178"/>
      <c r="AE195" s="178"/>
      <c r="AF195" s="178"/>
      <c r="AG195" s="178"/>
      <c r="AH195" s="178"/>
      <c r="AI195" s="178"/>
      <c r="AJ195" s="178"/>
      <c r="AK195" s="178"/>
      <c r="AL195" s="178"/>
      <c r="AM195" s="178"/>
      <c r="AN195" s="178"/>
      <c r="AO195" s="178"/>
      <c r="AP195" s="178"/>
      <c r="AQ195" s="178"/>
      <c r="AR195" s="178"/>
      <c r="AS195" s="178"/>
      <c r="AT195" s="178"/>
      <c r="AU195" s="178"/>
    </row>
    <row r="196" spans="1:47" s="141" customFormat="1" ht="10.3" x14ac:dyDescent="0.25">
      <c r="A196" s="132" t="s">
        <v>0</v>
      </c>
      <c r="B196" s="132" t="s">
        <v>190</v>
      </c>
      <c r="C196" s="132" t="s">
        <v>191</v>
      </c>
      <c r="D196" s="134">
        <v>4.4876712328767123</v>
      </c>
      <c r="E196" s="133">
        <v>2.0995300000000001</v>
      </c>
      <c r="F196" s="133">
        <v>2.1</v>
      </c>
      <c r="G196" s="134">
        <v>11.16</v>
      </c>
      <c r="H196" s="133">
        <v>0</v>
      </c>
      <c r="I196" s="133" t="s">
        <v>1049</v>
      </c>
      <c r="J196" s="318" t="s">
        <v>955</v>
      </c>
      <c r="K196" s="318" t="s">
        <v>1447</v>
      </c>
      <c r="L196" s="313"/>
      <c r="M196" s="313" t="s">
        <v>1040</v>
      </c>
      <c r="N196" s="135">
        <v>85</v>
      </c>
      <c r="O196" s="135">
        <v>70</v>
      </c>
      <c r="P196" s="135">
        <v>130</v>
      </c>
      <c r="Q196" s="136">
        <v>113</v>
      </c>
      <c r="R196" s="137">
        <v>46085</v>
      </c>
      <c r="S196" s="138">
        <v>44084</v>
      </c>
      <c r="T196" s="138">
        <v>44084</v>
      </c>
      <c r="U196" s="181">
        <f ca="1">[1]!cb_clause_conversion_2_relativeswapsharemonth(B196)</f>
        <v>6</v>
      </c>
      <c r="V196" s="139"/>
      <c r="W196" s="139"/>
      <c r="X196" s="139"/>
      <c r="Y196" s="139"/>
      <c r="Z196" s="139"/>
      <c r="AA196" s="139"/>
      <c r="AB196" s="139"/>
      <c r="AC196" s="140"/>
      <c r="AD196" s="140"/>
      <c r="AE196" s="140"/>
      <c r="AF196" s="140"/>
      <c r="AG196" s="140"/>
      <c r="AH196" s="140"/>
      <c r="AI196" s="140"/>
      <c r="AJ196" s="140"/>
      <c r="AK196" s="140"/>
      <c r="AL196" s="140"/>
      <c r="AM196" s="140"/>
      <c r="AN196" s="140"/>
      <c r="AO196" s="140"/>
      <c r="AP196" s="140"/>
      <c r="AQ196" s="140"/>
      <c r="AR196" s="140"/>
      <c r="AS196" s="140"/>
      <c r="AT196" s="140"/>
      <c r="AU196" s="140"/>
    </row>
    <row r="197" spans="1:47" s="179" customFormat="1" ht="10.3" x14ac:dyDescent="0.25">
      <c r="A197" s="170" t="s">
        <v>0</v>
      </c>
      <c r="B197" s="170" t="s">
        <v>192</v>
      </c>
      <c r="C197" s="170" t="s">
        <v>193</v>
      </c>
      <c r="D197" s="172">
        <v>4.4821917808219176</v>
      </c>
      <c r="E197" s="171">
        <v>3.8366639999999999</v>
      </c>
      <c r="F197" s="171">
        <v>23.9</v>
      </c>
      <c r="G197" s="172">
        <v>4.87</v>
      </c>
      <c r="H197" s="171">
        <v>0</v>
      </c>
      <c r="I197" s="171" t="s">
        <v>939</v>
      </c>
      <c r="J197" s="317" t="s">
        <v>955</v>
      </c>
      <c r="K197" s="317" t="s">
        <v>1414</v>
      </c>
      <c r="L197" s="314"/>
      <c r="M197" s="314" t="s">
        <v>1294</v>
      </c>
      <c r="N197" s="173">
        <v>90</v>
      </c>
      <c r="O197" s="173">
        <v>70</v>
      </c>
      <c r="P197" s="173">
        <v>130</v>
      </c>
      <c r="Q197" s="174">
        <v>110</v>
      </c>
      <c r="R197" s="180">
        <v>46083</v>
      </c>
      <c r="S197" s="175">
        <v>44081</v>
      </c>
      <c r="T197" s="175">
        <v>44081</v>
      </c>
      <c r="U197" s="176">
        <f ca="1">[1]!cb_clause_conversion_2_relativeswapsharemonth(B197)</f>
        <v>6</v>
      </c>
      <c r="V197" s="177"/>
      <c r="W197" s="177"/>
      <c r="X197" s="177"/>
      <c r="Y197" s="177"/>
      <c r="Z197" s="177"/>
      <c r="AA197" s="177"/>
      <c r="AB197" s="177"/>
      <c r="AC197" s="178"/>
      <c r="AD197" s="178"/>
      <c r="AE197" s="178"/>
      <c r="AF197" s="178"/>
      <c r="AG197" s="178"/>
      <c r="AH197" s="178"/>
      <c r="AI197" s="178"/>
      <c r="AJ197" s="178"/>
      <c r="AK197" s="178"/>
      <c r="AL197" s="178"/>
      <c r="AM197" s="178"/>
      <c r="AN197" s="178"/>
      <c r="AO197" s="178"/>
      <c r="AP197" s="178"/>
      <c r="AQ197" s="178"/>
      <c r="AR197" s="178"/>
      <c r="AS197" s="178"/>
      <c r="AT197" s="178"/>
      <c r="AU197" s="178"/>
    </row>
    <row r="198" spans="1:47" s="141" customFormat="1" ht="10.3" x14ac:dyDescent="0.25">
      <c r="A198" s="132" t="s">
        <v>0</v>
      </c>
      <c r="B198" s="132" t="s">
        <v>194</v>
      </c>
      <c r="C198" s="132" t="s">
        <v>195</v>
      </c>
      <c r="D198" s="134">
        <v>4.4767123287671229</v>
      </c>
      <c r="E198" s="133">
        <v>0</v>
      </c>
      <c r="F198" s="133">
        <v>3</v>
      </c>
      <c r="G198" s="134">
        <v>23.1</v>
      </c>
      <c r="H198" s="133">
        <v>0</v>
      </c>
      <c r="I198" s="133" t="s">
        <v>973</v>
      </c>
      <c r="J198" s="318" t="s">
        <v>974</v>
      </c>
      <c r="K198" s="318" t="s">
        <v>1444</v>
      </c>
      <c r="L198" s="312"/>
      <c r="M198" s="312" t="s">
        <v>943</v>
      </c>
      <c r="N198" s="135">
        <v>85</v>
      </c>
      <c r="O198" s="135">
        <v>70</v>
      </c>
      <c r="P198" s="135">
        <v>130</v>
      </c>
      <c r="Q198" s="136">
        <v>120</v>
      </c>
      <c r="R198" s="137">
        <v>46081</v>
      </c>
      <c r="S198" s="138">
        <v>44081</v>
      </c>
      <c r="T198" s="138">
        <v>44081</v>
      </c>
      <c r="U198" s="181">
        <f ca="1">[1]!cb_clause_conversion_2_relativeswapsharemonth(B198)</f>
        <v>6</v>
      </c>
      <c r="V198" s="139"/>
      <c r="W198" s="139"/>
      <c r="X198" s="139"/>
      <c r="Y198" s="139"/>
      <c r="Z198" s="139"/>
      <c r="AA198" s="139"/>
      <c r="AB198" s="139"/>
      <c r="AC198" s="140"/>
      <c r="AD198" s="140"/>
      <c r="AE198" s="140"/>
      <c r="AF198" s="140"/>
      <c r="AG198" s="140"/>
      <c r="AH198" s="140"/>
      <c r="AI198" s="140"/>
      <c r="AJ198" s="140"/>
      <c r="AK198" s="140"/>
      <c r="AL198" s="140"/>
      <c r="AM198" s="140"/>
      <c r="AN198" s="140"/>
      <c r="AO198" s="140"/>
      <c r="AP198" s="140"/>
      <c r="AQ198" s="140"/>
      <c r="AR198" s="140"/>
      <c r="AS198" s="140"/>
      <c r="AT198" s="140"/>
      <c r="AU198" s="140"/>
    </row>
    <row r="199" spans="1:47" s="179" customFormat="1" ht="10.3" x14ac:dyDescent="0.25">
      <c r="A199" s="170" t="s">
        <v>0</v>
      </c>
      <c r="B199" s="170" t="s">
        <v>196</v>
      </c>
      <c r="C199" s="170" t="s">
        <v>197</v>
      </c>
      <c r="D199" s="172">
        <v>4.4767123287671229</v>
      </c>
      <c r="E199" s="171">
        <v>1.6141700000000001</v>
      </c>
      <c r="F199" s="171">
        <v>2</v>
      </c>
      <c r="G199" s="172">
        <v>10.77</v>
      </c>
      <c r="H199" s="171">
        <v>0</v>
      </c>
      <c r="I199" s="171" t="s">
        <v>1049</v>
      </c>
      <c r="J199" s="317" t="s">
        <v>955</v>
      </c>
      <c r="K199" s="317" t="s">
        <v>1446</v>
      </c>
      <c r="L199" s="314"/>
      <c r="M199" s="314" t="s">
        <v>940</v>
      </c>
      <c r="N199" s="173">
        <v>90</v>
      </c>
      <c r="O199" s="173">
        <v>70</v>
      </c>
      <c r="P199" s="173">
        <v>120</v>
      </c>
      <c r="Q199" s="174">
        <v>118</v>
      </c>
      <c r="R199" s="180">
        <v>46081</v>
      </c>
      <c r="S199" s="175">
        <v>44081</v>
      </c>
      <c r="T199" s="175">
        <v>44081</v>
      </c>
      <c r="U199" s="176">
        <f ca="1">[1]!cb_clause_conversion_2_relativeswapsharemonth(B199)</f>
        <v>6</v>
      </c>
      <c r="V199" s="177"/>
      <c r="W199" s="177"/>
      <c r="X199" s="177"/>
      <c r="Y199" s="177"/>
      <c r="Z199" s="177"/>
      <c r="AA199" s="177"/>
      <c r="AB199" s="177"/>
      <c r="AC199" s="178"/>
      <c r="AD199" s="178"/>
      <c r="AE199" s="178"/>
      <c r="AF199" s="178"/>
      <c r="AG199" s="178"/>
      <c r="AH199" s="178"/>
      <c r="AI199" s="178"/>
      <c r="AJ199" s="178"/>
      <c r="AK199" s="178"/>
      <c r="AL199" s="178"/>
      <c r="AM199" s="178"/>
      <c r="AN199" s="178"/>
      <c r="AO199" s="178"/>
      <c r="AP199" s="178"/>
      <c r="AQ199" s="178"/>
      <c r="AR199" s="178"/>
      <c r="AS199" s="178"/>
      <c r="AT199" s="178"/>
      <c r="AU199" s="178"/>
    </row>
    <row r="200" spans="1:47" s="141" customFormat="1" ht="10.3" x14ac:dyDescent="0.25">
      <c r="A200" s="132" t="s">
        <v>0</v>
      </c>
      <c r="B200" s="132" t="s">
        <v>198</v>
      </c>
      <c r="C200" s="132" t="s">
        <v>199</v>
      </c>
      <c r="D200" s="134">
        <v>4.4712328767123291</v>
      </c>
      <c r="E200" s="133">
        <v>2.2532000000000001</v>
      </c>
      <c r="F200" s="133">
        <v>3.3</v>
      </c>
      <c r="G200" s="134">
        <v>7.64</v>
      </c>
      <c r="H200" s="133">
        <v>0</v>
      </c>
      <c r="I200" s="133" t="s">
        <v>983</v>
      </c>
      <c r="J200" s="318" t="s">
        <v>970</v>
      </c>
      <c r="K200" s="318" t="s">
        <v>1445</v>
      </c>
      <c r="L200" s="313"/>
      <c r="M200" s="313" t="s">
        <v>980</v>
      </c>
      <c r="N200" s="135">
        <v>80</v>
      </c>
      <c r="O200" s="135">
        <v>70</v>
      </c>
      <c r="P200" s="135">
        <v>130</v>
      </c>
      <c r="Q200" s="136">
        <v>112</v>
      </c>
      <c r="R200" s="137">
        <v>46079</v>
      </c>
      <c r="S200" s="138">
        <v>44077</v>
      </c>
      <c r="T200" s="138">
        <v>44077</v>
      </c>
      <c r="U200" s="181">
        <f ca="1">[1]!cb_clause_conversion_2_relativeswapsharemonth(B200)</f>
        <v>6</v>
      </c>
      <c r="V200" s="139"/>
      <c r="W200" s="139"/>
      <c r="X200" s="139"/>
      <c r="Y200" s="139"/>
      <c r="Z200" s="139"/>
      <c r="AA200" s="139"/>
      <c r="AB200" s="139"/>
      <c r="AC200" s="140"/>
      <c r="AD200" s="140"/>
      <c r="AE200" s="140"/>
      <c r="AF200" s="140"/>
      <c r="AG200" s="140"/>
      <c r="AH200" s="140"/>
      <c r="AI200" s="140"/>
      <c r="AJ200" s="140"/>
      <c r="AK200" s="140"/>
      <c r="AL200" s="140"/>
      <c r="AM200" s="140"/>
      <c r="AN200" s="140"/>
      <c r="AO200" s="140"/>
      <c r="AP200" s="140"/>
      <c r="AQ200" s="140"/>
      <c r="AR200" s="140"/>
      <c r="AS200" s="140"/>
      <c r="AT200" s="140"/>
      <c r="AU200" s="140"/>
    </row>
    <row r="201" spans="1:47" s="179" customFormat="1" ht="10.3" x14ac:dyDescent="0.25">
      <c r="A201" s="170" t="s">
        <v>5</v>
      </c>
      <c r="B201" s="170" t="s">
        <v>200</v>
      </c>
      <c r="C201" s="170" t="s">
        <v>201</v>
      </c>
      <c r="D201" s="172">
        <v>4.4684931506849317</v>
      </c>
      <c r="E201" s="171">
        <v>4.5963640000000003</v>
      </c>
      <c r="F201" s="171">
        <v>12</v>
      </c>
      <c r="G201" s="172">
        <v>10.39</v>
      </c>
      <c r="H201" s="171">
        <v>0</v>
      </c>
      <c r="I201" s="171" t="s">
        <v>957</v>
      </c>
      <c r="J201" s="317" t="s">
        <v>951</v>
      </c>
      <c r="K201" s="317" t="s">
        <v>1109</v>
      </c>
      <c r="L201" s="311"/>
      <c r="M201" s="311" t="s">
        <v>1110</v>
      </c>
      <c r="N201" s="173">
        <v>85</v>
      </c>
      <c r="O201" s="173">
        <v>70</v>
      </c>
      <c r="P201" s="173">
        <v>130</v>
      </c>
      <c r="Q201" s="174">
        <v>110</v>
      </c>
      <c r="R201" s="180">
        <v>46078</v>
      </c>
      <c r="S201" s="175">
        <v>44076</v>
      </c>
      <c r="T201" s="175">
        <v>44076</v>
      </c>
      <c r="U201" s="176">
        <f ca="1">[1]!cb_clause_conversion_2_relativeswapsharemonth(B201)</f>
        <v>6</v>
      </c>
      <c r="V201" s="177"/>
      <c r="W201" s="177"/>
      <c r="X201" s="177"/>
      <c r="Y201" s="177"/>
      <c r="Z201" s="177"/>
      <c r="AA201" s="177"/>
      <c r="AB201" s="177"/>
      <c r="AC201" s="178"/>
      <c r="AD201" s="178"/>
      <c r="AE201" s="178"/>
      <c r="AF201" s="178"/>
      <c r="AG201" s="178"/>
      <c r="AH201" s="178"/>
      <c r="AI201" s="178"/>
      <c r="AJ201" s="178"/>
      <c r="AK201" s="178"/>
      <c r="AL201" s="178"/>
      <c r="AM201" s="178"/>
      <c r="AN201" s="178"/>
      <c r="AO201" s="178"/>
      <c r="AP201" s="178"/>
      <c r="AQ201" s="178"/>
      <c r="AR201" s="178"/>
      <c r="AS201" s="178"/>
      <c r="AT201" s="178"/>
      <c r="AU201" s="178"/>
    </row>
    <row r="202" spans="1:47" s="141" customFormat="1" ht="10.3" x14ac:dyDescent="0.25">
      <c r="A202" s="132" t="s">
        <v>5</v>
      </c>
      <c r="B202" s="132" t="s">
        <v>204</v>
      </c>
      <c r="C202" s="132" t="s">
        <v>205</v>
      </c>
      <c r="D202" s="134">
        <v>4.4301369863013695</v>
      </c>
      <c r="E202" s="133">
        <v>6.7394939999999997</v>
      </c>
      <c r="F202" s="133">
        <v>10.9</v>
      </c>
      <c r="G202" s="134">
        <v>4.5</v>
      </c>
      <c r="H202" s="133">
        <v>0</v>
      </c>
      <c r="I202" s="133" t="s">
        <v>935</v>
      </c>
      <c r="J202" s="318" t="s">
        <v>951</v>
      </c>
      <c r="K202" s="318" t="s">
        <v>1378</v>
      </c>
      <c r="L202" s="312"/>
      <c r="M202" s="312" t="s">
        <v>1379</v>
      </c>
      <c r="N202" s="135">
        <v>85</v>
      </c>
      <c r="O202" s="135">
        <v>70</v>
      </c>
      <c r="P202" s="135">
        <v>130</v>
      </c>
      <c r="Q202" s="136">
        <v>110</v>
      </c>
      <c r="R202" s="137">
        <v>46064</v>
      </c>
      <c r="S202" s="138">
        <v>44060</v>
      </c>
      <c r="T202" s="138">
        <v>44060</v>
      </c>
      <c r="U202" s="181">
        <f ca="1">[1]!cb_clause_conversion_2_relativeswapsharemonth(B202)</f>
        <v>6</v>
      </c>
      <c r="V202" s="139"/>
      <c r="W202" s="139"/>
      <c r="X202" s="139"/>
      <c r="Y202" s="139"/>
      <c r="Z202" s="139"/>
      <c r="AA202" s="139"/>
      <c r="AB202" s="139"/>
      <c r="AC202" s="140"/>
      <c r="AD202" s="140"/>
      <c r="AE202" s="140"/>
      <c r="AF202" s="140"/>
      <c r="AG202" s="140"/>
      <c r="AH202" s="140"/>
      <c r="AI202" s="140"/>
      <c r="AJ202" s="140"/>
      <c r="AK202" s="140"/>
      <c r="AL202" s="140"/>
      <c r="AM202" s="140"/>
      <c r="AN202" s="140"/>
      <c r="AO202" s="140"/>
      <c r="AP202" s="140"/>
      <c r="AQ202" s="140"/>
      <c r="AR202" s="140"/>
      <c r="AS202" s="140"/>
      <c r="AT202" s="140"/>
      <c r="AU202" s="140"/>
    </row>
    <row r="203" spans="1:47" s="179" customFormat="1" ht="10.3" x14ac:dyDescent="0.25">
      <c r="A203" s="170" t="s">
        <v>5</v>
      </c>
      <c r="B203" s="170" t="s">
        <v>202</v>
      </c>
      <c r="C203" s="170" t="s">
        <v>203</v>
      </c>
      <c r="D203" s="172">
        <v>4.4301369863013695</v>
      </c>
      <c r="E203" s="171">
        <v>4.5415299999999998</v>
      </c>
      <c r="F203" s="171">
        <v>16</v>
      </c>
      <c r="G203" s="172">
        <v>64.92</v>
      </c>
      <c r="H203" s="171">
        <v>0</v>
      </c>
      <c r="I203" s="171" t="s">
        <v>957</v>
      </c>
      <c r="J203" s="317" t="s">
        <v>951</v>
      </c>
      <c r="K203" s="317" t="s">
        <v>1531</v>
      </c>
      <c r="L203" s="311"/>
      <c r="M203" s="311" t="s">
        <v>1090</v>
      </c>
      <c r="N203" s="173">
        <v>85</v>
      </c>
      <c r="O203" s="173">
        <v>70</v>
      </c>
      <c r="P203" s="173">
        <v>130</v>
      </c>
      <c r="Q203" s="174">
        <v>110</v>
      </c>
      <c r="R203" s="180">
        <v>46064</v>
      </c>
      <c r="S203" s="175">
        <v>44060</v>
      </c>
      <c r="T203" s="175">
        <v>44060</v>
      </c>
      <c r="U203" s="176">
        <f ca="1">[1]!cb_clause_conversion_2_relativeswapsharemonth(B203)</f>
        <v>6</v>
      </c>
      <c r="V203" s="177"/>
      <c r="W203" s="177"/>
      <c r="X203" s="177"/>
      <c r="Y203" s="177"/>
      <c r="Z203" s="177"/>
      <c r="AA203" s="177"/>
      <c r="AB203" s="177"/>
      <c r="AC203" s="178"/>
      <c r="AD203" s="178"/>
      <c r="AE203" s="178"/>
      <c r="AF203" s="178"/>
      <c r="AG203" s="178"/>
      <c r="AH203" s="178"/>
      <c r="AI203" s="178"/>
      <c r="AJ203" s="178"/>
      <c r="AK203" s="178"/>
      <c r="AL203" s="178"/>
      <c r="AM203" s="178"/>
      <c r="AN203" s="178"/>
      <c r="AO203" s="178"/>
      <c r="AP203" s="178"/>
      <c r="AQ203" s="178"/>
      <c r="AR203" s="178"/>
      <c r="AS203" s="178"/>
      <c r="AT203" s="178"/>
      <c r="AU203" s="178"/>
    </row>
    <row r="204" spans="1:47" s="141" customFormat="1" ht="10.3" x14ac:dyDescent="0.25">
      <c r="A204" s="132" t="s">
        <v>0</v>
      </c>
      <c r="B204" s="132" t="s">
        <v>206</v>
      </c>
      <c r="C204" s="132" t="s">
        <v>207</v>
      </c>
      <c r="D204" s="134">
        <v>4.3589041095890408</v>
      </c>
      <c r="E204" s="133">
        <v>8.0198800000000006</v>
      </c>
      <c r="F204" s="133">
        <v>8</v>
      </c>
      <c r="G204" s="134">
        <v>23.87</v>
      </c>
      <c r="H204" s="133">
        <v>0</v>
      </c>
      <c r="I204" s="133" t="s">
        <v>957</v>
      </c>
      <c r="J204" s="318" t="s">
        <v>951</v>
      </c>
      <c r="K204" s="318" t="s">
        <v>1100</v>
      </c>
      <c r="L204" s="312"/>
      <c r="M204" s="312" t="s">
        <v>1101</v>
      </c>
      <c r="N204" s="135">
        <v>85</v>
      </c>
      <c r="O204" s="135">
        <v>70</v>
      </c>
      <c r="P204" s="135">
        <v>130</v>
      </c>
      <c r="Q204" s="136">
        <v>108</v>
      </c>
      <c r="R204" s="137">
        <v>46038</v>
      </c>
      <c r="S204" s="138">
        <v>44034</v>
      </c>
      <c r="T204" s="138">
        <v>44034</v>
      </c>
      <c r="U204" s="181">
        <f ca="1">[1]!cb_clause_conversion_2_relativeswapsharemonth(B204)</f>
        <v>6</v>
      </c>
      <c r="V204" s="139"/>
      <c r="W204" s="139"/>
      <c r="X204" s="139"/>
      <c r="Y204" s="139"/>
      <c r="Z204" s="139"/>
      <c r="AA204" s="139"/>
      <c r="AB204" s="139"/>
      <c r="AC204" s="140"/>
      <c r="AD204" s="140"/>
      <c r="AE204" s="140"/>
      <c r="AF204" s="140"/>
      <c r="AG204" s="140"/>
      <c r="AH204" s="140"/>
      <c r="AI204" s="140"/>
      <c r="AJ204" s="140"/>
      <c r="AK204" s="140"/>
      <c r="AL204" s="140"/>
      <c r="AM204" s="140"/>
      <c r="AN204" s="140"/>
      <c r="AO204" s="140"/>
      <c r="AP204" s="140"/>
      <c r="AQ204" s="140"/>
      <c r="AR204" s="140"/>
      <c r="AS204" s="140"/>
      <c r="AT204" s="140"/>
      <c r="AU204" s="140"/>
    </row>
    <row r="205" spans="1:47" s="179" customFormat="1" ht="10.3" x14ac:dyDescent="0.25">
      <c r="A205" s="170" t="s">
        <v>5</v>
      </c>
      <c r="B205" s="170" t="s">
        <v>208</v>
      </c>
      <c r="C205" s="170" t="s">
        <v>209</v>
      </c>
      <c r="D205" s="172">
        <v>4.3589041095890408</v>
      </c>
      <c r="E205" s="171">
        <v>2.1854990000000001</v>
      </c>
      <c r="F205" s="171">
        <v>2.8</v>
      </c>
      <c r="G205" s="172">
        <v>13.8</v>
      </c>
      <c r="H205" s="171">
        <v>0</v>
      </c>
      <c r="I205" s="171" t="s">
        <v>1031</v>
      </c>
      <c r="J205" s="317" t="s">
        <v>951</v>
      </c>
      <c r="K205" s="317" t="s">
        <v>1317</v>
      </c>
      <c r="L205" s="311" t="s">
        <v>1564</v>
      </c>
      <c r="M205" s="311" t="s">
        <v>979</v>
      </c>
      <c r="N205" s="173">
        <v>85</v>
      </c>
      <c r="O205" s="173">
        <v>70</v>
      </c>
      <c r="P205" s="173">
        <v>130</v>
      </c>
      <c r="Q205" s="174">
        <v>115</v>
      </c>
      <c r="R205" s="180">
        <v>46038</v>
      </c>
      <c r="S205" s="175">
        <v>44034</v>
      </c>
      <c r="T205" s="175">
        <v>44034</v>
      </c>
      <c r="U205" s="176">
        <f ca="1">[1]!cb_clause_conversion_2_relativeswapsharemonth(B205)</f>
        <v>6</v>
      </c>
      <c r="V205" s="177"/>
      <c r="W205" s="177"/>
      <c r="X205" s="177"/>
      <c r="Y205" s="177"/>
      <c r="Z205" s="177"/>
      <c r="AA205" s="177"/>
      <c r="AB205" s="177"/>
      <c r="AC205" s="178"/>
      <c r="AD205" s="178"/>
      <c r="AE205" s="178"/>
      <c r="AF205" s="178"/>
      <c r="AG205" s="178"/>
      <c r="AH205" s="178"/>
      <c r="AI205" s="178"/>
      <c r="AJ205" s="178"/>
      <c r="AK205" s="178"/>
      <c r="AL205" s="178"/>
      <c r="AM205" s="178"/>
      <c r="AN205" s="178"/>
      <c r="AO205" s="178"/>
      <c r="AP205" s="178"/>
      <c r="AQ205" s="178"/>
      <c r="AR205" s="178"/>
      <c r="AS205" s="178"/>
      <c r="AT205" s="178"/>
      <c r="AU205" s="178"/>
    </row>
    <row r="206" spans="1:47" s="141" customFormat="1" ht="10.3" x14ac:dyDescent="0.25">
      <c r="A206" s="132" t="s">
        <v>5</v>
      </c>
      <c r="B206" s="132" t="s">
        <v>210</v>
      </c>
      <c r="C206" s="132" t="s">
        <v>211</v>
      </c>
      <c r="D206" s="134">
        <v>4.3534246575342461</v>
      </c>
      <c r="E206" s="133">
        <v>1.654523</v>
      </c>
      <c r="F206" s="133">
        <v>1.7</v>
      </c>
      <c r="G206" s="134">
        <v>24.38</v>
      </c>
      <c r="H206" s="133">
        <v>0</v>
      </c>
      <c r="I206" s="133" t="s">
        <v>1031</v>
      </c>
      <c r="J206" s="318" t="s">
        <v>974</v>
      </c>
      <c r="K206" s="318" t="s">
        <v>1145</v>
      </c>
      <c r="L206" s="312"/>
      <c r="M206" s="312" t="s">
        <v>1046</v>
      </c>
      <c r="N206" s="135">
        <v>80</v>
      </c>
      <c r="O206" s="135">
        <v>70</v>
      </c>
      <c r="P206" s="135">
        <v>130</v>
      </c>
      <c r="Q206" s="136">
        <v>110</v>
      </c>
      <c r="R206" s="137">
        <v>46036</v>
      </c>
      <c r="S206" s="138">
        <v>44032</v>
      </c>
      <c r="T206" s="138">
        <v>44032</v>
      </c>
      <c r="U206" s="181">
        <f ca="1">[1]!cb_clause_conversion_2_relativeswapsharemonth(B206)</f>
        <v>6</v>
      </c>
      <c r="V206" s="139"/>
      <c r="W206" s="139"/>
      <c r="X206" s="139"/>
      <c r="Y206" s="139"/>
      <c r="Z206" s="139"/>
      <c r="AA206" s="139"/>
      <c r="AB206" s="139"/>
      <c r="AC206" s="140"/>
      <c r="AD206" s="140"/>
      <c r="AE206" s="140"/>
      <c r="AF206" s="140"/>
      <c r="AG206" s="140"/>
      <c r="AH206" s="140"/>
      <c r="AI206" s="140"/>
      <c r="AJ206" s="140"/>
      <c r="AK206" s="140"/>
      <c r="AL206" s="140"/>
      <c r="AM206" s="140"/>
      <c r="AN206" s="140"/>
      <c r="AO206" s="140"/>
      <c r="AP206" s="140"/>
      <c r="AQ206" s="140"/>
      <c r="AR206" s="140"/>
      <c r="AS206" s="140"/>
      <c r="AT206" s="140"/>
      <c r="AU206" s="140"/>
    </row>
    <row r="207" spans="1:47" s="179" customFormat="1" ht="10.3" x14ac:dyDescent="0.25">
      <c r="A207" s="170" t="s">
        <v>5</v>
      </c>
      <c r="B207" s="170" t="s">
        <v>212</v>
      </c>
      <c r="C207" s="170" t="s">
        <v>213</v>
      </c>
      <c r="D207" s="172">
        <v>4.3232876712328769</v>
      </c>
      <c r="E207" s="171">
        <v>9.4987270000000006</v>
      </c>
      <c r="F207" s="171">
        <v>40</v>
      </c>
      <c r="G207" s="172">
        <v>19.75</v>
      </c>
      <c r="H207" s="171">
        <v>70</v>
      </c>
      <c r="I207" s="171" t="s">
        <v>941</v>
      </c>
      <c r="J207" s="317" t="s">
        <v>942</v>
      </c>
      <c r="K207" s="317" t="s">
        <v>1125</v>
      </c>
      <c r="L207" s="311"/>
      <c r="M207" s="311" t="s">
        <v>1126</v>
      </c>
      <c r="N207" s="173">
        <v>80</v>
      </c>
      <c r="O207" s="173">
        <v>70</v>
      </c>
      <c r="P207" s="173">
        <v>130</v>
      </c>
      <c r="Q207" s="174">
        <v>106</v>
      </c>
      <c r="R207" s="180">
        <v>46025</v>
      </c>
      <c r="S207" s="175">
        <v>44021</v>
      </c>
      <c r="T207" s="175">
        <v>44021</v>
      </c>
      <c r="U207" s="176">
        <f ca="1">[1]!cb_clause_conversion_2_relativeswapsharemonth(B207)</f>
        <v>6</v>
      </c>
      <c r="V207" s="177"/>
      <c r="W207" s="177"/>
      <c r="X207" s="177"/>
      <c r="Y207" s="177"/>
      <c r="Z207" s="177"/>
      <c r="AA207" s="177"/>
      <c r="AB207" s="177"/>
      <c r="AC207" s="178"/>
      <c r="AD207" s="178"/>
      <c r="AE207" s="178"/>
      <c r="AF207" s="178"/>
      <c r="AG207" s="178"/>
      <c r="AH207" s="178"/>
      <c r="AI207" s="178"/>
      <c r="AJ207" s="178"/>
      <c r="AK207" s="178"/>
      <c r="AL207" s="178"/>
      <c r="AM207" s="178"/>
      <c r="AN207" s="178"/>
      <c r="AO207" s="178"/>
      <c r="AP207" s="178"/>
      <c r="AQ207" s="178"/>
      <c r="AR207" s="178"/>
      <c r="AS207" s="178"/>
      <c r="AT207" s="178"/>
      <c r="AU207" s="178"/>
    </row>
    <row r="208" spans="1:47" s="141" customFormat="1" ht="10.3" x14ac:dyDescent="0.25">
      <c r="A208" s="132" t="s">
        <v>5</v>
      </c>
      <c r="B208" s="132" t="s">
        <v>214</v>
      </c>
      <c r="C208" s="132" t="s">
        <v>215</v>
      </c>
      <c r="D208" s="134">
        <v>4.3232876712328769</v>
      </c>
      <c r="E208" s="133">
        <v>1.620609</v>
      </c>
      <c r="F208" s="133">
        <v>5.2</v>
      </c>
      <c r="G208" s="134">
        <v>5.77</v>
      </c>
      <c r="H208" s="133">
        <v>0</v>
      </c>
      <c r="I208" s="133" t="s">
        <v>983</v>
      </c>
      <c r="J208" s="318" t="s">
        <v>958</v>
      </c>
      <c r="K208" s="318" t="s">
        <v>1530</v>
      </c>
      <c r="L208" s="313"/>
      <c r="M208" s="313" t="s">
        <v>956</v>
      </c>
      <c r="N208" s="135">
        <v>90</v>
      </c>
      <c r="O208" s="135">
        <v>70</v>
      </c>
      <c r="P208" s="135">
        <v>130</v>
      </c>
      <c r="Q208" s="136">
        <v>120</v>
      </c>
      <c r="R208" s="137">
        <v>46025</v>
      </c>
      <c r="S208" s="138">
        <v>44021</v>
      </c>
      <c r="T208" s="138">
        <v>44021</v>
      </c>
      <c r="U208" s="181">
        <f ca="1">[1]!cb_clause_conversion_2_relativeswapsharemonth(B208)</f>
        <v>6</v>
      </c>
      <c r="V208" s="139"/>
      <c r="W208" s="139"/>
      <c r="X208" s="139"/>
      <c r="Y208" s="139"/>
      <c r="Z208" s="139"/>
      <c r="AA208" s="139"/>
      <c r="AB208" s="139"/>
      <c r="AC208" s="140"/>
      <c r="AD208" s="140"/>
      <c r="AE208" s="140"/>
      <c r="AF208" s="140"/>
      <c r="AG208" s="140"/>
      <c r="AH208" s="140"/>
      <c r="AI208" s="140"/>
      <c r="AJ208" s="140"/>
      <c r="AK208" s="140"/>
      <c r="AL208" s="140"/>
      <c r="AM208" s="140"/>
      <c r="AN208" s="140"/>
      <c r="AO208" s="140"/>
      <c r="AP208" s="140"/>
      <c r="AQ208" s="140"/>
      <c r="AR208" s="140"/>
      <c r="AS208" s="140"/>
      <c r="AT208" s="140"/>
      <c r="AU208" s="140"/>
    </row>
    <row r="209" spans="1:47" s="179" customFormat="1" ht="10.3" x14ac:dyDescent="0.25">
      <c r="A209" s="170" t="s">
        <v>0</v>
      </c>
      <c r="B209" s="170" t="s">
        <v>216</v>
      </c>
      <c r="C209" s="170" t="s">
        <v>217</v>
      </c>
      <c r="D209" s="172">
        <v>4.3150684931506849</v>
      </c>
      <c r="E209" s="171">
        <v>1.4993000000000001</v>
      </c>
      <c r="F209" s="171">
        <v>2.9</v>
      </c>
      <c r="G209" s="172">
        <v>10.08</v>
      </c>
      <c r="H209" s="171">
        <v>0</v>
      </c>
      <c r="I209" s="171" t="s">
        <v>1031</v>
      </c>
      <c r="J209" s="317" t="s">
        <v>974</v>
      </c>
      <c r="K209" s="317" t="s">
        <v>1237</v>
      </c>
      <c r="L209" s="311" t="s">
        <v>1565</v>
      </c>
      <c r="M209" s="311" t="s">
        <v>972</v>
      </c>
      <c r="N209" s="173">
        <v>85</v>
      </c>
      <c r="O209" s="173">
        <v>70</v>
      </c>
      <c r="P209" s="173">
        <v>130</v>
      </c>
      <c r="Q209" s="174">
        <v>112</v>
      </c>
      <c r="R209" s="180">
        <v>46022</v>
      </c>
      <c r="S209" s="175">
        <v>44019</v>
      </c>
      <c r="T209" s="175">
        <v>44019</v>
      </c>
      <c r="U209" s="176">
        <f ca="1">[1]!cb_clause_conversion_2_relativeswapsharemonth(B209)</f>
        <v>6</v>
      </c>
      <c r="V209" s="177"/>
      <c r="W209" s="177"/>
      <c r="X209" s="177"/>
      <c r="Y209" s="177"/>
      <c r="Z209" s="177"/>
      <c r="AA209" s="177"/>
      <c r="AB209" s="177"/>
      <c r="AC209" s="178"/>
      <c r="AD209" s="178"/>
      <c r="AE209" s="178"/>
      <c r="AF209" s="178"/>
      <c r="AG209" s="178"/>
      <c r="AH209" s="178"/>
      <c r="AI209" s="178"/>
      <c r="AJ209" s="178"/>
      <c r="AK209" s="178"/>
      <c r="AL209" s="178"/>
      <c r="AM209" s="178"/>
      <c r="AN209" s="178"/>
      <c r="AO209" s="178"/>
      <c r="AP209" s="178"/>
      <c r="AQ209" s="178"/>
      <c r="AR209" s="178"/>
      <c r="AS209" s="178"/>
      <c r="AT209" s="178"/>
      <c r="AU209" s="178"/>
    </row>
    <row r="210" spans="1:47" s="141" customFormat="1" ht="10.3" x14ac:dyDescent="0.25">
      <c r="A210" s="132" t="s">
        <v>5</v>
      </c>
      <c r="B210" s="132" t="s">
        <v>218</v>
      </c>
      <c r="C210" s="132" t="s">
        <v>219</v>
      </c>
      <c r="D210" s="134">
        <v>4.3123287671232875</v>
      </c>
      <c r="E210" s="133">
        <v>1.762448</v>
      </c>
      <c r="F210" s="133">
        <v>1.8</v>
      </c>
      <c r="G210" s="134">
        <v>16.27</v>
      </c>
      <c r="H210" s="133">
        <v>0</v>
      </c>
      <c r="I210" s="133" t="s">
        <v>1031</v>
      </c>
      <c r="J210" s="318" t="s">
        <v>968</v>
      </c>
      <c r="K210" s="318" t="s">
        <v>1325</v>
      </c>
      <c r="L210" s="312"/>
      <c r="M210" s="312" t="s">
        <v>1002</v>
      </c>
      <c r="N210" s="135">
        <v>90</v>
      </c>
      <c r="O210" s="135">
        <v>70</v>
      </c>
      <c r="P210" s="135">
        <v>130</v>
      </c>
      <c r="Q210" s="136">
        <v>113</v>
      </c>
      <c r="R210" s="137">
        <v>46021</v>
      </c>
      <c r="S210" s="138">
        <v>44018</v>
      </c>
      <c r="T210" s="138">
        <v>44018</v>
      </c>
      <c r="U210" s="181">
        <f ca="1">[1]!cb_clause_conversion_2_relativeswapsharemonth(B210)</f>
        <v>6</v>
      </c>
      <c r="V210" s="139"/>
      <c r="W210" s="139"/>
      <c r="X210" s="139"/>
      <c r="Y210" s="139"/>
      <c r="Z210" s="139"/>
      <c r="AA210" s="139"/>
      <c r="AB210" s="139"/>
      <c r="AC210" s="140"/>
      <c r="AD210" s="140"/>
      <c r="AE210" s="140"/>
      <c r="AF210" s="140"/>
      <c r="AG210" s="140"/>
      <c r="AH210" s="140"/>
      <c r="AI210" s="140"/>
      <c r="AJ210" s="140"/>
      <c r="AK210" s="140"/>
      <c r="AL210" s="140"/>
      <c r="AM210" s="140"/>
      <c r="AN210" s="140"/>
      <c r="AO210" s="140"/>
      <c r="AP210" s="140"/>
      <c r="AQ210" s="140"/>
      <c r="AR210" s="140"/>
      <c r="AS210" s="140"/>
      <c r="AT210" s="140"/>
      <c r="AU210" s="140"/>
    </row>
    <row r="211" spans="1:47" s="179" customFormat="1" ht="10.3" x14ac:dyDescent="0.25">
      <c r="A211" s="170" t="s">
        <v>5</v>
      </c>
      <c r="B211" s="170" t="s">
        <v>220</v>
      </c>
      <c r="C211" s="170" t="s">
        <v>221</v>
      </c>
      <c r="D211" s="172">
        <v>4.3041095890410963</v>
      </c>
      <c r="E211" s="171">
        <v>3.1019519999999998</v>
      </c>
      <c r="F211" s="171">
        <v>4.7</v>
      </c>
      <c r="G211" s="172">
        <v>4.2300000000000004</v>
      </c>
      <c r="H211" s="171">
        <v>0</v>
      </c>
      <c r="I211" s="171" t="s">
        <v>973</v>
      </c>
      <c r="J211" s="317" t="s">
        <v>942</v>
      </c>
      <c r="K211" s="317" t="s">
        <v>1529</v>
      </c>
      <c r="L211" s="311"/>
      <c r="M211" s="311" t="s">
        <v>1036</v>
      </c>
      <c r="N211" s="173">
        <v>80</v>
      </c>
      <c r="O211" s="173">
        <v>70</v>
      </c>
      <c r="P211" s="173">
        <v>130</v>
      </c>
      <c r="Q211" s="174">
        <v>110</v>
      </c>
      <c r="R211" s="180">
        <v>46018</v>
      </c>
      <c r="S211" s="175">
        <v>44015</v>
      </c>
      <c r="T211" s="175">
        <v>44015</v>
      </c>
      <c r="U211" s="176">
        <f ca="1">[1]!cb_clause_conversion_2_relativeswapsharemonth(B211)</f>
        <v>6</v>
      </c>
      <c r="V211" s="177"/>
      <c r="W211" s="177"/>
      <c r="X211" s="177"/>
      <c r="Y211" s="177"/>
      <c r="Z211" s="177"/>
      <c r="AA211" s="177"/>
      <c r="AB211" s="177"/>
      <c r="AC211" s="178"/>
      <c r="AD211" s="178"/>
      <c r="AE211" s="178"/>
      <c r="AF211" s="178"/>
      <c r="AG211" s="178"/>
      <c r="AH211" s="178"/>
      <c r="AI211" s="178"/>
      <c r="AJ211" s="178"/>
      <c r="AK211" s="178"/>
      <c r="AL211" s="178"/>
      <c r="AM211" s="178"/>
      <c r="AN211" s="178"/>
      <c r="AO211" s="178"/>
      <c r="AP211" s="178"/>
      <c r="AQ211" s="178"/>
      <c r="AR211" s="178"/>
      <c r="AS211" s="178"/>
      <c r="AT211" s="178"/>
      <c r="AU211" s="178"/>
    </row>
    <row r="212" spans="1:47" s="141" customFormat="1" ht="10.3" x14ac:dyDescent="0.25">
      <c r="A212" s="132" t="s">
        <v>5</v>
      </c>
      <c r="B212" s="132" t="s">
        <v>222</v>
      </c>
      <c r="C212" s="132" t="s">
        <v>223</v>
      </c>
      <c r="D212" s="134">
        <v>4.3013698630136989</v>
      </c>
      <c r="E212" s="133">
        <v>2.2172420000000002</v>
      </c>
      <c r="F212" s="133">
        <v>2.2000000000000002</v>
      </c>
      <c r="G212" s="134">
        <v>29.9</v>
      </c>
      <c r="H212" s="133">
        <v>0</v>
      </c>
      <c r="I212" s="133" t="s">
        <v>1031</v>
      </c>
      <c r="J212" s="318" t="s">
        <v>936</v>
      </c>
      <c r="K212" s="318" t="s">
        <v>1063</v>
      </c>
      <c r="L212" s="312"/>
      <c r="M212" s="312" t="s">
        <v>1039</v>
      </c>
      <c r="N212" s="135">
        <v>85</v>
      </c>
      <c r="O212" s="135">
        <v>70</v>
      </c>
      <c r="P212" s="135">
        <v>130</v>
      </c>
      <c r="Q212" s="136">
        <v>115</v>
      </c>
      <c r="R212" s="137">
        <v>46017</v>
      </c>
      <c r="S212" s="138">
        <v>44014</v>
      </c>
      <c r="T212" s="138">
        <v>44014</v>
      </c>
      <c r="U212" s="181">
        <f ca="1">[1]!cb_clause_conversion_2_relativeswapsharemonth(B212)</f>
        <v>6</v>
      </c>
      <c r="V212" s="139"/>
      <c r="W212" s="139"/>
      <c r="X212" s="139"/>
      <c r="Y212" s="139"/>
      <c r="Z212" s="139"/>
      <c r="AA212" s="139"/>
      <c r="AB212" s="139"/>
      <c r="AC212" s="140"/>
      <c r="AD212" s="140"/>
      <c r="AE212" s="140"/>
      <c r="AF212" s="140"/>
      <c r="AG212" s="140"/>
      <c r="AH212" s="140"/>
      <c r="AI212" s="140"/>
      <c r="AJ212" s="140"/>
      <c r="AK212" s="140"/>
      <c r="AL212" s="140"/>
      <c r="AM212" s="140"/>
      <c r="AN212" s="140"/>
      <c r="AO212" s="140"/>
      <c r="AP212" s="140"/>
      <c r="AQ212" s="140"/>
      <c r="AR212" s="140"/>
      <c r="AS212" s="140"/>
      <c r="AT212" s="140"/>
      <c r="AU212" s="140"/>
    </row>
    <row r="213" spans="1:47" s="179" customFormat="1" ht="10.3" x14ac:dyDescent="0.25">
      <c r="A213" s="170" t="s">
        <v>5</v>
      </c>
      <c r="B213" s="170" t="s">
        <v>224</v>
      </c>
      <c r="C213" s="170" t="s">
        <v>225</v>
      </c>
      <c r="D213" s="172">
        <v>4.2986301369863016</v>
      </c>
      <c r="E213" s="171">
        <v>1.4730479999999999</v>
      </c>
      <c r="F213" s="171">
        <v>2</v>
      </c>
      <c r="G213" s="172">
        <v>24.07</v>
      </c>
      <c r="H213" s="171">
        <v>0</v>
      </c>
      <c r="I213" s="171" t="s">
        <v>1049</v>
      </c>
      <c r="J213" s="317" t="s">
        <v>942</v>
      </c>
      <c r="K213" s="317" t="s">
        <v>1263</v>
      </c>
      <c r="L213" s="311"/>
      <c r="M213" s="311" t="s">
        <v>1375</v>
      </c>
      <c r="N213" s="173">
        <v>80</v>
      </c>
      <c r="O213" s="173">
        <v>70</v>
      </c>
      <c r="P213" s="173">
        <v>130</v>
      </c>
      <c r="Q213" s="174">
        <v>113</v>
      </c>
      <c r="R213" s="180">
        <v>46016</v>
      </c>
      <c r="S213" s="175">
        <v>44013</v>
      </c>
      <c r="T213" s="175">
        <v>44013</v>
      </c>
      <c r="U213" s="176">
        <f ca="1">[1]!cb_clause_conversion_2_relativeswapsharemonth(B213)</f>
        <v>6</v>
      </c>
      <c r="V213" s="177"/>
      <c r="W213" s="177"/>
      <c r="X213" s="177"/>
      <c r="Y213" s="177"/>
      <c r="Z213" s="177"/>
      <c r="AA213" s="177"/>
      <c r="AB213" s="177"/>
      <c r="AC213" s="178"/>
      <c r="AD213" s="178"/>
      <c r="AE213" s="178"/>
      <c r="AF213" s="178"/>
      <c r="AG213" s="178"/>
      <c r="AH213" s="178"/>
      <c r="AI213" s="178"/>
      <c r="AJ213" s="178"/>
      <c r="AK213" s="178"/>
      <c r="AL213" s="178"/>
      <c r="AM213" s="178"/>
      <c r="AN213" s="178"/>
      <c r="AO213" s="178"/>
      <c r="AP213" s="178"/>
      <c r="AQ213" s="178"/>
      <c r="AR213" s="178"/>
      <c r="AS213" s="178"/>
      <c r="AT213" s="178"/>
      <c r="AU213" s="178"/>
    </row>
    <row r="214" spans="1:47" s="141" customFormat="1" ht="10.3" x14ac:dyDescent="0.25">
      <c r="A214" s="132" t="s">
        <v>0</v>
      </c>
      <c r="B214" s="132" t="s">
        <v>226</v>
      </c>
      <c r="C214" s="132" t="s">
        <v>227</v>
      </c>
      <c r="D214" s="134">
        <v>4.2958904109589042</v>
      </c>
      <c r="E214" s="133">
        <v>2.9523100000000002</v>
      </c>
      <c r="F214" s="133">
        <v>3</v>
      </c>
      <c r="G214" s="134">
        <v>6.45</v>
      </c>
      <c r="H214" s="133">
        <v>0</v>
      </c>
      <c r="I214" s="133" t="s">
        <v>957</v>
      </c>
      <c r="J214" s="318" t="s">
        <v>936</v>
      </c>
      <c r="K214" s="318" t="s">
        <v>1266</v>
      </c>
      <c r="L214" s="312"/>
      <c r="M214" s="312" t="s">
        <v>947</v>
      </c>
      <c r="N214" s="135">
        <v>85</v>
      </c>
      <c r="O214" s="135">
        <v>70</v>
      </c>
      <c r="P214" s="135">
        <v>130</v>
      </c>
      <c r="Q214" s="136">
        <v>112</v>
      </c>
      <c r="R214" s="137">
        <v>46015</v>
      </c>
      <c r="S214" s="138">
        <v>44012</v>
      </c>
      <c r="T214" s="138">
        <v>44012</v>
      </c>
      <c r="U214" s="181">
        <f ca="1">[1]!cb_clause_conversion_2_relativeswapsharemonth(B214)</f>
        <v>6</v>
      </c>
      <c r="V214" s="139"/>
      <c r="W214" s="139"/>
      <c r="X214" s="139"/>
      <c r="Y214" s="139"/>
      <c r="Z214" s="139"/>
      <c r="AA214" s="139"/>
      <c r="AB214" s="139"/>
      <c r="AC214" s="140"/>
      <c r="AD214" s="140"/>
      <c r="AE214" s="140"/>
      <c r="AF214" s="140"/>
      <c r="AG214" s="140"/>
      <c r="AH214" s="140"/>
      <c r="AI214" s="140"/>
      <c r="AJ214" s="140"/>
      <c r="AK214" s="140"/>
      <c r="AL214" s="140"/>
      <c r="AM214" s="140"/>
      <c r="AN214" s="140"/>
      <c r="AO214" s="140"/>
      <c r="AP214" s="140"/>
      <c r="AQ214" s="140"/>
      <c r="AR214" s="140"/>
      <c r="AS214" s="140"/>
      <c r="AT214" s="140"/>
      <c r="AU214" s="140"/>
    </row>
    <row r="215" spans="1:47" s="179" customFormat="1" ht="10.3" x14ac:dyDescent="0.25">
      <c r="A215" s="170" t="s">
        <v>0</v>
      </c>
      <c r="B215" s="170" t="s">
        <v>228</v>
      </c>
      <c r="C215" s="170" t="s">
        <v>229</v>
      </c>
      <c r="D215" s="172">
        <v>4.2931506849315069</v>
      </c>
      <c r="E215" s="171">
        <v>0</v>
      </c>
      <c r="F215" s="171">
        <v>27.6</v>
      </c>
      <c r="G215" s="172">
        <v>8.68</v>
      </c>
      <c r="H215" s="171">
        <v>0</v>
      </c>
      <c r="I215" s="171" t="s">
        <v>941</v>
      </c>
      <c r="J215" s="317" t="s">
        <v>936</v>
      </c>
      <c r="K215" s="317" t="s">
        <v>1229</v>
      </c>
      <c r="L215" s="311"/>
      <c r="M215" s="311" t="s">
        <v>963</v>
      </c>
      <c r="N215" s="173">
        <v>85</v>
      </c>
      <c r="O215" s="173">
        <v>70</v>
      </c>
      <c r="P215" s="173">
        <v>130</v>
      </c>
      <c r="Q215" s="174">
        <v>106</v>
      </c>
      <c r="R215" s="180">
        <v>46014</v>
      </c>
      <c r="S215" s="175">
        <v>44011</v>
      </c>
      <c r="T215" s="175">
        <v>44011</v>
      </c>
      <c r="U215" s="176">
        <f ca="1">[1]!cb_clause_conversion_2_relativeswapsharemonth(B215)</f>
        <v>6</v>
      </c>
      <c r="V215" s="177"/>
      <c r="W215" s="177"/>
      <c r="X215" s="177"/>
      <c r="Y215" s="177"/>
      <c r="Z215" s="177"/>
      <c r="AA215" s="177"/>
      <c r="AB215" s="177"/>
      <c r="AC215" s="178"/>
      <c r="AD215" s="178"/>
      <c r="AE215" s="178"/>
      <c r="AF215" s="178"/>
      <c r="AG215" s="178"/>
      <c r="AH215" s="178"/>
      <c r="AI215" s="178"/>
      <c r="AJ215" s="178"/>
      <c r="AK215" s="178"/>
      <c r="AL215" s="178"/>
      <c r="AM215" s="178"/>
      <c r="AN215" s="178"/>
      <c r="AO215" s="178"/>
      <c r="AP215" s="178"/>
      <c r="AQ215" s="178"/>
      <c r="AR215" s="178"/>
      <c r="AS215" s="178"/>
      <c r="AT215" s="178"/>
      <c r="AU215" s="178"/>
    </row>
    <row r="216" spans="1:47" s="141" customFormat="1" ht="10.3" x14ac:dyDescent="0.25">
      <c r="A216" s="132" t="s">
        <v>0</v>
      </c>
      <c r="B216" s="132" t="s">
        <v>230</v>
      </c>
      <c r="C216" s="132" t="s">
        <v>231</v>
      </c>
      <c r="D216" s="134">
        <v>4.2931506849315069</v>
      </c>
      <c r="E216" s="133">
        <v>0</v>
      </c>
      <c r="F216" s="133">
        <v>5.0999999999999996</v>
      </c>
      <c r="G216" s="134">
        <v>10.32</v>
      </c>
      <c r="H216" s="133">
        <v>0</v>
      </c>
      <c r="I216" s="133" t="s">
        <v>983</v>
      </c>
      <c r="J216" s="318" t="s">
        <v>970</v>
      </c>
      <c r="K216" s="318" t="s">
        <v>1443</v>
      </c>
      <c r="L216" s="313"/>
      <c r="M216" s="313" t="s">
        <v>1047</v>
      </c>
      <c r="N216" s="135">
        <v>90</v>
      </c>
      <c r="O216" s="135">
        <v>70</v>
      </c>
      <c r="P216" s="135">
        <v>130</v>
      </c>
      <c r="Q216" s="136">
        <v>112</v>
      </c>
      <c r="R216" s="137">
        <v>46014</v>
      </c>
      <c r="S216" s="138">
        <v>44011</v>
      </c>
      <c r="T216" s="138">
        <v>44011</v>
      </c>
      <c r="U216" s="181">
        <f ca="1">[1]!cb_clause_conversion_2_relativeswapsharemonth(B216)</f>
        <v>6</v>
      </c>
      <c r="V216" s="139"/>
      <c r="W216" s="139"/>
      <c r="X216" s="139"/>
      <c r="Y216" s="139"/>
      <c r="Z216" s="139"/>
      <c r="AA216" s="139"/>
      <c r="AB216" s="139"/>
      <c r="AC216" s="140"/>
      <c r="AD216" s="140"/>
      <c r="AE216" s="140"/>
      <c r="AF216" s="140"/>
      <c r="AG216" s="140"/>
      <c r="AH216" s="140"/>
      <c r="AI216" s="140"/>
      <c r="AJ216" s="140"/>
      <c r="AK216" s="140"/>
      <c r="AL216" s="140"/>
      <c r="AM216" s="140"/>
      <c r="AN216" s="140"/>
      <c r="AO216" s="140"/>
      <c r="AP216" s="140"/>
      <c r="AQ216" s="140"/>
      <c r="AR216" s="140"/>
      <c r="AS216" s="140"/>
      <c r="AT216" s="140"/>
      <c r="AU216" s="140"/>
    </row>
    <row r="217" spans="1:47" s="179" customFormat="1" ht="10.3" x14ac:dyDescent="0.25">
      <c r="A217" s="170" t="s">
        <v>0</v>
      </c>
      <c r="B217" s="170" t="s">
        <v>232</v>
      </c>
      <c r="C217" s="170" t="s">
        <v>233</v>
      </c>
      <c r="D217" s="172">
        <v>4.2849315068493148</v>
      </c>
      <c r="E217" s="171">
        <v>16.598140000000001</v>
      </c>
      <c r="F217" s="171">
        <v>16.600000000000001</v>
      </c>
      <c r="G217" s="172">
        <v>4.53</v>
      </c>
      <c r="H217" s="171">
        <v>0</v>
      </c>
      <c r="I217" s="171" t="s">
        <v>935</v>
      </c>
      <c r="J217" s="317" t="s">
        <v>946</v>
      </c>
      <c r="K217" s="317" t="s">
        <v>1413</v>
      </c>
      <c r="L217" s="311"/>
      <c r="M217" s="311" t="s">
        <v>1036</v>
      </c>
      <c r="N217" s="173">
        <v>90</v>
      </c>
      <c r="O217" s="173">
        <v>70</v>
      </c>
      <c r="P217" s="173">
        <v>130</v>
      </c>
      <c r="Q217" s="174">
        <v>113</v>
      </c>
      <c r="R217" s="180">
        <v>46011</v>
      </c>
      <c r="S217" s="175">
        <v>44011</v>
      </c>
      <c r="T217" s="175">
        <v>44011</v>
      </c>
      <c r="U217" s="176">
        <f ca="1">[1]!cb_clause_conversion_2_relativeswapsharemonth(B217)</f>
        <v>6</v>
      </c>
      <c r="V217" s="177"/>
      <c r="W217" s="177"/>
      <c r="X217" s="177"/>
      <c r="Y217" s="177"/>
      <c r="Z217" s="177"/>
      <c r="AA217" s="177"/>
      <c r="AB217" s="177"/>
      <c r="AC217" s="178"/>
      <c r="AD217" s="178"/>
      <c r="AE217" s="178"/>
      <c r="AF217" s="178"/>
      <c r="AG217" s="178"/>
      <c r="AH217" s="178"/>
      <c r="AI217" s="178"/>
      <c r="AJ217" s="178"/>
      <c r="AK217" s="178"/>
      <c r="AL217" s="178"/>
      <c r="AM217" s="178"/>
      <c r="AN217" s="178"/>
      <c r="AO217" s="178"/>
      <c r="AP217" s="178"/>
      <c r="AQ217" s="178"/>
      <c r="AR217" s="178"/>
      <c r="AS217" s="178"/>
      <c r="AT217" s="178"/>
      <c r="AU217" s="178"/>
    </row>
    <row r="218" spans="1:47" s="141" customFormat="1" ht="10.3" x14ac:dyDescent="0.25">
      <c r="A218" s="132" t="s">
        <v>0</v>
      </c>
      <c r="B218" s="132" t="s">
        <v>234</v>
      </c>
      <c r="C218" s="132" t="s">
        <v>235</v>
      </c>
      <c r="D218" s="134">
        <v>4.2821917808219174</v>
      </c>
      <c r="E218" s="133">
        <v>0</v>
      </c>
      <c r="F218" s="133">
        <v>6</v>
      </c>
      <c r="G218" s="134">
        <v>10.11</v>
      </c>
      <c r="H218" s="133">
        <v>0</v>
      </c>
      <c r="I218" s="133" t="s">
        <v>983</v>
      </c>
      <c r="J218" s="318" t="s">
        <v>974</v>
      </c>
      <c r="K218" s="318" t="s">
        <v>1137</v>
      </c>
      <c r="L218" s="312"/>
      <c r="M218" s="312" t="s">
        <v>982</v>
      </c>
      <c r="N218" s="135">
        <v>80</v>
      </c>
      <c r="O218" s="135">
        <v>70</v>
      </c>
      <c r="P218" s="135">
        <v>130</v>
      </c>
      <c r="Q218" s="136">
        <v>115</v>
      </c>
      <c r="R218" s="137">
        <v>46010</v>
      </c>
      <c r="S218" s="138">
        <v>44011</v>
      </c>
      <c r="T218" s="138">
        <v>44011</v>
      </c>
      <c r="U218" s="181">
        <f ca="1">[1]!cb_clause_conversion_2_relativeswapsharemonth(B218)</f>
        <v>6</v>
      </c>
      <c r="V218" s="139"/>
      <c r="W218" s="139"/>
      <c r="X218" s="139"/>
      <c r="Y218" s="139"/>
      <c r="Z218" s="139"/>
      <c r="AA218" s="139"/>
      <c r="AB218" s="139"/>
      <c r="AC218" s="140"/>
      <c r="AD218" s="140"/>
      <c r="AE218" s="140"/>
      <c r="AF218" s="140"/>
      <c r="AG218" s="140"/>
      <c r="AH218" s="140"/>
      <c r="AI218" s="140"/>
      <c r="AJ218" s="140"/>
      <c r="AK218" s="140"/>
      <c r="AL218" s="140"/>
      <c r="AM218" s="140"/>
      <c r="AN218" s="140"/>
      <c r="AO218" s="140"/>
      <c r="AP218" s="140"/>
      <c r="AQ218" s="140"/>
      <c r="AR218" s="140"/>
      <c r="AS218" s="140"/>
      <c r="AT218" s="140"/>
      <c r="AU218" s="140"/>
    </row>
    <row r="219" spans="1:47" s="179" customFormat="1" ht="10.3" x14ac:dyDescent="0.25">
      <c r="A219" s="170" t="s">
        <v>5</v>
      </c>
      <c r="B219" s="170" t="s">
        <v>236</v>
      </c>
      <c r="C219" s="170" t="s">
        <v>237</v>
      </c>
      <c r="D219" s="172">
        <v>4.2767123287671236</v>
      </c>
      <c r="E219" s="171">
        <v>6.4976190000000003</v>
      </c>
      <c r="F219" s="171">
        <v>6.5</v>
      </c>
      <c r="G219" s="172">
        <v>4.5</v>
      </c>
      <c r="H219" s="171">
        <v>0</v>
      </c>
      <c r="I219" s="171" t="s">
        <v>973</v>
      </c>
      <c r="J219" s="317" t="s">
        <v>946</v>
      </c>
      <c r="K219" s="317" t="s">
        <v>1528</v>
      </c>
      <c r="L219" s="311"/>
      <c r="M219" s="311" t="s">
        <v>954</v>
      </c>
      <c r="N219" s="173">
        <v>90</v>
      </c>
      <c r="O219" s="173">
        <v>70</v>
      </c>
      <c r="P219" s="173">
        <v>130</v>
      </c>
      <c r="Q219" s="174">
        <v>108</v>
      </c>
      <c r="R219" s="180">
        <v>46008</v>
      </c>
      <c r="S219" s="175">
        <v>44005</v>
      </c>
      <c r="T219" s="175">
        <v>44005</v>
      </c>
      <c r="U219" s="176">
        <f ca="1">[1]!cb_clause_conversion_2_relativeswapsharemonth(B219)</f>
        <v>6</v>
      </c>
      <c r="V219" s="177"/>
      <c r="W219" s="177"/>
      <c r="X219" s="177"/>
      <c r="Y219" s="177"/>
      <c r="Z219" s="177"/>
      <c r="AA219" s="177"/>
      <c r="AB219" s="177"/>
      <c r="AC219" s="178"/>
      <c r="AD219" s="178"/>
      <c r="AE219" s="178"/>
      <c r="AF219" s="178"/>
      <c r="AG219" s="178"/>
      <c r="AH219" s="178"/>
      <c r="AI219" s="178"/>
      <c r="AJ219" s="178"/>
      <c r="AK219" s="178"/>
      <c r="AL219" s="178"/>
      <c r="AM219" s="178"/>
      <c r="AN219" s="178"/>
      <c r="AO219" s="178"/>
      <c r="AP219" s="178"/>
      <c r="AQ219" s="178"/>
      <c r="AR219" s="178"/>
      <c r="AS219" s="178"/>
      <c r="AT219" s="178"/>
      <c r="AU219" s="178"/>
    </row>
    <row r="220" spans="1:47" s="141" customFormat="1" ht="10.3" x14ac:dyDescent="0.25">
      <c r="A220" s="132" t="s">
        <v>5</v>
      </c>
      <c r="B220" s="132" t="s">
        <v>238</v>
      </c>
      <c r="C220" s="132" t="s">
        <v>239</v>
      </c>
      <c r="D220" s="134">
        <v>4.2739726027397262</v>
      </c>
      <c r="E220" s="133">
        <v>4.5313059999999998</v>
      </c>
      <c r="F220" s="133">
        <v>24.3</v>
      </c>
      <c r="G220" s="134">
        <v>3.91</v>
      </c>
      <c r="H220" s="133">
        <v>0</v>
      </c>
      <c r="I220" s="133" t="s">
        <v>1779</v>
      </c>
      <c r="J220" s="318" t="s">
        <v>958</v>
      </c>
      <c r="K220" s="318" t="s">
        <v>1527</v>
      </c>
      <c r="L220" s="312"/>
      <c r="M220" s="312" t="s">
        <v>1060</v>
      </c>
      <c r="N220" s="135">
        <v>90</v>
      </c>
      <c r="O220" s="135">
        <v>70</v>
      </c>
      <c r="P220" s="135">
        <v>130</v>
      </c>
      <c r="Q220" s="136">
        <v>118</v>
      </c>
      <c r="R220" s="137">
        <v>46007</v>
      </c>
      <c r="S220" s="138">
        <v>44004</v>
      </c>
      <c r="T220" s="138">
        <v>44004</v>
      </c>
      <c r="U220" s="181">
        <f ca="1">[1]!cb_clause_conversion_2_relativeswapsharemonth(B220)</f>
        <v>6</v>
      </c>
      <c r="V220" s="139"/>
      <c r="W220" s="139"/>
      <c r="X220" s="139"/>
      <c r="Y220" s="139"/>
      <c r="Z220" s="139"/>
      <c r="AA220" s="139"/>
      <c r="AB220" s="139"/>
      <c r="AC220" s="140"/>
      <c r="AD220" s="140"/>
      <c r="AE220" s="140"/>
      <c r="AF220" s="140"/>
      <c r="AG220" s="140"/>
      <c r="AH220" s="140"/>
      <c r="AI220" s="140"/>
      <c r="AJ220" s="140"/>
      <c r="AK220" s="140"/>
      <c r="AL220" s="140"/>
      <c r="AM220" s="140"/>
      <c r="AN220" s="140"/>
      <c r="AO220" s="140"/>
      <c r="AP220" s="140"/>
      <c r="AQ220" s="140"/>
      <c r="AR220" s="140"/>
      <c r="AS220" s="140"/>
      <c r="AT220" s="140"/>
      <c r="AU220" s="140"/>
    </row>
    <row r="221" spans="1:47" s="179" customFormat="1" ht="10.3" x14ac:dyDescent="0.25">
      <c r="A221" s="170" t="s">
        <v>0</v>
      </c>
      <c r="B221" s="170" t="s">
        <v>240</v>
      </c>
      <c r="C221" s="170" t="s">
        <v>241</v>
      </c>
      <c r="D221" s="172">
        <v>4.2657534246575342</v>
      </c>
      <c r="E221" s="171">
        <v>18.451560000000001</v>
      </c>
      <c r="F221" s="171">
        <v>18.600000000000001</v>
      </c>
      <c r="G221" s="172">
        <v>3.26</v>
      </c>
      <c r="H221" s="171">
        <v>0</v>
      </c>
      <c r="I221" s="171" t="s">
        <v>935</v>
      </c>
      <c r="J221" s="317" t="s">
        <v>942</v>
      </c>
      <c r="K221" s="317" t="s">
        <v>1083</v>
      </c>
      <c r="L221" s="311"/>
      <c r="M221" s="311" t="s">
        <v>950</v>
      </c>
      <c r="N221" s="173">
        <v>80</v>
      </c>
      <c r="O221" s="173">
        <v>70</v>
      </c>
      <c r="P221" s="173">
        <v>130</v>
      </c>
      <c r="Q221" s="174">
        <v>111</v>
      </c>
      <c r="R221" s="180">
        <v>46004</v>
      </c>
      <c r="S221" s="175">
        <v>44001</v>
      </c>
      <c r="T221" s="175">
        <v>44001</v>
      </c>
      <c r="U221" s="176">
        <f ca="1">[1]!cb_clause_conversion_2_relativeswapsharemonth(B221)</f>
        <v>6</v>
      </c>
      <c r="V221" s="177"/>
      <c r="W221" s="177"/>
      <c r="X221" s="177"/>
      <c r="Y221" s="177"/>
      <c r="Z221" s="177"/>
      <c r="AA221" s="177"/>
      <c r="AB221" s="177"/>
      <c r="AC221" s="178"/>
      <c r="AD221" s="178"/>
      <c r="AE221" s="178"/>
      <c r="AF221" s="178"/>
      <c r="AG221" s="178"/>
      <c r="AH221" s="178"/>
      <c r="AI221" s="178"/>
      <c r="AJ221" s="178"/>
      <c r="AK221" s="178"/>
      <c r="AL221" s="178"/>
      <c r="AM221" s="178"/>
      <c r="AN221" s="178"/>
      <c r="AO221" s="178"/>
      <c r="AP221" s="178"/>
      <c r="AQ221" s="178"/>
      <c r="AR221" s="178"/>
      <c r="AS221" s="178"/>
      <c r="AT221" s="178"/>
      <c r="AU221" s="178"/>
    </row>
    <row r="222" spans="1:47" s="141" customFormat="1" ht="10.3" x14ac:dyDescent="0.25">
      <c r="A222" s="132" t="s">
        <v>5</v>
      </c>
      <c r="B222" s="132" t="s">
        <v>242</v>
      </c>
      <c r="C222" s="132" t="s">
        <v>243</v>
      </c>
      <c r="D222" s="134">
        <v>4.2630136986301368</v>
      </c>
      <c r="E222" s="133">
        <v>8.7688790000000001</v>
      </c>
      <c r="F222" s="133">
        <v>8.8000000000000007</v>
      </c>
      <c r="G222" s="134">
        <v>11.45</v>
      </c>
      <c r="H222" s="133">
        <v>0</v>
      </c>
      <c r="I222" s="133" t="s">
        <v>957</v>
      </c>
      <c r="J222" s="318" t="s">
        <v>942</v>
      </c>
      <c r="K222" s="318" t="s">
        <v>1343</v>
      </c>
      <c r="L222" s="312"/>
      <c r="M222" s="312" t="s">
        <v>985</v>
      </c>
      <c r="N222" s="135">
        <v>85</v>
      </c>
      <c r="O222" s="135">
        <v>70</v>
      </c>
      <c r="P222" s="135">
        <v>130</v>
      </c>
      <c r="Q222" s="136">
        <v>110</v>
      </c>
      <c r="R222" s="137">
        <v>46003</v>
      </c>
      <c r="S222" s="138">
        <v>44000</v>
      </c>
      <c r="T222" s="138">
        <v>44000</v>
      </c>
      <c r="U222" s="181">
        <f ca="1">[1]!cb_clause_conversion_2_relativeswapsharemonth(B222)</f>
        <v>6</v>
      </c>
      <c r="V222" s="139"/>
      <c r="W222" s="139"/>
      <c r="X222" s="139"/>
      <c r="Y222" s="139"/>
      <c r="Z222" s="139"/>
      <c r="AA222" s="139"/>
      <c r="AB222" s="139"/>
      <c r="AC222" s="140"/>
      <c r="AD222" s="140"/>
      <c r="AE222" s="140"/>
      <c r="AF222" s="140"/>
      <c r="AG222" s="140"/>
      <c r="AH222" s="140"/>
      <c r="AI222" s="140"/>
      <c r="AJ222" s="140"/>
      <c r="AK222" s="140"/>
      <c r="AL222" s="140"/>
      <c r="AM222" s="140"/>
      <c r="AN222" s="140"/>
      <c r="AO222" s="140"/>
      <c r="AP222" s="140"/>
      <c r="AQ222" s="140"/>
      <c r="AR222" s="140"/>
      <c r="AS222" s="140"/>
      <c r="AT222" s="140"/>
      <c r="AU222" s="140"/>
    </row>
    <row r="223" spans="1:47" s="179" customFormat="1" ht="10.3" x14ac:dyDescent="0.25">
      <c r="A223" s="170" t="s">
        <v>5</v>
      </c>
      <c r="B223" s="170" t="s">
        <v>244</v>
      </c>
      <c r="C223" s="170" t="s">
        <v>245</v>
      </c>
      <c r="D223" s="172">
        <v>4.2410958904109588</v>
      </c>
      <c r="E223" s="171">
        <v>2.1891370000000001</v>
      </c>
      <c r="F223" s="171">
        <v>3.5</v>
      </c>
      <c r="G223" s="172">
        <v>9.1300000000000008</v>
      </c>
      <c r="H223" s="171">
        <v>0</v>
      </c>
      <c r="I223" s="171" t="s">
        <v>1329</v>
      </c>
      <c r="J223" s="317" t="s">
        <v>942</v>
      </c>
      <c r="K223" s="317" t="s">
        <v>1365</v>
      </c>
      <c r="L223" s="311"/>
      <c r="M223" s="311" t="s">
        <v>943</v>
      </c>
      <c r="N223" s="173">
        <v>90</v>
      </c>
      <c r="O223" s="173">
        <v>70</v>
      </c>
      <c r="P223" s="173">
        <v>130</v>
      </c>
      <c r="Q223" s="174">
        <v>115</v>
      </c>
      <c r="R223" s="180">
        <v>45995</v>
      </c>
      <c r="S223" s="175">
        <v>43992</v>
      </c>
      <c r="T223" s="175">
        <v>43992</v>
      </c>
      <c r="U223" s="176">
        <f ca="1">[1]!cb_clause_conversion_2_relativeswapsharemonth(B223)</f>
        <v>6</v>
      </c>
      <c r="V223" s="177"/>
      <c r="W223" s="177"/>
      <c r="X223" s="177"/>
      <c r="Y223" s="177"/>
      <c r="Z223" s="177"/>
      <c r="AA223" s="177"/>
      <c r="AB223" s="177"/>
      <c r="AC223" s="178"/>
      <c r="AD223" s="178"/>
      <c r="AE223" s="178"/>
      <c r="AF223" s="178"/>
      <c r="AG223" s="178"/>
      <c r="AH223" s="178"/>
      <c r="AI223" s="178"/>
      <c r="AJ223" s="178"/>
      <c r="AK223" s="178"/>
      <c r="AL223" s="178"/>
      <c r="AM223" s="178"/>
      <c r="AN223" s="178"/>
      <c r="AO223" s="178"/>
      <c r="AP223" s="178"/>
      <c r="AQ223" s="178"/>
      <c r="AR223" s="178"/>
      <c r="AS223" s="178"/>
      <c r="AT223" s="178"/>
      <c r="AU223" s="178"/>
    </row>
    <row r="224" spans="1:47" s="141" customFormat="1" ht="10.3" x14ac:dyDescent="0.25">
      <c r="A224" s="132" t="s">
        <v>0</v>
      </c>
      <c r="B224" s="132" t="s">
        <v>246</v>
      </c>
      <c r="C224" s="132" t="s">
        <v>247</v>
      </c>
      <c r="D224" s="134">
        <v>4.2356164383561641</v>
      </c>
      <c r="E224" s="133">
        <v>30.876529999999999</v>
      </c>
      <c r="F224" s="133">
        <v>30.9</v>
      </c>
      <c r="G224" s="134">
        <v>22.85</v>
      </c>
      <c r="H224" s="133">
        <v>73</v>
      </c>
      <c r="I224" s="133" t="s">
        <v>941</v>
      </c>
      <c r="J224" s="318" t="s">
        <v>951</v>
      </c>
      <c r="K224" s="318" t="s">
        <v>960</v>
      </c>
      <c r="L224" s="312"/>
      <c r="M224" s="312" t="s">
        <v>949</v>
      </c>
      <c r="N224" s="135">
        <v>80</v>
      </c>
      <c r="O224" s="135">
        <v>70</v>
      </c>
      <c r="P224" s="135">
        <v>130</v>
      </c>
      <c r="Q224" s="136">
        <v>106</v>
      </c>
      <c r="R224" s="137">
        <v>45993</v>
      </c>
      <c r="S224" s="138">
        <v>43990</v>
      </c>
      <c r="T224" s="138">
        <v>43990</v>
      </c>
      <c r="U224" s="181">
        <f ca="1">[1]!cb_clause_conversion_2_relativeswapsharemonth(B224)</f>
        <v>6</v>
      </c>
      <c r="V224" s="139"/>
      <c r="W224" s="139"/>
      <c r="X224" s="139"/>
      <c r="Y224" s="139"/>
      <c r="Z224" s="139"/>
      <c r="AA224" s="139"/>
      <c r="AB224" s="139"/>
      <c r="AC224" s="140"/>
      <c r="AD224" s="140"/>
      <c r="AE224" s="140"/>
      <c r="AF224" s="140"/>
      <c r="AG224" s="140"/>
      <c r="AH224" s="140"/>
      <c r="AI224" s="140"/>
      <c r="AJ224" s="140"/>
      <c r="AK224" s="140"/>
      <c r="AL224" s="140"/>
      <c r="AM224" s="140"/>
      <c r="AN224" s="140"/>
      <c r="AO224" s="140"/>
      <c r="AP224" s="140"/>
      <c r="AQ224" s="140"/>
      <c r="AR224" s="140"/>
      <c r="AS224" s="140"/>
      <c r="AT224" s="140"/>
      <c r="AU224" s="140"/>
    </row>
    <row r="225" spans="1:47" s="179" customFormat="1" ht="10.3" x14ac:dyDescent="0.25">
      <c r="A225" s="170" t="s">
        <v>5</v>
      </c>
      <c r="B225" s="170" t="s">
        <v>248</v>
      </c>
      <c r="C225" s="170" t="s">
        <v>249</v>
      </c>
      <c r="D225" s="172">
        <v>4.2054794520547949</v>
      </c>
      <c r="E225" s="171">
        <v>30.061191000000001</v>
      </c>
      <c r="F225" s="171">
        <v>31.5</v>
      </c>
      <c r="G225" s="172">
        <v>9.69</v>
      </c>
      <c r="H225" s="171">
        <v>0</v>
      </c>
      <c r="I225" s="171" t="s">
        <v>957</v>
      </c>
      <c r="J225" s="317" t="s">
        <v>936</v>
      </c>
      <c r="K225" s="317" t="s">
        <v>1021</v>
      </c>
      <c r="L225" s="311"/>
      <c r="M225" s="311" t="s">
        <v>972</v>
      </c>
      <c r="N225" s="173">
        <v>90</v>
      </c>
      <c r="O225" s="173">
        <v>70</v>
      </c>
      <c r="P225" s="173">
        <v>130</v>
      </c>
      <c r="Q225" s="174">
        <v>110</v>
      </c>
      <c r="R225" s="180">
        <v>45982</v>
      </c>
      <c r="S225" s="175">
        <v>43978</v>
      </c>
      <c r="T225" s="175">
        <v>43978</v>
      </c>
      <c r="U225" s="176">
        <f ca="1">[1]!cb_clause_conversion_2_relativeswapsharemonth(B225)</f>
        <v>6</v>
      </c>
      <c r="V225" s="177"/>
      <c r="W225" s="177"/>
      <c r="X225" s="177"/>
      <c r="Y225" s="177"/>
      <c r="Z225" s="177"/>
      <c r="AA225" s="177"/>
      <c r="AB225" s="177"/>
      <c r="AC225" s="178"/>
      <c r="AD225" s="178"/>
      <c r="AE225" s="178"/>
      <c r="AF225" s="178"/>
      <c r="AG225" s="178"/>
      <c r="AH225" s="178"/>
      <c r="AI225" s="178"/>
      <c r="AJ225" s="178"/>
      <c r="AK225" s="178"/>
      <c r="AL225" s="178"/>
      <c r="AM225" s="178"/>
      <c r="AN225" s="178"/>
      <c r="AO225" s="178"/>
      <c r="AP225" s="178"/>
      <c r="AQ225" s="178"/>
      <c r="AR225" s="178"/>
      <c r="AS225" s="178"/>
      <c r="AT225" s="178"/>
      <c r="AU225" s="178"/>
    </row>
    <row r="226" spans="1:47" s="141" customFormat="1" ht="10.3" x14ac:dyDescent="0.25">
      <c r="A226" s="132" t="s">
        <v>0</v>
      </c>
      <c r="B226" s="132" t="s">
        <v>250</v>
      </c>
      <c r="C226" s="132" t="s">
        <v>251</v>
      </c>
      <c r="D226" s="134">
        <v>4.1972602739726028</v>
      </c>
      <c r="E226" s="133">
        <v>2.1473080000000002</v>
      </c>
      <c r="F226" s="133">
        <v>9.9</v>
      </c>
      <c r="G226" s="134">
        <v>9.33</v>
      </c>
      <c r="H226" s="133">
        <v>0</v>
      </c>
      <c r="I226" s="133" t="s">
        <v>973</v>
      </c>
      <c r="J226" s="318" t="s">
        <v>951</v>
      </c>
      <c r="K226" s="318" t="s">
        <v>986</v>
      </c>
      <c r="L226" s="312"/>
      <c r="M226" s="312" t="s">
        <v>987</v>
      </c>
      <c r="N226" s="135">
        <v>85</v>
      </c>
      <c r="O226" s="135">
        <v>70</v>
      </c>
      <c r="P226" s="135">
        <v>130</v>
      </c>
      <c r="Q226" s="136">
        <v>115</v>
      </c>
      <c r="R226" s="137">
        <v>45979</v>
      </c>
      <c r="S226" s="138">
        <v>43973</v>
      </c>
      <c r="T226" s="138">
        <v>43973</v>
      </c>
      <c r="U226" s="181">
        <f ca="1">[1]!cb_clause_conversion_2_relativeswapsharemonth(B226)</f>
        <v>6</v>
      </c>
      <c r="V226" s="139"/>
      <c r="W226" s="139"/>
      <c r="X226" s="139"/>
      <c r="Y226" s="139"/>
      <c r="Z226" s="139"/>
      <c r="AA226" s="139"/>
      <c r="AB226" s="139"/>
      <c r="AC226" s="140"/>
      <c r="AD226" s="140"/>
      <c r="AE226" s="140"/>
      <c r="AF226" s="140"/>
      <c r="AG226" s="140"/>
      <c r="AH226" s="140"/>
      <c r="AI226" s="140"/>
      <c r="AJ226" s="140"/>
      <c r="AK226" s="140"/>
      <c r="AL226" s="140"/>
      <c r="AM226" s="140"/>
      <c r="AN226" s="140"/>
      <c r="AO226" s="140"/>
      <c r="AP226" s="140"/>
      <c r="AQ226" s="140"/>
      <c r="AR226" s="140"/>
      <c r="AS226" s="140"/>
      <c r="AT226" s="140"/>
      <c r="AU226" s="140"/>
    </row>
    <row r="227" spans="1:47" s="179" customFormat="1" ht="10.3" x14ac:dyDescent="0.25">
      <c r="A227" s="170" t="s">
        <v>0</v>
      </c>
      <c r="B227" s="170" t="s">
        <v>252</v>
      </c>
      <c r="C227" s="170" t="s">
        <v>253</v>
      </c>
      <c r="D227" s="172">
        <v>4.1890410958904107</v>
      </c>
      <c r="E227" s="171">
        <v>8.7993299999999994</v>
      </c>
      <c r="F227" s="171">
        <v>8.8000000000000007</v>
      </c>
      <c r="G227" s="172">
        <v>8.83</v>
      </c>
      <c r="H227" s="171">
        <v>0</v>
      </c>
      <c r="I227" s="171" t="s">
        <v>939</v>
      </c>
      <c r="J227" s="317" t="s">
        <v>970</v>
      </c>
      <c r="K227" s="317" t="s">
        <v>1442</v>
      </c>
      <c r="L227" s="314"/>
      <c r="M227" s="314" t="s">
        <v>956</v>
      </c>
      <c r="N227" s="173">
        <v>85</v>
      </c>
      <c r="O227" s="173">
        <v>70</v>
      </c>
      <c r="P227" s="173">
        <v>130</v>
      </c>
      <c r="Q227" s="174">
        <v>110</v>
      </c>
      <c r="R227" s="180">
        <v>45976</v>
      </c>
      <c r="S227" s="175">
        <v>43972</v>
      </c>
      <c r="T227" s="175">
        <v>43972</v>
      </c>
      <c r="U227" s="177"/>
      <c r="V227" s="177"/>
      <c r="W227" s="177"/>
      <c r="X227" s="177"/>
      <c r="Y227" s="177"/>
      <c r="Z227" s="177"/>
      <c r="AA227" s="177"/>
      <c r="AB227" s="177"/>
      <c r="AC227" s="178"/>
      <c r="AD227" s="178"/>
      <c r="AE227" s="178"/>
      <c r="AF227" s="178"/>
      <c r="AG227" s="178"/>
      <c r="AH227" s="178"/>
      <c r="AI227" s="178"/>
      <c r="AJ227" s="178"/>
      <c r="AK227" s="178"/>
      <c r="AL227" s="178"/>
      <c r="AM227" s="178"/>
      <c r="AN227" s="178"/>
      <c r="AO227" s="178"/>
      <c r="AP227" s="178"/>
      <c r="AQ227" s="178"/>
      <c r="AR227" s="178"/>
      <c r="AS227" s="178"/>
      <c r="AT227" s="178"/>
      <c r="AU227" s="178"/>
    </row>
    <row r="228" spans="1:47" s="141" customFormat="1" ht="10.3" x14ac:dyDescent="0.25">
      <c r="A228" s="132" t="s">
        <v>5</v>
      </c>
      <c r="B228" s="132" t="s">
        <v>254</v>
      </c>
      <c r="C228" s="132" t="s">
        <v>255</v>
      </c>
      <c r="D228" s="134">
        <v>4.1863013698630134</v>
      </c>
      <c r="E228" s="133">
        <v>7.9884740000000001</v>
      </c>
      <c r="F228" s="133">
        <v>8</v>
      </c>
      <c r="G228" s="134">
        <v>6.96</v>
      </c>
      <c r="H228" s="133">
        <v>0</v>
      </c>
      <c r="I228" s="133" t="s">
        <v>952</v>
      </c>
      <c r="J228" s="318" t="s">
        <v>955</v>
      </c>
      <c r="K228" s="318" t="s">
        <v>1471</v>
      </c>
      <c r="L228" s="313"/>
      <c r="M228" s="313" t="s">
        <v>945</v>
      </c>
      <c r="N228" s="135">
        <v>85</v>
      </c>
      <c r="O228" s="135">
        <v>70</v>
      </c>
      <c r="P228" s="135">
        <v>130</v>
      </c>
      <c r="Q228" s="136">
        <v>110</v>
      </c>
      <c r="R228" s="137">
        <v>45975</v>
      </c>
      <c r="S228" s="138">
        <v>43971</v>
      </c>
      <c r="T228" s="138">
        <v>43971</v>
      </c>
      <c r="U228" s="181">
        <f ca="1">[1]!cb_clause_conversion_2_relativeswapsharemonth(B228)</f>
        <v>6</v>
      </c>
      <c r="V228" s="139"/>
      <c r="W228" s="139"/>
      <c r="X228" s="139"/>
      <c r="Y228" s="139"/>
      <c r="Z228" s="139"/>
      <c r="AA228" s="139"/>
      <c r="AB228" s="139"/>
      <c r="AC228" s="140"/>
      <c r="AD228" s="140"/>
      <c r="AE228" s="140"/>
      <c r="AF228" s="140"/>
      <c r="AG228" s="140"/>
      <c r="AH228" s="140"/>
      <c r="AI228" s="140"/>
      <c r="AJ228" s="140"/>
      <c r="AK228" s="140"/>
      <c r="AL228" s="140"/>
      <c r="AM228" s="140"/>
      <c r="AN228" s="140"/>
      <c r="AO228" s="140"/>
      <c r="AP228" s="140"/>
      <c r="AQ228" s="140"/>
      <c r="AR228" s="140"/>
      <c r="AS228" s="140"/>
      <c r="AT228" s="140"/>
      <c r="AU228" s="140"/>
    </row>
    <row r="229" spans="1:47" s="179" customFormat="1" ht="10.3" x14ac:dyDescent="0.25">
      <c r="A229" s="170" t="s">
        <v>0</v>
      </c>
      <c r="B229" s="170" t="s">
        <v>256</v>
      </c>
      <c r="C229" s="170" t="s">
        <v>257</v>
      </c>
      <c r="D229" s="172">
        <v>4.1780821917808222</v>
      </c>
      <c r="E229" s="171">
        <v>39.623989999999999</v>
      </c>
      <c r="F229" s="171">
        <v>40</v>
      </c>
      <c r="G229" s="172">
        <v>9.1999999999999993</v>
      </c>
      <c r="H229" s="171">
        <v>89</v>
      </c>
      <c r="I229" s="171" t="s">
        <v>941</v>
      </c>
      <c r="J229" s="317" t="s">
        <v>942</v>
      </c>
      <c r="K229" s="317" t="s">
        <v>959</v>
      </c>
      <c r="L229" s="311"/>
      <c r="M229" s="311" t="s">
        <v>1042</v>
      </c>
      <c r="N229" s="173">
        <v>85</v>
      </c>
      <c r="O229" s="173">
        <v>70</v>
      </c>
      <c r="P229" s="173">
        <v>130</v>
      </c>
      <c r="Q229" s="174">
        <v>106</v>
      </c>
      <c r="R229" s="180">
        <v>45972</v>
      </c>
      <c r="S229" s="175">
        <v>43966</v>
      </c>
      <c r="T229" s="175">
        <v>43966</v>
      </c>
      <c r="U229" s="176">
        <f ca="1">[1]!cb_clause_conversion_2_relativeswapsharemonth(B229)</f>
        <v>6</v>
      </c>
      <c r="V229" s="177"/>
      <c r="W229" s="177"/>
      <c r="X229" s="177"/>
      <c r="Y229" s="177"/>
      <c r="Z229" s="177"/>
      <c r="AA229" s="177"/>
      <c r="AB229" s="177"/>
      <c r="AC229" s="178"/>
      <c r="AD229" s="178"/>
      <c r="AE229" s="178"/>
      <c r="AF229" s="178"/>
      <c r="AG229" s="178"/>
      <c r="AH229" s="178"/>
      <c r="AI229" s="178"/>
      <c r="AJ229" s="178"/>
      <c r="AK229" s="178"/>
      <c r="AL229" s="178"/>
      <c r="AM229" s="178"/>
      <c r="AN229" s="178"/>
      <c r="AO229" s="178"/>
      <c r="AP229" s="178"/>
      <c r="AQ229" s="178"/>
      <c r="AR229" s="178"/>
      <c r="AS229" s="178"/>
      <c r="AT229" s="178"/>
      <c r="AU229" s="178"/>
    </row>
    <row r="230" spans="1:47" s="141" customFormat="1" ht="10.3" x14ac:dyDescent="0.25">
      <c r="A230" s="132" t="s">
        <v>5</v>
      </c>
      <c r="B230" s="132" t="s">
        <v>258</v>
      </c>
      <c r="C230" s="132" t="s">
        <v>259</v>
      </c>
      <c r="D230" s="134">
        <v>4.1589041095890416</v>
      </c>
      <c r="E230" s="133">
        <v>0.77904300000000004</v>
      </c>
      <c r="F230" s="133">
        <v>3</v>
      </c>
      <c r="G230" s="134">
        <v>7.95</v>
      </c>
      <c r="H230" s="133">
        <v>0</v>
      </c>
      <c r="I230" s="133" t="s">
        <v>1031</v>
      </c>
      <c r="J230" s="318" t="s">
        <v>942</v>
      </c>
      <c r="K230" s="318" t="s">
        <v>1257</v>
      </c>
      <c r="L230" s="312"/>
      <c r="M230" s="312" t="s">
        <v>997</v>
      </c>
      <c r="N230" s="135">
        <v>85</v>
      </c>
      <c r="O230" s="135">
        <v>70</v>
      </c>
      <c r="P230" s="135">
        <v>130</v>
      </c>
      <c r="Q230" s="136">
        <v>113</v>
      </c>
      <c r="R230" s="137">
        <v>45965</v>
      </c>
      <c r="S230" s="138">
        <v>43959</v>
      </c>
      <c r="T230" s="138">
        <v>43959</v>
      </c>
      <c r="U230" s="181">
        <f ca="1">[1]!cb_clause_conversion_2_relativeswapsharemonth(B230)</f>
        <v>6</v>
      </c>
      <c r="V230" s="139"/>
      <c r="W230" s="139"/>
      <c r="X230" s="139"/>
      <c r="Y230" s="139"/>
      <c r="Z230" s="139"/>
      <c r="AA230" s="139"/>
      <c r="AB230" s="139"/>
      <c r="AC230" s="140"/>
      <c r="AD230" s="140"/>
      <c r="AE230" s="140"/>
      <c r="AF230" s="140"/>
      <c r="AG230" s="140"/>
      <c r="AH230" s="140"/>
      <c r="AI230" s="140"/>
      <c r="AJ230" s="140"/>
      <c r="AK230" s="140"/>
      <c r="AL230" s="140"/>
      <c r="AM230" s="140"/>
      <c r="AN230" s="140"/>
      <c r="AO230" s="140"/>
      <c r="AP230" s="140"/>
      <c r="AQ230" s="140"/>
      <c r="AR230" s="140"/>
      <c r="AS230" s="140"/>
      <c r="AT230" s="140"/>
      <c r="AU230" s="140"/>
    </row>
    <row r="231" spans="1:47" s="179" customFormat="1" ht="10.3" x14ac:dyDescent="0.25">
      <c r="A231" s="170" t="s">
        <v>0</v>
      </c>
      <c r="B231" s="170" t="s">
        <v>547</v>
      </c>
      <c r="C231" s="170" t="s">
        <v>548</v>
      </c>
      <c r="D231" s="172">
        <v>4.1561643835616442</v>
      </c>
      <c r="E231" s="171">
        <v>0</v>
      </c>
      <c r="F231" s="171">
        <v>60</v>
      </c>
      <c r="G231" s="172">
        <v>7</v>
      </c>
      <c r="H231" s="171">
        <v>0</v>
      </c>
      <c r="I231" s="171" t="s">
        <v>941</v>
      </c>
      <c r="J231" s="317" t="s">
        <v>936</v>
      </c>
      <c r="K231" s="317" t="s">
        <v>1236</v>
      </c>
      <c r="L231" s="311"/>
      <c r="M231" s="311" t="s">
        <v>979</v>
      </c>
      <c r="N231" s="173">
        <v>85</v>
      </c>
      <c r="O231" s="173">
        <v>70</v>
      </c>
      <c r="P231" s="173">
        <v>130</v>
      </c>
      <c r="Q231" s="174">
        <v>106</v>
      </c>
      <c r="R231" s="180">
        <v>45964</v>
      </c>
      <c r="S231" s="175">
        <v>44326</v>
      </c>
      <c r="T231" s="175">
        <v>44326</v>
      </c>
      <c r="U231" s="176">
        <f ca="1">[1]!cb_clause_conversion_2_relativeswapsharemonth(B231)</f>
        <v>6</v>
      </c>
      <c r="V231" s="177"/>
      <c r="W231" s="177"/>
      <c r="X231" s="177"/>
      <c r="Y231" s="177"/>
      <c r="Z231" s="177"/>
      <c r="AA231" s="177"/>
      <c r="AB231" s="177"/>
      <c r="AC231" s="178"/>
      <c r="AD231" s="178"/>
      <c r="AE231" s="178"/>
      <c r="AF231" s="178"/>
      <c r="AG231" s="178"/>
      <c r="AH231" s="178"/>
      <c r="AI231" s="178"/>
      <c r="AJ231" s="178"/>
      <c r="AK231" s="178"/>
      <c r="AL231" s="178"/>
      <c r="AM231" s="178"/>
      <c r="AN231" s="178"/>
      <c r="AO231" s="178"/>
      <c r="AP231" s="178"/>
      <c r="AQ231" s="178"/>
      <c r="AR231" s="178"/>
      <c r="AS231" s="178"/>
      <c r="AT231" s="178"/>
      <c r="AU231" s="178"/>
    </row>
    <row r="232" spans="1:47" s="141" customFormat="1" ht="10.3" x14ac:dyDescent="0.25">
      <c r="A232" s="132" t="s">
        <v>5</v>
      </c>
      <c r="B232" s="132" t="s">
        <v>260</v>
      </c>
      <c r="C232" s="132" t="s">
        <v>261</v>
      </c>
      <c r="D232" s="134">
        <v>4.1506849315068495</v>
      </c>
      <c r="E232" s="133">
        <v>0.59027300000000005</v>
      </c>
      <c r="F232" s="133">
        <v>4.4000000000000004</v>
      </c>
      <c r="G232" s="134">
        <v>25.3</v>
      </c>
      <c r="H232" s="133">
        <v>0</v>
      </c>
      <c r="I232" s="133" t="s">
        <v>983</v>
      </c>
      <c r="J232" s="318" t="s">
        <v>970</v>
      </c>
      <c r="K232" s="318" t="s">
        <v>1470</v>
      </c>
      <c r="L232" s="313"/>
      <c r="M232" s="313" t="s">
        <v>1047</v>
      </c>
      <c r="N232" s="135">
        <v>90</v>
      </c>
      <c r="O232" s="135">
        <v>70</v>
      </c>
      <c r="P232" s="135">
        <v>130</v>
      </c>
      <c r="Q232" s="136">
        <v>114</v>
      </c>
      <c r="R232" s="137">
        <v>45962</v>
      </c>
      <c r="S232" s="138">
        <v>43958</v>
      </c>
      <c r="T232" s="138">
        <v>43958</v>
      </c>
      <c r="U232" s="181">
        <f ca="1">[1]!cb_clause_conversion_2_relativeswapsharemonth(B232)</f>
        <v>6</v>
      </c>
      <c r="V232" s="139"/>
      <c r="W232" s="139"/>
      <c r="X232" s="139"/>
      <c r="Y232" s="139"/>
      <c r="Z232" s="139"/>
      <c r="AA232" s="139"/>
      <c r="AB232" s="139"/>
      <c r="AC232" s="140"/>
      <c r="AD232" s="140"/>
      <c r="AE232" s="140"/>
      <c r="AF232" s="140"/>
      <c r="AG232" s="140"/>
      <c r="AH232" s="140"/>
      <c r="AI232" s="140"/>
      <c r="AJ232" s="140"/>
      <c r="AK232" s="140"/>
      <c r="AL232" s="140"/>
      <c r="AM232" s="140"/>
      <c r="AN232" s="140"/>
      <c r="AO232" s="140"/>
      <c r="AP232" s="140"/>
      <c r="AQ232" s="140"/>
      <c r="AR232" s="140"/>
      <c r="AS232" s="140"/>
      <c r="AT232" s="140"/>
      <c r="AU232" s="140"/>
    </row>
    <row r="233" spans="1:47" s="179" customFormat="1" ht="10.3" x14ac:dyDescent="0.25">
      <c r="A233" s="170" t="s">
        <v>0</v>
      </c>
      <c r="B233" s="170" t="s">
        <v>860</v>
      </c>
      <c r="C233" s="170" t="s">
        <v>861</v>
      </c>
      <c r="D233" s="172">
        <v>4.13972602739726</v>
      </c>
      <c r="E233" s="171">
        <v>499.98779000000002</v>
      </c>
      <c r="F233" s="171">
        <v>500</v>
      </c>
      <c r="G233" s="172">
        <v>13.97</v>
      </c>
      <c r="H233" s="171">
        <v>69</v>
      </c>
      <c r="I233" s="171" t="s">
        <v>941</v>
      </c>
      <c r="J233" s="317" t="s">
        <v>1775</v>
      </c>
      <c r="K233" s="317" t="s">
        <v>1411</v>
      </c>
      <c r="L233" s="311"/>
      <c r="M233" s="311" t="s">
        <v>1412</v>
      </c>
      <c r="N233" s="173">
        <v>80</v>
      </c>
      <c r="O233" s="173"/>
      <c r="P233" s="173">
        <v>130</v>
      </c>
      <c r="Q233" s="174">
        <v>110</v>
      </c>
      <c r="R233" s="180">
        <v>45958</v>
      </c>
      <c r="S233" s="175">
        <v>43957</v>
      </c>
      <c r="T233" s="175">
        <v>43957</v>
      </c>
      <c r="U233" s="176">
        <f ca="1">[1]!cb_clause_conversion_2_relativeswapsharemonth(B233)</f>
        <v>6</v>
      </c>
      <c r="V233" s="177"/>
      <c r="W233" s="177"/>
      <c r="X233" s="177"/>
      <c r="Y233" s="177"/>
      <c r="Z233" s="177"/>
      <c r="AA233" s="177"/>
      <c r="AB233" s="177"/>
      <c r="AC233" s="178"/>
      <c r="AD233" s="178"/>
      <c r="AE233" s="178"/>
      <c r="AF233" s="178"/>
      <c r="AG233" s="178"/>
      <c r="AH233" s="178"/>
      <c r="AI233" s="178"/>
      <c r="AJ233" s="178"/>
      <c r="AK233" s="178"/>
      <c r="AL233" s="178"/>
      <c r="AM233" s="178"/>
      <c r="AN233" s="178"/>
      <c r="AO233" s="178"/>
      <c r="AP233" s="178"/>
      <c r="AQ233" s="178"/>
      <c r="AR233" s="178"/>
      <c r="AS233" s="178"/>
      <c r="AT233" s="178"/>
      <c r="AU233" s="178"/>
    </row>
    <row r="234" spans="1:47" s="141" customFormat="1" ht="10.3" x14ac:dyDescent="0.25">
      <c r="A234" s="132" t="s">
        <v>0</v>
      </c>
      <c r="B234" s="132" t="s">
        <v>264</v>
      </c>
      <c r="C234" s="132" t="s">
        <v>265</v>
      </c>
      <c r="D234" s="134">
        <v>4.13972602739726</v>
      </c>
      <c r="E234" s="133">
        <v>1.2271000000000001</v>
      </c>
      <c r="F234" s="133">
        <v>3.6</v>
      </c>
      <c r="G234" s="134">
        <v>14.93</v>
      </c>
      <c r="H234" s="133">
        <v>0</v>
      </c>
      <c r="I234" s="133" t="s">
        <v>973</v>
      </c>
      <c r="J234" s="318" t="s">
        <v>936</v>
      </c>
      <c r="K234" s="318" t="s">
        <v>1035</v>
      </c>
      <c r="L234" s="312" t="s">
        <v>1566</v>
      </c>
      <c r="M234" s="312" t="s">
        <v>985</v>
      </c>
      <c r="N234" s="135">
        <v>80</v>
      </c>
      <c r="O234" s="135">
        <v>70</v>
      </c>
      <c r="P234" s="135">
        <v>130</v>
      </c>
      <c r="Q234" s="136">
        <v>118</v>
      </c>
      <c r="R234" s="137">
        <v>45958</v>
      </c>
      <c r="S234" s="138">
        <v>43957</v>
      </c>
      <c r="T234" s="138">
        <v>43957</v>
      </c>
      <c r="U234" s="181">
        <f ca="1">[1]!cb_clause_conversion_2_relativeswapsharemonth(B234)</f>
        <v>6</v>
      </c>
      <c r="V234" s="139"/>
      <c r="W234" s="139"/>
      <c r="X234" s="139"/>
      <c r="Y234" s="139"/>
      <c r="Z234" s="139"/>
      <c r="AA234" s="139"/>
      <c r="AB234" s="139"/>
      <c r="AC234" s="140"/>
      <c r="AD234" s="140"/>
      <c r="AE234" s="140"/>
      <c r="AF234" s="140"/>
      <c r="AG234" s="140"/>
      <c r="AH234" s="140"/>
      <c r="AI234" s="140"/>
      <c r="AJ234" s="140"/>
      <c r="AK234" s="140"/>
      <c r="AL234" s="140"/>
      <c r="AM234" s="140"/>
      <c r="AN234" s="140"/>
      <c r="AO234" s="140"/>
      <c r="AP234" s="140"/>
      <c r="AQ234" s="140"/>
      <c r="AR234" s="140"/>
      <c r="AS234" s="140"/>
      <c r="AT234" s="140"/>
      <c r="AU234" s="140"/>
    </row>
    <row r="235" spans="1:47" s="179" customFormat="1" ht="10.3" x14ac:dyDescent="0.25">
      <c r="A235" s="170" t="s">
        <v>0</v>
      </c>
      <c r="B235" s="170" t="s">
        <v>262</v>
      </c>
      <c r="C235" s="170" t="s">
        <v>263</v>
      </c>
      <c r="D235" s="172">
        <v>4.13972602739726</v>
      </c>
      <c r="E235" s="171">
        <v>7.0639900000000004</v>
      </c>
      <c r="F235" s="171">
        <v>10.9</v>
      </c>
      <c r="G235" s="172">
        <v>7.08</v>
      </c>
      <c r="H235" s="171">
        <v>0</v>
      </c>
      <c r="I235" s="171" t="s">
        <v>939</v>
      </c>
      <c r="J235" s="317" t="s">
        <v>958</v>
      </c>
      <c r="K235" s="317" t="s">
        <v>1138</v>
      </c>
      <c r="L235" s="314"/>
      <c r="M235" s="314" t="s">
        <v>1139</v>
      </c>
      <c r="N235" s="173">
        <v>85</v>
      </c>
      <c r="O235" s="173">
        <v>70</v>
      </c>
      <c r="P235" s="173">
        <v>130</v>
      </c>
      <c r="Q235" s="174">
        <v>110</v>
      </c>
      <c r="R235" s="180">
        <v>45958</v>
      </c>
      <c r="S235" s="175">
        <v>43957</v>
      </c>
      <c r="T235" s="175">
        <v>43957</v>
      </c>
      <c r="U235" s="176">
        <f ca="1">[1]!cb_clause_conversion_2_relativeswapsharemonth(B235)</f>
        <v>6</v>
      </c>
      <c r="V235" s="177"/>
      <c r="W235" s="177"/>
      <c r="X235" s="177"/>
      <c r="Y235" s="177"/>
      <c r="Z235" s="177"/>
      <c r="AA235" s="177"/>
      <c r="AB235" s="177"/>
      <c r="AC235" s="178"/>
      <c r="AD235" s="178"/>
      <c r="AE235" s="178"/>
      <c r="AF235" s="178"/>
      <c r="AG235" s="178"/>
      <c r="AH235" s="178"/>
      <c r="AI235" s="178"/>
      <c r="AJ235" s="178"/>
      <c r="AK235" s="178"/>
      <c r="AL235" s="178"/>
      <c r="AM235" s="178"/>
      <c r="AN235" s="178"/>
      <c r="AO235" s="178"/>
      <c r="AP235" s="178"/>
      <c r="AQ235" s="178"/>
      <c r="AR235" s="178"/>
      <c r="AS235" s="178"/>
      <c r="AT235" s="178"/>
      <c r="AU235" s="178"/>
    </row>
    <row r="236" spans="1:47" s="141" customFormat="1" ht="10.3" x14ac:dyDescent="0.25">
      <c r="A236" s="132" t="s">
        <v>5</v>
      </c>
      <c r="B236" s="132" t="s">
        <v>266</v>
      </c>
      <c r="C236" s="132" t="s">
        <v>267</v>
      </c>
      <c r="D236" s="134">
        <v>4.1287671232876715</v>
      </c>
      <c r="E236" s="133">
        <v>5.3469360000000004</v>
      </c>
      <c r="F236" s="133">
        <v>5.8</v>
      </c>
      <c r="G236" s="134">
        <v>8.65</v>
      </c>
      <c r="H236" s="133">
        <v>0</v>
      </c>
      <c r="I236" s="133" t="s">
        <v>952</v>
      </c>
      <c r="J236" s="318" t="s">
        <v>955</v>
      </c>
      <c r="K236" s="318" t="s">
        <v>1501</v>
      </c>
      <c r="L236" s="313"/>
      <c r="M236" s="313" t="s">
        <v>945</v>
      </c>
      <c r="N236" s="135">
        <v>80</v>
      </c>
      <c r="O236" s="135">
        <v>70</v>
      </c>
      <c r="P236" s="135">
        <v>130</v>
      </c>
      <c r="Q236" s="136">
        <v>110</v>
      </c>
      <c r="R236" s="137">
        <v>45954</v>
      </c>
      <c r="S236" s="138">
        <v>43951</v>
      </c>
      <c r="T236" s="138">
        <v>43951</v>
      </c>
      <c r="U236" s="181">
        <f ca="1">[1]!cb_clause_conversion_2_relativeswapsharemonth(B236)</f>
        <v>6</v>
      </c>
      <c r="V236" s="139"/>
      <c r="W236" s="139"/>
      <c r="X236" s="139"/>
      <c r="Y236" s="139"/>
      <c r="Z236" s="139"/>
      <c r="AA236" s="139"/>
      <c r="AB236" s="139"/>
      <c r="AC236" s="140"/>
      <c r="AD236" s="140"/>
      <c r="AE236" s="140"/>
      <c r="AF236" s="140"/>
      <c r="AG236" s="140"/>
      <c r="AH236" s="140"/>
      <c r="AI236" s="140"/>
      <c r="AJ236" s="140"/>
      <c r="AK236" s="140"/>
      <c r="AL236" s="140"/>
      <c r="AM236" s="140"/>
      <c r="AN236" s="140"/>
      <c r="AO236" s="140"/>
      <c r="AP236" s="140"/>
      <c r="AQ236" s="140"/>
      <c r="AR236" s="140"/>
      <c r="AS236" s="140"/>
      <c r="AT236" s="140"/>
      <c r="AU236" s="140"/>
    </row>
    <row r="237" spans="1:47" s="179" customFormat="1" ht="10.3" x14ac:dyDescent="0.25">
      <c r="A237" s="170" t="s">
        <v>0</v>
      </c>
      <c r="B237" s="170" t="s">
        <v>268</v>
      </c>
      <c r="C237" s="170" t="s">
        <v>269</v>
      </c>
      <c r="D237" s="172">
        <v>4.1260273972602741</v>
      </c>
      <c r="E237" s="171">
        <v>2.2981099999999999</v>
      </c>
      <c r="F237" s="171">
        <v>2.2999999999999998</v>
      </c>
      <c r="G237" s="172">
        <v>14</v>
      </c>
      <c r="H237" s="171">
        <v>0</v>
      </c>
      <c r="I237" s="171" t="s">
        <v>1031</v>
      </c>
      <c r="J237" s="317" t="s">
        <v>936</v>
      </c>
      <c r="K237" s="317" t="s">
        <v>1295</v>
      </c>
      <c r="L237" s="311" t="s">
        <v>1567</v>
      </c>
      <c r="M237" s="311" t="s">
        <v>943</v>
      </c>
      <c r="N237" s="173">
        <v>90</v>
      </c>
      <c r="O237" s="173">
        <v>70</v>
      </c>
      <c r="P237" s="173">
        <v>130</v>
      </c>
      <c r="Q237" s="174">
        <v>115</v>
      </c>
      <c r="R237" s="180">
        <v>45953</v>
      </c>
      <c r="S237" s="175">
        <v>43950</v>
      </c>
      <c r="T237" s="175">
        <v>43950</v>
      </c>
      <c r="U237" s="176">
        <f ca="1">[1]!cb_clause_conversion_2_relativeswapsharemonth(B237)</f>
        <v>6</v>
      </c>
      <c r="V237" s="177"/>
      <c r="W237" s="177"/>
      <c r="X237" s="177"/>
      <c r="Y237" s="177"/>
      <c r="Z237" s="177"/>
      <c r="AA237" s="177"/>
      <c r="AB237" s="177"/>
      <c r="AC237" s="178"/>
      <c r="AD237" s="178"/>
      <c r="AE237" s="178"/>
      <c r="AF237" s="178"/>
      <c r="AG237" s="178"/>
      <c r="AH237" s="178"/>
      <c r="AI237" s="178"/>
      <c r="AJ237" s="178"/>
      <c r="AK237" s="178"/>
      <c r="AL237" s="178"/>
      <c r="AM237" s="178"/>
      <c r="AN237" s="178"/>
      <c r="AO237" s="178"/>
      <c r="AP237" s="178"/>
      <c r="AQ237" s="178"/>
      <c r="AR237" s="178"/>
      <c r="AS237" s="178"/>
      <c r="AT237" s="178"/>
      <c r="AU237" s="178"/>
    </row>
    <row r="238" spans="1:47" s="141" customFormat="1" ht="10.3" x14ac:dyDescent="0.25">
      <c r="A238" s="132" t="s">
        <v>5</v>
      </c>
      <c r="B238" s="132" t="s">
        <v>272</v>
      </c>
      <c r="C238" s="132" t="s">
        <v>273</v>
      </c>
      <c r="D238" s="134">
        <v>4.1205479452054794</v>
      </c>
      <c r="E238" s="133">
        <v>1.520219</v>
      </c>
      <c r="F238" s="133">
        <v>2.1</v>
      </c>
      <c r="G238" s="134">
        <v>8.2899999999999991</v>
      </c>
      <c r="H238" s="133">
        <v>0</v>
      </c>
      <c r="I238" s="133" t="s">
        <v>1049</v>
      </c>
      <c r="J238" s="318" t="s">
        <v>974</v>
      </c>
      <c r="K238" s="318" t="s">
        <v>1041</v>
      </c>
      <c r="L238" s="312"/>
      <c r="M238" s="312" t="s">
        <v>975</v>
      </c>
      <c r="N238" s="135">
        <v>85</v>
      </c>
      <c r="O238" s="135">
        <v>70</v>
      </c>
      <c r="P238" s="135">
        <v>130</v>
      </c>
      <c r="Q238" s="136">
        <v>112</v>
      </c>
      <c r="R238" s="137">
        <v>45951</v>
      </c>
      <c r="S238" s="138">
        <v>43948</v>
      </c>
      <c r="T238" s="138">
        <v>43948</v>
      </c>
      <c r="U238" s="181">
        <f ca="1">[1]!cb_clause_conversion_2_relativeswapsharemonth(B238)</f>
        <v>6</v>
      </c>
      <c r="V238" s="139"/>
      <c r="W238" s="139"/>
      <c r="X238" s="139"/>
      <c r="Y238" s="139"/>
      <c r="Z238" s="139"/>
      <c r="AA238" s="139"/>
      <c r="AB238" s="139"/>
      <c r="AC238" s="140"/>
      <c r="AD238" s="140"/>
      <c r="AE238" s="140"/>
      <c r="AF238" s="140"/>
      <c r="AG238" s="140"/>
      <c r="AH238" s="140"/>
      <c r="AI238" s="140"/>
      <c r="AJ238" s="140"/>
      <c r="AK238" s="140"/>
      <c r="AL238" s="140"/>
      <c r="AM238" s="140"/>
      <c r="AN238" s="140"/>
      <c r="AO238" s="140"/>
      <c r="AP238" s="140"/>
      <c r="AQ238" s="140"/>
      <c r="AR238" s="140"/>
      <c r="AS238" s="140"/>
      <c r="AT238" s="140"/>
      <c r="AU238" s="140"/>
    </row>
    <row r="239" spans="1:47" s="179" customFormat="1" ht="10.3" x14ac:dyDescent="0.25">
      <c r="A239" s="170" t="s">
        <v>5</v>
      </c>
      <c r="B239" s="170" t="s">
        <v>270</v>
      </c>
      <c r="C239" s="170" t="s">
        <v>271</v>
      </c>
      <c r="D239" s="172">
        <v>4.1205479452054794</v>
      </c>
      <c r="E239" s="171">
        <v>9.6009670000000007</v>
      </c>
      <c r="F239" s="171">
        <v>10</v>
      </c>
      <c r="G239" s="172">
        <v>22.21</v>
      </c>
      <c r="H239" s="171">
        <v>0</v>
      </c>
      <c r="I239" s="171" t="s">
        <v>939</v>
      </c>
      <c r="J239" s="317" t="s">
        <v>1082</v>
      </c>
      <c r="K239" s="317" t="s">
        <v>1526</v>
      </c>
      <c r="L239" s="314"/>
      <c r="M239" s="314" t="s">
        <v>945</v>
      </c>
      <c r="N239" s="173">
        <v>90</v>
      </c>
      <c r="O239" s="173">
        <v>70</v>
      </c>
      <c r="P239" s="173">
        <v>130</v>
      </c>
      <c r="Q239" s="174">
        <v>112</v>
      </c>
      <c r="R239" s="180">
        <v>45951</v>
      </c>
      <c r="S239" s="175">
        <v>43948</v>
      </c>
      <c r="T239" s="175">
        <v>43948</v>
      </c>
      <c r="U239" s="176">
        <f ca="1">[1]!cb_clause_conversion_2_relativeswapsharemonth(B239)</f>
        <v>6</v>
      </c>
      <c r="V239" s="177"/>
      <c r="W239" s="177"/>
      <c r="X239" s="177"/>
      <c r="Y239" s="177"/>
      <c r="Z239" s="177"/>
      <c r="AA239" s="177"/>
      <c r="AB239" s="177"/>
      <c r="AC239" s="178"/>
      <c r="AD239" s="178"/>
      <c r="AE239" s="178"/>
      <c r="AF239" s="178"/>
      <c r="AG239" s="178"/>
      <c r="AH239" s="178"/>
      <c r="AI239" s="178"/>
      <c r="AJ239" s="178"/>
      <c r="AK239" s="178"/>
      <c r="AL239" s="178"/>
      <c r="AM239" s="178"/>
      <c r="AN239" s="178"/>
      <c r="AO239" s="178"/>
      <c r="AP239" s="178"/>
      <c r="AQ239" s="178"/>
      <c r="AR239" s="178"/>
      <c r="AS239" s="178"/>
      <c r="AT239" s="178"/>
      <c r="AU239" s="178"/>
    </row>
    <row r="240" spans="1:47" s="141" customFormat="1" ht="10.3" x14ac:dyDescent="0.25">
      <c r="A240" s="132" t="s">
        <v>5</v>
      </c>
      <c r="B240" s="132" t="s">
        <v>276</v>
      </c>
      <c r="C240" s="132" t="s">
        <v>277</v>
      </c>
      <c r="D240" s="134">
        <v>4.1013698630136988</v>
      </c>
      <c r="E240" s="133">
        <v>2.1384069999999999</v>
      </c>
      <c r="F240" s="133">
        <v>2.1</v>
      </c>
      <c r="G240" s="134">
        <v>14.66</v>
      </c>
      <c r="H240" s="133">
        <v>0</v>
      </c>
      <c r="I240" s="133" t="s">
        <v>983</v>
      </c>
      <c r="J240" s="318" t="s">
        <v>970</v>
      </c>
      <c r="K240" s="318" t="s">
        <v>1525</v>
      </c>
      <c r="L240" s="313"/>
      <c r="M240" s="313" t="s">
        <v>998</v>
      </c>
      <c r="N240" s="135">
        <v>85</v>
      </c>
      <c r="O240" s="135">
        <v>70</v>
      </c>
      <c r="P240" s="135">
        <v>130</v>
      </c>
      <c r="Q240" s="136">
        <v>110</v>
      </c>
      <c r="R240" s="137">
        <v>45944</v>
      </c>
      <c r="S240" s="138">
        <v>43941</v>
      </c>
      <c r="T240" s="138">
        <v>43941</v>
      </c>
      <c r="U240" s="181">
        <f ca="1">[1]!cb_clause_conversion_2_relativeswapsharemonth(B240)</f>
        <v>6</v>
      </c>
      <c r="V240" s="139"/>
      <c r="W240" s="139"/>
      <c r="X240" s="139"/>
      <c r="Y240" s="139"/>
      <c r="Z240" s="139"/>
      <c r="AA240" s="139"/>
      <c r="AB240" s="139"/>
      <c r="AC240" s="140"/>
      <c r="AD240" s="140"/>
      <c r="AE240" s="140"/>
      <c r="AF240" s="140"/>
      <c r="AG240" s="140"/>
      <c r="AH240" s="140"/>
      <c r="AI240" s="140"/>
      <c r="AJ240" s="140"/>
      <c r="AK240" s="140"/>
      <c r="AL240" s="140"/>
      <c r="AM240" s="140"/>
      <c r="AN240" s="140"/>
      <c r="AO240" s="140"/>
      <c r="AP240" s="140"/>
      <c r="AQ240" s="140"/>
      <c r="AR240" s="140"/>
      <c r="AS240" s="140"/>
      <c r="AT240" s="140"/>
      <c r="AU240" s="140"/>
    </row>
    <row r="241" spans="1:47" s="179" customFormat="1" ht="10.3" x14ac:dyDescent="0.25">
      <c r="A241" s="170" t="s">
        <v>0</v>
      </c>
      <c r="B241" s="170" t="s">
        <v>274</v>
      </c>
      <c r="C241" s="170" t="s">
        <v>275</v>
      </c>
      <c r="D241" s="172">
        <v>4.1013698630136988</v>
      </c>
      <c r="E241" s="171">
        <v>10.178210999999999</v>
      </c>
      <c r="F241" s="171">
        <v>15</v>
      </c>
      <c r="G241" s="172">
        <v>10.43</v>
      </c>
      <c r="H241" s="171">
        <v>0</v>
      </c>
      <c r="I241" s="171" t="s">
        <v>939</v>
      </c>
      <c r="J241" s="317" t="s">
        <v>955</v>
      </c>
      <c r="K241" s="317" t="s">
        <v>1238</v>
      </c>
      <c r="L241" s="314"/>
      <c r="M241" s="314" t="s">
        <v>956</v>
      </c>
      <c r="N241" s="173">
        <v>80</v>
      </c>
      <c r="O241" s="173">
        <v>70</v>
      </c>
      <c r="P241" s="173">
        <v>130</v>
      </c>
      <c r="Q241" s="174">
        <v>110</v>
      </c>
      <c r="R241" s="180">
        <v>45944</v>
      </c>
      <c r="S241" s="175">
        <v>43941</v>
      </c>
      <c r="T241" s="175">
        <v>43941</v>
      </c>
      <c r="U241" s="176">
        <f ca="1">[1]!cb_clause_conversion_2_relativeswapsharemonth(B241)</f>
        <v>6</v>
      </c>
      <c r="V241" s="177"/>
      <c r="W241" s="177"/>
      <c r="X241" s="177"/>
      <c r="Y241" s="177"/>
      <c r="Z241" s="177"/>
      <c r="AA241" s="177"/>
      <c r="AB241" s="177"/>
      <c r="AC241" s="178"/>
      <c r="AD241" s="178"/>
      <c r="AE241" s="178"/>
      <c r="AF241" s="178"/>
      <c r="AG241" s="178"/>
      <c r="AH241" s="178"/>
      <c r="AI241" s="178"/>
      <c r="AJ241" s="178"/>
      <c r="AK241" s="178"/>
      <c r="AL241" s="178"/>
      <c r="AM241" s="178"/>
      <c r="AN241" s="178"/>
      <c r="AO241" s="178"/>
      <c r="AP241" s="178"/>
      <c r="AQ241" s="178"/>
      <c r="AR241" s="178"/>
      <c r="AS241" s="178"/>
      <c r="AT241" s="178"/>
      <c r="AU241" s="178"/>
    </row>
    <row r="242" spans="1:47" s="141" customFormat="1" ht="10.3" x14ac:dyDescent="0.25">
      <c r="A242" s="132" t="s">
        <v>5</v>
      </c>
      <c r="B242" s="132" t="s">
        <v>280</v>
      </c>
      <c r="C242" s="132" t="s">
        <v>281</v>
      </c>
      <c r="D242" s="134">
        <v>4.043835616438356</v>
      </c>
      <c r="E242" s="133">
        <v>5.4380309999999996</v>
      </c>
      <c r="F242" s="133">
        <v>8.9</v>
      </c>
      <c r="G242" s="134">
        <v>5.29</v>
      </c>
      <c r="H242" s="133">
        <v>0</v>
      </c>
      <c r="I242" s="133" t="s">
        <v>957</v>
      </c>
      <c r="J242" s="318" t="s">
        <v>936</v>
      </c>
      <c r="K242" s="318" t="s">
        <v>1524</v>
      </c>
      <c r="L242" s="312"/>
      <c r="M242" s="312" t="s">
        <v>1002</v>
      </c>
      <c r="N242" s="135">
        <v>85</v>
      </c>
      <c r="O242" s="135">
        <v>70</v>
      </c>
      <c r="P242" s="135">
        <v>130</v>
      </c>
      <c r="Q242" s="136">
        <v>110</v>
      </c>
      <c r="R242" s="137">
        <v>45923</v>
      </c>
      <c r="S242" s="138">
        <v>43917</v>
      </c>
      <c r="T242" s="138">
        <v>43917</v>
      </c>
      <c r="U242" s="181">
        <f ca="1">[1]!cb_clause_conversion_2_relativeswapsharemonth(B242)</f>
        <v>6</v>
      </c>
      <c r="V242" s="139"/>
      <c r="W242" s="139"/>
      <c r="X242" s="139"/>
      <c r="Y242" s="139"/>
      <c r="Z242" s="139"/>
      <c r="AA242" s="139"/>
      <c r="AB242" s="139"/>
      <c r="AC242" s="140"/>
      <c r="AD242" s="140"/>
      <c r="AE242" s="140"/>
      <c r="AF242" s="140"/>
      <c r="AG242" s="140"/>
      <c r="AH242" s="140"/>
      <c r="AI242" s="140"/>
      <c r="AJ242" s="140"/>
      <c r="AK242" s="140"/>
      <c r="AL242" s="140"/>
      <c r="AM242" s="140"/>
      <c r="AN242" s="140"/>
      <c r="AO242" s="140"/>
      <c r="AP242" s="140"/>
      <c r="AQ242" s="140"/>
      <c r="AR242" s="140"/>
      <c r="AS242" s="140"/>
      <c r="AT242" s="140"/>
      <c r="AU242" s="140"/>
    </row>
    <row r="243" spans="1:47" s="179" customFormat="1" ht="10.3" x14ac:dyDescent="0.25">
      <c r="A243" s="170" t="s">
        <v>5</v>
      </c>
      <c r="B243" s="170" t="s">
        <v>278</v>
      </c>
      <c r="C243" s="170" t="s">
        <v>279</v>
      </c>
      <c r="D243" s="172">
        <v>4.043835616438356</v>
      </c>
      <c r="E243" s="171">
        <v>6.8269929999999999</v>
      </c>
      <c r="F243" s="171">
        <v>11.5</v>
      </c>
      <c r="G243" s="172">
        <v>16.97</v>
      </c>
      <c r="H243" s="171">
        <v>0</v>
      </c>
      <c r="I243" s="171" t="s">
        <v>939</v>
      </c>
      <c r="J243" s="317" t="s">
        <v>1082</v>
      </c>
      <c r="K243" s="317" t="s">
        <v>1523</v>
      </c>
      <c r="L243" s="314"/>
      <c r="M243" s="314" t="s">
        <v>1118</v>
      </c>
      <c r="N243" s="173">
        <v>90</v>
      </c>
      <c r="O243" s="173">
        <v>70</v>
      </c>
      <c r="P243" s="173">
        <v>130</v>
      </c>
      <c r="Q243" s="174">
        <v>115</v>
      </c>
      <c r="R243" s="180">
        <v>45923</v>
      </c>
      <c r="S243" s="175">
        <v>43917</v>
      </c>
      <c r="T243" s="175">
        <v>43917</v>
      </c>
      <c r="U243" s="176">
        <f ca="1">[1]!cb_clause_conversion_2_relativeswapsharemonth(B243)</f>
        <v>6</v>
      </c>
      <c r="V243" s="177"/>
      <c r="W243" s="177"/>
      <c r="X243" s="177"/>
      <c r="Y243" s="177"/>
      <c r="Z243" s="177"/>
      <c r="AA243" s="177"/>
      <c r="AB243" s="177"/>
      <c r="AC243" s="178"/>
      <c r="AD243" s="178"/>
      <c r="AE243" s="178"/>
      <c r="AF243" s="178"/>
      <c r="AG243" s="178"/>
      <c r="AH243" s="178"/>
      <c r="AI243" s="178"/>
      <c r="AJ243" s="178"/>
      <c r="AK243" s="178"/>
      <c r="AL243" s="178"/>
      <c r="AM243" s="178"/>
      <c r="AN243" s="178"/>
      <c r="AO243" s="178"/>
      <c r="AP243" s="178"/>
      <c r="AQ243" s="178"/>
      <c r="AR243" s="178"/>
      <c r="AS243" s="178"/>
      <c r="AT243" s="178"/>
      <c r="AU243" s="178"/>
    </row>
    <row r="244" spans="1:47" s="141" customFormat="1" ht="10.3" x14ac:dyDescent="0.25">
      <c r="A244" s="132" t="s">
        <v>5</v>
      </c>
      <c r="B244" s="132" t="s">
        <v>282</v>
      </c>
      <c r="C244" s="132" t="s">
        <v>283</v>
      </c>
      <c r="D244" s="134">
        <v>3.9753424657534246</v>
      </c>
      <c r="E244" s="133">
        <v>0.53335999999999995</v>
      </c>
      <c r="F244" s="133">
        <v>1.8</v>
      </c>
      <c r="G244" s="134">
        <v>10.130000000000001</v>
      </c>
      <c r="H244" s="133">
        <v>0</v>
      </c>
      <c r="I244" s="133" t="s">
        <v>1031</v>
      </c>
      <c r="J244" s="318" t="s">
        <v>936</v>
      </c>
      <c r="K244" s="318" t="s">
        <v>1780</v>
      </c>
      <c r="L244" s="312"/>
      <c r="M244" s="312" t="s">
        <v>982</v>
      </c>
      <c r="N244" s="135">
        <v>90</v>
      </c>
      <c r="O244" s="135">
        <v>70</v>
      </c>
      <c r="P244" s="135">
        <v>130</v>
      </c>
      <c r="Q244" s="136">
        <v>111</v>
      </c>
      <c r="R244" s="137">
        <v>45898</v>
      </c>
      <c r="S244" s="138">
        <v>43895</v>
      </c>
      <c r="T244" s="138">
        <v>43895</v>
      </c>
      <c r="U244" s="181">
        <f ca="1">[1]!cb_clause_conversion_2_relativeswapsharemonth(B244)</f>
        <v>6</v>
      </c>
      <c r="V244" s="139"/>
      <c r="W244" s="139"/>
      <c r="X244" s="139"/>
      <c r="Y244" s="139"/>
      <c r="Z244" s="139"/>
      <c r="AA244" s="139"/>
      <c r="AB244" s="139"/>
      <c r="AC244" s="140"/>
      <c r="AD244" s="140"/>
      <c r="AE244" s="140"/>
      <c r="AF244" s="140"/>
      <c r="AG244" s="140"/>
      <c r="AH244" s="140"/>
      <c r="AI244" s="140"/>
      <c r="AJ244" s="140"/>
      <c r="AK244" s="140"/>
      <c r="AL244" s="140"/>
      <c r="AM244" s="140"/>
      <c r="AN244" s="140"/>
      <c r="AO244" s="140"/>
      <c r="AP244" s="140"/>
      <c r="AQ244" s="140"/>
      <c r="AR244" s="140"/>
      <c r="AS244" s="140"/>
      <c r="AT244" s="140"/>
      <c r="AU244" s="140"/>
    </row>
    <row r="245" spans="1:47" s="179" customFormat="1" ht="10.3" x14ac:dyDescent="0.25">
      <c r="A245" s="170" t="s">
        <v>5</v>
      </c>
      <c r="B245" s="170" t="s">
        <v>286</v>
      </c>
      <c r="C245" s="170" t="s">
        <v>287</v>
      </c>
      <c r="D245" s="172">
        <v>3.9506849315068493</v>
      </c>
      <c r="E245" s="171">
        <v>3.017995</v>
      </c>
      <c r="F245" s="171">
        <v>3</v>
      </c>
      <c r="G245" s="172">
        <v>15.36</v>
      </c>
      <c r="H245" s="171">
        <v>0</v>
      </c>
      <c r="I245" s="171" t="s">
        <v>973</v>
      </c>
      <c r="J245" s="317" t="s">
        <v>974</v>
      </c>
      <c r="K245" s="317" t="s">
        <v>1154</v>
      </c>
      <c r="L245" s="311"/>
      <c r="M245" s="311" t="s">
        <v>972</v>
      </c>
      <c r="N245" s="173">
        <v>80</v>
      </c>
      <c r="O245" s="173">
        <v>70</v>
      </c>
      <c r="P245" s="173">
        <v>130</v>
      </c>
      <c r="Q245" s="174">
        <v>110</v>
      </c>
      <c r="R245" s="180">
        <v>45889</v>
      </c>
      <c r="S245" s="175">
        <v>43887</v>
      </c>
      <c r="T245" s="175">
        <v>43887</v>
      </c>
      <c r="U245" s="176">
        <f ca="1">[1]!cb_clause_conversion_2_relativeswapsharemonth(B245)</f>
        <v>6</v>
      </c>
      <c r="V245" s="177"/>
      <c r="W245" s="177"/>
      <c r="X245" s="177"/>
      <c r="Y245" s="177"/>
      <c r="Z245" s="177"/>
      <c r="AA245" s="177"/>
      <c r="AB245" s="177"/>
      <c r="AC245" s="178"/>
      <c r="AD245" s="178"/>
      <c r="AE245" s="178"/>
      <c r="AF245" s="178"/>
      <c r="AG245" s="178"/>
      <c r="AH245" s="178"/>
      <c r="AI245" s="178"/>
      <c r="AJ245" s="178"/>
      <c r="AK245" s="178"/>
      <c r="AL245" s="178"/>
      <c r="AM245" s="178"/>
      <c r="AN245" s="178"/>
      <c r="AO245" s="178"/>
      <c r="AP245" s="178"/>
      <c r="AQ245" s="178"/>
      <c r="AR245" s="178"/>
      <c r="AS245" s="178"/>
      <c r="AT245" s="178"/>
      <c r="AU245" s="178"/>
    </row>
    <row r="246" spans="1:47" s="141" customFormat="1" ht="10.3" x14ac:dyDescent="0.25">
      <c r="A246" s="132" t="s">
        <v>5</v>
      </c>
      <c r="B246" s="132" t="s">
        <v>284</v>
      </c>
      <c r="C246" s="132" t="s">
        <v>285</v>
      </c>
      <c r="D246" s="134">
        <v>3.9506849315068493</v>
      </c>
      <c r="E246" s="133">
        <v>0.78217700000000001</v>
      </c>
      <c r="F246" s="133">
        <v>3.1</v>
      </c>
      <c r="G246" s="134">
        <v>4</v>
      </c>
      <c r="H246" s="133">
        <v>0</v>
      </c>
      <c r="I246" s="133" t="s">
        <v>983</v>
      </c>
      <c r="J246" s="318" t="s">
        <v>955</v>
      </c>
      <c r="K246" s="318" t="s">
        <v>1469</v>
      </c>
      <c r="L246" s="313"/>
      <c r="M246" s="313" t="s">
        <v>1302</v>
      </c>
      <c r="N246" s="135">
        <v>85</v>
      </c>
      <c r="O246" s="135">
        <v>70</v>
      </c>
      <c r="P246" s="135">
        <v>130</v>
      </c>
      <c r="Q246" s="136">
        <v>115</v>
      </c>
      <c r="R246" s="137">
        <v>45889</v>
      </c>
      <c r="S246" s="138">
        <v>43888</v>
      </c>
      <c r="T246" s="138">
        <v>43888</v>
      </c>
      <c r="U246" s="181">
        <f ca="1">[1]!cb_clause_conversion_2_relativeswapsharemonth(B246)</f>
        <v>6</v>
      </c>
      <c r="V246" s="139"/>
      <c r="W246" s="139"/>
      <c r="X246" s="139"/>
      <c r="Y246" s="139"/>
      <c r="Z246" s="139"/>
      <c r="AA246" s="139"/>
      <c r="AB246" s="139"/>
      <c r="AC246" s="140"/>
      <c r="AD246" s="140"/>
      <c r="AE246" s="140"/>
      <c r="AF246" s="140"/>
      <c r="AG246" s="140"/>
      <c r="AH246" s="140"/>
      <c r="AI246" s="140"/>
      <c r="AJ246" s="140"/>
      <c r="AK246" s="140"/>
      <c r="AL246" s="140"/>
      <c r="AM246" s="140"/>
      <c r="AN246" s="140"/>
      <c r="AO246" s="140"/>
      <c r="AP246" s="140"/>
      <c r="AQ246" s="140"/>
      <c r="AR246" s="140"/>
      <c r="AS246" s="140"/>
      <c r="AT246" s="140"/>
      <c r="AU246" s="140"/>
    </row>
    <row r="247" spans="1:47" s="179" customFormat="1" ht="10.3" x14ac:dyDescent="0.25">
      <c r="A247" s="170" t="s">
        <v>5</v>
      </c>
      <c r="B247" s="170" t="s">
        <v>292</v>
      </c>
      <c r="C247" s="170" t="s">
        <v>293</v>
      </c>
      <c r="D247" s="172">
        <v>3.9397260273972603</v>
      </c>
      <c r="E247" s="171">
        <v>2.9993660000000002</v>
      </c>
      <c r="F247" s="171">
        <v>6</v>
      </c>
      <c r="G247" s="172">
        <v>4.18</v>
      </c>
      <c r="H247" s="171">
        <v>0</v>
      </c>
      <c r="I247" s="171" t="s">
        <v>939</v>
      </c>
      <c r="J247" s="317" t="s">
        <v>1082</v>
      </c>
      <c r="K247" s="317" t="s">
        <v>1521</v>
      </c>
      <c r="L247" s="314"/>
      <c r="M247" s="314" t="s">
        <v>1043</v>
      </c>
      <c r="N247" s="173">
        <v>90</v>
      </c>
      <c r="O247" s="173">
        <v>70</v>
      </c>
      <c r="P247" s="173">
        <v>130</v>
      </c>
      <c r="Q247" s="174">
        <v>110</v>
      </c>
      <c r="R247" s="180">
        <v>45885</v>
      </c>
      <c r="S247" s="175">
        <v>43885</v>
      </c>
      <c r="T247" s="175">
        <v>43885</v>
      </c>
      <c r="U247" s="176">
        <f ca="1">[1]!cb_clause_conversion_2_relativeswapsharemonth(B247)</f>
        <v>6</v>
      </c>
      <c r="V247" s="177"/>
      <c r="W247" s="177"/>
      <c r="X247" s="177"/>
      <c r="Y247" s="177"/>
      <c r="Z247" s="177"/>
      <c r="AA247" s="177"/>
      <c r="AB247" s="177"/>
      <c r="AC247" s="178"/>
      <c r="AD247" s="178"/>
      <c r="AE247" s="178"/>
      <c r="AF247" s="178"/>
      <c r="AG247" s="178"/>
      <c r="AH247" s="178"/>
      <c r="AI247" s="178"/>
      <c r="AJ247" s="178"/>
      <c r="AK247" s="178"/>
      <c r="AL247" s="178"/>
      <c r="AM247" s="178"/>
      <c r="AN247" s="178"/>
      <c r="AO247" s="178"/>
      <c r="AP247" s="178"/>
      <c r="AQ247" s="178"/>
      <c r="AR247" s="178"/>
      <c r="AS247" s="178"/>
      <c r="AT247" s="178"/>
      <c r="AU247" s="178"/>
    </row>
    <row r="248" spans="1:47" s="141" customFormat="1" ht="10.3" x14ac:dyDescent="0.25">
      <c r="A248" s="132" t="s">
        <v>5</v>
      </c>
      <c r="B248" s="132" t="s">
        <v>290</v>
      </c>
      <c r="C248" s="132" t="s">
        <v>291</v>
      </c>
      <c r="D248" s="134">
        <v>3.9397260273972603</v>
      </c>
      <c r="E248" s="133">
        <v>5.1840999999999998E-2</v>
      </c>
      <c r="F248" s="133">
        <v>4.7</v>
      </c>
      <c r="G248" s="134">
        <v>8.32</v>
      </c>
      <c r="H248" s="133">
        <v>0</v>
      </c>
      <c r="I248" s="133" t="s">
        <v>939</v>
      </c>
      <c r="J248" s="318" t="s">
        <v>958</v>
      </c>
      <c r="K248" s="318" t="s">
        <v>1468</v>
      </c>
      <c r="L248" s="312"/>
      <c r="M248" s="312" t="s">
        <v>978</v>
      </c>
      <c r="N248" s="135">
        <v>85</v>
      </c>
      <c r="O248" s="135">
        <v>70</v>
      </c>
      <c r="P248" s="135">
        <v>130</v>
      </c>
      <c r="Q248" s="136">
        <v>128</v>
      </c>
      <c r="R248" s="137">
        <v>45885</v>
      </c>
      <c r="S248" s="138">
        <v>43885</v>
      </c>
      <c r="T248" s="138">
        <v>43885</v>
      </c>
      <c r="U248" s="181">
        <f ca="1">[1]!cb_clause_conversion_2_relativeswapsharemonth(B248)</f>
        <v>6</v>
      </c>
      <c r="V248" s="139"/>
      <c r="W248" s="139"/>
      <c r="X248" s="139"/>
      <c r="Y248" s="139"/>
      <c r="Z248" s="139"/>
      <c r="AA248" s="139"/>
      <c r="AB248" s="139"/>
      <c r="AC248" s="140"/>
      <c r="AD248" s="140"/>
      <c r="AE248" s="140"/>
      <c r="AF248" s="140"/>
      <c r="AG248" s="140"/>
      <c r="AH248" s="140"/>
      <c r="AI248" s="140"/>
      <c r="AJ248" s="140"/>
      <c r="AK248" s="140"/>
      <c r="AL248" s="140"/>
      <c r="AM248" s="140"/>
      <c r="AN248" s="140"/>
      <c r="AO248" s="140"/>
      <c r="AP248" s="140"/>
      <c r="AQ248" s="140"/>
      <c r="AR248" s="140"/>
      <c r="AS248" s="140"/>
      <c r="AT248" s="140"/>
      <c r="AU248" s="140"/>
    </row>
    <row r="249" spans="1:47" s="179" customFormat="1" ht="10.3" x14ac:dyDescent="0.25">
      <c r="A249" s="170" t="s">
        <v>0</v>
      </c>
      <c r="B249" s="170" t="s">
        <v>288</v>
      </c>
      <c r="C249" s="170" t="s">
        <v>289</v>
      </c>
      <c r="D249" s="172">
        <v>3.9397260273972603</v>
      </c>
      <c r="E249" s="171">
        <v>0</v>
      </c>
      <c r="F249" s="171">
        <v>15</v>
      </c>
      <c r="G249" s="172">
        <v>70.489999999999995</v>
      </c>
      <c r="H249" s="171">
        <v>0</v>
      </c>
      <c r="I249" s="171" t="s">
        <v>939</v>
      </c>
      <c r="J249" s="317" t="s">
        <v>955</v>
      </c>
      <c r="K249" s="317" t="s">
        <v>1441</v>
      </c>
      <c r="L249" s="314"/>
      <c r="M249" s="314" t="s">
        <v>978</v>
      </c>
      <c r="N249" s="173">
        <v>80</v>
      </c>
      <c r="O249" s="173">
        <v>70</v>
      </c>
      <c r="P249" s="173">
        <v>130</v>
      </c>
      <c r="Q249" s="174">
        <v>110</v>
      </c>
      <c r="R249" s="180">
        <v>45885</v>
      </c>
      <c r="S249" s="175">
        <v>43885</v>
      </c>
      <c r="T249" s="175">
        <v>43885</v>
      </c>
      <c r="U249" s="176">
        <f ca="1">[1]!cb_clause_conversion_2_relativeswapsharemonth(B249)</f>
        <v>6</v>
      </c>
      <c r="V249" s="177"/>
      <c r="W249" s="177"/>
      <c r="X249" s="177"/>
      <c r="Y249" s="177"/>
      <c r="Z249" s="177"/>
      <c r="AA249" s="177"/>
      <c r="AB249" s="177"/>
      <c r="AC249" s="178"/>
      <c r="AD249" s="178"/>
      <c r="AE249" s="178"/>
      <c r="AF249" s="178"/>
      <c r="AG249" s="178"/>
      <c r="AH249" s="178"/>
      <c r="AI249" s="178"/>
      <c r="AJ249" s="178"/>
      <c r="AK249" s="178"/>
      <c r="AL249" s="178"/>
      <c r="AM249" s="178"/>
      <c r="AN249" s="178"/>
      <c r="AO249" s="178"/>
      <c r="AP249" s="178"/>
      <c r="AQ249" s="178"/>
      <c r="AR249" s="178"/>
      <c r="AS249" s="178"/>
      <c r="AT249" s="178"/>
      <c r="AU249" s="178"/>
    </row>
    <row r="250" spans="1:47" s="141" customFormat="1" ht="10.3" x14ac:dyDescent="0.25">
      <c r="A250" s="132" t="s">
        <v>5</v>
      </c>
      <c r="B250" s="132" t="s">
        <v>294</v>
      </c>
      <c r="C250" s="132" t="s">
        <v>295</v>
      </c>
      <c r="D250" s="134">
        <v>3.9150684931506849</v>
      </c>
      <c r="E250" s="133">
        <v>5.4988669999999997</v>
      </c>
      <c r="F250" s="133">
        <v>5.5</v>
      </c>
      <c r="G250" s="134">
        <v>12.33</v>
      </c>
      <c r="H250" s="133">
        <v>0</v>
      </c>
      <c r="I250" s="133" t="s">
        <v>957</v>
      </c>
      <c r="J250" s="318" t="s">
        <v>974</v>
      </c>
      <c r="K250" s="318" t="s">
        <v>1313</v>
      </c>
      <c r="L250" s="312"/>
      <c r="M250" s="312" t="s">
        <v>997</v>
      </c>
      <c r="N250" s="135">
        <v>90</v>
      </c>
      <c r="O250" s="135">
        <v>70</v>
      </c>
      <c r="P250" s="135">
        <v>130</v>
      </c>
      <c r="Q250" s="136">
        <v>110</v>
      </c>
      <c r="R250" s="137">
        <v>45876</v>
      </c>
      <c r="S250" s="138">
        <v>44245</v>
      </c>
      <c r="T250" s="138">
        <v>44245</v>
      </c>
      <c r="U250" s="181">
        <f ca="1">[1]!cb_clause_conversion_2_relativeswapsharemonth(B250)</f>
        <v>6</v>
      </c>
      <c r="V250" s="139"/>
      <c r="W250" s="139"/>
      <c r="X250" s="139"/>
      <c r="Y250" s="139"/>
      <c r="Z250" s="139"/>
      <c r="AA250" s="139"/>
      <c r="AB250" s="139"/>
      <c r="AC250" s="140"/>
      <c r="AD250" s="140"/>
      <c r="AE250" s="140"/>
      <c r="AF250" s="140"/>
      <c r="AG250" s="140"/>
      <c r="AH250" s="140"/>
      <c r="AI250" s="140"/>
      <c r="AJ250" s="140"/>
      <c r="AK250" s="140"/>
      <c r="AL250" s="140"/>
      <c r="AM250" s="140"/>
      <c r="AN250" s="140"/>
      <c r="AO250" s="140"/>
      <c r="AP250" s="140"/>
      <c r="AQ250" s="140"/>
      <c r="AR250" s="140"/>
      <c r="AS250" s="140"/>
      <c r="AT250" s="140"/>
      <c r="AU250" s="140"/>
    </row>
    <row r="251" spans="1:47" s="179" customFormat="1" ht="10.3" x14ac:dyDescent="0.25">
      <c r="A251" s="170" t="s">
        <v>0</v>
      </c>
      <c r="B251" s="170" t="s">
        <v>296</v>
      </c>
      <c r="C251" s="170" t="s">
        <v>297</v>
      </c>
      <c r="D251" s="172">
        <v>3.8986301369863012</v>
      </c>
      <c r="E251" s="171">
        <v>6.0272399999999999</v>
      </c>
      <c r="F251" s="171">
        <v>6.3</v>
      </c>
      <c r="G251" s="172">
        <v>16.14</v>
      </c>
      <c r="H251" s="171">
        <v>0</v>
      </c>
      <c r="I251" s="171" t="s">
        <v>957</v>
      </c>
      <c r="J251" s="317" t="s">
        <v>974</v>
      </c>
      <c r="K251" s="317" t="s">
        <v>1253</v>
      </c>
      <c r="L251" s="311"/>
      <c r="M251" s="311" t="s">
        <v>972</v>
      </c>
      <c r="N251" s="173">
        <v>80</v>
      </c>
      <c r="O251" s="173">
        <v>70</v>
      </c>
      <c r="P251" s="173">
        <v>130</v>
      </c>
      <c r="Q251" s="174">
        <v>110</v>
      </c>
      <c r="R251" s="180">
        <v>45870</v>
      </c>
      <c r="S251" s="175">
        <v>43873</v>
      </c>
      <c r="T251" s="175">
        <v>43873</v>
      </c>
      <c r="U251" s="176">
        <f ca="1">[1]!cb_clause_conversion_2_relativeswapsharemonth(B251)</f>
        <v>6</v>
      </c>
      <c r="V251" s="177"/>
      <c r="W251" s="177"/>
      <c r="X251" s="177"/>
      <c r="Y251" s="177"/>
      <c r="Z251" s="177"/>
      <c r="AA251" s="177"/>
      <c r="AB251" s="177"/>
      <c r="AC251" s="178"/>
      <c r="AD251" s="178"/>
      <c r="AE251" s="178"/>
      <c r="AF251" s="178"/>
      <c r="AG251" s="178"/>
      <c r="AH251" s="178"/>
      <c r="AI251" s="178"/>
      <c r="AJ251" s="178"/>
      <c r="AK251" s="178"/>
      <c r="AL251" s="178"/>
      <c r="AM251" s="178"/>
      <c r="AN251" s="178"/>
      <c r="AO251" s="178"/>
      <c r="AP251" s="178"/>
      <c r="AQ251" s="178"/>
      <c r="AR251" s="178"/>
      <c r="AS251" s="178"/>
      <c r="AT251" s="178"/>
      <c r="AU251" s="178"/>
    </row>
    <row r="252" spans="1:47" s="141" customFormat="1" ht="10.3" x14ac:dyDescent="0.25">
      <c r="A252" s="132" t="s">
        <v>5</v>
      </c>
      <c r="B252" s="132" t="s">
        <v>300</v>
      </c>
      <c r="C252" s="132" t="s">
        <v>301</v>
      </c>
      <c r="D252" s="134">
        <v>3.8739726027397259</v>
      </c>
      <c r="E252" s="133">
        <v>2.6876760000000002</v>
      </c>
      <c r="F252" s="133">
        <v>2.7</v>
      </c>
      <c r="G252" s="134">
        <v>14.1</v>
      </c>
      <c r="H252" s="133">
        <v>0</v>
      </c>
      <c r="I252" s="133" t="s">
        <v>939</v>
      </c>
      <c r="J252" s="318" t="s">
        <v>970</v>
      </c>
      <c r="K252" s="318" t="s">
        <v>1539</v>
      </c>
      <c r="L252" s="312"/>
      <c r="M252" s="312" t="s">
        <v>998</v>
      </c>
      <c r="N252" s="135">
        <v>70</v>
      </c>
      <c r="O252" s="135">
        <v>60</v>
      </c>
      <c r="P252" s="135">
        <v>130</v>
      </c>
      <c r="Q252" s="136">
        <v>110</v>
      </c>
      <c r="R252" s="137">
        <v>45861</v>
      </c>
      <c r="S252" s="138">
        <v>44225</v>
      </c>
      <c r="T252" s="138">
        <v>44225</v>
      </c>
      <c r="U252" s="181">
        <f ca="1">[1]!cb_clause_conversion_2_relativeswapsharemonth(B252)</f>
        <v>6</v>
      </c>
      <c r="V252" s="139"/>
      <c r="W252" s="139"/>
      <c r="X252" s="139"/>
      <c r="Y252" s="139"/>
      <c r="Z252" s="139"/>
      <c r="AA252" s="139"/>
      <c r="AB252" s="139"/>
      <c r="AC252" s="140"/>
      <c r="AD252" s="140"/>
      <c r="AE252" s="140"/>
      <c r="AF252" s="140"/>
      <c r="AG252" s="140"/>
      <c r="AH252" s="140"/>
      <c r="AI252" s="140"/>
      <c r="AJ252" s="140"/>
      <c r="AK252" s="140"/>
      <c r="AL252" s="140"/>
      <c r="AM252" s="140"/>
      <c r="AN252" s="140"/>
      <c r="AO252" s="140"/>
      <c r="AP252" s="140"/>
      <c r="AQ252" s="140"/>
      <c r="AR252" s="140"/>
      <c r="AS252" s="140"/>
      <c r="AT252" s="140"/>
      <c r="AU252" s="140"/>
    </row>
    <row r="253" spans="1:47" s="179" customFormat="1" ht="10.3" x14ac:dyDescent="0.25">
      <c r="A253" s="170" t="s">
        <v>0</v>
      </c>
      <c r="B253" s="170" t="s">
        <v>298</v>
      </c>
      <c r="C253" s="170" t="s">
        <v>299</v>
      </c>
      <c r="D253" s="172">
        <v>3.8739726027397259</v>
      </c>
      <c r="E253" s="171">
        <v>1.63192</v>
      </c>
      <c r="F253" s="171">
        <v>3.3</v>
      </c>
      <c r="G253" s="172">
        <v>10.84</v>
      </c>
      <c r="H253" s="171">
        <v>0</v>
      </c>
      <c r="I253" s="171" t="s">
        <v>973</v>
      </c>
      <c r="J253" s="317" t="s">
        <v>968</v>
      </c>
      <c r="K253" s="317" t="s">
        <v>1103</v>
      </c>
      <c r="L253" s="311"/>
      <c r="M253" s="311" t="s">
        <v>1104</v>
      </c>
      <c r="N253" s="173">
        <v>90</v>
      </c>
      <c r="O253" s="173">
        <v>70</v>
      </c>
      <c r="P253" s="173">
        <v>130</v>
      </c>
      <c r="Q253" s="174">
        <v>110</v>
      </c>
      <c r="R253" s="180">
        <v>45861</v>
      </c>
      <c r="S253" s="175">
        <v>43864</v>
      </c>
      <c r="T253" s="175">
        <v>43864</v>
      </c>
      <c r="U253" s="176">
        <f ca="1">[1]!cb_clause_conversion_2_relativeswapsharemonth(B253)</f>
        <v>6</v>
      </c>
      <c r="V253" s="177"/>
      <c r="W253" s="177"/>
      <c r="X253" s="177"/>
      <c r="Y253" s="177"/>
      <c r="Z253" s="177"/>
      <c r="AA253" s="177"/>
      <c r="AB253" s="177"/>
      <c r="AC253" s="178"/>
      <c r="AD253" s="178"/>
      <c r="AE253" s="178"/>
      <c r="AF253" s="178"/>
      <c r="AG253" s="178"/>
      <c r="AH253" s="178"/>
      <c r="AI253" s="178"/>
      <c r="AJ253" s="178"/>
      <c r="AK253" s="178"/>
      <c r="AL253" s="178"/>
      <c r="AM253" s="178"/>
      <c r="AN253" s="178"/>
      <c r="AO253" s="178"/>
      <c r="AP253" s="178"/>
      <c r="AQ253" s="178"/>
      <c r="AR253" s="178"/>
      <c r="AS253" s="178"/>
      <c r="AT253" s="178"/>
      <c r="AU253" s="178"/>
    </row>
    <row r="254" spans="1:47" s="141" customFormat="1" ht="10.3" x14ac:dyDescent="0.25">
      <c r="A254" s="132" t="s">
        <v>5</v>
      </c>
      <c r="B254" s="132" t="s">
        <v>302</v>
      </c>
      <c r="C254" s="132" t="s">
        <v>303</v>
      </c>
      <c r="D254" s="134">
        <v>3.8164383561643835</v>
      </c>
      <c r="E254" s="133">
        <v>2.2970220000000001</v>
      </c>
      <c r="F254" s="133">
        <v>2.2999999999999998</v>
      </c>
      <c r="G254" s="134">
        <v>9.4700000000000006</v>
      </c>
      <c r="H254" s="133">
        <v>0</v>
      </c>
      <c r="I254" s="133" t="s">
        <v>1031</v>
      </c>
      <c r="J254" s="318" t="s">
        <v>951</v>
      </c>
      <c r="K254" s="318" t="s">
        <v>1107</v>
      </c>
      <c r="L254" s="312"/>
      <c r="M254" s="312" t="s">
        <v>947</v>
      </c>
      <c r="N254" s="135">
        <v>90</v>
      </c>
      <c r="O254" s="135"/>
      <c r="P254" s="135">
        <v>130</v>
      </c>
      <c r="Q254" s="136">
        <v>112</v>
      </c>
      <c r="R254" s="137">
        <v>45840</v>
      </c>
      <c r="S254" s="138">
        <v>43838</v>
      </c>
      <c r="T254" s="138">
        <v>43838</v>
      </c>
      <c r="U254" s="181">
        <f ca="1">[1]!cb_clause_conversion_2_relativeswapsharemonth(B254)</f>
        <v>6</v>
      </c>
      <c r="V254" s="139"/>
      <c r="W254" s="139"/>
      <c r="X254" s="139"/>
      <c r="Y254" s="139"/>
      <c r="Z254" s="139"/>
      <c r="AA254" s="139"/>
      <c r="AB254" s="139"/>
      <c r="AC254" s="140"/>
      <c r="AD254" s="140"/>
      <c r="AE254" s="140"/>
      <c r="AF254" s="140"/>
      <c r="AG254" s="140"/>
      <c r="AH254" s="140"/>
      <c r="AI254" s="140"/>
      <c r="AJ254" s="140"/>
      <c r="AK254" s="140"/>
      <c r="AL254" s="140"/>
      <c r="AM254" s="140"/>
      <c r="AN254" s="140"/>
      <c r="AO254" s="140"/>
      <c r="AP254" s="140"/>
      <c r="AQ254" s="140"/>
      <c r="AR254" s="140"/>
      <c r="AS254" s="140"/>
      <c r="AT254" s="140"/>
      <c r="AU254" s="140"/>
    </row>
    <row r="255" spans="1:47" s="179" customFormat="1" ht="10.3" x14ac:dyDescent="0.25">
      <c r="A255" s="170" t="s">
        <v>5</v>
      </c>
      <c r="B255" s="170" t="s">
        <v>304</v>
      </c>
      <c r="C255" s="170" t="s">
        <v>305</v>
      </c>
      <c r="D255" s="172">
        <v>3.7945205479452055</v>
      </c>
      <c r="E255" s="171">
        <v>2.997716</v>
      </c>
      <c r="F255" s="171">
        <v>3</v>
      </c>
      <c r="G255" s="172">
        <v>18.010000000000002</v>
      </c>
      <c r="H255" s="171">
        <v>0</v>
      </c>
      <c r="I255" s="171" t="s">
        <v>973</v>
      </c>
      <c r="J255" s="317" t="s">
        <v>936</v>
      </c>
      <c r="K255" s="317" t="s">
        <v>1255</v>
      </c>
      <c r="L255" s="311" t="s">
        <v>1568</v>
      </c>
      <c r="M255" s="311" t="s">
        <v>1256</v>
      </c>
      <c r="N255" s="173">
        <v>85</v>
      </c>
      <c r="O255" s="173">
        <v>70</v>
      </c>
      <c r="P255" s="173">
        <v>130</v>
      </c>
      <c r="Q255" s="174">
        <v>115</v>
      </c>
      <c r="R255" s="180">
        <v>45832</v>
      </c>
      <c r="S255" s="175">
        <v>43829</v>
      </c>
      <c r="T255" s="175">
        <v>43829</v>
      </c>
      <c r="U255" s="176">
        <f ca="1">[1]!cb_clause_conversion_2_relativeswapsharemonth(B255)</f>
        <v>6</v>
      </c>
      <c r="V255" s="177"/>
      <c r="W255" s="177"/>
      <c r="X255" s="177"/>
      <c r="Y255" s="177"/>
      <c r="Z255" s="177"/>
      <c r="AA255" s="177"/>
      <c r="AB255" s="177"/>
      <c r="AC255" s="178"/>
      <c r="AD255" s="178"/>
      <c r="AE255" s="178"/>
      <c r="AF255" s="178"/>
      <c r="AG255" s="178"/>
      <c r="AH255" s="178"/>
      <c r="AI255" s="178"/>
      <c r="AJ255" s="178"/>
      <c r="AK255" s="178"/>
      <c r="AL255" s="178"/>
      <c r="AM255" s="178"/>
      <c r="AN255" s="178"/>
      <c r="AO255" s="178"/>
      <c r="AP255" s="178"/>
      <c r="AQ255" s="178"/>
      <c r="AR255" s="178"/>
      <c r="AS255" s="178"/>
      <c r="AT255" s="178"/>
      <c r="AU255" s="178"/>
    </row>
    <row r="256" spans="1:47" s="141" customFormat="1" ht="10.3" x14ac:dyDescent="0.25">
      <c r="A256" s="132" t="s">
        <v>5</v>
      </c>
      <c r="B256" s="132" t="s">
        <v>306</v>
      </c>
      <c r="C256" s="132" t="s">
        <v>307</v>
      </c>
      <c r="D256" s="134">
        <v>3.7808219178082192</v>
      </c>
      <c r="E256" s="133">
        <v>4.5510270000000004</v>
      </c>
      <c r="F256" s="133">
        <v>4.9000000000000004</v>
      </c>
      <c r="G256" s="134">
        <v>11.84</v>
      </c>
      <c r="H256" s="133">
        <v>0</v>
      </c>
      <c r="I256" s="133" t="s">
        <v>1049</v>
      </c>
      <c r="J256" s="318" t="s">
        <v>1099</v>
      </c>
      <c r="K256" s="318" t="s">
        <v>996</v>
      </c>
      <c r="L256" s="312"/>
      <c r="M256" s="312" t="s">
        <v>1467</v>
      </c>
      <c r="N256" s="135">
        <v>80</v>
      </c>
      <c r="O256" s="135">
        <v>70</v>
      </c>
      <c r="P256" s="135">
        <v>130</v>
      </c>
      <c r="Q256" s="136">
        <v>115</v>
      </c>
      <c r="R256" s="137">
        <v>45827</v>
      </c>
      <c r="S256" s="138">
        <v>43824</v>
      </c>
      <c r="T256" s="138">
        <v>43824</v>
      </c>
      <c r="U256" s="181">
        <f ca="1">[1]!cb_clause_conversion_2_relativeswapsharemonth(B256)</f>
        <v>6</v>
      </c>
      <c r="V256" s="139"/>
      <c r="W256" s="139"/>
      <c r="X256" s="139"/>
      <c r="Y256" s="139"/>
      <c r="Z256" s="139"/>
      <c r="AA256" s="139"/>
      <c r="AB256" s="139"/>
      <c r="AC256" s="140"/>
      <c r="AD256" s="140"/>
      <c r="AE256" s="140"/>
      <c r="AF256" s="140"/>
      <c r="AG256" s="140"/>
      <c r="AH256" s="140"/>
      <c r="AI256" s="140"/>
      <c r="AJ256" s="140"/>
      <c r="AK256" s="140"/>
      <c r="AL256" s="140"/>
      <c r="AM256" s="140"/>
      <c r="AN256" s="140"/>
      <c r="AO256" s="140"/>
      <c r="AP256" s="140"/>
      <c r="AQ256" s="140"/>
      <c r="AR256" s="140"/>
      <c r="AS256" s="140"/>
      <c r="AT256" s="140"/>
      <c r="AU256" s="140"/>
    </row>
    <row r="257" spans="1:47" s="179" customFormat="1" ht="10.3" x14ac:dyDescent="0.25">
      <c r="A257" s="170" t="s">
        <v>0</v>
      </c>
      <c r="B257" s="170" t="s">
        <v>308</v>
      </c>
      <c r="C257" s="170" t="s">
        <v>309</v>
      </c>
      <c r="D257" s="172">
        <v>3.7671232876712328</v>
      </c>
      <c r="E257" s="171">
        <v>3.24464</v>
      </c>
      <c r="F257" s="171">
        <v>6.4</v>
      </c>
      <c r="G257" s="172">
        <v>10.17</v>
      </c>
      <c r="H257" s="171">
        <v>0</v>
      </c>
      <c r="I257" s="171" t="s">
        <v>1152</v>
      </c>
      <c r="J257" s="317" t="s">
        <v>970</v>
      </c>
      <c r="K257" s="317" t="s">
        <v>1353</v>
      </c>
      <c r="L257" s="314"/>
      <c r="M257" s="314" t="s">
        <v>1354</v>
      </c>
      <c r="N257" s="173">
        <v>80</v>
      </c>
      <c r="O257" s="173">
        <v>70</v>
      </c>
      <c r="P257" s="173">
        <v>130</v>
      </c>
      <c r="Q257" s="174">
        <v>110</v>
      </c>
      <c r="R257" s="180">
        <v>45822</v>
      </c>
      <c r="S257" s="175">
        <v>43819</v>
      </c>
      <c r="T257" s="175">
        <v>43819</v>
      </c>
      <c r="U257" s="176">
        <f ca="1">[1]!cb_clause_conversion_2_relativeswapsharemonth(B257)</f>
        <v>6</v>
      </c>
      <c r="V257" s="177"/>
      <c r="W257" s="177"/>
      <c r="X257" s="177"/>
      <c r="Y257" s="177"/>
      <c r="Z257" s="177"/>
      <c r="AA257" s="177"/>
      <c r="AB257" s="177"/>
      <c r="AC257" s="178"/>
      <c r="AD257" s="178"/>
      <c r="AE257" s="178"/>
      <c r="AF257" s="178"/>
      <c r="AG257" s="178"/>
      <c r="AH257" s="178"/>
      <c r="AI257" s="178"/>
      <c r="AJ257" s="178"/>
      <c r="AK257" s="178"/>
      <c r="AL257" s="178"/>
      <c r="AM257" s="178"/>
      <c r="AN257" s="178"/>
      <c r="AO257" s="178"/>
      <c r="AP257" s="178"/>
      <c r="AQ257" s="178"/>
      <c r="AR257" s="178"/>
      <c r="AS257" s="178"/>
      <c r="AT257" s="178"/>
      <c r="AU257" s="178"/>
    </row>
    <row r="258" spans="1:47" s="141" customFormat="1" ht="10.3" x14ac:dyDescent="0.25">
      <c r="A258" s="132" t="s">
        <v>5</v>
      </c>
      <c r="B258" s="132" t="s">
        <v>310</v>
      </c>
      <c r="C258" s="132" t="s">
        <v>311</v>
      </c>
      <c r="D258" s="134">
        <v>3.7589041095890412</v>
      </c>
      <c r="E258" s="133">
        <v>1.0705499999999999</v>
      </c>
      <c r="F258" s="133">
        <v>3.4</v>
      </c>
      <c r="G258" s="134">
        <v>29.02</v>
      </c>
      <c r="H258" s="133">
        <v>0</v>
      </c>
      <c r="I258" s="133" t="s">
        <v>1031</v>
      </c>
      <c r="J258" s="318" t="s">
        <v>951</v>
      </c>
      <c r="K258" s="318" t="s">
        <v>1466</v>
      </c>
      <c r="L258" s="312"/>
      <c r="M258" s="312" t="s">
        <v>1039</v>
      </c>
      <c r="N258" s="135">
        <v>85</v>
      </c>
      <c r="O258" s="135">
        <v>70</v>
      </c>
      <c r="P258" s="135">
        <v>130</v>
      </c>
      <c r="Q258" s="136">
        <v>113</v>
      </c>
      <c r="R258" s="137">
        <v>45819</v>
      </c>
      <c r="S258" s="138">
        <v>43816</v>
      </c>
      <c r="T258" s="138">
        <v>43816</v>
      </c>
      <c r="U258" s="181">
        <f ca="1">[1]!cb_clause_conversion_2_relativeswapsharemonth(B258)</f>
        <v>6</v>
      </c>
      <c r="V258" s="139"/>
      <c r="W258" s="139"/>
      <c r="X258" s="139"/>
      <c r="Y258" s="139"/>
      <c r="Z258" s="139"/>
      <c r="AA258" s="139"/>
      <c r="AB258" s="139"/>
      <c r="AC258" s="140"/>
      <c r="AD258" s="140"/>
      <c r="AE258" s="140"/>
      <c r="AF258" s="140"/>
      <c r="AG258" s="140"/>
      <c r="AH258" s="140"/>
      <c r="AI258" s="140"/>
      <c r="AJ258" s="140"/>
      <c r="AK258" s="140"/>
      <c r="AL258" s="140"/>
      <c r="AM258" s="140"/>
      <c r="AN258" s="140"/>
      <c r="AO258" s="140"/>
      <c r="AP258" s="140"/>
      <c r="AQ258" s="140"/>
      <c r="AR258" s="140"/>
      <c r="AS258" s="140"/>
      <c r="AT258" s="140"/>
      <c r="AU258" s="140"/>
    </row>
    <row r="259" spans="1:47" s="179" customFormat="1" ht="10.3" x14ac:dyDescent="0.25">
      <c r="A259" s="170" t="s">
        <v>0</v>
      </c>
      <c r="B259" s="170" t="s">
        <v>312</v>
      </c>
      <c r="C259" s="170" t="s">
        <v>313</v>
      </c>
      <c r="D259" s="172">
        <v>3.7561643835616438</v>
      </c>
      <c r="E259" s="171">
        <v>1.4084700000000001</v>
      </c>
      <c r="F259" s="171">
        <v>8</v>
      </c>
      <c r="G259" s="172">
        <v>19.28</v>
      </c>
      <c r="H259" s="171">
        <v>0</v>
      </c>
      <c r="I259" s="171" t="s">
        <v>983</v>
      </c>
      <c r="J259" s="317" t="s">
        <v>970</v>
      </c>
      <c r="K259" s="317" t="s">
        <v>1781</v>
      </c>
      <c r="L259" s="314"/>
      <c r="M259" s="314" t="s">
        <v>945</v>
      </c>
      <c r="N259" s="173">
        <v>85</v>
      </c>
      <c r="O259" s="173">
        <v>70</v>
      </c>
      <c r="P259" s="173">
        <v>130</v>
      </c>
      <c r="Q259" s="174">
        <v>115</v>
      </c>
      <c r="R259" s="180">
        <v>45818</v>
      </c>
      <c r="S259" s="175">
        <v>43815</v>
      </c>
      <c r="T259" s="175">
        <v>43815</v>
      </c>
      <c r="U259" s="176">
        <f ca="1">[1]!cb_clause_conversion_2_relativeswapsharemonth(B259)</f>
        <v>6</v>
      </c>
      <c r="V259" s="177"/>
      <c r="W259" s="177"/>
      <c r="X259" s="177"/>
      <c r="Y259" s="177"/>
      <c r="Z259" s="177"/>
      <c r="AA259" s="177"/>
      <c r="AB259" s="177"/>
      <c r="AC259" s="178"/>
      <c r="AD259" s="178"/>
      <c r="AE259" s="178"/>
      <c r="AF259" s="178"/>
      <c r="AG259" s="178"/>
      <c r="AH259" s="178"/>
      <c r="AI259" s="178"/>
      <c r="AJ259" s="178"/>
      <c r="AK259" s="178"/>
      <c r="AL259" s="178"/>
      <c r="AM259" s="178"/>
      <c r="AN259" s="178"/>
      <c r="AO259" s="178"/>
      <c r="AP259" s="178"/>
      <c r="AQ259" s="178"/>
      <c r="AR259" s="178"/>
      <c r="AS259" s="178"/>
      <c r="AT259" s="178"/>
      <c r="AU259" s="178"/>
    </row>
    <row r="260" spans="1:47" s="141" customFormat="1" ht="10.3" x14ac:dyDescent="0.25">
      <c r="A260" s="132" t="s">
        <v>0</v>
      </c>
      <c r="B260" s="132" t="s">
        <v>314</v>
      </c>
      <c r="C260" s="132" t="s">
        <v>315</v>
      </c>
      <c r="D260" s="134">
        <v>3.7287671232876711</v>
      </c>
      <c r="E260" s="133">
        <v>1.4878800000000001</v>
      </c>
      <c r="F260" s="133">
        <v>1.9</v>
      </c>
      <c r="G260" s="134">
        <v>13.76</v>
      </c>
      <c r="H260" s="133">
        <v>0</v>
      </c>
      <c r="I260" s="133" t="s">
        <v>957</v>
      </c>
      <c r="J260" s="318" t="s">
        <v>974</v>
      </c>
      <c r="K260" s="318" t="s">
        <v>1293</v>
      </c>
      <c r="L260" s="312" t="s">
        <v>1569</v>
      </c>
      <c r="M260" s="312" t="s">
        <v>982</v>
      </c>
      <c r="N260" s="135">
        <v>85</v>
      </c>
      <c r="O260" s="135">
        <v>70</v>
      </c>
      <c r="P260" s="135">
        <v>130</v>
      </c>
      <c r="Q260" s="136">
        <v>110</v>
      </c>
      <c r="R260" s="137">
        <v>45808</v>
      </c>
      <c r="S260" s="138">
        <v>43805</v>
      </c>
      <c r="T260" s="138">
        <v>43805</v>
      </c>
      <c r="U260" s="181">
        <f ca="1">[1]!cb_clause_conversion_2_relativeswapsharemonth(B260)</f>
        <v>6</v>
      </c>
      <c r="V260" s="139"/>
      <c r="W260" s="139"/>
      <c r="X260" s="139"/>
      <c r="Y260" s="139"/>
      <c r="Z260" s="139"/>
      <c r="AA260" s="139"/>
      <c r="AB260" s="139"/>
      <c r="AC260" s="140"/>
      <c r="AD260" s="140"/>
      <c r="AE260" s="140"/>
      <c r="AF260" s="140"/>
      <c r="AG260" s="140"/>
      <c r="AH260" s="140"/>
      <c r="AI260" s="140"/>
      <c r="AJ260" s="140"/>
      <c r="AK260" s="140"/>
      <c r="AL260" s="140"/>
      <c r="AM260" s="140"/>
      <c r="AN260" s="140"/>
      <c r="AO260" s="140"/>
      <c r="AP260" s="140"/>
      <c r="AQ260" s="140"/>
      <c r="AR260" s="140"/>
      <c r="AS260" s="140"/>
      <c r="AT260" s="140"/>
      <c r="AU260" s="140"/>
    </row>
    <row r="261" spans="1:47" s="179" customFormat="1" ht="10.3" x14ac:dyDescent="0.25">
      <c r="A261" s="170" t="s">
        <v>5</v>
      </c>
      <c r="B261" s="170" t="s">
        <v>316</v>
      </c>
      <c r="C261" s="170" t="s">
        <v>317</v>
      </c>
      <c r="D261" s="172">
        <v>3.6082191780821917</v>
      </c>
      <c r="E261" s="171">
        <v>4.7977150000000002</v>
      </c>
      <c r="F261" s="171">
        <v>4.8</v>
      </c>
      <c r="G261" s="172">
        <v>9.27</v>
      </c>
      <c r="H261" s="171">
        <v>0</v>
      </c>
      <c r="I261" s="171" t="s">
        <v>973</v>
      </c>
      <c r="J261" s="317" t="s">
        <v>974</v>
      </c>
      <c r="K261" s="317" t="s">
        <v>1520</v>
      </c>
      <c r="L261" s="311" t="s">
        <v>1570</v>
      </c>
      <c r="M261" s="311" t="s">
        <v>1006</v>
      </c>
      <c r="N261" s="173">
        <v>90</v>
      </c>
      <c r="O261" s="173">
        <v>70</v>
      </c>
      <c r="P261" s="173">
        <v>130</v>
      </c>
      <c r="Q261" s="174">
        <v>112</v>
      </c>
      <c r="R261" s="180">
        <v>45764</v>
      </c>
      <c r="S261" s="175">
        <v>43761</v>
      </c>
      <c r="T261" s="175">
        <v>43761</v>
      </c>
      <c r="U261" s="176">
        <f ca="1">[1]!cb_clause_conversion_2_relativeswapsharemonth(B261)</f>
        <v>6</v>
      </c>
      <c r="V261" s="177"/>
      <c r="W261" s="177"/>
      <c r="X261" s="177"/>
      <c r="Y261" s="177"/>
      <c r="Z261" s="177"/>
      <c r="AA261" s="177"/>
      <c r="AB261" s="177"/>
      <c r="AC261" s="178"/>
      <c r="AD261" s="178"/>
      <c r="AE261" s="178"/>
      <c r="AF261" s="178"/>
      <c r="AG261" s="178"/>
      <c r="AH261" s="178"/>
      <c r="AI261" s="178"/>
      <c r="AJ261" s="178"/>
      <c r="AK261" s="178"/>
      <c r="AL261" s="178"/>
      <c r="AM261" s="178"/>
      <c r="AN261" s="178"/>
      <c r="AO261" s="178"/>
      <c r="AP261" s="178"/>
      <c r="AQ261" s="178"/>
      <c r="AR261" s="178"/>
      <c r="AS261" s="178"/>
      <c r="AT261" s="178"/>
      <c r="AU261" s="178"/>
    </row>
    <row r="262" spans="1:47" s="141" customFormat="1" ht="10.3" x14ac:dyDescent="0.25">
      <c r="A262" s="132" t="s">
        <v>0</v>
      </c>
      <c r="B262" s="132" t="s">
        <v>318</v>
      </c>
      <c r="C262" s="132" t="s">
        <v>319</v>
      </c>
      <c r="D262" s="134">
        <v>3.6054794520547944</v>
      </c>
      <c r="E262" s="133">
        <v>2.6120999999999999</v>
      </c>
      <c r="F262" s="133">
        <v>9.8000000000000007</v>
      </c>
      <c r="G262" s="134">
        <v>5.04</v>
      </c>
      <c r="H262" s="133">
        <v>0</v>
      </c>
      <c r="I262" s="133" t="s">
        <v>973</v>
      </c>
      <c r="J262" s="318" t="s">
        <v>936</v>
      </c>
      <c r="K262" s="318" t="s">
        <v>1409</v>
      </c>
      <c r="L262" s="312"/>
      <c r="M262" s="312" t="s">
        <v>1410</v>
      </c>
      <c r="N262" s="135">
        <v>85</v>
      </c>
      <c r="O262" s="135">
        <v>70</v>
      </c>
      <c r="P262" s="135">
        <v>130</v>
      </c>
      <c r="Q262" s="136">
        <v>110</v>
      </c>
      <c r="R262" s="137">
        <v>45763</v>
      </c>
      <c r="S262" s="138">
        <v>43760</v>
      </c>
      <c r="T262" s="138">
        <v>43760</v>
      </c>
      <c r="U262" s="181">
        <f ca="1">[1]!cb_clause_conversion_2_relativeswapsharemonth(B262)</f>
        <v>6</v>
      </c>
      <c r="V262" s="139"/>
      <c r="W262" s="139"/>
      <c r="X262" s="139"/>
      <c r="Y262" s="139"/>
      <c r="Z262" s="139"/>
      <c r="AA262" s="139"/>
      <c r="AB262" s="139"/>
      <c r="AC262" s="140"/>
      <c r="AD262" s="140"/>
      <c r="AE262" s="140"/>
      <c r="AF262" s="140"/>
      <c r="AG262" s="140"/>
      <c r="AH262" s="140"/>
      <c r="AI262" s="140"/>
      <c r="AJ262" s="140"/>
      <c r="AK262" s="140"/>
      <c r="AL262" s="140"/>
      <c r="AM262" s="140"/>
      <c r="AN262" s="140"/>
      <c r="AO262" s="140"/>
      <c r="AP262" s="140"/>
      <c r="AQ262" s="140"/>
      <c r="AR262" s="140"/>
      <c r="AS262" s="140"/>
      <c r="AT262" s="140"/>
      <c r="AU262" s="140"/>
    </row>
    <row r="263" spans="1:47" s="179" customFormat="1" ht="10.3" x14ac:dyDescent="0.25">
      <c r="A263" s="170" t="s">
        <v>0</v>
      </c>
      <c r="B263" s="170" t="s">
        <v>320</v>
      </c>
      <c r="C263" s="170" t="s">
        <v>321</v>
      </c>
      <c r="D263" s="172">
        <v>3.602739726027397</v>
      </c>
      <c r="E263" s="171">
        <v>77.99727</v>
      </c>
      <c r="F263" s="171">
        <v>78</v>
      </c>
      <c r="G263" s="172">
        <v>5.73</v>
      </c>
      <c r="H263" s="171">
        <v>74</v>
      </c>
      <c r="I263" s="171" t="s">
        <v>953</v>
      </c>
      <c r="J263" s="317" t="s">
        <v>942</v>
      </c>
      <c r="K263" s="317" t="s">
        <v>1098</v>
      </c>
      <c r="L263" s="311"/>
      <c r="M263" s="311" t="s">
        <v>1426</v>
      </c>
      <c r="N263" s="173">
        <v>85</v>
      </c>
      <c r="O263" s="173">
        <v>70</v>
      </c>
      <c r="P263" s="173">
        <v>130</v>
      </c>
      <c r="Q263" s="174">
        <v>105</v>
      </c>
      <c r="R263" s="180">
        <v>45762</v>
      </c>
      <c r="S263" s="175">
        <v>43759</v>
      </c>
      <c r="T263" s="175">
        <v>43759</v>
      </c>
      <c r="U263" s="176">
        <f ca="1">[1]!cb_clause_conversion_2_relativeswapsharemonth(B263)</f>
        <v>6</v>
      </c>
      <c r="V263" s="177"/>
      <c r="W263" s="177"/>
      <c r="X263" s="177"/>
      <c r="Y263" s="177"/>
      <c r="Z263" s="177"/>
      <c r="AA263" s="177"/>
      <c r="AB263" s="177"/>
      <c r="AC263" s="178"/>
      <c r="AD263" s="178"/>
      <c r="AE263" s="178"/>
      <c r="AF263" s="178"/>
      <c r="AG263" s="178"/>
      <c r="AH263" s="178"/>
      <c r="AI263" s="178"/>
      <c r="AJ263" s="178"/>
      <c r="AK263" s="178"/>
      <c r="AL263" s="178"/>
      <c r="AM263" s="178"/>
      <c r="AN263" s="178"/>
      <c r="AO263" s="178"/>
      <c r="AP263" s="178"/>
      <c r="AQ263" s="178"/>
      <c r="AR263" s="178"/>
      <c r="AS263" s="178"/>
      <c r="AT263" s="178"/>
      <c r="AU263" s="178"/>
    </row>
    <row r="264" spans="1:47" s="141" customFormat="1" ht="10.3" x14ac:dyDescent="0.25">
      <c r="A264" s="132" t="s">
        <v>5</v>
      </c>
      <c r="B264" s="132" t="s">
        <v>322</v>
      </c>
      <c r="C264" s="132" t="s">
        <v>323</v>
      </c>
      <c r="D264" s="134">
        <v>3.602739726027397</v>
      </c>
      <c r="E264" s="133">
        <v>9.7792720000000006</v>
      </c>
      <c r="F264" s="133">
        <v>10.4</v>
      </c>
      <c r="G264" s="134">
        <v>11.29</v>
      </c>
      <c r="H264" s="133">
        <v>0</v>
      </c>
      <c r="I264" s="133" t="s">
        <v>957</v>
      </c>
      <c r="J264" s="318" t="s">
        <v>936</v>
      </c>
      <c r="K264" s="318" t="s">
        <v>1228</v>
      </c>
      <c r="L264" s="312"/>
      <c r="M264" s="312" t="s">
        <v>1090</v>
      </c>
      <c r="N264" s="135">
        <v>90</v>
      </c>
      <c r="O264" s="135">
        <v>70</v>
      </c>
      <c r="P264" s="135">
        <v>130</v>
      </c>
      <c r="Q264" s="136">
        <v>113</v>
      </c>
      <c r="R264" s="137">
        <v>45762</v>
      </c>
      <c r="S264" s="138">
        <v>43759</v>
      </c>
      <c r="T264" s="138">
        <v>43759</v>
      </c>
      <c r="U264" s="181">
        <f ca="1">[1]!cb_clause_conversion_2_relativeswapsharemonth(B264)</f>
        <v>6</v>
      </c>
      <c r="V264" s="139"/>
      <c r="W264" s="139"/>
      <c r="X264" s="139"/>
      <c r="Y264" s="139"/>
      <c r="Z264" s="139"/>
      <c r="AA264" s="139"/>
      <c r="AB264" s="139"/>
      <c r="AC264" s="140"/>
      <c r="AD264" s="140"/>
      <c r="AE264" s="140"/>
      <c r="AF264" s="140"/>
      <c r="AG264" s="140"/>
      <c r="AH264" s="140"/>
      <c r="AI264" s="140"/>
      <c r="AJ264" s="140"/>
      <c r="AK264" s="140"/>
      <c r="AL264" s="140"/>
      <c r="AM264" s="140"/>
      <c r="AN264" s="140"/>
      <c r="AO264" s="140"/>
      <c r="AP264" s="140"/>
      <c r="AQ264" s="140"/>
      <c r="AR264" s="140"/>
      <c r="AS264" s="140"/>
      <c r="AT264" s="140"/>
      <c r="AU264" s="140"/>
    </row>
    <row r="265" spans="1:47" s="179" customFormat="1" ht="10.3" x14ac:dyDescent="0.25">
      <c r="A265" s="170" t="s">
        <v>0</v>
      </c>
      <c r="B265" s="170" t="s">
        <v>324</v>
      </c>
      <c r="C265" s="170" t="s">
        <v>325</v>
      </c>
      <c r="D265" s="172">
        <v>3.5890410958904111</v>
      </c>
      <c r="E265" s="171">
        <v>10.96762</v>
      </c>
      <c r="F265" s="171">
        <v>18.399999999999999</v>
      </c>
      <c r="G265" s="172">
        <v>11</v>
      </c>
      <c r="H265" s="171">
        <v>0</v>
      </c>
      <c r="I265" s="171" t="s">
        <v>939</v>
      </c>
      <c r="J265" s="317" t="s">
        <v>955</v>
      </c>
      <c r="K265" s="317" t="s">
        <v>1116</v>
      </c>
      <c r="L265" s="311"/>
      <c r="M265" s="311" t="s">
        <v>1425</v>
      </c>
      <c r="N265" s="173">
        <v>90</v>
      </c>
      <c r="O265" s="173">
        <v>70</v>
      </c>
      <c r="P265" s="173">
        <v>130</v>
      </c>
      <c r="Q265" s="174">
        <v>110</v>
      </c>
      <c r="R265" s="180">
        <v>45757</v>
      </c>
      <c r="S265" s="175">
        <v>43754</v>
      </c>
      <c r="T265" s="175">
        <v>43754</v>
      </c>
      <c r="U265" s="176">
        <f ca="1">[1]!cb_clause_conversion_2_relativeswapsharemonth(B265)</f>
        <v>6</v>
      </c>
      <c r="V265" s="177"/>
      <c r="W265" s="177"/>
      <c r="X265" s="177"/>
      <c r="Y265" s="177"/>
      <c r="Z265" s="177"/>
      <c r="AA265" s="177"/>
      <c r="AB265" s="177"/>
      <c r="AC265" s="178"/>
      <c r="AD265" s="178"/>
      <c r="AE265" s="178"/>
      <c r="AF265" s="178"/>
      <c r="AG265" s="178"/>
      <c r="AH265" s="178"/>
      <c r="AI265" s="178"/>
      <c r="AJ265" s="178"/>
      <c r="AK265" s="178"/>
      <c r="AL265" s="178"/>
      <c r="AM265" s="178"/>
      <c r="AN265" s="178"/>
      <c r="AO265" s="178"/>
      <c r="AP265" s="178"/>
      <c r="AQ265" s="178"/>
      <c r="AR265" s="178"/>
      <c r="AS265" s="178"/>
      <c r="AT265" s="178"/>
      <c r="AU265" s="178"/>
    </row>
    <row r="266" spans="1:47" s="141" customFormat="1" ht="10.3" x14ac:dyDescent="0.25">
      <c r="A266" s="132" t="s">
        <v>0</v>
      </c>
      <c r="B266" s="132" t="s">
        <v>326</v>
      </c>
      <c r="C266" s="132" t="s">
        <v>327</v>
      </c>
      <c r="D266" s="134">
        <v>3.5863013698630137</v>
      </c>
      <c r="E266" s="133">
        <v>4.390307</v>
      </c>
      <c r="F266" s="133">
        <v>12.5</v>
      </c>
      <c r="G266" s="134">
        <v>15.18</v>
      </c>
      <c r="H266" s="133">
        <v>0</v>
      </c>
      <c r="I266" s="133" t="s">
        <v>973</v>
      </c>
      <c r="J266" s="318" t="s">
        <v>942</v>
      </c>
      <c r="K266" s="318" t="s">
        <v>1311</v>
      </c>
      <c r="L266" s="312"/>
      <c r="M266" s="312" t="s">
        <v>1090</v>
      </c>
      <c r="N266" s="135">
        <v>85</v>
      </c>
      <c r="O266" s="135">
        <v>70</v>
      </c>
      <c r="P266" s="135">
        <v>130</v>
      </c>
      <c r="Q266" s="136">
        <v>110</v>
      </c>
      <c r="R266" s="137">
        <v>45756</v>
      </c>
      <c r="S266" s="138">
        <v>43754</v>
      </c>
      <c r="T266" s="138">
        <v>43754</v>
      </c>
      <c r="U266" s="181">
        <f ca="1">[1]!cb_clause_conversion_2_relativeswapsharemonth(B266)</f>
        <v>6</v>
      </c>
      <c r="V266" s="139"/>
      <c r="W266" s="139"/>
      <c r="X266" s="139"/>
      <c r="Y266" s="139"/>
      <c r="Z266" s="139"/>
      <c r="AA266" s="139"/>
      <c r="AB266" s="139"/>
      <c r="AC266" s="140"/>
      <c r="AD266" s="140"/>
      <c r="AE266" s="140"/>
      <c r="AF266" s="140"/>
      <c r="AG266" s="140"/>
      <c r="AH266" s="140"/>
      <c r="AI266" s="140"/>
      <c r="AJ266" s="140"/>
      <c r="AK266" s="140"/>
      <c r="AL266" s="140"/>
      <c r="AM266" s="140"/>
      <c r="AN266" s="140"/>
      <c r="AO266" s="140"/>
      <c r="AP266" s="140"/>
      <c r="AQ266" s="140"/>
      <c r="AR266" s="140"/>
      <c r="AS266" s="140"/>
      <c r="AT266" s="140"/>
      <c r="AU266" s="140"/>
    </row>
    <row r="267" spans="1:47" s="179" customFormat="1" ht="10.3" x14ac:dyDescent="0.25">
      <c r="A267" s="170" t="s">
        <v>0</v>
      </c>
      <c r="B267" s="170" t="s">
        <v>328</v>
      </c>
      <c r="C267" s="170" t="s">
        <v>329</v>
      </c>
      <c r="D267" s="172">
        <v>3.5835616438356164</v>
      </c>
      <c r="E267" s="171">
        <v>29.96021</v>
      </c>
      <c r="F267" s="171">
        <v>30</v>
      </c>
      <c r="G267" s="172">
        <v>9.6999999999999993</v>
      </c>
      <c r="H267" s="171">
        <v>74</v>
      </c>
      <c r="I267" s="171" t="s">
        <v>941</v>
      </c>
      <c r="J267" s="317" t="s">
        <v>942</v>
      </c>
      <c r="K267" s="317" t="s">
        <v>1075</v>
      </c>
      <c r="L267" s="311"/>
      <c r="M267" s="311" t="s">
        <v>1166</v>
      </c>
      <c r="N267" s="173">
        <v>80</v>
      </c>
      <c r="O267" s="173">
        <v>70</v>
      </c>
      <c r="P267" s="173">
        <v>130</v>
      </c>
      <c r="Q267" s="174">
        <v>105</v>
      </c>
      <c r="R267" s="180">
        <v>45755</v>
      </c>
      <c r="S267" s="175">
        <v>43752</v>
      </c>
      <c r="T267" s="175">
        <v>43752</v>
      </c>
      <c r="U267" s="176">
        <f ca="1">[1]!cb_clause_conversion_2_relativeswapsharemonth(B267)</f>
        <v>6</v>
      </c>
      <c r="V267" s="177"/>
      <c r="W267" s="177"/>
      <c r="X267" s="177"/>
      <c r="Y267" s="177"/>
      <c r="Z267" s="177"/>
      <c r="AA267" s="177"/>
      <c r="AB267" s="177"/>
      <c r="AC267" s="178"/>
      <c r="AD267" s="178"/>
      <c r="AE267" s="178"/>
      <c r="AF267" s="178"/>
      <c r="AG267" s="178"/>
      <c r="AH267" s="178"/>
      <c r="AI267" s="178"/>
      <c r="AJ267" s="178"/>
      <c r="AK267" s="178"/>
      <c r="AL267" s="178"/>
      <c r="AM267" s="178"/>
      <c r="AN267" s="178"/>
      <c r="AO267" s="178"/>
      <c r="AP267" s="178"/>
      <c r="AQ267" s="178"/>
      <c r="AR267" s="178"/>
      <c r="AS267" s="178"/>
      <c r="AT267" s="178"/>
      <c r="AU267" s="178"/>
    </row>
    <row r="268" spans="1:47" s="141" customFormat="1" ht="10.3" x14ac:dyDescent="0.25">
      <c r="A268" s="132" t="s">
        <v>5</v>
      </c>
      <c r="B268" s="132" t="s">
        <v>330</v>
      </c>
      <c r="C268" s="132" t="s">
        <v>331</v>
      </c>
      <c r="D268" s="134">
        <v>3.5835616438356164</v>
      </c>
      <c r="E268" s="133">
        <v>0</v>
      </c>
      <c r="F268" s="133">
        <v>8</v>
      </c>
      <c r="G268" s="134">
        <v>5.82</v>
      </c>
      <c r="H268" s="133">
        <v>0</v>
      </c>
      <c r="I268" s="133" t="s">
        <v>939</v>
      </c>
      <c r="J268" s="318" t="s">
        <v>970</v>
      </c>
      <c r="K268" s="318" t="s">
        <v>1156</v>
      </c>
      <c r="L268" s="312"/>
      <c r="M268" s="312" t="s">
        <v>1519</v>
      </c>
      <c r="N268" s="135">
        <v>85</v>
      </c>
      <c r="O268" s="135">
        <v>70</v>
      </c>
      <c r="P268" s="135">
        <v>130</v>
      </c>
      <c r="Q268" s="136">
        <v>110</v>
      </c>
      <c r="R268" s="137">
        <v>45755</v>
      </c>
      <c r="S268" s="138">
        <v>43752</v>
      </c>
      <c r="T268" s="138">
        <v>43752</v>
      </c>
      <c r="U268" s="181">
        <f ca="1">[1]!cb_clause_conversion_2_relativeswapsharemonth(B268)</f>
        <v>6</v>
      </c>
      <c r="V268" s="139"/>
      <c r="W268" s="139"/>
      <c r="X268" s="139"/>
      <c r="Y268" s="139"/>
      <c r="Z268" s="139"/>
      <c r="AA268" s="139"/>
      <c r="AB268" s="139"/>
      <c r="AC268" s="140"/>
      <c r="AD268" s="140"/>
      <c r="AE268" s="140"/>
      <c r="AF268" s="140"/>
      <c r="AG268" s="140"/>
      <c r="AH268" s="140"/>
      <c r="AI268" s="140"/>
      <c r="AJ268" s="140"/>
      <c r="AK268" s="140"/>
      <c r="AL268" s="140"/>
      <c r="AM268" s="140"/>
      <c r="AN268" s="140"/>
      <c r="AO268" s="140"/>
      <c r="AP268" s="140"/>
      <c r="AQ268" s="140"/>
      <c r="AR268" s="140"/>
      <c r="AS268" s="140"/>
      <c r="AT268" s="140"/>
      <c r="AU268" s="140"/>
    </row>
    <row r="269" spans="1:47" s="179" customFormat="1" ht="10.3" x14ac:dyDescent="0.25">
      <c r="A269" s="170" t="s">
        <v>5</v>
      </c>
      <c r="B269" s="170" t="s">
        <v>332</v>
      </c>
      <c r="C269" s="170" t="s">
        <v>333</v>
      </c>
      <c r="D269" s="172">
        <v>3.56986301369863</v>
      </c>
      <c r="E269" s="171">
        <v>6.2936360000000002</v>
      </c>
      <c r="F269" s="171">
        <v>6.3</v>
      </c>
      <c r="G269" s="172">
        <v>8.6</v>
      </c>
      <c r="H269" s="171">
        <v>0</v>
      </c>
      <c r="I269" s="171" t="s">
        <v>973</v>
      </c>
      <c r="J269" s="317" t="s">
        <v>942</v>
      </c>
      <c r="K269" s="317" t="s">
        <v>1339</v>
      </c>
      <c r="L269" s="311"/>
      <c r="M269" s="311" t="s">
        <v>971</v>
      </c>
      <c r="N269" s="173">
        <v>80</v>
      </c>
      <c r="O269" s="173">
        <v>70</v>
      </c>
      <c r="P269" s="173">
        <v>130</v>
      </c>
      <c r="Q269" s="174">
        <v>120</v>
      </c>
      <c r="R269" s="180">
        <v>45750</v>
      </c>
      <c r="S269" s="175">
        <v>43749</v>
      </c>
      <c r="T269" s="175">
        <v>43749</v>
      </c>
      <c r="U269" s="176">
        <f ca="1">[1]!cb_clause_conversion_2_relativeswapsharemonth(B269)</f>
        <v>6</v>
      </c>
      <c r="V269" s="177"/>
      <c r="W269" s="177"/>
      <c r="X269" s="177"/>
      <c r="Y269" s="177"/>
      <c r="Z269" s="177"/>
      <c r="AA269" s="177"/>
      <c r="AB269" s="177"/>
      <c r="AC269" s="178"/>
      <c r="AD269" s="178"/>
      <c r="AE269" s="178"/>
      <c r="AF269" s="178"/>
      <c r="AG269" s="178"/>
      <c r="AH269" s="178"/>
      <c r="AI269" s="178"/>
      <c r="AJ269" s="178"/>
      <c r="AK269" s="178"/>
      <c r="AL269" s="178"/>
      <c r="AM269" s="178"/>
      <c r="AN269" s="178"/>
      <c r="AO269" s="178"/>
      <c r="AP269" s="178"/>
      <c r="AQ269" s="178"/>
      <c r="AR269" s="178"/>
      <c r="AS269" s="178"/>
      <c r="AT269" s="178"/>
      <c r="AU269" s="178"/>
    </row>
    <row r="270" spans="1:47" s="141" customFormat="1" ht="10.3" x14ac:dyDescent="0.25">
      <c r="A270" s="132" t="s">
        <v>0</v>
      </c>
      <c r="B270" s="132" t="s">
        <v>334</v>
      </c>
      <c r="C270" s="132" t="s">
        <v>335</v>
      </c>
      <c r="D270" s="134">
        <v>3.5671232876712331</v>
      </c>
      <c r="E270" s="133">
        <v>4.58711</v>
      </c>
      <c r="F270" s="133">
        <v>4.5999999999999996</v>
      </c>
      <c r="G270" s="134">
        <v>7.63</v>
      </c>
      <c r="H270" s="133">
        <v>0</v>
      </c>
      <c r="I270" s="133" t="s">
        <v>957</v>
      </c>
      <c r="J270" s="318" t="s">
        <v>936</v>
      </c>
      <c r="K270" s="318" t="s">
        <v>1292</v>
      </c>
      <c r="L270" s="312" t="s">
        <v>1571</v>
      </c>
      <c r="M270" s="312" t="s">
        <v>1030</v>
      </c>
      <c r="N270" s="135">
        <v>85</v>
      </c>
      <c r="O270" s="135">
        <v>70</v>
      </c>
      <c r="P270" s="135">
        <v>130</v>
      </c>
      <c r="Q270" s="136">
        <v>108</v>
      </c>
      <c r="R270" s="137">
        <v>45749</v>
      </c>
      <c r="S270" s="138">
        <v>43747</v>
      </c>
      <c r="T270" s="138">
        <v>43747</v>
      </c>
      <c r="U270" s="181">
        <f ca="1">[1]!cb_clause_conversion_2_relativeswapsharemonth(B270)</f>
        <v>6</v>
      </c>
      <c r="V270" s="139"/>
      <c r="W270" s="139"/>
      <c r="X270" s="139"/>
      <c r="Y270" s="139"/>
      <c r="Z270" s="139"/>
      <c r="AA270" s="139"/>
      <c r="AB270" s="139"/>
      <c r="AC270" s="140"/>
      <c r="AD270" s="140"/>
      <c r="AE270" s="140"/>
      <c r="AF270" s="140"/>
      <c r="AG270" s="140"/>
      <c r="AH270" s="140"/>
      <c r="AI270" s="140"/>
      <c r="AJ270" s="140"/>
      <c r="AK270" s="140"/>
      <c r="AL270" s="140"/>
      <c r="AM270" s="140"/>
      <c r="AN270" s="140"/>
      <c r="AO270" s="140"/>
      <c r="AP270" s="140"/>
      <c r="AQ270" s="140"/>
      <c r="AR270" s="140"/>
      <c r="AS270" s="140"/>
      <c r="AT270" s="140"/>
      <c r="AU270" s="140"/>
    </row>
    <row r="271" spans="1:47" s="179" customFormat="1" ht="10.3" x14ac:dyDescent="0.25">
      <c r="A271" s="170" t="s">
        <v>5</v>
      </c>
      <c r="B271" s="170" t="s">
        <v>336</v>
      </c>
      <c r="C271" s="170" t="s">
        <v>337</v>
      </c>
      <c r="D271" s="172">
        <v>3.5671232876712331</v>
      </c>
      <c r="E271" s="171">
        <v>9.6307039999999997</v>
      </c>
      <c r="F271" s="171">
        <v>9.6</v>
      </c>
      <c r="G271" s="172">
        <v>16.25</v>
      </c>
      <c r="H271" s="171">
        <v>0</v>
      </c>
      <c r="I271" s="171" t="s">
        <v>1782</v>
      </c>
      <c r="J271" s="317" t="s">
        <v>951</v>
      </c>
      <c r="K271" s="317" t="s">
        <v>1073</v>
      </c>
      <c r="L271" s="311"/>
      <c r="M271" s="311" t="s">
        <v>979</v>
      </c>
      <c r="N271" s="173">
        <v>85</v>
      </c>
      <c r="O271" s="173">
        <v>70</v>
      </c>
      <c r="P271" s="173">
        <v>130</v>
      </c>
      <c r="Q271" s="174">
        <v>115</v>
      </c>
      <c r="R271" s="180">
        <v>45749</v>
      </c>
      <c r="S271" s="175">
        <v>43747</v>
      </c>
      <c r="T271" s="175">
        <v>43747</v>
      </c>
      <c r="U271" s="176">
        <f ca="1">[1]!cb_clause_conversion_2_relativeswapsharemonth(B271)</f>
        <v>6</v>
      </c>
      <c r="V271" s="177"/>
      <c r="W271" s="177"/>
      <c r="X271" s="177"/>
      <c r="Y271" s="177"/>
      <c r="Z271" s="177"/>
      <c r="AA271" s="177"/>
      <c r="AB271" s="177"/>
      <c r="AC271" s="178"/>
      <c r="AD271" s="178"/>
      <c r="AE271" s="178"/>
      <c r="AF271" s="178"/>
      <c r="AG271" s="178"/>
      <c r="AH271" s="178"/>
      <c r="AI271" s="178"/>
      <c r="AJ271" s="178"/>
      <c r="AK271" s="178"/>
      <c r="AL271" s="178"/>
      <c r="AM271" s="178"/>
      <c r="AN271" s="178"/>
      <c r="AO271" s="178"/>
      <c r="AP271" s="178"/>
      <c r="AQ271" s="178"/>
      <c r="AR271" s="178"/>
      <c r="AS271" s="178"/>
      <c r="AT271" s="178"/>
      <c r="AU271" s="178"/>
    </row>
    <row r="272" spans="1:47" s="141" customFormat="1" ht="10.3" x14ac:dyDescent="0.25">
      <c r="A272" s="132" t="s">
        <v>0</v>
      </c>
      <c r="B272" s="132" t="s">
        <v>338</v>
      </c>
      <c r="C272" s="132" t="s">
        <v>339</v>
      </c>
      <c r="D272" s="134">
        <v>3.5643835616438357</v>
      </c>
      <c r="E272" s="133">
        <v>16.156870000000001</v>
      </c>
      <c r="F272" s="133">
        <v>16.2</v>
      </c>
      <c r="G272" s="134">
        <v>9.7899999999999991</v>
      </c>
      <c r="H272" s="133">
        <v>75</v>
      </c>
      <c r="I272" s="133" t="s">
        <v>941</v>
      </c>
      <c r="J272" s="318" t="s">
        <v>942</v>
      </c>
      <c r="K272" s="318" t="s">
        <v>1242</v>
      </c>
      <c r="L272" s="312"/>
      <c r="M272" s="312" t="s">
        <v>1090</v>
      </c>
      <c r="N272" s="135">
        <v>80</v>
      </c>
      <c r="O272" s="135">
        <v>70</v>
      </c>
      <c r="P272" s="135">
        <v>130</v>
      </c>
      <c r="Q272" s="136">
        <v>106</v>
      </c>
      <c r="R272" s="137">
        <v>45748</v>
      </c>
      <c r="S272" s="138">
        <v>43746</v>
      </c>
      <c r="T272" s="138">
        <v>43746</v>
      </c>
      <c r="U272" s="181">
        <f ca="1">[1]!cb_clause_conversion_2_relativeswapsharemonth(B272)</f>
        <v>6</v>
      </c>
      <c r="V272" s="139"/>
      <c r="W272" s="139"/>
      <c r="X272" s="139"/>
      <c r="Y272" s="139"/>
      <c r="Z272" s="139"/>
      <c r="AA272" s="139"/>
      <c r="AB272" s="139"/>
      <c r="AC272" s="140"/>
      <c r="AD272" s="140"/>
      <c r="AE272" s="140"/>
      <c r="AF272" s="140"/>
      <c r="AG272" s="140"/>
      <c r="AH272" s="140"/>
      <c r="AI272" s="140"/>
      <c r="AJ272" s="140"/>
      <c r="AK272" s="140"/>
      <c r="AL272" s="140"/>
      <c r="AM272" s="140"/>
      <c r="AN272" s="140"/>
      <c r="AO272" s="140"/>
      <c r="AP272" s="140"/>
      <c r="AQ272" s="140"/>
      <c r="AR272" s="140"/>
      <c r="AS272" s="140"/>
      <c r="AT272" s="140"/>
      <c r="AU272" s="140"/>
    </row>
    <row r="273" spans="1:170" s="179" customFormat="1" ht="10.3" x14ac:dyDescent="0.25">
      <c r="A273" s="170" t="s">
        <v>5</v>
      </c>
      <c r="B273" s="170" t="s">
        <v>340</v>
      </c>
      <c r="C273" s="170" t="s">
        <v>341</v>
      </c>
      <c r="D273" s="172">
        <v>3.5561643835616437</v>
      </c>
      <c r="E273" s="171">
        <v>3.0870060000000001</v>
      </c>
      <c r="F273" s="171">
        <v>3.8</v>
      </c>
      <c r="G273" s="172">
        <v>49.37</v>
      </c>
      <c r="H273" s="171">
        <v>0</v>
      </c>
      <c r="I273" s="171" t="s">
        <v>973</v>
      </c>
      <c r="J273" s="317" t="s">
        <v>936</v>
      </c>
      <c r="K273" s="317" t="s">
        <v>1275</v>
      </c>
      <c r="L273" s="311"/>
      <c r="M273" s="311" t="s">
        <v>972</v>
      </c>
      <c r="N273" s="173">
        <v>85</v>
      </c>
      <c r="O273" s="173">
        <v>70</v>
      </c>
      <c r="P273" s="173">
        <v>130</v>
      </c>
      <c r="Q273" s="174">
        <v>112</v>
      </c>
      <c r="R273" s="180">
        <v>45745</v>
      </c>
      <c r="S273" s="175">
        <v>43746</v>
      </c>
      <c r="T273" s="175">
        <v>43746</v>
      </c>
      <c r="U273" s="176">
        <f ca="1">[1]!cb_clause_conversion_2_relativeswapsharemonth(B273)</f>
        <v>6</v>
      </c>
      <c r="V273" s="177"/>
      <c r="W273" s="177"/>
      <c r="X273" s="177"/>
      <c r="Y273" s="177"/>
      <c r="Z273" s="177"/>
      <c r="AA273" s="177"/>
      <c r="AB273" s="177"/>
      <c r="AC273" s="178"/>
      <c r="AD273" s="178"/>
      <c r="AE273" s="178"/>
      <c r="AF273" s="178"/>
      <c r="AG273" s="178"/>
      <c r="AH273" s="178"/>
      <c r="AI273" s="178"/>
      <c r="AJ273" s="178"/>
      <c r="AK273" s="178"/>
      <c r="AL273" s="178"/>
      <c r="AM273" s="178"/>
      <c r="AN273" s="178"/>
      <c r="AO273" s="178"/>
      <c r="AP273" s="178"/>
      <c r="AQ273" s="178"/>
      <c r="AR273" s="178"/>
      <c r="AS273" s="178"/>
      <c r="AT273" s="178"/>
      <c r="AU273" s="178"/>
    </row>
    <row r="274" spans="1:170" s="141" customFormat="1" ht="10.3" x14ac:dyDescent="0.25">
      <c r="A274" s="132" t="s">
        <v>0</v>
      </c>
      <c r="B274" s="132" t="s">
        <v>342</v>
      </c>
      <c r="C274" s="132" t="s">
        <v>343</v>
      </c>
      <c r="D274" s="134">
        <v>3.5506849315068494</v>
      </c>
      <c r="E274" s="133">
        <v>6.2977400000000001</v>
      </c>
      <c r="F274" s="133">
        <v>6.3</v>
      </c>
      <c r="G274" s="134">
        <v>16.489999999999998</v>
      </c>
      <c r="H274" s="133">
        <v>0</v>
      </c>
      <c r="I274" s="133" t="s">
        <v>939</v>
      </c>
      <c r="J274" s="318" t="s">
        <v>936</v>
      </c>
      <c r="K274" s="318" t="s">
        <v>1227</v>
      </c>
      <c r="L274" s="312"/>
      <c r="M274" s="312" t="s">
        <v>978</v>
      </c>
      <c r="N274" s="135">
        <v>85</v>
      </c>
      <c r="O274" s="135">
        <v>70</v>
      </c>
      <c r="P274" s="135">
        <v>130</v>
      </c>
      <c r="Q274" s="136">
        <v>116</v>
      </c>
      <c r="R274" s="137">
        <v>45743</v>
      </c>
      <c r="S274" s="138">
        <v>43746</v>
      </c>
      <c r="T274" s="138">
        <v>43746</v>
      </c>
      <c r="U274" s="181">
        <f ca="1">[1]!cb_clause_conversion_2_relativeswapsharemonth(B274)</f>
        <v>6</v>
      </c>
      <c r="V274" s="139"/>
      <c r="W274" s="139"/>
      <c r="X274" s="139"/>
      <c r="Y274" s="139"/>
      <c r="Z274" s="139"/>
      <c r="AA274" s="139"/>
      <c r="AB274" s="139"/>
      <c r="AC274" s="140"/>
      <c r="AD274" s="140"/>
      <c r="AE274" s="140"/>
      <c r="AF274" s="140"/>
      <c r="AG274" s="140"/>
      <c r="AH274" s="140"/>
      <c r="AI274" s="140"/>
      <c r="AJ274" s="140"/>
      <c r="AK274" s="140"/>
      <c r="AL274" s="140"/>
      <c r="AM274" s="140"/>
      <c r="AN274" s="140"/>
      <c r="AO274" s="140"/>
      <c r="AP274" s="140"/>
      <c r="AQ274" s="140"/>
      <c r="AR274" s="140"/>
      <c r="AS274" s="140"/>
      <c r="AT274" s="140"/>
      <c r="AU274" s="140"/>
    </row>
    <row r="275" spans="1:170" s="179" customFormat="1" ht="10.3" x14ac:dyDescent="0.25">
      <c r="A275" s="170" t="s">
        <v>5</v>
      </c>
      <c r="B275" s="170" t="s">
        <v>344</v>
      </c>
      <c r="C275" s="170" t="s">
        <v>345</v>
      </c>
      <c r="D275" s="172">
        <v>3.536986301369863</v>
      </c>
      <c r="E275" s="171">
        <v>49.998342999999998</v>
      </c>
      <c r="F275" s="171">
        <v>50</v>
      </c>
      <c r="G275" s="172">
        <v>8.6300000000000008</v>
      </c>
      <c r="H275" s="171">
        <v>72</v>
      </c>
      <c r="I275" s="171" t="s">
        <v>941</v>
      </c>
      <c r="J275" s="317" t="s">
        <v>936</v>
      </c>
      <c r="K275" s="317" t="s">
        <v>1499</v>
      </c>
      <c r="L275" s="311"/>
      <c r="M275" s="311" t="s">
        <v>1500</v>
      </c>
      <c r="N275" s="173">
        <v>90</v>
      </c>
      <c r="O275" s="173">
        <v>70</v>
      </c>
      <c r="P275" s="173">
        <v>130</v>
      </c>
      <c r="Q275" s="174">
        <v>105</v>
      </c>
      <c r="R275" s="180">
        <v>45738</v>
      </c>
      <c r="S275" s="175">
        <v>43738</v>
      </c>
      <c r="T275" s="175">
        <v>43738</v>
      </c>
      <c r="U275" s="176">
        <f ca="1">[1]!cb_clause_conversion_2_relativeswapsharemonth(B275)</f>
        <v>6</v>
      </c>
      <c r="V275" s="177"/>
      <c r="W275" s="177"/>
      <c r="X275" s="177"/>
      <c r="Y275" s="177"/>
      <c r="Z275" s="177"/>
      <c r="AA275" s="177"/>
      <c r="AB275" s="177"/>
      <c r="AC275" s="178"/>
      <c r="AD275" s="178"/>
      <c r="AE275" s="178"/>
      <c r="AF275" s="178"/>
      <c r="AG275" s="178"/>
      <c r="AH275" s="178"/>
      <c r="AI275" s="178"/>
      <c r="AJ275" s="178"/>
      <c r="AK275" s="178"/>
      <c r="AL275" s="178"/>
      <c r="AM275" s="178"/>
      <c r="AN275" s="178"/>
      <c r="AO275" s="178"/>
      <c r="AP275" s="178"/>
      <c r="AQ275" s="178"/>
      <c r="AR275" s="178"/>
      <c r="AS275" s="178"/>
      <c r="AT275" s="178"/>
      <c r="AU275" s="178"/>
    </row>
    <row r="276" spans="1:170" s="141" customFormat="1" ht="10.3" x14ac:dyDescent="0.25">
      <c r="A276" s="132" t="s">
        <v>5</v>
      </c>
      <c r="B276" s="132" t="s">
        <v>346</v>
      </c>
      <c r="C276" s="132" t="s">
        <v>347</v>
      </c>
      <c r="D276" s="134">
        <v>3.5315068493150683</v>
      </c>
      <c r="E276" s="133">
        <v>5.2942450000000001</v>
      </c>
      <c r="F276" s="133">
        <v>6</v>
      </c>
      <c r="G276" s="134">
        <v>6.89</v>
      </c>
      <c r="H276" s="133">
        <v>0</v>
      </c>
      <c r="I276" s="133" t="s">
        <v>973</v>
      </c>
      <c r="J276" s="318" t="s">
        <v>951</v>
      </c>
      <c r="K276" s="318" t="s">
        <v>1037</v>
      </c>
      <c r="L276" s="312"/>
      <c r="M276" s="312" t="s">
        <v>995</v>
      </c>
      <c r="N276" s="135">
        <v>80</v>
      </c>
      <c r="O276" s="135">
        <v>70</v>
      </c>
      <c r="P276" s="135">
        <v>130</v>
      </c>
      <c r="Q276" s="136">
        <v>110</v>
      </c>
      <c r="R276" s="137">
        <v>45736</v>
      </c>
      <c r="S276" s="138">
        <v>43735</v>
      </c>
      <c r="T276" s="138">
        <v>43735</v>
      </c>
      <c r="U276" s="181">
        <f ca="1">[1]!cb_clause_conversion_2_relativeswapsharemonth(B276)</f>
        <v>6</v>
      </c>
      <c r="V276" s="139"/>
      <c r="W276" s="139"/>
      <c r="X276" s="139"/>
      <c r="Y276" s="139"/>
      <c r="Z276" s="139"/>
      <c r="AA276" s="139"/>
      <c r="AB276" s="139"/>
      <c r="AC276" s="140"/>
      <c r="AD276" s="140"/>
      <c r="AE276" s="140"/>
      <c r="AF276" s="140"/>
      <c r="AG276" s="140"/>
      <c r="AH276" s="140"/>
      <c r="AI276" s="140"/>
      <c r="AJ276" s="140"/>
      <c r="AK276" s="140"/>
      <c r="AL276" s="140"/>
      <c r="AM276" s="140"/>
      <c r="AN276" s="140"/>
      <c r="AO276" s="140"/>
      <c r="AP276" s="140"/>
      <c r="AQ276" s="140"/>
      <c r="AR276" s="140"/>
      <c r="AS276" s="140"/>
      <c r="AT276" s="140"/>
      <c r="AU276" s="140"/>
    </row>
    <row r="277" spans="1:170" s="179" customFormat="1" ht="10.3" x14ac:dyDescent="0.25">
      <c r="A277" s="170" t="s">
        <v>0</v>
      </c>
      <c r="B277" s="170" t="s">
        <v>348</v>
      </c>
      <c r="C277" s="170" t="s">
        <v>349</v>
      </c>
      <c r="D277" s="172">
        <v>3.5287671232876714</v>
      </c>
      <c r="E277" s="171">
        <v>17.103560000000002</v>
      </c>
      <c r="F277" s="171">
        <v>17.3</v>
      </c>
      <c r="G277" s="172">
        <v>14.95</v>
      </c>
      <c r="H277" s="171">
        <v>0</v>
      </c>
      <c r="I277" s="171" t="s">
        <v>935</v>
      </c>
      <c r="J277" s="317" t="s">
        <v>936</v>
      </c>
      <c r="K277" s="317" t="s">
        <v>1084</v>
      </c>
      <c r="L277" s="311"/>
      <c r="M277" s="311" t="s">
        <v>954</v>
      </c>
      <c r="N277" s="173">
        <v>85</v>
      </c>
      <c r="O277" s="173">
        <v>70</v>
      </c>
      <c r="P277" s="173">
        <v>130</v>
      </c>
      <c r="Q277" s="174">
        <v>110</v>
      </c>
      <c r="R277" s="180">
        <v>45735</v>
      </c>
      <c r="S277" s="175">
        <v>43734</v>
      </c>
      <c r="T277" s="175">
        <v>43734</v>
      </c>
      <c r="U277" s="176">
        <f ca="1">[1]!cb_clause_conversion_2_relativeswapsharemonth(B277)</f>
        <v>6</v>
      </c>
      <c r="V277" s="177"/>
      <c r="W277" s="177"/>
      <c r="X277" s="177"/>
      <c r="Y277" s="177"/>
      <c r="Z277" s="177"/>
      <c r="AA277" s="177"/>
      <c r="AB277" s="177"/>
      <c r="AC277" s="178"/>
      <c r="AD277" s="178"/>
      <c r="AE277" s="178"/>
      <c r="AF277" s="178"/>
      <c r="AG277" s="178"/>
      <c r="AH277" s="178"/>
      <c r="AI277" s="178"/>
      <c r="AJ277" s="178"/>
      <c r="AK277" s="178"/>
      <c r="AL277" s="178"/>
      <c r="AM277" s="178"/>
      <c r="AN277" s="178"/>
      <c r="AO277" s="178"/>
      <c r="AP277" s="178"/>
      <c r="AQ277" s="178"/>
      <c r="AR277" s="178"/>
      <c r="AS277" s="178"/>
      <c r="AT277" s="178"/>
      <c r="AU277" s="178"/>
    </row>
    <row r="278" spans="1:170" s="141" customFormat="1" ht="10.3" x14ac:dyDescent="0.25">
      <c r="A278" s="132" t="s">
        <v>5</v>
      </c>
      <c r="B278" s="132" t="s">
        <v>350</v>
      </c>
      <c r="C278" s="132" t="s">
        <v>351</v>
      </c>
      <c r="D278" s="134">
        <v>3.526027397260274</v>
      </c>
      <c r="E278" s="133">
        <v>2.566125</v>
      </c>
      <c r="F278" s="133">
        <v>12.3</v>
      </c>
      <c r="G278" s="134">
        <v>6.05</v>
      </c>
      <c r="H278" s="133">
        <v>0</v>
      </c>
      <c r="I278" s="133" t="s">
        <v>957</v>
      </c>
      <c r="J278" s="318" t="s">
        <v>946</v>
      </c>
      <c r="K278" s="318" t="s">
        <v>1085</v>
      </c>
      <c r="L278" s="312"/>
      <c r="M278" s="312" t="s">
        <v>975</v>
      </c>
      <c r="N278" s="135">
        <v>85</v>
      </c>
      <c r="O278" s="135">
        <v>70</v>
      </c>
      <c r="P278" s="135">
        <v>130</v>
      </c>
      <c r="Q278" s="136">
        <v>110</v>
      </c>
      <c r="R278" s="137">
        <v>45734</v>
      </c>
      <c r="S278" s="138">
        <v>43731</v>
      </c>
      <c r="T278" s="138">
        <v>43731</v>
      </c>
      <c r="U278" s="181">
        <f ca="1">[1]!cb_clause_conversion_2_relativeswapsharemonth(B278)</f>
        <v>6</v>
      </c>
      <c r="V278" s="139"/>
      <c r="W278" s="139"/>
      <c r="X278" s="139"/>
      <c r="Y278" s="139"/>
      <c r="Z278" s="139"/>
      <c r="AA278" s="139"/>
      <c r="AB278" s="139"/>
      <c r="AC278" s="140"/>
      <c r="AD278" s="140"/>
      <c r="AE278" s="140"/>
      <c r="AF278" s="140"/>
      <c r="AG278" s="140"/>
      <c r="AH278" s="140"/>
      <c r="AI278" s="140"/>
      <c r="AJ278" s="140"/>
      <c r="AK278" s="140"/>
      <c r="AL278" s="140"/>
      <c r="AM278" s="140"/>
      <c r="AN278" s="140"/>
      <c r="AO278" s="140"/>
      <c r="AP278" s="140"/>
      <c r="AQ278" s="140"/>
      <c r="AR278" s="140"/>
      <c r="AS278" s="140"/>
      <c r="AT278" s="140"/>
      <c r="AU278" s="140"/>
    </row>
    <row r="279" spans="1:170" s="179" customFormat="1" ht="10.3" x14ac:dyDescent="0.25">
      <c r="A279" s="170" t="s">
        <v>0</v>
      </c>
      <c r="B279" s="170" t="s">
        <v>352</v>
      </c>
      <c r="C279" s="170" t="s">
        <v>353</v>
      </c>
      <c r="D279" s="172">
        <v>3.5178082191780824</v>
      </c>
      <c r="E279" s="171">
        <v>2.4376099999999998</v>
      </c>
      <c r="F279" s="171">
        <v>8.8000000000000007</v>
      </c>
      <c r="G279" s="172">
        <v>16.41</v>
      </c>
      <c r="H279" s="171">
        <v>0</v>
      </c>
      <c r="I279" s="171" t="s">
        <v>957</v>
      </c>
      <c r="J279" s="317" t="s">
        <v>968</v>
      </c>
      <c r="K279" s="317" t="s">
        <v>1245</v>
      </c>
      <c r="L279" s="311"/>
      <c r="M279" s="311" t="s">
        <v>1408</v>
      </c>
      <c r="N279" s="173">
        <v>80</v>
      </c>
      <c r="O279" s="173">
        <v>70</v>
      </c>
      <c r="P279" s="173">
        <v>130</v>
      </c>
      <c r="Q279" s="174">
        <v>110</v>
      </c>
      <c r="R279" s="180">
        <v>45731</v>
      </c>
      <c r="S279" s="175">
        <v>43731</v>
      </c>
      <c r="T279" s="175">
        <v>43731</v>
      </c>
      <c r="U279" s="176">
        <f ca="1">[1]!cb_clause_conversion_2_relativeswapsharemonth(B279)</f>
        <v>6</v>
      </c>
      <c r="V279" s="177"/>
      <c r="W279" s="177"/>
      <c r="X279" s="177"/>
      <c r="Y279" s="177"/>
      <c r="Z279" s="177"/>
      <c r="AA279" s="177"/>
      <c r="AB279" s="177"/>
      <c r="AC279" s="178"/>
      <c r="AD279" s="178"/>
      <c r="AE279" s="178"/>
      <c r="AF279" s="178"/>
      <c r="AG279" s="178"/>
      <c r="AH279" s="178"/>
      <c r="AI279" s="178"/>
      <c r="AJ279" s="178"/>
      <c r="AK279" s="178"/>
      <c r="AL279" s="178"/>
      <c r="AM279" s="178"/>
      <c r="AN279" s="178"/>
      <c r="AO279" s="178"/>
      <c r="AP279" s="178"/>
      <c r="AQ279" s="178"/>
      <c r="AR279" s="178"/>
      <c r="AS279" s="178"/>
      <c r="AT279" s="178"/>
      <c r="AU279" s="178"/>
    </row>
    <row r="280" spans="1:170" s="141" customFormat="1" ht="10.3" x14ac:dyDescent="0.25">
      <c r="A280" s="132" t="s">
        <v>0</v>
      </c>
      <c r="B280" s="132" t="s">
        <v>858</v>
      </c>
      <c r="C280" s="132" t="s">
        <v>859</v>
      </c>
      <c r="D280" s="134">
        <v>3.515068493150685</v>
      </c>
      <c r="E280" s="133">
        <v>199.99323999999999</v>
      </c>
      <c r="F280" s="133">
        <v>200</v>
      </c>
      <c r="G280" s="134">
        <v>6.37</v>
      </c>
      <c r="H280" s="133">
        <v>78</v>
      </c>
      <c r="I280" s="133" t="s">
        <v>941</v>
      </c>
      <c r="J280" s="318" t="s">
        <v>936</v>
      </c>
      <c r="K280" s="318" t="s">
        <v>1053</v>
      </c>
      <c r="L280" s="312"/>
      <c r="M280" s="312" t="s">
        <v>1309</v>
      </c>
      <c r="N280" s="135">
        <v>80</v>
      </c>
      <c r="O280" s="135"/>
      <c r="P280" s="135">
        <v>130</v>
      </c>
      <c r="Q280" s="136">
        <v>111</v>
      </c>
      <c r="R280" s="137">
        <v>45730</v>
      </c>
      <c r="S280" s="138">
        <v>43728</v>
      </c>
      <c r="T280" s="138">
        <v>43728</v>
      </c>
      <c r="U280" s="181">
        <f ca="1">[1]!cb_clause_conversion_2_relativeswapsharemonth(B280)</f>
        <v>6</v>
      </c>
      <c r="V280" s="139"/>
      <c r="W280" s="139"/>
      <c r="X280" s="139"/>
      <c r="Y280" s="139"/>
      <c r="Z280" s="139"/>
      <c r="AA280" s="139"/>
      <c r="AB280" s="139"/>
      <c r="AC280" s="140"/>
      <c r="AD280" s="140"/>
      <c r="AE280" s="140"/>
      <c r="AF280" s="140"/>
      <c r="AG280" s="140"/>
      <c r="AH280" s="140"/>
      <c r="AI280" s="140"/>
      <c r="AJ280" s="140"/>
      <c r="AK280" s="140"/>
      <c r="AL280" s="140"/>
      <c r="AM280" s="140"/>
      <c r="AN280" s="140"/>
      <c r="AO280" s="140"/>
      <c r="AP280" s="140"/>
      <c r="AQ280" s="140"/>
      <c r="AR280" s="140"/>
      <c r="AS280" s="140"/>
      <c r="AT280" s="140"/>
      <c r="AU280" s="140"/>
    </row>
    <row r="281" spans="1:170" s="179" customFormat="1" ht="10.3" x14ac:dyDescent="0.25">
      <c r="A281" s="170" t="s">
        <v>5</v>
      </c>
      <c r="B281" s="170" t="s">
        <v>354</v>
      </c>
      <c r="C281" s="170" t="s">
        <v>355</v>
      </c>
      <c r="D281" s="172">
        <v>3.4986301369863013</v>
      </c>
      <c r="E281" s="171">
        <v>11.996582</v>
      </c>
      <c r="F281" s="171">
        <v>12</v>
      </c>
      <c r="G281" s="172">
        <v>11.39</v>
      </c>
      <c r="H281" s="171">
        <v>0</v>
      </c>
      <c r="I281" s="171" t="s">
        <v>935</v>
      </c>
      <c r="J281" s="317" t="s">
        <v>968</v>
      </c>
      <c r="K281" s="317" t="s">
        <v>1157</v>
      </c>
      <c r="L281" s="311"/>
      <c r="M281" s="311" t="s">
        <v>1046</v>
      </c>
      <c r="N281" s="173">
        <v>85</v>
      </c>
      <c r="O281" s="173">
        <v>70</v>
      </c>
      <c r="P281" s="173">
        <v>130</v>
      </c>
      <c r="Q281" s="174">
        <v>110</v>
      </c>
      <c r="R281" s="180">
        <v>45724</v>
      </c>
      <c r="S281" s="175">
        <v>43724</v>
      </c>
      <c r="T281" s="175">
        <v>43724</v>
      </c>
      <c r="U281" s="176">
        <f ca="1">[1]!cb_clause_conversion_2_relativeswapsharemonth(B281)</f>
        <v>6</v>
      </c>
      <c r="V281" s="177"/>
      <c r="W281" s="177"/>
      <c r="X281" s="177"/>
      <c r="Y281" s="177"/>
      <c r="Z281" s="177"/>
      <c r="AA281" s="177"/>
      <c r="AB281" s="177"/>
      <c r="AC281" s="178"/>
      <c r="AD281" s="178"/>
      <c r="AE281" s="178"/>
      <c r="AF281" s="178"/>
      <c r="AG281" s="178"/>
      <c r="AH281" s="178"/>
      <c r="AI281" s="178"/>
      <c r="AJ281" s="178"/>
      <c r="AK281" s="178"/>
      <c r="AL281" s="178"/>
      <c r="AM281" s="178"/>
      <c r="AN281" s="178"/>
      <c r="AO281" s="178"/>
      <c r="AP281" s="178"/>
      <c r="AQ281" s="178"/>
      <c r="AR281" s="178"/>
      <c r="AS281" s="178"/>
      <c r="AT281" s="178"/>
      <c r="AU281" s="178"/>
    </row>
    <row r="282" spans="1:170" s="141" customFormat="1" ht="10.3" x14ac:dyDescent="0.25">
      <c r="A282" s="132" t="s">
        <v>0</v>
      </c>
      <c r="B282" s="132" t="s">
        <v>356</v>
      </c>
      <c r="C282" s="132" t="s">
        <v>357</v>
      </c>
      <c r="D282" s="134">
        <v>3.4904109589041097</v>
      </c>
      <c r="E282" s="133">
        <v>15.265599999999999</v>
      </c>
      <c r="F282" s="133">
        <v>16</v>
      </c>
      <c r="G282" s="134">
        <v>7.94</v>
      </c>
      <c r="H282" s="133">
        <v>0</v>
      </c>
      <c r="I282" s="133" t="s">
        <v>952</v>
      </c>
      <c r="J282" s="318" t="s">
        <v>955</v>
      </c>
      <c r="K282" s="318" t="s">
        <v>1407</v>
      </c>
      <c r="L282" s="313"/>
      <c r="M282" s="313" t="s">
        <v>1139</v>
      </c>
      <c r="N282" s="135">
        <v>90</v>
      </c>
      <c r="O282" s="135">
        <v>70</v>
      </c>
      <c r="P282" s="135">
        <v>130</v>
      </c>
      <c r="Q282" s="136">
        <v>113</v>
      </c>
      <c r="R282" s="137">
        <v>45721</v>
      </c>
      <c r="S282" s="138">
        <v>43719</v>
      </c>
      <c r="T282" s="138">
        <v>43719</v>
      </c>
      <c r="U282" s="181">
        <f ca="1">[1]!cb_clause_conversion_2_relativeswapsharemonth(B282)</f>
        <v>6</v>
      </c>
      <c r="V282" s="139"/>
      <c r="W282" s="139"/>
      <c r="X282" s="139"/>
      <c r="Y282" s="139"/>
      <c r="Z282" s="139"/>
      <c r="AA282" s="139"/>
      <c r="AB282" s="139"/>
      <c r="AC282" s="140"/>
      <c r="AD282" s="140"/>
      <c r="AE282" s="140"/>
      <c r="AF282" s="140"/>
      <c r="AG282" s="140"/>
      <c r="AH282" s="140"/>
      <c r="AI282" s="140"/>
      <c r="AJ282" s="140"/>
      <c r="AK282" s="140"/>
      <c r="AL282" s="140"/>
      <c r="AM282" s="140"/>
      <c r="AN282" s="140"/>
      <c r="AO282" s="140"/>
      <c r="AP282" s="140"/>
      <c r="AQ282" s="140"/>
      <c r="AR282" s="140"/>
      <c r="AS282" s="140"/>
      <c r="AT282" s="140"/>
      <c r="AU282" s="140"/>
    </row>
    <row r="283" spans="1:170" s="179" customFormat="1" ht="10.3" x14ac:dyDescent="0.25">
      <c r="A283" s="170" t="s">
        <v>5</v>
      </c>
      <c r="B283" s="170" t="s">
        <v>358</v>
      </c>
      <c r="C283" s="170" t="s">
        <v>359</v>
      </c>
      <c r="D283" s="172">
        <v>3.4904109589041097</v>
      </c>
      <c r="E283" s="171">
        <v>4.9408649999999996</v>
      </c>
      <c r="F283" s="171">
        <v>5.8</v>
      </c>
      <c r="G283" s="172">
        <v>8.5</v>
      </c>
      <c r="H283" s="171">
        <v>0</v>
      </c>
      <c r="I283" s="171" t="s">
        <v>973</v>
      </c>
      <c r="J283" s="317" t="s">
        <v>942</v>
      </c>
      <c r="K283" s="317" t="s">
        <v>1011</v>
      </c>
      <c r="L283" s="311"/>
      <c r="M283" s="311" t="s">
        <v>989</v>
      </c>
      <c r="N283" s="173">
        <v>90</v>
      </c>
      <c r="O283" s="173">
        <v>70</v>
      </c>
      <c r="P283" s="173">
        <v>130</v>
      </c>
      <c r="Q283" s="174">
        <v>112</v>
      </c>
      <c r="R283" s="180">
        <v>45721</v>
      </c>
      <c r="S283" s="175">
        <v>43719</v>
      </c>
      <c r="T283" s="175">
        <v>43719</v>
      </c>
      <c r="U283" s="176">
        <f ca="1">[1]!cb_clause_conversion_2_relativeswapsharemonth(B283)</f>
        <v>6</v>
      </c>
      <c r="V283" s="177"/>
      <c r="W283" s="177"/>
      <c r="X283" s="177"/>
      <c r="Y283" s="177"/>
      <c r="Z283" s="177"/>
      <c r="AA283" s="177"/>
      <c r="AB283" s="177"/>
      <c r="AC283" s="178"/>
      <c r="AD283" s="178"/>
      <c r="AE283" s="178"/>
      <c r="AF283" s="178"/>
      <c r="AG283" s="178"/>
      <c r="AH283" s="178"/>
      <c r="AI283" s="178"/>
      <c r="AJ283" s="178"/>
      <c r="AK283" s="178"/>
      <c r="AL283" s="178"/>
      <c r="AM283" s="178"/>
      <c r="AN283" s="178"/>
      <c r="AO283" s="178"/>
      <c r="AP283" s="178"/>
      <c r="AQ283" s="178"/>
      <c r="AR283" s="178"/>
      <c r="AS283" s="178"/>
      <c r="AT283" s="178"/>
      <c r="AU283" s="178"/>
    </row>
    <row r="284" spans="1:170" s="141" customFormat="1" ht="10.3" x14ac:dyDescent="0.25">
      <c r="A284" s="132" t="s">
        <v>0</v>
      </c>
      <c r="B284" s="132" t="s">
        <v>868</v>
      </c>
      <c r="C284" s="132" t="s">
        <v>869</v>
      </c>
      <c r="D284" s="134">
        <v>3.4876712328767123</v>
      </c>
      <c r="E284" s="133">
        <v>399.99678</v>
      </c>
      <c r="F284" s="133">
        <v>400</v>
      </c>
      <c r="G284" s="134">
        <v>6.73</v>
      </c>
      <c r="H284" s="133">
        <v>71</v>
      </c>
      <c r="I284" s="133" t="s">
        <v>941</v>
      </c>
      <c r="J284" s="318" t="s">
        <v>1775</v>
      </c>
      <c r="K284" s="318" t="s">
        <v>1246</v>
      </c>
      <c r="L284" s="312"/>
      <c r="M284" s="312" t="s">
        <v>1247</v>
      </c>
      <c r="N284" s="135">
        <v>80</v>
      </c>
      <c r="O284" s="135"/>
      <c r="P284" s="135">
        <v>130</v>
      </c>
      <c r="Q284" s="136">
        <v>111</v>
      </c>
      <c r="R284" s="137">
        <v>45720</v>
      </c>
      <c r="S284" s="138">
        <v>43719</v>
      </c>
      <c r="T284" s="138">
        <v>43719</v>
      </c>
      <c r="U284" s="181">
        <f ca="1">[1]!cb_clause_conversion_2_relativeswapsharemonth(B284)</f>
        <v>6</v>
      </c>
      <c r="V284" s="139"/>
      <c r="W284" s="139"/>
      <c r="X284" s="139"/>
      <c r="Y284" s="139"/>
      <c r="Z284" s="139"/>
      <c r="AA284" s="139"/>
      <c r="AB284" s="139"/>
      <c r="AC284" s="140"/>
      <c r="AD284" s="140"/>
      <c r="AE284" s="140"/>
      <c r="AF284" s="140"/>
      <c r="AG284" s="140"/>
      <c r="AH284" s="140"/>
      <c r="AI284" s="140"/>
      <c r="AJ284" s="140"/>
      <c r="AK284" s="140"/>
      <c r="AL284" s="140"/>
      <c r="AM284" s="140"/>
      <c r="AN284" s="140"/>
      <c r="AO284" s="140"/>
      <c r="AP284" s="140"/>
      <c r="AQ284" s="140"/>
      <c r="AR284" s="140"/>
      <c r="AS284" s="140"/>
      <c r="AT284" s="140"/>
      <c r="AU284" s="140"/>
    </row>
    <row r="285" spans="1:170" s="179" customFormat="1" ht="10.3" x14ac:dyDescent="0.25">
      <c r="A285" s="170" t="s">
        <v>0</v>
      </c>
      <c r="B285" s="170" t="s">
        <v>360</v>
      </c>
      <c r="C285" s="170" t="s">
        <v>361</v>
      </c>
      <c r="D285" s="172">
        <v>3.4794520547945207</v>
      </c>
      <c r="E285" s="171">
        <v>5.5044190000000004</v>
      </c>
      <c r="F285" s="171">
        <v>6.3</v>
      </c>
      <c r="G285" s="172">
        <v>23.35</v>
      </c>
      <c r="H285" s="171">
        <v>0</v>
      </c>
      <c r="I285" s="171" t="s">
        <v>973</v>
      </c>
      <c r="J285" s="317" t="s">
        <v>942</v>
      </c>
      <c r="K285" s="317" t="s">
        <v>1276</v>
      </c>
      <c r="L285" s="311"/>
      <c r="M285" s="311" t="s">
        <v>967</v>
      </c>
      <c r="N285" s="173">
        <v>80</v>
      </c>
      <c r="O285" s="173">
        <v>70</v>
      </c>
      <c r="P285" s="173">
        <v>130</v>
      </c>
      <c r="Q285" s="174">
        <v>112</v>
      </c>
      <c r="R285" s="180">
        <v>45717</v>
      </c>
      <c r="S285" s="175">
        <v>43717</v>
      </c>
      <c r="T285" s="175">
        <v>43717</v>
      </c>
      <c r="U285" s="176">
        <f ca="1">[1]!cb_clause_conversion_2_relativeswapsharemonth(B285)</f>
        <v>6</v>
      </c>
      <c r="V285" s="177"/>
      <c r="W285" s="177"/>
      <c r="X285" s="177"/>
      <c r="Y285" s="177"/>
      <c r="Z285" s="177"/>
      <c r="AA285" s="177"/>
      <c r="AB285" s="177"/>
      <c r="AC285" s="178"/>
      <c r="AD285" s="178"/>
      <c r="AE285" s="178"/>
      <c r="AF285" s="178"/>
      <c r="AG285" s="178"/>
      <c r="AH285" s="178"/>
      <c r="AI285" s="178"/>
      <c r="AJ285" s="178"/>
      <c r="AK285" s="178"/>
      <c r="AL285" s="178"/>
      <c r="AM285" s="178"/>
      <c r="AN285" s="178"/>
      <c r="AO285" s="178"/>
      <c r="AP285" s="178"/>
      <c r="AQ285" s="178"/>
      <c r="AR285" s="178"/>
      <c r="AS285" s="178"/>
      <c r="AT285" s="178"/>
      <c r="AU285" s="178"/>
    </row>
    <row r="286" spans="1:170" s="140" customFormat="1" ht="10.3" x14ac:dyDescent="0.25">
      <c r="A286" s="132" t="s">
        <v>5</v>
      </c>
      <c r="B286" s="132" t="s">
        <v>364</v>
      </c>
      <c r="C286" s="132" t="s">
        <v>365</v>
      </c>
      <c r="D286" s="134">
        <v>3.4767123287671233</v>
      </c>
      <c r="E286" s="133">
        <v>1.7227950000000001</v>
      </c>
      <c r="F286" s="133">
        <v>3.7</v>
      </c>
      <c r="G286" s="134">
        <v>6.69</v>
      </c>
      <c r="H286" s="133">
        <v>0</v>
      </c>
      <c r="I286" s="133" t="s">
        <v>1049</v>
      </c>
      <c r="J286" s="318" t="s">
        <v>970</v>
      </c>
      <c r="K286" s="318" t="s">
        <v>1518</v>
      </c>
      <c r="L286" s="313" t="s">
        <v>1572</v>
      </c>
      <c r="M286" s="313" t="s">
        <v>1490</v>
      </c>
      <c r="N286" s="135">
        <v>90</v>
      </c>
      <c r="O286" s="135">
        <v>70</v>
      </c>
      <c r="P286" s="135">
        <v>130</v>
      </c>
      <c r="Q286" s="136">
        <v>115</v>
      </c>
      <c r="R286" s="137">
        <v>45716</v>
      </c>
      <c r="S286" s="138">
        <v>43714</v>
      </c>
      <c r="T286" s="138">
        <v>43714</v>
      </c>
      <c r="U286" s="181">
        <f ca="1">[1]!cb_clause_conversion_2_relativeswapsharemonth(B286)</f>
        <v>6</v>
      </c>
      <c r="V286" s="139"/>
      <c r="W286" s="139"/>
      <c r="X286" s="139"/>
      <c r="Y286" s="139"/>
      <c r="Z286" s="139"/>
      <c r="AA286" s="139"/>
      <c r="AB286" s="139"/>
      <c r="AV286" s="141"/>
      <c r="AW286" s="141"/>
      <c r="AX286" s="141"/>
      <c r="AY286" s="141"/>
      <c r="AZ286" s="141"/>
      <c r="BA286" s="141"/>
      <c r="BB286" s="141"/>
      <c r="BC286" s="141"/>
      <c r="BD286" s="141"/>
      <c r="BE286" s="141"/>
      <c r="BF286" s="141"/>
      <c r="BG286" s="141"/>
      <c r="BH286" s="141"/>
      <c r="BI286" s="141"/>
      <c r="BJ286" s="141"/>
      <c r="BK286" s="141"/>
      <c r="BL286" s="141"/>
      <c r="BM286" s="141"/>
      <c r="BN286" s="141"/>
      <c r="BO286" s="141"/>
      <c r="BP286" s="141"/>
      <c r="BQ286" s="141"/>
      <c r="BR286" s="141"/>
      <c r="BS286" s="141"/>
      <c r="BT286" s="141"/>
      <c r="BU286" s="141"/>
      <c r="BV286" s="141"/>
      <c r="BW286" s="141"/>
      <c r="BX286" s="141"/>
      <c r="BY286" s="141"/>
      <c r="BZ286" s="141"/>
      <c r="CA286" s="141"/>
      <c r="CB286" s="141"/>
      <c r="CC286" s="141"/>
      <c r="CD286" s="141"/>
      <c r="CE286" s="141"/>
      <c r="CF286" s="141"/>
      <c r="CG286" s="141"/>
      <c r="CH286" s="141"/>
      <c r="CI286" s="141"/>
      <c r="CJ286" s="141"/>
      <c r="CK286" s="141"/>
      <c r="CL286" s="141"/>
      <c r="CM286" s="141"/>
      <c r="CN286" s="141"/>
      <c r="CO286" s="141"/>
      <c r="CP286" s="141"/>
      <c r="CQ286" s="141"/>
      <c r="CR286" s="141"/>
      <c r="CS286" s="141"/>
      <c r="CT286" s="141"/>
      <c r="CU286" s="141"/>
      <c r="CV286" s="141"/>
      <c r="CW286" s="141"/>
      <c r="CX286" s="141"/>
      <c r="CY286" s="141"/>
      <c r="CZ286" s="141"/>
      <c r="DA286" s="141"/>
      <c r="DB286" s="141"/>
      <c r="DC286" s="141"/>
      <c r="DD286" s="141"/>
      <c r="DE286" s="141"/>
      <c r="DF286" s="141"/>
      <c r="DG286" s="141"/>
      <c r="DH286" s="141"/>
      <c r="DI286" s="141"/>
      <c r="DJ286" s="141"/>
      <c r="DK286" s="141"/>
      <c r="DL286" s="141"/>
      <c r="DM286" s="141"/>
      <c r="DN286" s="141"/>
      <c r="DO286" s="141"/>
      <c r="DP286" s="141"/>
      <c r="DQ286" s="141"/>
      <c r="DR286" s="141"/>
      <c r="DS286" s="141"/>
      <c r="DT286" s="141"/>
      <c r="DU286" s="141"/>
      <c r="DV286" s="141"/>
      <c r="DW286" s="141"/>
      <c r="DX286" s="141"/>
      <c r="DY286" s="141"/>
      <c r="DZ286" s="141"/>
      <c r="EA286" s="141"/>
      <c r="EB286" s="141"/>
      <c r="EC286" s="141"/>
      <c r="ED286" s="141"/>
      <c r="EE286" s="141"/>
      <c r="EF286" s="141"/>
      <c r="EG286" s="141"/>
      <c r="EH286" s="141"/>
      <c r="EI286" s="141"/>
      <c r="EJ286" s="141"/>
      <c r="EK286" s="141"/>
      <c r="EL286" s="141"/>
      <c r="EM286" s="141"/>
      <c r="EN286" s="141"/>
      <c r="EO286" s="141"/>
      <c r="EP286" s="141"/>
      <c r="EQ286" s="141"/>
      <c r="ER286" s="141"/>
      <c r="ES286" s="141"/>
      <c r="ET286" s="141"/>
      <c r="EU286" s="141"/>
      <c r="EV286" s="141"/>
      <c r="EW286" s="141"/>
      <c r="EX286" s="141"/>
      <c r="EY286" s="141"/>
      <c r="EZ286" s="141"/>
      <c r="FA286" s="141"/>
      <c r="FB286" s="141"/>
      <c r="FC286" s="141"/>
      <c r="FD286" s="141"/>
      <c r="FE286" s="141"/>
      <c r="FF286" s="141"/>
      <c r="FG286" s="141"/>
      <c r="FH286" s="141"/>
      <c r="FI286" s="141"/>
      <c r="FJ286" s="141"/>
      <c r="FK286" s="141"/>
      <c r="FL286" s="141"/>
      <c r="FM286" s="141"/>
      <c r="FN286" s="141"/>
    </row>
    <row r="287" spans="1:170" s="178" customFormat="1" ht="10.3" x14ac:dyDescent="0.25">
      <c r="A287" s="170" t="s">
        <v>0</v>
      </c>
      <c r="B287" s="170" t="s">
        <v>362</v>
      </c>
      <c r="C287" s="170" t="s">
        <v>363</v>
      </c>
      <c r="D287" s="172">
        <v>3.4767123287671233</v>
      </c>
      <c r="E287" s="171">
        <v>39.640369999999997</v>
      </c>
      <c r="F287" s="171">
        <v>39.700000000000003</v>
      </c>
      <c r="G287" s="172">
        <v>9.99</v>
      </c>
      <c r="H287" s="171">
        <v>0</v>
      </c>
      <c r="I287" s="171" t="s">
        <v>935</v>
      </c>
      <c r="J287" s="317" t="s">
        <v>951</v>
      </c>
      <c r="K287" s="317" t="s">
        <v>1057</v>
      </c>
      <c r="L287" s="311"/>
      <c r="M287" s="311" t="s">
        <v>1122</v>
      </c>
      <c r="N287" s="173">
        <v>85</v>
      </c>
      <c r="O287" s="173">
        <v>70</v>
      </c>
      <c r="P287" s="173">
        <v>130</v>
      </c>
      <c r="Q287" s="174">
        <v>109</v>
      </c>
      <c r="R287" s="180">
        <v>45716</v>
      </c>
      <c r="S287" s="175">
        <v>43714</v>
      </c>
      <c r="T287" s="175">
        <v>43714</v>
      </c>
      <c r="U287" s="176">
        <f ca="1">[1]!cb_clause_conversion_2_relativeswapsharemonth(B287)</f>
        <v>6</v>
      </c>
      <c r="V287" s="177"/>
      <c r="W287" s="177"/>
      <c r="X287" s="177"/>
      <c r="Y287" s="177"/>
      <c r="Z287" s="177"/>
      <c r="AA287" s="177"/>
      <c r="AB287" s="177"/>
      <c r="AV287" s="179"/>
      <c r="AW287" s="179"/>
      <c r="AX287" s="179"/>
      <c r="AY287" s="179"/>
      <c r="AZ287" s="179"/>
      <c r="BA287" s="179"/>
      <c r="BB287" s="179"/>
      <c r="BC287" s="179"/>
      <c r="BD287" s="179"/>
      <c r="BE287" s="179"/>
      <c r="BF287" s="179"/>
      <c r="BG287" s="179"/>
      <c r="BH287" s="179"/>
      <c r="BI287" s="179"/>
      <c r="BJ287" s="179"/>
      <c r="BK287" s="179"/>
      <c r="BL287" s="179"/>
      <c r="BM287" s="179"/>
      <c r="BN287" s="179"/>
      <c r="BO287" s="179"/>
      <c r="BP287" s="179"/>
      <c r="BQ287" s="179"/>
      <c r="BR287" s="179"/>
      <c r="BS287" s="179"/>
      <c r="BT287" s="179"/>
      <c r="BU287" s="179"/>
      <c r="BV287" s="179"/>
      <c r="BW287" s="179"/>
      <c r="BX287" s="179"/>
      <c r="BY287" s="179"/>
      <c r="BZ287" s="179"/>
      <c r="CA287" s="179"/>
      <c r="CB287" s="179"/>
      <c r="CC287" s="179"/>
      <c r="CD287" s="179"/>
      <c r="CE287" s="179"/>
      <c r="CF287" s="179"/>
      <c r="CG287" s="179"/>
      <c r="CH287" s="179"/>
      <c r="CI287" s="179"/>
      <c r="CJ287" s="179"/>
      <c r="CK287" s="179"/>
      <c r="CL287" s="179"/>
      <c r="CM287" s="179"/>
      <c r="CN287" s="179"/>
      <c r="CO287" s="179"/>
      <c r="CP287" s="179"/>
      <c r="CQ287" s="179"/>
      <c r="CR287" s="179"/>
      <c r="CS287" s="179"/>
      <c r="CT287" s="179"/>
      <c r="CU287" s="179"/>
      <c r="CV287" s="179"/>
      <c r="CW287" s="179"/>
      <c r="CX287" s="179"/>
      <c r="CY287" s="179"/>
      <c r="CZ287" s="179"/>
      <c r="DA287" s="179"/>
      <c r="DB287" s="179"/>
      <c r="DC287" s="179"/>
      <c r="DD287" s="179"/>
      <c r="DE287" s="179"/>
      <c r="DF287" s="179"/>
      <c r="DG287" s="179"/>
      <c r="DH287" s="179"/>
      <c r="DI287" s="179"/>
      <c r="DJ287" s="179"/>
      <c r="DK287" s="179"/>
      <c r="DL287" s="179"/>
      <c r="DM287" s="179"/>
      <c r="DN287" s="179"/>
      <c r="DO287" s="179"/>
      <c r="DP287" s="179"/>
      <c r="DQ287" s="179"/>
      <c r="DR287" s="179"/>
      <c r="DS287" s="179"/>
      <c r="DT287" s="179"/>
      <c r="DU287" s="179"/>
      <c r="DV287" s="179"/>
      <c r="DW287" s="179"/>
      <c r="DX287" s="179"/>
      <c r="DY287" s="179"/>
      <c r="DZ287" s="179"/>
      <c r="EA287" s="179"/>
      <c r="EB287" s="179"/>
      <c r="EC287" s="179"/>
      <c r="ED287" s="179"/>
      <c r="EE287" s="179"/>
      <c r="EF287" s="179"/>
      <c r="EG287" s="179"/>
      <c r="EH287" s="179"/>
      <c r="EI287" s="179"/>
      <c r="EJ287" s="179"/>
      <c r="EK287" s="179"/>
      <c r="EL287" s="179"/>
      <c r="EM287" s="179"/>
      <c r="EN287" s="179"/>
      <c r="EO287" s="179"/>
      <c r="EP287" s="179"/>
      <c r="EQ287" s="179"/>
      <c r="ER287" s="179"/>
      <c r="ES287" s="179"/>
      <c r="ET287" s="179"/>
      <c r="EU287" s="179"/>
      <c r="EV287" s="179"/>
      <c r="EW287" s="179"/>
      <c r="EX287" s="179"/>
      <c r="EY287" s="179"/>
      <c r="EZ287" s="179"/>
      <c r="FA287" s="179"/>
      <c r="FB287" s="179"/>
      <c r="FC287" s="179"/>
      <c r="FD287" s="179"/>
      <c r="FE287" s="179"/>
      <c r="FF287" s="179"/>
      <c r="FG287" s="179"/>
      <c r="FH287" s="179"/>
      <c r="FI287" s="179"/>
      <c r="FJ287" s="179"/>
      <c r="FK287" s="179"/>
      <c r="FL287" s="179"/>
      <c r="FM287" s="179"/>
      <c r="FN287" s="179"/>
    </row>
    <row r="288" spans="1:170" s="140" customFormat="1" ht="10.3" x14ac:dyDescent="0.25">
      <c r="A288" s="132" t="s">
        <v>5</v>
      </c>
      <c r="B288" s="132" t="s">
        <v>366</v>
      </c>
      <c r="C288" s="132" t="s">
        <v>367</v>
      </c>
      <c r="D288" s="134">
        <v>3.4383561643835616</v>
      </c>
      <c r="E288" s="133">
        <v>1.9052</v>
      </c>
      <c r="F288" s="133">
        <v>7.5</v>
      </c>
      <c r="G288" s="134">
        <v>4.88</v>
      </c>
      <c r="H288" s="133">
        <v>0</v>
      </c>
      <c r="I288" s="133" t="s">
        <v>957</v>
      </c>
      <c r="J288" s="318" t="s">
        <v>942</v>
      </c>
      <c r="K288" s="318" t="s">
        <v>1121</v>
      </c>
      <c r="L288" s="312"/>
      <c r="M288" s="312" t="s">
        <v>985</v>
      </c>
      <c r="N288" s="135">
        <v>90</v>
      </c>
      <c r="O288" s="135">
        <v>70</v>
      </c>
      <c r="P288" s="135">
        <v>130</v>
      </c>
      <c r="Q288" s="136">
        <v>110</v>
      </c>
      <c r="R288" s="137">
        <v>45702</v>
      </c>
      <c r="S288" s="138">
        <v>43698</v>
      </c>
      <c r="T288" s="138">
        <v>43698</v>
      </c>
      <c r="U288" s="181">
        <f ca="1">[1]!cb_clause_conversion_2_relativeswapsharemonth(B288)</f>
        <v>6</v>
      </c>
      <c r="V288" s="139"/>
      <c r="W288" s="139"/>
      <c r="X288" s="139"/>
      <c r="Y288" s="139"/>
      <c r="Z288" s="139"/>
      <c r="AA288" s="139"/>
      <c r="AB288" s="139"/>
      <c r="AV288" s="141"/>
      <c r="AW288" s="141"/>
      <c r="AX288" s="141"/>
      <c r="AY288" s="141"/>
      <c r="AZ288" s="141"/>
      <c r="BA288" s="141"/>
      <c r="BB288" s="141"/>
      <c r="BC288" s="141"/>
      <c r="BD288" s="141"/>
      <c r="BE288" s="141"/>
      <c r="BF288" s="141"/>
      <c r="BG288" s="141"/>
      <c r="BH288" s="141"/>
      <c r="BI288" s="141"/>
      <c r="BJ288" s="141"/>
      <c r="BK288" s="141"/>
      <c r="BL288" s="141"/>
      <c r="BM288" s="141"/>
      <c r="BN288" s="141"/>
      <c r="BO288" s="141"/>
      <c r="BP288" s="141"/>
      <c r="BQ288" s="141"/>
      <c r="BR288" s="141"/>
      <c r="BS288" s="141"/>
      <c r="BT288" s="141"/>
      <c r="BU288" s="141"/>
      <c r="BV288" s="141"/>
      <c r="BW288" s="141"/>
      <c r="BX288" s="141"/>
      <c r="BY288" s="141"/>
      <c r="BZ288" s="141"/>
      <c r="CA288" s="141"/>
      <c r="CB288" s="141"/>
      <c r="CC288" s="141"/>
      <c r="CD288" s="141"/>
      <c r="CE288" s="141"/>
      <c r="CF288" s="141"/>
      <c r="CG288" s="141"/>
      <c r="CH288" s="141"/>
      <c r="CI288" s="141"/>
      <c r="CJ288" s="141"/>
      <c r="CK288" s="141"/>
      <c r="CL288" s="141"/>
      <c r="CM288" s="141"/>
      <c r="CN288" s="141"/>
      <c r="CO288" s="141"/>
      <c r="CP288" s="141"/>
      <c r="CQ288" s="141"/>
      <c r="CR288" s="141"/>
      <c r="CS288" s="141"/>
      <c r="CT288" s="141"/>
      <c r="CU288" s="141"/>
      <c r="CV288" s="141"/>
      <c r="CW288" s="141"/>
      <c r="CX288" s="141"/>
      <c r="CY288" s="141"/>
      <c r="CZ288" s="141"/>
      <c r="DA288" s="141"/>
      <c r="DB288" s="141"/>
      <c r="DC288" s="141"/>
      <c r="DD288" s="141"/>
      <c r="DE288" s="141"/>
      <c r="DF288" s="141"/>
      <c r="DG288" s="141"/>
      <c r="DH288" s="141"/>
      <c r="DI288" s="141"/>
      <c r="DJ288" s="141"/>
      <c r="DK288" s="141"/>
      <c r="DL288" s="141"/>
      <c r="DM288" s="141"/>
      <c r="DN288" s="141"/>
      <c r="DO288" s="141"/>
      <c r="DP288" s="141"/>
      <c r="DQ288" s="141"/>
      <c r="DR288" s="141"/>
      <c r="DS288" s="141"/>
      <c r="DT288" s="141"/>
      <c r="DU288" s="141"/>
      <c r="DV288" s="141"/>
      <c r="DW288" s="141"/>
      <c r="DX288" s="141"/>
      <c r="DY288" s="141"/>
      <c r="DZ288" s="141"/>
      <c r="EA288" s="141"/>
      <c r="EB288" s="141"/>
      <c r="EC288" s="141"/>
      <c r="ED288" s="141"/>
      <c r="EE288" s="141"/>
      <c r="EF288" s="141"/>
      <c r="EG288" s="141"/>
      <c r="EH288" s="141"/>
      <c r="EI288" s="141"/>
      <c r="EJ288" s="141"/>
      <c r="EK288" s="141"/>
      <c r="EL288" s="141"/>
      <c r="EM288" s="141"/>
      <c r="EN288" s="141"/>
      <c r="EO288" s="141"/>
      <c r="EP288" s="141"/>
      <c r="EQ288" s="141"/>
      <c r="ER288" s="141"/>
      <c r="ES288" s="141"/>
      <c r="ET288" s="141"/>
      <c r="EU288" s="141"/>
      <c r="EV288" s="141"/>
      <c r="EW288" s="141"/>
      <c r="EX288" s="141"/>
      <c r="EY288" s="141"/>
      <c r="EZ288" s="141"/>
      <c r="FA288" s="141"/>
      <c r="FB288" s="141"/>
      <c r="FC288" s="141"/>
      <c r="FD288" s="141"/>
      <c r="FE288" s="141"/>
      <c r="FF288" s="141"/>
      <c r="FG288" s="141"/>
      <c r="FH288" s="141"/>
      <c r="FI288" s="141"/>
      <c r="FJ288" s="141"/>
      <c r="FK288" s="141"/>
      <c r="FL288" s="141"/>
      <c r="FM288" s="141"/>
      <c r="FN288" s="141"/>
    </row>
    <row r="289" spans="1:170" s="178" customFormat="1" ht="10.3" x14ac:dyDescent="0.25">
      <c r="A289" s="170" t="s">
        <v>0</v>
      </c>
      <c r="B289" s="170" t="s">
        <v>368</v>
      </c>
      <c r="C289" s="170" t="s">
        <v>369</v>
      </c>
      <c r="D289" s="172">
        <v>3.3808219178082193</v>
      </c>
      <c r="E289" s="171">
        <v>2.8683169999999998</v>
      </c>
      <c r="F289" s="171">
        <v>7.5</v>
      </c>
      <c r="G289" s="172">
        <v>9.85</v>
      </c>
      <c r="H289" s="171">
        <v>0</v>
      </c>
      <c r="I289" s="171" t="s">
        <v>957</v>
      </c>
      <c r="J289" s="317" t="s">
        <v>968</v>
      </c>
      <c r="K289" s="317" t="s">
        <v>1095</v>
      </c>
      <c r="L289" s="311"/>
      <c r="M289" s="311" t="s">
        <v>943</v>
      </c>
      <c r="N289" s="173">
        <v>90</v>
      </c>
      <c r="O289" s="173">
        <v>70</v>
      </c>
      <c r="P289" s="173">
        <v>130</v>
      </c>
      <c r="Q289" s="174">
        <v>115</v>
      </c>
      <c r="R289" s="180">
        <v>45681</v>
      </c>
      <c r="S289" s="175">
        <v>43676</v>
      </c>
      <c r="T289" s="175">
        <v>43676</v>
      </c>
      <c r="U289" s="176">
        <f ca="1">[1]!cb_clause_conversion_2_relativeswapsharemonth(B289)</f>
        <v>6</v>
      </c>
      <c r="V289" s="177"/>
      <c r="W289" s="177"/>
      <c r="X289" s="177"/>
      <c r="Y289" s="177"/>
      <c r="Z289" s="177"/>
      <c r="AA289" s="177"/>
      <c r="AB289" s="177"/>
      <c r="AV289" s="179"/>
      <c r="AW289" s="179"/>
      <c r="AX289" s="179"/>
      <c r="AY289" s="179"/>
      <c r="AZ289" s="179"/>
      <c r="BA289" s="179"/>
      <c r="BB289" s="179"/>
      <c r="BC289" s="179"/>
      <c r="BD289" s="179"/>
      <c r="BE289" s="179"/>
      <c r="BF289" s="179"/>
      <c r="BG289" s="179"/>
      <c r="BH289" s="179"/>
      <c r="BI289" s="179"/>
      <c r="BJ289" s="179"/>
      <c r="BK289" s="179"/>
      <c r="BL289" s="179"/>
      <c r="BM289" s="179"/>
      <c r="BN289" s="179"/>
      <c r="BO289" s="179"/>
      <c r="BP289" s="179"/>
      <c r="BQ289" s="179"/>
      <c r="BR289" s="179"/>
      <c r="BS289" s="179"/>
      <c r="BT289" s="179"/>
      <c r="BU289" s="179"/>
      <c r="BV289" s="179"/>
      <c r="BW289" s="179"/>
      <c r="BX289" s="179"/>
      <c r="BY289" s="179"/>
      <c r="BZ289" s="179"/>
      <c r="CA289" s="179"/>
      <c r="CB289" s="179"/>
      <c r="CC289" s="179"/>
      <c r="CD289" s="179"/>
      <c r="CE289" s="179"/>
      <c r="CF289" s="179"/>
      <c r="CG289" s="179"/>
      <c r="CH289" s="179"/>
      <c r="CI289" s="179"/>
      <c r="CJ289" s="179"/>
      <c r="CK289" s="179"/>
      <c r="CL289" s="179"/>
      <c r="CM289" s="179"/>
      <c r="CN289" s="179"/>
      <c r="CO289" s="179"/>
      <c r="CP289" s="179"/>
      <c r="CQ289" s="179"/>
      <c r="CR289" s="179"/>
      <c r="CS289" s="179"/>
      <c r="CT289" s="179"/>
      <c r="CU289" s="179"/>
      <c r="CV289" s="179"/>
      <c r="CW289" s="179"/>
      <c r="CX289" s="179"/>
      <c r="CY289" s="179"/>
      <c r="CZ289" s="179"/>
      <c r="DA289" s="179"/>
      <c r="DB289" s="179"/>
      <c r="DC289" s="179"/>
      <c r="DD289" s="179"/>
      <c r="DE289" s="179"/>
      <c r="DF289" s="179"/>
      <c r="DG289" s="179"/>
      <c r="DH289" s="179"/>
      <c r="DI289" s="179"/>
      <c r="DJ289" s="179"/>
      <c r="DK289" s="179"/>
      <c r="DL289" s="179"/>
      <c r="DM289" s="179"/>
      <c r="DN289" s="179"/>
      <c r="DO289" s="179"/>
      <c r="DP289" s="179"/>
      <c r="DQ289" s="179"/>
      <c r="DR289" s="179"/>
      <c r="DS289" s="179"/>
      <c r="DT289" s="179"/>
      <c r="DU289" s="179"/>
      <c r="DV289" s="179"/>
      <c r="DW289" s="179"/>
      <c r="DX289" s="179"/>
      <c r="DY289" s="179"/>
      <c r="DZ289" s="179"/>
      <c r="EA289" s="179"/>
      <c r="EB289" s="179"/>
      <c r="EC289" s="179"/>
      <c r="ED289" s="179"/>
      <c r="EE289" s="179"/>
      <c r="EF289" s="179"/>
      <c r="EG289" s="179"/>
      <c r="EH289" s="179"/>
      <c r="EI289" s="179"/>
      <c r="EJ289" s="179"/>
      <c r="EK289" s="179"/>
      <c r="EL289" s="179"/>
      <c r="EM289" s="179"/>
      <c r="EN289" s="179"/>
      <c r="EO289" s="179"/>
      <c r="EP289" s="179"/>
      <c r="EQ289" s="179"/>
      <c r="ER289" s="179"/>
      <c r="ES289" s="179"/>
      <c r="ET289" s="179"/>
      <c r="EU289" s="179"/>
      <c r="EV289" s="179"/>
      <c r="EW289" s="179"/>
      <c r="EX289" s="179"/>
      <c r="EY289" s="179"/>
      <c r="EZ289" s="179"/>
      <c r="FA289" s="179"/>
      <c r="FB289" s="179"/>
      <c r="FC289" s="179"/>
      <c r="FD289" s="179"/>
      <c r="FE289" s="179"/>
      <c r="FF289" s="179"/>
      <c r="FG289" s="179"/>
      <c r="FH289" s="179"/>
      <c r="FI289" s="179"/>
      <c r="FJ289" s="179"/>
      <c r="FK289" s="179"/>
      <c r="FL289" s="179"/>
      <c r="FM289" s="179"/>
      <c r="FN289" s="179"/>
    </row>
    <row r="290" spans="1:170" s="140" customFormat="1" ht="10.3" x14ac:dyDescent="0.25">
      <c r="A290" s="132" t="s">
        <v>0</v>
      </c>
      <c r="B290" s="132" t="s">
        <v>370</v>
      </c>
      <c r="C290" s="132" t="s">
        <v>371</v>
      </c>
      <c r="D290" s="134">
        <v>3.3780821917808219</v>
      </c>
      <c r="E290" s="133">
        <v>1.9306099999999999</v>
      </c>
      <c r="F290" s="133">
        <v>3.9</v>
      </c>
      <c r="G290" s="134">
        <v>6.11</v>
      </c>
      <c r="H290" s="133">
        <v>0</v>
      </c>
      <c r="I290" s="133" t="s">
        <v>935</v>
      </c>
      <c r="J290" s="318" t="s">
        <v>974</v>
      </c>
      <c r="K290" s="318" t="s">
        <v>1440</v>
      </c>
      <c r="L290" s="312" t="s">
        <v>1573</v>
      </c>
      <c r="M290" s="312" t="s">
        <v>972</v>
      </c>
      <c r="N290" s="135">
        <v>90</v>
      </c>
      <c r="O290" s="135">
        <v>70</v>
      </c>
      <c r="P290" s="135">
        <v>130</v>
      </c>
      <c r="Q290" s="136">
        <v>106</v>
      </c>
      <c r="R290" s="137">
        <v>45680</v>
      </c>
      <c r="S290" s="138">
        <v>43675</v>
      </c>
      <c r="T290" s="138">
        <v>43675</v>
      </c>
      <c r="U290" s="181">
        <f ca="1">[1]!cb_clause_conversion_2_relativeswapsharemonth(B290)</f>
        <v>6</v>
      </c>
      <c r="V290" s="139"/>
      <c r="W290" s="139"/>
      <c r="X290" s="139"/>
      <c r="Y290" s="139"/>
      <c r="Z290" s="139"/>
      <c r="AA290" s="139"/>
      <c r="AB290" s="139"/>
      <c r="AV290" s="141"/>
      <c r="AW290" s="141"/>
      <c r="AX290" s="141"/>
      <c r="AY290" s="141"/>
      <c r="AZ290" s="141"/>
      <c r="BA290" s="141"/>
      <c r="BB290" s="141"/>
      <c r="BC290" s="141"/>
      <c r="BD290" s="141"/>
      <c r="BE290" s="141"/>
      <c r="BF290" s="141"/>
      <c r="BG290" s="141"/>
      <c r="BH290" s="141"/>
      <c r="BI290" s="141"/>
      <c r="BJ290" s="141"/>
      <c r="BK290" s="141"/>
      <c r="BL290" s="141"/>
      <c r="BM290" s="141"/>
      <c r="BN290" s="141"/>
      <c r="BO290" s="141"/>
      <c r="BP290" s="141"/>
      <c r="BQ290" s="141"/>
      <c r="BR290" s="141"/>
      <c r="BS290" s="141"/>
      <c r="BT290" s="141"/>
      <c r="BU290" s="141"/>
      <c r="BV290" s="141"/>
      <c r="BW290" s="141"/>
      <c r="BX290" s="141"/>
      <c r="BY290" s="141"/>
      <c r="BZ290" s="141"/>
      <c r="CA290" s="141"/>
      <c r="CB290" s="141"/>
      <c r="CC290" s="141"/>
      <c r="CD290" s="141"/>
      <c r="CE290" s="141"/>
      <c r="CF290" s="141"/>
      <c r="CG290" s="141"/>
      <c r="CH290" s="141"/>
      <c r="CI290" s="141"/>
      <c r="CJ290" s="141"/>
      <c r="CK290" s="141"/>
      <c r="CL290" s="141"/>
      <c r="CM290" s="141"/>
      <c r="CN290" s="141"/>
      <c r="CO290" s="141"/>
      <c r="CP290" s="141"/>
      <c r="CQ290" s="141"/>
      <c r="CR290" s="141"/>
      <c r="CS290" s="141"/>
      <c r="CT290" s="141"/>
      <c r="CU290" s="141"/>
      <c r="CV290" s="141"/>
      <c r="CW290" s="141"/>
      <c r="CX290" s="141"/>
      <c r="CY290" s="141"/>
      <c r="CZ290" s="141"/>
      <c r="DA290" s="141"/>
      <c r="DB290" s="141"/>
      <c r="DC290" s="141"/>
      <c r="DD290" s="141"/>
      <c r="DE290" s="141"/>
      <c r="DF290" s="141"/>
      <c r="DG290" s="141"/>
      <c r="DH290" s="141"/>
      <c r="DI290" s="141"/>
      <c r="DJ290" s="141"/>
      <c r="DK290" s="141"/>
      <c r="DL290" s="141"/>
      <c r="DM290" s="141"/>
      <c r="DN290" s="141"/>
      <c r="DO290" s="141"/>
      <c r="DP290" s="141"/>
      <c r="DQ290" s="141"/>
      <c r="DR290" s="141"/>
      <c r="DS290" s="141"/>
      <c r="DT290" s="141"/>
      <c r="DU290" s="141"/>
      <c r="DV290" s="141"/>
      <c r="DW290" s="141"/>
      <c r="DX290" s="141"/>
      <c r="DY290" s="141"/>
      <c r="DZ290" s="141"/>
      <c r="EA290" s="141"/>
      <c r="EB290" s="141"/>
      <c r="EC290" s="141"/>
      <c r="ED290" s="141"/>
      <c r="EE290" s="141"/>
      <c r="EF290" s="141"/>
      <c r="EG290" s="141"/>
      <c r="EH290" s="141"/>
      <c r="EI290" s="141"/>
      <c r="EJ290" s="141"/>
      <c r="EK290" s="141"/>
      <c r="EL290" s="141"/>
      <c r="EM290" s="141"/>
      <c r="EN290" s="141"/>
      <c r="EO290" s="141"/>
      <c r="EP290" s="141"/>
      <c r="EQ290" s="141"/>
      <c r="ER290" s="141"/>
      <c r="ES290" s="141"/>
      <c r="ET290" s="141"/>
      <c r="EU290" s="141"/>
      <c r="EV290" s="141"/>
      <c r="EW290" s="141"/>
      <c r="EX290" s="141"/>
      <c r="EY290" s="141"/>
      <c r="EZ290" s="141"/>
      <c r="FA290" s="141"/>
      <c r="FB290" s="141"/>
      <c r="FC290" s="141"/>
      <c r="FD290" s="141"/>
      <c r="FE290" s="141"/>
      <c r="FF290" s="141"/>
      <c r="FG290" s="141"/>
      <c r="FH290" s="141"/>
      <c r="FI290" s="141"/>
      <c r="FJ290" s="141"/>
      <c r="FK290" s="141"/>
      <c r="FL290" s="141"/>
      <c r="FM290" s="141"/>
      <c r="FN290" s="141"/>
    </row>
    <row r="291" spans="1:170" s="178" customFormat="1" ht="10.3" x14ac:dyDescent="0.25">
      <c r="A291" s="170" t="s">
        <v>5</v>
      </c>
      <c r="B291" s="170" t="s">
        <v>372</v>
      </c>
      <c r="C291" s="170" t="s">
        <v>373</v>
      </c>
      <c r="D291" s="172">
        <v>3.3397260273972602</v>
      </c>
      <c r="E291" s="171">
        <v>15</v>
      </c>
      <c r="F291" s="171">
        <v>15</v>
      </c>
      <c r="G291" s="172">
        <v>4.92</v>
      </c>
      <c r="H291" s="171">
        <v>100</v>
      </c>
      <c r="I291" s="171" t="s">
        <v>941</v>
      </c>
      <c r="J291" s="317" t="s">
        <v>968</v>
      </c>
      <c r="K291" s="317" t="s">
        <v>1015</v>
      </c>
      <c r="L291" s="311"/>
      <c r="M291" s="311" t="s">
        <v>1016</v>
      </c>
      <c r="N291" s="173">
        <v>85</v>
      </c>
      <c r="O291" s="173">
        <v>70</v>
      </c>
      <c r="P291" s="173">
        <v>130</v>
      </c>
      <c r="Q291" s="174">
        <v>111</v>
      </c>
      <c r="R291" s="180">
        <v>45666</v>
      </c>
      <c r="S291" s="175">
        <v>44434</v>
      </c>
      <c r="T291" s="175">
        <v>44434</v>
      </c>
      <c r="U291" s="176">
        <f ca="1">[1]!cb_clause_conversion_2_relativeswapsharemonth(B291)</f>
        <v>19</v>
      </c>
      <c r="V291" s="177"/>
      <c r="W291" s="177"/>
      <c r="X291" s="177"/>
      <c r="Y291" s="177"/>
      <c r="Z291" s="177"/>
      <c r="AA291" s="177"/>
      <c r="AB291" s="177"/>
      <c r="AV291" s="179"/>
      <c r="AW291" s="179"/>
      <c r="AX291" s="179"/>
      <c r="AY291" s="179"/>
      <c r="AZ291" s="179"/>
      <c r="BA291" s="179"/>
      <c r="BB291" s="179"/>
      <c r="BC291" s="179"/>
      <c r="BD291" s="179"/>
      <c r="BE291" s="179"/>
      <c r="BF291" s="179"/>
      <c r="BG291" s="179"/>
      <c r="BH291" s="179"/>
      <c r="BI291" s="179"/>
      <c r="BJ291" s="179"/>
      <c r="BK291" s="179"/>
      <c r="BL291" s="179"/>
      <c r="BM291" s="179"/>
      <c r="BN291" s="179"/>
      <c r="BO291" s="179"/>
      <c r="BP291" s="179"/>
      <c r="BQ291" s="179"/>
      <c r="BR291" s="179"/>
      <c r="BS291" s="179"/>
      <c r="BT291" s="179"/>
      <c r="BU291" s="179"/>
      <c r="BV291" s="179"/>
      <c r="BW291" s="179"/>
      <c r="BX291" s="179"/>
      <c r="BY291" s="179"/>
      <c r="BZ291" s="179"/>
      <c r="CA291" s="179"/>
      <c r="CB291" s="179"/>
      <c r="CC291" s="179"/>
      <c r="CD291" s="179"/>
      <c r="CE291" s="179"/>
      <c r="CF291" s="179"/>
      <c r="CG291" s="179"/>
      <c r="CH291" s="179"/>
      <c r="CI291" s="179"/>
      <c r="CJ291" s="179"/>
      <c r="CK291" s="179"/>
      <c r="CL291" s="179"/>
      <c r="CM291" s="179"/>
      <c r="CN291" s="179"/>
      <c r="CO291" s="179"/>
      <c r="CP291" s="179"/>
      <c r="CQ291" s="179"/>
      <c r="CR291" s="179"/>
      <c r="CS291" s="179"/>
      <c r="CT291" s="179"/>
      <c r="CU291" s="179"/>
      <c r="CV291" s="179"/>
      <c r="CW291" s="179"/>
      <c r="CX291" s="179"/>
      <c r="CY291" s="179"/>
      <c r="CZ291" s="179"/>
      <c r="DA291" s="179"/>
      <c r="DB291" s="179"/>
      <c r="DC291" s="179"/>
      <c r="DD291" s="179"/>
      <c r="DE291" s="179"/>
      <c r="DF291" s="179"/>
      <c r="DG291" s="179"/>
      <c r="DH291" s="179"/>
      <c r="DI291" s="179"/>
      <c r="DJ291" s="179"/>
      <c r="DK291" s="179"/>
      <c r="DL291" s="179"/>
      <c r="DM291" s="179"/>
      <c r="DN291" s="179"/>
      <c r="DO291" s="179"/>
      <c r="DP291" s="179"/>
      <c r="DQ291" s="179"/>
      <c r="DR291" s="179"/>
      <c r="DS291" s="179"/>
      <c r="DT291" s="179"/>
      <c r="DU291" s="179"/>
      <c r="DV291" s="179"/>
      <c r="DW291" s="179"/>
      <c r="DX291" s="179"/>
      <c r="DY291" s="179"/>
      <c r="DZ291" s="179"/>
      <c r="EA291" s="179"/>
      <c r="EB291" s="179"/>
      <c r="EC291" s="179"/>
      <c r="ED291" s="179"/>
      <c r="EE291" s="179"/>
      <c r="EF291" s="179"/>
      <c r="EG291" s="179"/>
      <c r="EH291" s="179"/>
      <c r="EI291" s="179"/>
      <c r="EJ291" s="179"/>
      <c r="EK291" s="179"/>
      <c r="EL291" s="179"/>
      <c r="EM291" s="179"/>
      <c r="EN291" s="179"/>
      <c r="EO291" s="179"/>
      <c r="EP291" s="179"/>
      <c r="EQ291" s="179"/>
      <c r="ER291" s="179"/>
      <c r="ES291" s="179"/>
      <c r="ET291" s="179"/>
      <c r="EU291" s="179"/>
      <c r="EV291" s="179"/>
      <c r="EW291" s="179"/>
      <c r="EX291" s="179"/>
      <c r="EY291" s="179"/>
      <c r="EZ291" s="179"/>
      <c r="FA291" s="179"/>
      <c r="FB291" s="179"/>
      <c r="FC291" s="179"/>
      <c r="FD291" s="179"/>
      <c r="FE291" s="179"/>
      <c r="FF291" s="179"/>
      <c r="FG291" s="179"/>
      <c r="FH291" s="179"/>
      <c r="FI291" s="179"/>
      <c r="FJ291" s="179"/>
      <c r="FK291" s="179"/>
      <c r="FL291" s="179"/>
      <c r="FM291" s="179"/>
      <c r="FN291" s="179"/>
    </row>
    <row r="292" spans="1:170" s="140" customFormat="1" ht="10.3" x14ac:dyDescent="0.25">
      <c r="A292" s="132" t="s">
        <v>5</v>
      </c>
      <c r="B292" s="132" t="s">
        <v>374</v>
      </c>
      <c r="C292" s="132" t="s">
        <v>375</v>
      </c>
      <c r="D292" s="134">
        <v>3.2876712328767121</v>
      </c>
      <c r="E292" s="133">
        <v>0</v>
      </c>
      <c r="F292" s="133">
        <v>3.3</v>
      </c>
      <c r="G292" s="134">
        <v>6.67</v>
      </c>
      <c r="H292" s="133">
        <v>0</v>
      </c>
      <c r="I292" s="133" t="s">
        <v>957</v>
      </c>
      <c r="J292" s="318" t="s">
        <v>988</v>
      </c>
      <c r="K292" s="318" t="s">
        <v>1059</v>
      </c>
      <c r="L292" s="312" t="s">
        <v>1574</v>
      </c>
      <c r="M292" s="312" t="s">
        <v>975</v>
      </c>
      <c r="N292" s="135">
        <v>90</v>
      </c>
      <c r="O292" s="135">
        <v>70</v>
      </c>
      <c r="P292" s="135">
        <v>130</v>
      </c>
      <c r="Q292" s="136">
        <v>110</v>
      </c>
      <c r="R292" s="137">
        <v>45647</v>
      </c>
      <c r="S292" s="138">
        <v>43643</v>
      </c>
      <c r="T292" s="138">
        <v>43643</v>
      </c>
      <c r="U292" s="181">
        <f ca="1">[1]!cb_clause_conversion_2_relativeswapsharemonth(B292)</f>
        <v>6</v>
      </c>
      <c r="V292" s="139"/>
      <c r="W292" s="139"/>
      <c r="X292" s="139"/>
      <c r="Y292" s="139"/>
      <c r="Z292" s="139"/>
      <c r="AA292" s="139"/>
      <c r="AB292" s="139"/>
      <c r="AV292" s="141"/>
      <c r="AW292" s="141"/>
      <c r="AX292" s="141"/>
      <c r="AY292" s="141"/>
      <c r="AZ292" s="141"/>
      <c r="BA292" s="141"/>
      <c r="BB292" s="141"/>
      <c r="BC292" s="141"/>
      <c r="BD292" s="141"/>
      <c r="BE292" s="141"/>
      <c r="BF292" s="141"/>
      <c r="BG292" s="141"/>
      <c r="BH292" s="141"/>
      <c r="BI292" s="141"/>
      <c r="BJ292" s="141"/>
      <c r="BK292" s="141"/>
      <c r="BL292" s="141"/>
      <c r="BM292" s="141"/>
      <c r="BN292" s="141"/>
      <c r="BO292" s="141"/>
      <c r="BP292" s="141"/>
      <c r="BQ292" s="141"/>
      <c r="BR292" s="141"/>
      <c r="BS292" s="141"/>
      <c r="BT292" s="141"/>
      <c r="BU292" s="141"/>
      <c r="BV292" s="141"/>
      <c r="BW292" s="141"/>
      <c r="BX292" s="141"/>
      <c r="BY292" s="141"/>
      <c r="BZ292" s="141"/>
      <c r="CA292" s="141"/>
      <c r="CB292" s="141"/>
      <c r="CC292" s="141"/>
      <c r="CD292" s="141"/>
      <c r="CE292" s="141"/>
      <c r="CF292" s="141"/>
      <c r="CG292" s="141"/>
      <c r="CH292" s="141"/>
      <c r="CI292" s="141"/>
      <c r="CJ292" s="141"/>
      <c r="CK292" s="141"/>
      <c r="CL292" s="141"/>
      <c r="CM292" s="141"/>
      <c r="CN292" s="141"/>
      <c r="CO292" s="141"/>
      <c r="CP292" s="141"/>
      <c r="CQ292" s="141"/>
      <c r="CR292" s="141"/>
      <c r="CS292" s="141"/>
      <c r="CT292" s="141"/>
      <c r="CU292" s="141"/>
      <c r="CV292" s="141"/>
      <c r="CW292" s="141"/>
      <c r="CX292" s="141"/>
      <c r="CY292" s="141"/>
      <c r="CZ292" s="141"/>
      <c r="DA292" s="141"/>
      <c r="DB292" s="141"/>
      <c r="DC292" s="141"/>
      <c r="DD292" s="141"/>
      <c r="DE292" s="141"/>
      <c r="DF292" s="141"/>
      <c r="DG292" s="141"/>
      <c r="DH292" s="141"/>
      <c r="DI292" s="141"/>
      <c r="DJ292" s="141"/>
      <c r="DK292" s="141"/>
      <c r="DL292" s="141"/>
      <c r="DM292" s="141"/>
      <c r="DN292" s="141"/>
      <c r="DO292" s="141"/>
      <c r="DP292" s="141"/>
      <c r="DQ292" s="141"/>
      <c r="DR292" s="141"/>
      <c r="DS292" s="141"/>
      <c r="DT292" s="141"/>
      <c r="DU292" s="141"/>
      <c r="DV292" s="141"/>
      <c r="DW292" s="141"/>
      <c r="DX292" s="141"/>
      <c r="DY292" s="141"/>
      <c r="DZ292" s="141"/>
      <c r="EA292" s="141"/>
      <c r="EB292" s="141"/>
      <c r="EC292" s="141"/>
      <c r="ED292" s="141"/>
      <c r="EE292" s="141"/>
      <c r="EF292" s="141"/>
      <c r="EG292" s="141"/>
      <c r="EH292" s="141"/>
      <c r="EI292" s="141"/>
      <c r="EJ292" s="141"/>
      <c r="EK292" s="141"/>
      <c r="EL292" s="141"/>
      <c r="EM292" s="141"/>
      <c r="EN292" s="141"/>
      <c r="EO292" s="141"/>
      <c r="EP292" s="141"/>
      <c r="EQ292" s="141"/>
      <c r="ER292" s="141"/>
      <c r="ES292" s="141"/>
      <c r="ET292" s="141"/>
      <c r="EU292" s="141"/>
      <c r="EV292" s="141"/>
      <c r="EW292" s="141"/>
      <c r="EX292" s="141"/>
      <c r="EY292" s="141"/>
      <c r="EZ292" s="141"/>
      <c r="FA292" s="141"/>
      <c r="FB292" s="141"/>
      <c r="FC292" s="141"/>
      <c r="FD292" s="141"/>
      <c r="FE292" s="141"/>
      <c r="FF292" s="141"/>
      <c r="FG292" s="141"/>
      <c r="FH292" s="141"/>
      <c r="FI292" s="141"/>
      <c r="FJ292" s="141"/>
      <c r="FK292" s="141"/>
      <c r="FL292" s="141"/>
      <c r="FM292" s="141"/>
      <c r="FN292" s="141"/>
    </row>
    <row r="293" spans="1:170" s="178" customFormat="1" ht="10.3" x14ac:dyDescent="0.25">
      <c r="A293" s="170" t="s">
        <v>5</v>
      </c>
      <c r="B293" s="170" t="s">
        <v>376</v>
      </c>
      <c r="C293" s="170" t="s">
        <v>377</v>
      </c>
      <c r="D293" s="172">
        <v>3.2849315068493152</v>
      </c>
      <c r="E293" s="171">
        <v>0.542852</v>
      </c>
      <c r="F293" s="171">
        <v>6.6</v>
      </c>
      <c r="G293" s="172">
        <v>8.25</v>
      </c>
      <c r="H293" s="171">
        <v>0</v>
      </c>
      <c r="I293" s="171" t="s">
        <v>973</v>
      </c>
      <c r="J293" s="317" t="s">
        <v>951</v>
      </c>
      <c r="K293" s="317" t="s">
        <v>1464</v>
      </c>
      <c r="L293" s="311"/>
      <c r="M293" s="311" t="s">
        <v>1046</v>
      </c>
      <c r="N293" s="173">
        <v>85</v>
      </c>
      <c r="O293" s="173">
        <v>70</v>
      </c>
      <c r="P293" s="173">
        <v>130</v>
      </c>
      <c r="Q293" s="174">
        <v>110</v>
      </c>
      <c r="R293" s="180">
        <v>45646</v>
      </c>
      <c r="S293" s="175">
        <v>43642</v>
      </c>
      <c r="T293" s="175">
        <v>43642</v>
      </c>
      <c r="U293" s="176">
        <f ca="1">[1]!cb_clause_conversion_2_relativeswapsharemonth(B293)</f>
        <v>6</v>
      </c>
      <c r="V293" s="177"/>
      <c r="W293" s="177"/>
      <c r="X293" s="177"/>
      <c r="Y293" s="177"/>
      <c r="Z293" s="177"/>
      <c r="AA293" s="177"/>
      <c r="AB293" s="177"/>
      <c r="AV293" s="179"/>
      <c r="AW293" s="179"/>
      <c r="AX293" s="179"/>
      <c r="AY293" s="179"/>
      <c r="AZ293" s="179"/>
      <c r="BA293" s="179"/>
      <c r="BB293" s="179"/>
      <c r="BC293" s="179"/>
      <c r="BD293" s="179"/>
      <c r="BE293" s="179"/>
      <c r="BF293" s="179"/>
      <c r="BG293" s="179"/>
      <c r="BH293" s="179"/>
      <c r="BI293" s="179"/>
      <c r="BJ293" s="179"/>
      <c r="BK293" s="179"/>
      <c r="BL293" s="179"/>
      <c r="BM293" s="179"/>
      <c r="BN293" s="179"/>
      <c r="BO293" s="179"/>
      <c r="BP293" s="179"/>
      <c r="BQ293" s="179"/>
      <c r="BR293" s="179"/>
      <c r="BS293" s="179"/>
      <c r="BT293" s="179"/>
      <c r="BU293" s="179"/>
      <c r="BV293" s="179"/>
      <c r="BW293" s="179"/>
      <c r="BX293" s="179"/>
      <c r="BY293" s="179"/>
      <c r="BZ293" s="179"/>
      <c r="CA293" s="179"/>
      <c r="CB293" s="179"/>
      <c r="CC293" s="179"/>
      <c r="CD293" s="179"/>
      <c r="CE293" s="179"/>
      <c r="CF293" s="179"/>
      <c r="CG293" s="179"/>
      <c r="CH293" s="179"/>
      <c r="CI293" s="179"/>
      <c r="CJ293" s="179"/>
      <c r="CK293" s="179"/>
      <c r="CL293" s="179"/>
      <c r="CM293" s="179"/>
      <c r="CN293" s="179"/>
      <c r="CO293" s="179"/>
      <c r="CP293" s="179"/>
      <c r="CQ293" s="179"/>
      <c r="CR293" s="179"/>
      <c r="CS293" s="179"/>
      <c r="CT293" s="179"/>
      <c r="CU293" s="179"/>
      <c r="CV293" s="179"/>
      <c r="CW293" s="179"/>
      <c r="CX293" s="179"/>
      <c r="CY293" s="179"/>
      <c r="CZ293" s="179"/>
      <c r="DA293" s="179"/>
      <c r="DB293" s="179"/>
      <c r="DC293" s="179"/>
      <c r="DD293" s="179"/>
      <c r="DE293" s="179"/>
      <c r="DF293" s="179"/>
      <c r="DG293" s="179"/>
      <c r="DH293" s="179"/>
      <c r="DI293" s="179"/>
      <c r="DJ293" s="179"/>
      <c r="DK293" s="179"/>
      <c r="DL293" s="179"/>
      <c r="DM293" s="179"/>
      <c r="DN293" s="179"/>
      <c r="DO293" s="179"/>
      <c r="DP293" s="179"/>
      <c r="DQ293" s="179"/>
      <c r="DR293" s="179"/>
      <c r="DS293" s="179"/>
      <c r="DT293" s="179"/>
      <c r="DU293" s="179"/>
      <c r="DV293" s="179"/>
      <c r="DW293" s="179"/>
      <c r="DX293" s="179"/>
      <c r="DY293" s="179"/>
      <c r="DZ293" s="179"/>
      <c r="EA293" s="179"/>
      <c r="EB293" s="179"/>
      <c r="EC293" s="179"/>
      <c r="ED293" s="179"/>
      <c r="EE293" s="179"/>
      <c r="EF293" s="179"/>
      <c r="EG293" s="179"/>
      <c r="EH293" s="179"/>
      <c r="EI293" s="179"/>
      <c r="EJ293" s="179"/>
      <c r="EK293" s="179"/>
      <c r="EL293" s="179"/>
      <c r="EM293" s="179"/>
      <c r="EN293" s="179"/>
      <c r="EO293" s="179"/>
      <c r="EP293" s="179"/>
      <c r="EQ293" s="179"/>
      <c r="ER293" s="179"/>
      <c r="ES293" s="179"/>
      <c r="ET293" s="179"/>
      <c r="EU293" s="179"/>
      <c r="EV293" s="179"/>
      <c r="EW293" s="179"/>
      <c r="EX293" s="179"/>
      <c r="EY293" s="179"/>
      <c r="EZ293" s="179"/>
      <c r="FA293" s="179"/>
      <c r="FB293" s="179"/>
      <c r="FC293" s="179"/>
      <c r="FD293" s="179"/>
      <c r="FE293" s="179"/>
      <c r="FF293" s="179"/>
      <c r="FG293" s="179"/>
      <c r="FH293" s="179"/>
      <c r="FI293" s="179"/>
      <c r="FJ293" s="179"/>
      <c r="FK293" s="179"/>
      <c r="FL293" s="179"/>
      <c r="FM293" s="179"/>
      <c r="FN293" s="179"/>
    </row>
    <row r="294" spans="1:170" s="140" customFormat="1" ht="10.3" x14ac:dyDescent="0.25">
      <c r="A294" s="132" t="s">
        <v>0</v>
      </c>
      <c r="B294" s="132" t="s">
        <v>378</v>
      </c>
      <c r="C294" s="132" t="s">
        <v>379</v>
      </c>
      <c r="D294" s="134">
        <v>3.2767123287671232</v>
      </c>
      <c r="E294" s="133">
        <v>4.6553740000000001</v>
      </c>
      <c r="F294" s="133">
        <v>5.3</v>
      </c>
      <c r="G294" s="134">
        <v>7.78</v>
      </c>
      <c r="H294" s="133">
        <v>0</v>
      </c>
      <c r="I294" s="133" t="s">
        <v>957</v>
      </c>
      <c r="J294" s="318" t="s">
        <v>942</v>
      </c>
      <c r="K294" s="318" t="s">
        <v>1089</v>
      </c>
      <c r="L294" s="312"/>
      <c r="M294" s="312" t="s">
        <v>1090</v>
      </c>
      <c r="N294" s="135">
        <v>85</v>
      </c>
      <c r="O294" s="135">
        <v>70</v>
      </c>
      <c r="P294" s="135">
        <v>130</v>
      </c>
      <c r="Q294" s="136">
        <v>110</v>
      </c>
      <c r="R294" s="137">
        <v>45643</v>
      </c>
      <c r="S294" s="138">
        <v>43637</v>
      </c>
      <c r="T294" s="138">
        <v>43637</v>
      </c>
      <c r="U294" s="181">
        <f ca="1">[1]!cb_clause_conversion_2_relativeswapsharemonth(B294)</f>
        <v>6</v>
      </c>
      <c r="V294" s="139"/>
      <c r="W294" s="139"/>
      <c r="X294" s="139"/>
      <c r="Y294" s="139"/>
      <c r="Z294" s="139"/>
      <c r="AA294" s="139"/>
      <c r="AB294" s="139"/>
      <c r="AV294" s="141"/>
      <c r="AW294" s="141"/>
      <c r="AX294" s="141"/>
      <c r="AY294" s="141"/>
      <c r="AZ294" s="141"/>
      <c r="BA294" s="141"/>
      <c r="BB294" s="141"/>
      <c r="BC294" s="141"/>
      <c r="BD294" s="141"/>
      <c r="BE294" s="141"/>
      <c r="BF294" s="141"/>
      <c r="BG294" s="141"/>
      <c r="BH294" s="141"/>
      <c r="BI294" s="141"/>
      <c r="BJ294" s="141"/>
      <c r="BK294" s="141"/>
      <c r="BL294" s="141"/>
      <c r="BM294" s="141"/>
      <c r="BN294" s="141"/>
      <c r="BO294" s="141"/>
      <c r="BP294" s="141"/>
      <c r="BQ294" s="141"/>
      <c r="BR294" s="141"/>
      <c r="BS294" s="141"/>
      <c r="BT294" s="141"/>
      <c r="BU294" s="141"/>
      <c r="BV294" s="141"/>
      <c r="BW294" s="141"/>
      <c r="BX294" s="141"/>
      <c r="BY294" s="141"/>
      <c r="BZ294" s="141"/>
      <c r="CA294" s="141"/>
      <c r="CB294" s="141"/>
      <c r="CC294" s="141"/>
      <c r="CD294" s="141"/>
      <c r="CE294" s="141"/>
      <c r="CF294" s="141"/>
      <c r="CG294" s="141"/>
      <c r="CH294" s="141"/>
      <c r="CI294" s="141"/>
      <c r="CJ294" s="141"/>
      <c r="CK294" s="141"/>
      <c r="CL294" s="141"/>
      <c r="CM294" s="141"/>
      <c r="CN294" s="141"/>
      <c r="CO294" s="141"/>
      <c r="CP294" s="141"/>
      <c r="CQ294" s="141"/>
      <c r="CR294" s="141"/>
      <c r="CS294" s="141"/>
      <c r="CT294" s="141"/>
      <c r="CU294" s="141"/>
      <c r="CV294" s="141"/>
      <c r="CW294" s="141"/>
      <c r="CX294" s="141"/>
      <c r="CY294" s="141"/>
      <c r="CZ294" s="141"/>
      <c r="DA294" s="141"/>
      <c r="DB294" s="141"/>
      <c r="DC294" s="141"/>
      <c r="DD294" s="141"/>
      <c r="DE294" s="141"/>
      <c r="DF294" s="141"/>
      <c r="DG294" s="141"/>
      <c r="DH294" s="141"/>
      <c r="DI294" s="141"/>
      <c r="DJ294" s="141"/>
      <c r="DK294" s="141"/>
      <c r="DL294" s="141"/>
      <c r="DM294" s="141"/>
      <c r="DN294" s="141"/>
      <c r="DO294" s="141"/>
      <c r="DP294" s="141"/>
      <c r="DQ294" s="141"/>
      <c r="DR294" s="141"/>
      <c r="DS294" s="141"/>
      <c r="DT294" s="141"/>
      <c r="DU294" s="141"/>
      <c r="DV294" s="141"/>
      <c r="DW294" s="141"/>
      <c r="DX294" s="141"/>
      <c r="DY294" s="141"/>
      <c r="DZ294" s="141"/>
      <c r="EA294" s="141"/>
      <c r="EB294" s="141"/>
      <c r="EC294" s="141"/>
      <c r="ED294" s="141"/>
      <c r="EE294" s="141"/>
      <c r="EF294" s="141"/>
      <c r="EG294" s="141"/>
      <c r="EH294" s="141"/>
      <c r="EI294" s="141"/>
      <c r="EJ294" s="141"/>
      <c r="EK294" s="141"/>
      <c r="EL294" s="141"/>
      <c r="EM294" s="141"/>
      <c r="EN294" s="141"/>
      <c r="EO294" s="141"/>
      <c r="EP294" s="141"/>
      <c r="EQ294" s="141"/>
      <c r="ER294" s="141"/>
      <c r="ES294" s="141"/>
      <c r="ET294" s="141"/>
      <c r="EU294" s="141"/>
      <c r="EV294" s="141"/>
      <c r="EW294" s="141"/>
      <c r="EX294" s="141"/>
      <c r="EY294" s="141"/>
      <c r="EZ294" s="141"/>
      <c r="FA294" s="141"/>
      <c r="FB294" s="141"/>
      <c r="FC294" s="141"/>
      <c r="FD294" s="141"/>
      <c r="FE294" s="141"/>
      <c r="FF294" s="141"/>
      <c r="FG294" s="141"/>
      <c r="FH294" s="141"/>
      <c r="FI294" s="141"/>
      <c r="FJ294" s="141"/>
      <c r="FK294" s="141"/>
      <c r="FL294" s="141"/>
      <c r="FM294" s="141"/>
      <c r="FN294" s="141"/>
    </row>
    <row r="295" spans="1:170" s="178" customFormat="1" ht="10.3" x14ac:dyDescent="0.25">
      <c r="A295" s="170" t="s">
        <v>0</v>
      </c>
      <c r="B295" s="170" t="s">
        <v>380</v>
      </c>
      <c r="C295" s="170" t="s">
        <v>381</v>
      </c>
      <c r="D295" s="172">
        <v>3.2684931506849315</v>
      </c>
      <c r="E295" s="171">
        <v>3.2980800000000001</v>
      </c>
      <c r="F295" s="171">
        <v>3.3</v>
      </c>
      <c r="G295" s="172">
        <v>13.98</v>
      </c>
      <c r="H295" s="171">
        <v>0</v>
      </c>
      <c r="I295" s="171" t="s">
        <v>983</v>
      </c>
      <c r="J295" s="317" t="s">
        <v>970</v>
      </c>
      <c r="K295" s="317" t="s">
        <v>1299</v>
      </c>
      <c r="L295" s="314"/>
      <c r="M295" s="314" t="s">
        <v>976</v>
      </c>
      <c r="N295" s="173">
        <v>85</v>
      </c>
      <c r="O295" s="173">
        <v>70</v>
      </c>
      <c r="P295" s="173">
        <v>130</v>
      </c>
      <c r="Q295" s="174">
        <v>113</v>
      </c>
      <c r="R295" s="180">
        <v>45640</v>
      </c>
      <c r="S295" s="175">
        <v>43637</v>
      </c>
      <c r="T295" s="175">
        <v>43637</v>
      </c>
      <c r="U295" s="176">
        <f ca="1">[1]!cb_clause_conversion_2_relativeswapsharemonth(B295)</f>
        <v>6</v>
      </c>
      <c r="V295" s="177"/>
      <c r="W295" s="177"/>
      <c r="X295" s="177"/>
      <c r="Y295" s="177"/>
      <c r="Z295" s="177"/>
      <c r="AA295" s="177"/>
      <c r="AB295" s="177"/>
      <c r="AV295" s="179"/>
      <c r="AW295" s="179"/>
      <c r="AX295" s="179"/>
      <c r="AY295" s="179"/>
      <c r="AZ295" s="179"/>
      <c r="BA295" s="179"/>
      <c r="BB295" s="179"/>
      <c r="BC295" s="179"/>
      <c r="BD295" s="179"/>
      <c r="BE295" s="179"/>
      <c r="BF295" s="179"/>
      <c r="BG295" s="179"/>
      <c r="BH295" s="179"/>
      <c r="BI295" s="179"/>
      <c r="BJ295" s="179"/>
      <c r="BK295" s="179"/>
      <c r="BL295" s="179"/>
      <c r="BM295" s="179"/>
      <c r="BN295" s="179"/>
      <c r="BO295" s="179"/>
      <c r="BP295" s="179"/>
      <c r="BQ295" s="179"/>
      <c r="BR295" s="179"/>
      <c r="BS295" s="179"/>
      <c r="BT295" s="179"/>
      <c r="BU295" s="179"/>
      <c r="BV295" s="179"/>
      <c r="BW295" s="179"/>
      <c r="BX295" s="179"/>
      <c r="BY295" s="179"/>
      <c r="BZ295" s="179"/>
      <c r="CA295" s="179"/>
      <c r="CB295" s="179"/>
      <c r="CC295" s="179"/>
      <c r="CD295" s="179"/>
      <c r="CE295" s="179"/>
      <c r="CF295" s="179"/>
      <c r="CG295" s="179"/>
      <c r="CH295" s="179"/>
      <c r="CI295" s="179"/>
      <c r="CJ295" s="179"/>
      <c r="CK295" s="179"/>
      <c r="CL295" s="179"/>
      <c r="CM295" s="179"/>
      <c r="CN295" s="179"/>
      <c r="CO295" s="179"/>
      <c r="CP295" s="179"/>
      <c r="CQ295" s="179"/>
      <c r="CR295" s="179"/>
      <c r="CS295" s="179"/>
      <c r="CT295" s="179"/>
      <c r="CU295" s="179"/>
      <c r="CV295" s="179"/>
      <c r="CW295" s="179"/>
      <c r="CX295" s="179"/>
      <c r="CY295" s="179"/>
      <c r="CZ295" s="179"/>
      <c r="DA295" s="179"/>
      <c r="DB295" s="179"/>
      <c r="DC295" s="179"/>
      <c r="DD295" s="179"/>
      <c r="DE295" s="179"/>
      <c r="DF295" s="179"/>
      <c r="DG295" s="179"/>
      <c r="DH295" s="179"/>
      <c r="DI295" s="179"/>
      <c r="DJ295" s="179"/>
      <c r="DK295" s="179"/>
      <c r="DL295" s="179"/>
      <c r="DM295" s="179"/>
      <c r="DN295" s="179"/>
      <c r="DO295" s="179"/>
      <c r="DP295" s="179"/>
      <c r="DQ295" s="179"/>
      <c r="DR295" s="179"/>
      <c r="DS295" s="179"/>
      <c r="DT295" s="179"/>
      <c r="DU295" s="179"/>
      <c r="DV295" s="179"/>
      <c r="DW295" s="179"/>
      <c r="DX295" s="179"/>
      <c r="DY295" s="179"/>
      <c r="DZ295" s="179"/>
      <c r="EA295" s="179"/>
      <c r="EB295" s="179"/>
      <c r="EC295" s="179"/>
      <c r="ED295" s="179"/>
      <c r="EE295" s="179"/>
      <c r="EF295" s="179"/>
      <c r="EG295" s="179"/>
      <c r="EH295" s="179"/>
      <c r="EI295" s="179"/>
      <c r="EJ295" s="179"/>
      <c r="EK295" s="179"/>
      <c r="EL295" s="179"/>
      <c r="EM295" s="179"/>
      <c r="EN295" s="179"/>
      <c r="EO295" s="179"/>
      <c r="EP295" s="179"/>
      <c r="EQ295" s="179"/>
      <c r="ER295" s="179"/>
      <c r="ES295" s="179"/>
      <c r="ET295" s="179"/>
      <c r="EU295" s="179"/>
      <c r="EV295" s="179"/>
      <c r="EW295" s="179"/>
      <c r="EX295" s="179"/>
      <c r="EY295" s="179"/>
      <c r="EZ295" s="179"/>
      <c r="FA295" s="179"/>
      <c r="FB295" s="179"/>
      <c r="FC295" s="179"/>
      <c r="FD295" s="179"/>
      <c r="FE295" s="179"/>
      <c r="FF295" s="179"/>
      <c r="FG295" s="179"/>
      <c r="FH295" s="179"/>
      <c r="FI295" s="179"/>
      <c r="FJ295" s="179"/>
      <c r="FK295" s="179"/>
      <c r="FL295" s="179"/>
      <c r="FM295" s="179"/>
      <c r="FN295" s="179"/>
    </row>
    <row r="296" spans="1:170" s="140" customFormat="1" ht="10.3" x14ac:dyDescent="0.25">
      <c r="A296" s="132" t="s">
        <v>5</v>
      </c>
      <c r="B296" s="132" t="s">
        <v>382</v>
      </c>
      <c r="C296" s="132" t="s">
        <v>383</v>
      </c>
      <c r="D296" s="134">
        <v>3.2684931506849315</v>
      </c>
      <c r="E296" s="133">
        <v>0.36214000000000002</v>
      </c>
      <c r="F296" s="133">
        <v>2.5</v>
      </c>
      <c r="G296" s="134">
        <v>12.72</v>
      </c>
      <c r="H296" s="133">
        <v>0</v>
      </c>
      <c r="I296" s="133" t="s">
        <v>983</v>
      </c>
      <c r="J296" s="318" t="s">
        <v>958</v>
      </c>
      <c r="K296" s="318" t="s">
        <v>1517</v>
      </c>
      <c r="L296" s="313"/>
      <c r="M296" s="313" t="s">
        <v>990</v>
      </c>
      <c r="N296" s="135">
        <v>85</v>
      </c>
      <c r="O296" s="135">
        <v>70</v>
      </c>
      <c r="P296" s="135">
        <v>130</v>
      </c>
      <c r="Q296" s="136">
        <v>110</v>
      </c>
      <c r="R296" s="137">
        <v>45640</v>
      </c>
      <c r="S296" s="138">
        <v>43637</v>
      </c>
      <c r="T296" s="138">
        <v>43637</v>
      </c>
      <c r="U296" s="181">
        <f ca="1">[1]!cb_clause_conversion_2_relativeswapsharemonth(B296)</f>
        <v>6</v>
      </c>
      <c r="V296" s="139"/>
      <c r="W296" s="139"/>
      <c r="X296" s="139"/>
      <c r="Y296" s="139"/>
      <c r="Z296" s="139"/>
      <c r="AA296" s="139"/>
      <c r="AB296" s="139"/>
      <c r="AV296" s="141"/>
      <c r="AW296" s="141"/>
      <c r="AX296" s="141"/>
      <c r="AY296" s="141"/>
      <c r="AZ296" s="141"/>
      <c r="BA296" s="141"/>
      <c r="BB296" s="141"/>
      <c r="BC296" s="141"/>
      <c r="BD296" s="141"/>
      <c r="BE296" s="141"/>
      <c r="BF296" s="141"/>
      <c r="BG296" s="141"/>
      <c r="BH296" s="141"/>
      <c r="BI296" s="141"/>
      <c r="BJ296" s="141"/>
      <c r="BK296" s="141"/>
      <c r="BL296" s="141"/>
      <c r="BM296" s="141"/>
      <c r="BN296" s="141"/>
      <c r="BO296" s="141"/>
      <c r="BP296" s="141"/>
      <c r="BQ296" s="141"/>
      <c r="BR296" s="141"/>
      <c r="BS296" s="141"/>
      <c r="BT296" s="141"/>
      <c r="BU296" s="141"/>
      <c r="BV296" s="141"/>
      <c r="BW296" s="141"/>
      <c r="BX296" s="141"/>
      <c r="BY296" s="141"/>
      <c r="BZ296" s="141"/>
      <c r="CA296" s="141"/>
      <c r="CB296" s="141"/>
      <c r="CC296" s="141"/>
      <c r="CD296" s="141"/>
      <c r="CE296" s="141"/>
      <c r="CF296" s="141"/>
      <c r="CG296" s="141"/>
      <c r="CH296" s="141"/>
      <c r="CI296" s="141"/>
      <c r="CJ296" s="141"/>
      <c r="CK296" s="141"/>
      <c r="CL296" s="141"/>
      <c r="CM296" s="141"/>
      <c r="CN296" s="141"/>
      <c r="CO296" s="141"/>
      <c r="CP296" s="141"/>
      <c r="CQ296" s="141"/>
      <c r="CR296" s="141"/>
      <c r="CS296" s="141"/>
      <c r="CT296" s="141"/>
      <c r="CU296" s="141"/>
      <c r="CV296" s="141"/>
      <c r="CW296" s="141"/>
      <c r="CX296" s="141"/>
      <c r="CY296" s="141"/>
      <c r="CZ296" s="141"/>
      <c r="DA296" s="141"/>
      <c r="DB296" s="141"/>
      <c r="DC296" s="141"/>
      <c r="DD296" s="141"/>
      <c r="DE296" s="141"/>
      <c r="DF296" s="141"/>
      <c r="DG296" s="141"/>
      <c r="DH296" s="141"/>
      <c r="DI296" s="141"/>
      <c r="DJ296" s="141"/>
      <c r="DK296" s="141"/>
      <c r="DL296" s="141"/>
      <c r="DM296" s="141"/>
      <c r="DN296" s="141"/>
      <c r="DO296" s="141"/>
      <c r="DP296" s="141"/>
      <c r="DQ296" s="141"/>
      <c r="DR296" s="141"/>
      <c r="DS296" s="141"/>
      <c r="DT296" s="141"/>
      <c r="DU296" s="141"/>
      <c r="DV296" s="141"/>
      <c r="DW296" s="141"/>
      <c r="DX296" s="141"/>
      <c r="DY296" s="141"/>
      <c r="DZ296" s="141"/>
      <c r="EA296" s="141"/>
      <c r="EB296" s="141"/>
      <c r="EC296" s="141"/>
      <c r="ED296" s="141"/>
      <c r="EE296" s="141"/>
      <c r="EF296" s="141"/>
      <c r="EG296" s="141"/>
      <c r="EH296" s="141"/>
      <c r="EI296" s="141"/>
      <c r="EJ296" s="141"/>
      <c r="EK296" s="141"/>
      <c r="EL296" s="141"/>
      <c r="EM296" s="141"/>
      <c r="EN296" s="141"/>
      <c r="EO296" s="141"/>
      <c r="EP296" s="141"/>
      <c r="EQ296" s="141"/>
      <c r="ER296" s="141"/>
      <c r="ES296" s="141"/>
      <c r="ET296" s="141"/>
      <c r="EU296" s="141"/>
      <c r="EV296" s="141"/>
      <c r="EW296" s="141"/>
      <c r="EX296" s="141"/>
      <c r="EY296" s="141"/>
      <c r="EZ296" s="141"/>
      <c r="FA296" s="141"/>
      <c r="FB296" s="141"/>
      <c r="FC296" s="141"/>
      <c r="FD296" s="141"/>
      <c r="FE296" s="141"/>
      <c r="FF296" s="141"/>
      <c r="FG296" s="141"/>
      <c r="FH296" s="141"/>
      <c r="FI296" s="141"/>
      <c r="FJ296" s="141"/>
      <c r="FK296" s="141"/>
      <c r="FL296" s="141"/>
      <c r="FM296" s="141"/>
      <c r="FN296" s="141"/>
    </row>
    <row r="297" spans="1:170" s="178" customFormat="1" ht="10.3" x14ac:dyDescent="0.25">
      <c r="A297" s="170" t="s">
        <v>5</v>
      </c>
      <c r="B297" s="170" t="s">
        <v>384</v>
      </c>
      <c r="C297" s="170" t="s">
        <v>385</v>
      </c>
      <c r="D297" s="172">
        <v>3.2575342465753425</v>
      </c>
      <c r="E297" s="171">
        <v>1.366752</v>
      </c>
      <c r="F297" s="171">
        <v>3.2</v>
      </c>
      <c r="G297" s="172">
        <v>14.8</v>
      </c>
      <c r="H297" s="171">
        <v>0</v>
      </c>
      <c r="I297" s="171" t="s">
        <v>973</v>
      </c>
      <c r="J297" s="317" t="s">
        <v>974</v>
      </c>
      <c r="K297" s="317" t="s">
        <v>1270</v>
      </c>
      <c r="L297" s="311" t="s">
        <v>1783</v>
      </c>
      <c r="M297" s="311" t="s">
        <v>1163</v>
      </c>
      <c r="N297" s="173">
        <v>85</v>
      </c>
      <c r="O297" s="173">
        <v>70</v>
      </c>
      <c r="P297" s="173">
        <v>130</v>
      </c>
      <c r="Q297" s="174">
        <v>118</v>
      </c>
      <c r="R297" s="180">
        <v>45636</v>
      </c>
      <c r="S297" s="175">
        <v>43630</v>
      </c>
      <c r="T297" s="175">
        <v>43630</v>
      </c>
      <c r="U297" s="176">
        <f ca="1">[1]!cb_clause_conversion_2_relativeswapsharemonth(B297)</f>
        <v>6</v>
      </c>
      <c r="V297" s="177"/>
      <c r="W297" s="177"/>
      <c r="X297" s="177"/>
      <c r="Y297" s="177"/>
      <c r="Z297" s="177"/>
      <c r="AA297" s="177"/>
      <c r="AB297" s="177"/>
      <c r="AV297" s="179"/>
      <c r="AW297" s="179"/>
      <c r="AX297" s="179"/>
      <c r="AY297" s="179"/>
      <c r="AZ297" s="179"/>
      <c r="BA297" s="179"/>
      <c r="BB297" s="179"/>
      <c r="BC297" s="179"/>
      <c r="BD297" s="179"/>
      <c r="BE297" s="179"/>
      <c r="BF297" s="179"/>
      <c r="BG297" s="179"/>
      <c r="BH297" s="179"/>
      <c r="BI297" s="179"/>
      <c r="BJ297" s="179"/>
      <c r="BK297" s="179"/>
      <c r="BL297" s="179"/>
      <c r="BM297" s="179"/>
      <c r="BN297" s="179"/>
      <c r="BO297" s="179"/>
      <c r="BP297" s="179"/>
      <c r="BQ297" s="179"/>
      <c r="BR297" s="179"/>
      <c r="BS297" s="179"/>
      <c r="BT297" s="179"/>
      <c r="BU297" s="179"/>
      <c r="BV297" s="179"/>
      <c r="BW297" s="179"/>
      <c r="BX297" s="179"/>
      <c r="BY297" s="179"/>
      <c r="BZ297" s="179"/>
      <c r="CA297" s="179"/>
      <c r="CB297" s="179"/>
      <c r="CC297" s="179"/>
      <c r="CD297" s="179"/>
      <c r="CE297" s="179"/>
      <c r="CF297" s="179"/>
      <c r="CG297" s="179"/>
      <c r="CH297" s="179"/>
      <c r="CI297" s="179"/>
      <c r="CJ297" s="179"/>
      <c r="CK297" s="179"/>
      <c r="CL297" s="179"/>
      <c r="CM297" s="179"/>
      <c r="CN297" s="179"/>
      <c r="CO297" s="179"/>
      <c r="CP297" s="179"/>
      <c r="CQ297" s="179"/>
      <c r="CR297" s="179"/>
      <c r="CS297" s="179"/>
      <c r="CT297" s="179"/>
      <c r="CU297" s="179"/>
      <c r="CV297" s="179"/>
      <c r="CW297" s="179"/>
      <c r="CX297" s="179"/>
      <c r="CY297" s="179"/>
      <c r="CZ297" s="179"/>
      <c r="DA297" s="179"/>
      <c r="DB297" s="179"/>
      <c r="DC297" s="179"/>
      <c r="DD297" s="179"/>
      <c r="DE297" s="179"/>
      <c r="DF297" s="179"/>
      <c r="DG297" s="179"/>
      <c r="DH297" s="179"/>
      <c r="DI297" s="179"/>
      <c r="DJ297" s="179"/>
      <c r="DK297" s="179"/>
      <c r="DL297" s="179"/>
      <c r="DM297" s="179"/>
      <c r="DN297" s="179"/>
      <c r="DO297" s="179"/>
      <c r="DP297" s="179"/>
      <c r="DQ297" s="179"/>
      <c r="DR297" s="179"/>
      <c r="DS297" s="179"/>
      <c r="DT297" s="179"/>
      <c r="DU297" s="179"/>
      <c r="DV297" s="179"/>
      <c r="DW297" s="179"/>
      <c r="DX297" s="179"/>
      <c r="DY297" s="179"/>
      <c r="DZ297" s="179"/>
      <c r="EA297" s="179"/>
      <c r="EB297" s="179"/>
      <c r="EC297" s="179"/>
      <c r="ED297" s="179"/>
      <c r="EE297" s="179"/>
      <c r="EF297" s="179"/>
      <c r="EG297" s="179"/>
      <c r="EH297" s="179"/>
      <c r="EI297" s="179"/>
      <c r="EJ297" s="179"/>
      <c r="EK297" s="179"/>
      <c r="EL297" s="179"/>
      <c r="EM297" s="179"/>
      <c r="EN297" s="179"/>
      <c r="EO297" s="179"/>
      <c r="EP297" s="179"/>
      <c r="EQ297" s="179"/>
      <c r="ER297" s="179"/>
      <c r="ES297" s="179"/>
      <c r="ET297" s="179"/>
      <c r="EU297" s="179"/>
      <c r="EV297" s="179"/>
      <c r="EW297" s="179"/>
      <c r="EX297" s="179"/>
      <c r="EY297" s="179"/>
      <c r="EZ297" s="179"/>
      <c r="FA297" s="179"/>
      <c r="FB297" s="179"/>
      <c r="FC297" s="179"/>
      <c r="FD297" s="179"/>
      <c r="FE297" s="179"/>
      <c r="FF297" s="179"/>
      <c r="FG297" s="179"/>
      <c r="FH297" s="179"/>
      <c r="FI297" s="179"/>
      <c r="FJ297" s="179"/>
      <c r="FK297" s="179"/>
      <c r="FL297" s="179"/>
      <c r="FM297" s="179"/>
      <c r="FN297" s="179"/>
    </row>
    <row r="298" spans="1:170" s="140" customFormat="1" ht="10.3" x14ac:dyDescent="0.25">
      <c r="A298" s="132" t="s">
        <v>0</v>
      </c>
      <c r="B298" s="132" t="s">
        <v>386</v>
      </c>
      <c r="C298" s="132" t="s">
        <v>387</v>
      </c>
      <c r="D298" s="134">
        <v>3.2493150684931509</v>
      </c>
      <c r="E298" s="133">
        <v>19.486339999999998</v>
      </c>
      <c r="F298" s="133">
        <v>28.3</v>
      </c>
      <c r="G298" s="134">
        <v>7.85</v>
      </c>
      <c r="H298" s="133">
        <v>0</v>
      </c>
      <c r="I298" s="133" t="s">
        <v>935</v>
      </c>
      <c r="J298" s="318" t="s">
        <v>936</v>
      </c>
      <c r="K298" s="318" t="s">
        <v>1406</v>
      </c>
      <c r="L298" s="312"/>
      <c r="M298" s="312" t="s">
        <v>950</v>
      </c>
      <c r="N298" s="135">
        <v>90</v>
      </c>
      <c r="O298" s="135">
        <v>70</v>
      </c>
      <c r="P298" s="135">
        <v>130</v>
      </c>
      <c r="Q298" s="136">
        <v>109</v>
      </c>
      <c r="R298" s="137">
        <v>45633</v>
      </c>
      <c r="S298" s="138">
        <v>43630</v>
      </c>
      <c r="T298" s="138">
        <v>43630</v>
      </c>
      <c r="U298" s="181">
        <f ca="1">[1]!cb_clause_conversion_2_relativeswapsharemonth(B298)</f>
        <v>6</v>
      </c>
      <c r="V298" s="139"/>
      <c r="W298" s="139"/>
      <c r="X298" s="139"/>
      <c r="Y298" s="139"/>
      <c r="Z298" s="139"/>
      <c r="AA298" s="139"/>
      <c r="AB298" s="139"/>
      <c r="AV298" s="141"/>
      <c r="AW298" s="141"/>
      <c r="AX298" s="141"/>
      <c r="AY298" s="141"/>
      <c r="AZ298" s="141"/>
      <c r="BA298" s="141"/>
      <c r="BB298" s="141"/>
      <c r="BC298" s="141"/>
      <c r="BD298" s="141"/>
      <c r="BE298" s="141"/>
      <c r="BF298" s="141"/>
      <c r="BG298" s="141"/>
      <c r="BH298" s="141"/>
      <c r="BI298" s="141"/>
      <c r="BJ298" s="141"/>
      <c r="BK298" s="141"/>
      <c r="BL298" s="141"/>
      <c r="BM298" s="141"/>
      <c r="BN298" s="141"/>
      <c r="BO298" s="141"/>
      <c r="BP298" s="141"/>
      <c r="BQ298" s="141"/>
      <c r="BR298" s="141"/>
      <c r="BS298" s="141"/>
      <c r="BT298" s="141"/>
      <c r="BU298" s="141"/>
      <c r="BV298" s="141"/>
      <c r="BW298" s="141"/>
      <c r="BX298" s="141"/>
      <c r="BY298" s="141"/>
      <c r="BZ298" s="141"/>
      <c r="CA298" s="141"/>
      <c r="CB298" s="141"/>
      <c r="CC298" s="141"/>
      <c r="CD298" s="141"/>
      <c r="CE298" s="141"/>
      <c r="CF298" s="141"/>
      <c r="CG298" s="141"/>
      <c r="CH298" s="141"/>
      <c r="CI298" s="141"/>
      <c r="CJ298" s="141"/>
      <c r="CK298" s="141"/>
      <c r="CL298" s="141"/>
      <c r="CM298" s="141"/>
      <c r="CN298" s="141"/>
      <c r="CO298" s="141"/>
      <c r="CP298" s="141"/>
      <c r="CQ298" s="141"/>
      <c r="CR298" s="141"/>
      <c r="CS298" s="141"/>
      <c r="CT298" s="141"/>
      <c r="CU298" s="141"/>
      <c r="CV298" s="141"/>
      <c r="CW298" s="141"/>
      <c r="CX298" s="141"/>
      <c r="CY298" s="141"/>
      <c r="CZ298" s="141"/>
      <c r="DA298" s="141"/>
      <c r="DB298" s="141"/>
      <c r="DC298" s="141"/>
      <c r="DD298" s="141"/>
      <c r="DE298" s="141"/>
      <c r="DF298" s="141"/>
      <c r="DG298" s="141"/>
      <c r="DH298" s="141"/>
      <c r="DI298" s="141"/>
      <c r="DJ298" s="141"/>
      <c r="DK298" s="141"/>
      <c r="DL298" s="141"/>
      <c r="DM298" s="141"/>
      <c r="DN298" s="141"/>
      <c r="DO298" s="141"/>
      <c r="DP298" s="141"/>
      <c r="DQ298" s="141"/>
      <c r="DR298" s="141"/>
      <c r="DS298" s="141"/>
      <c r="DT298" s="141"/>
      <c r="DU298" s="141"/>
      <c r="DV298" s="141"/>
      <c r="DW298" s="141"/>
      <c r="DX298" s="141"/>
      <c r="DY298" s="141"/>
      <c r="DZ298" s="141"/>
      <c r="EA298" s="141"/>
      <c r="EB298" s="141"/>
      <c r="EC298" s="141"/>
      <c r="ED298" s="141"/>
      <c r="EE298" s="141"/>
      <c r="EF298" s="141"/>
      <c r="EG298" s="141"/>
      <c r="EH298" s="141"/>
      <c r="EI298" s="141"/>
      <c r="EJ298" s="141"/>
      <c r="EK298" s="141"/>
      <c r="EL298" s="141"/>
      <c r="EM298" s="141"/>
      <c r="EN298" s="141"/>
      <c r="EO298" s="141"/>
      <c r="EP298" s="141"/>
      <c r="EQ298" s="141"/>
      <c r="ER298" s="141"/>
      <c r="ES298" s="141"/>
      <c r="ET298" s="141"/>
      <c r="EU298" s="141"/>
      <c r="EV298" s="141"/>
      <c r="EW298" s="141"/>
      <c r="EX298" s="141"/>
      <c r="EY298" s="141"/>
      <c r="EZ298" s="141"/>
      <c r="FA298" s="141"/>
      <c r="FB298" s="141"/>
      <c r="FC298" s="141"/>
      <c r="FD298" s="141"/>
      <c r="FE298" s="141"/>
      <c r="FF298" s="141"/>
      <c r="FG298" s="141"/>
      <c r="FH298" s="141"/>
      <c r="FI298" s="141"/>
      <c r="FJ298" s="141"/>
      <c r="FK298" s="141"/>
      <c r="FL298" s="141"/>
      <c r="FM298" s="141"/>
      <c r="FN298" s="141"/>
    </row>
    <row r="299" spans="1:170" s="178" customFormat="1" ht="10.3" x14ac:dyDescent="0.25">
      <c r="A299" s="170" t="s">
        <v>5</v>
      </c>
      <c r="B299" s="170" t="s">
        <v>388</v>
      </c>
      <c r="C299" s="170" t="s">
        <v>389</v>
      </c>
      <c r="D299" s="172">
        <v>3.2219178082191782</v>
      </c>
      <c r="E299" s="171">
        <v>3.631589</v>
      </c>
      <c r="F299" s="171">
        <v>4</v>
      </c>
      <c r="G299" s="172">
        <v>7.37</v>
      </c>
      <c r="H299" s="171">
        <v>0</v>
      </c>
      <c r="I299" s="171" t="s">
        <v>983</v>
      </c>
      <c r="J299" s="317" t="s">
        <v>1099</v>
      </c>
      <c r="K299" s="317" t="s">
        <v>1516</v>
      </c>
      <c r="L299" s="314" t="s">
        <v>1575</v>
      </c>
      <c r="M299" s="314" t="s">
        <v>1108</v>
      </c>
      <c r="N299" s="173">
        <v>85</v>
      </c>
      <c r="O299" s="173">
        <v>70</v>
      </c>
      <c r="P299" s="173">
        <v>130</v>
      </c>
      <c r="Q299" s="174">
        <v>110</v>
      </c>
      <c r="R299" s="180">
        <v>45623</v>
      </c>
      <c r="S299" s="175">
        <v>43619</v>
      </c>
      <c r="T299" s="175">
        <v>43619</v>
      </c>
      <c r="U299" s="176">
        <f ca="1">[1]!cb_clause_conversion_2_relativeswapsharemonth(B299)</f>
        <v>6</v>
      </c>
      <c r="V299" s="177"/>
      <c r="W299" s="177"/>
      <c r="X299" s="177"/>
      <c r="Y299" s="177"/>
      <c r="Z299" s="177"/>
      <c r="AA299" s="177"/>
      <c r="AB299" s="177"/>
      <c r="AV299" s="179"/>
      <c r="AW299" s="179"/>
      <c r="AX299" s="179"/>
      <c r="AY299" s="179"/>
      <c r="AZ299" s="179"/>
      <c r="BA299" s="179"/>
      <c r="BB299" s="179"/>
      <c r="BC299" s="179"/>
      <c r="BD299" s="179"/>
      <c r="BE299" s="179"/>
      <c r="BF299" s="179"/>
      <c r="BG299" s="179"/>
      <c r="BH299" s="179"/>
      <c r="BI299" s="179"/>
      <c r="BJ299" s="179"/>
      <c r="BK299" s="179"/>
      <c r="BL299" s="179"/>
      <c r="BM299" s="179"/>
      <c r="BN299" s="179"/>
      <c r="BO299" s="179"/>
      <c r="BP299" s="179"/>
      <c r="BQ299" s="179"/>
      <c r="BR299" s="179"/>
      <c r="BS299" s="179"/>
      <c r="BT299" s="179"/>
      <c r="BU299" s="179"/>
      <c r="BV299" s="179"/>
      <c r="BW299" s="179"/>
      <c r="BX299" s="179"/>
      <c r="BY299" s="179"/>
      <c r="BZ299" s="179"/>
      <c r="CA299" s="179"/>
      <c r="CB299" s="179"/>
      <c r="CC299" s="179"/>
      <c r="CD299" s="179"/>
      <c r="CE299" s="179"/>
      <c r="CF299" s="179"/>
      <c r="CG299" s="179"/>
      <c r="CH299" s="179"/>
      <c r="CI299" s="179"/>
      <c r="CJ299" s="179"/>
      <c r="CK299" s="179"/>
      <c r="CL299" s="179"/>
      <c r="CM299" s="179"/>
      <c r="CN299" s="179"/>
      <c r="CO299" s="179"/>
      <c r="CP299" s="179"/>
      <c r="CQ299" s="179"/>
      <c r="CR299" s="179"/>
      <c r="CS299" s="179"/>
      <c r="CT299" s="179"/>
      <c r="CU299" s="179"/>
      <c r="CV299" s="179"/>
      <c r="CW299" s="179"/>
      <c r="CX299" s="179"/>
      <c r="CY299" s="179"/>
      <c r="CZ299" s="179"/>
      <c r="DA299" s="179"/>
      <c r="DB299" s="179"/>
      <c r="DC299" s="179"/>
      <c r="DD299" s="179"/>
      <c r="DE299" s="179"/>
      <c r="DF299" s="179"/>
      <c r="DG299" s="179"/>
      <c r="DH299" s="179"/>
      <c r="DI299" s="179"/>
      <c r="DJ299" s="179"/>
      <c r="DK299" s="179"/>
      <c r="DL299" s="179"/>
      <c r="DM299" s="179"/>
      <c r="DN299" s="179"/>
      <c r="DO299" s="179"/>
      <c r="DP299" s="179"/>
      <c r="DQ299" s="179"/>
      <c r="DR299" s="179"/>
      <c r="DS299" s="179"/>
      <c r="DT299" s="179"/>
      <c r="DU299" s="179"/>
      <c r="DV299" s="179"/>
      <c r="DW299" s="179"/>
      <c r="DX299" s="179"/>
      <c r="DY299" s="179"/>
      <c r="DZ299" s="179"/>
      <c r="EA299" s="179"/>
      <c r="EB299" s="179"/>
      <c r="EC299" s="179"/>
      <c r="ED299" s="179"/>
      <c r="EE299" s="179"/>
      <c r="EF299" s="179"/>
      <c r="EG299" s="179"/>
      <c r="EH299" s="179"/>
      <c r="EI299" s="179"/>
      <c r="EJ299" s="179"/>
      <c r="EK299" s="179"/>
      <c r="EL299" s="179"/>
      <c r="EM299" s="179"/>
      <c r="EN299" s="179"/>
      <c r="EO299" s="179"/>
      <c r="EP299" s="179"/>
      <c r="EQ299" s="179"/>
      <c r="ER299" s="179"/>
      <c r="ES299" s="179"/>
      <c r="ET299" s="179"/>
      <c r="EU299" s="179"/>
      <c r="EV299" s="179"/>
      <c r="EW299" s="179"/>
      <c r="EX299" s="179"/>
      <c r="EY299" s="179"/>
      <c r="EZ299" s="179"/>
      <c r="FA299" s="179"/>
      <c r="FB299" s="179"/>
      <c r="FC299" s="179"/>
      <c r="FD299" s="179"/>
      <c r="FE299" s="179"/>
      <c r="FF299" s="179"/>
      <c r="FG299" s="179"/>
      <c r="FH299" s="179"/>
      <c r="FI299" s="179"/>
      <c r="FJ299" s="179"/>
      <c r="FK299" s="179"/>
      <c r="FL299" s="179"/>
      <c r="FM299" s="179"/>
      <c r="FN299" s="179"/>
    </row>
    <row r="300" spans="1:170" s="140" customFormat="1" ht="10.3" x14ac:dyDescent="0.25">
      <c r="A300" s="132" t="s">
        <v>5</v>
      </c>
      <c r="B300" s="132" t="s">
        <v>390</v>
      </c>
      <c r="C300" s="132" t="s">
        <v>391</v>
      </c>
      <c r="D300" s="134">
        <v>3.2164383561643834</v>
      </c>
      <c r="E300" s="133">
        <v>20</v>
      </c>
      <c r="F300" s="133">
        <v>20</v>
      </c>
      <c r="G300" s="134">
        <v>4.47</v>
      </c>
      <c r="H300" s="133">
        <v>109.00000000000001</v>
      </c>
      <c r="I300" s="133" t="s">
        <v>941</v>
      </c>
      <c r="J300" s="318" t="s">
        <v>968</v>
      </c>
      <c r="K300" s="318" t="s">
        <v>1015</v>
      </c>
      <c r="L300" s="312"/>
      <c r="M300" s="312" t="s">
        <v>1016</v>
      </c>
      <c r="N300" s="135">
        <v>85</v>
      </c>
      <c r="O300" s="135">
        <v>70</v>
      </c>
      <c r="P300" s="135">
        <v>130</v>
      </c>
      <c r="Q300" s="136">
        <v>111</v>
      </c>
      <c r="R300" s="137">
        <v>45621</v>
      </c>
      <c r="S300" s="138">
        <v>44434</v>
      </c>
      <c r="T300" s="138">
        <v>44434</v>
      </c>
      <c r="U300" s="181">
        <f ca="1">[1]!cb_clause_conversion_2_relativeswapsharemonth(B300)</f>
        <v>21</v>
      </c>
      <c r="V300" s="139"/>
      <c r="W300" s="139"/>
      <c r="X300" s="139"/>
      <c r="Y300" s="139"/>
      <c r="Z300" s="139"/>
      <c r="AA300" s="139"/>
      <c r="AB300" s="139"/>
      <c r="AV300" s="141"/>
      <c r="AW300" s="141"/>
      <c r="AX300" s="141"/>
      <c r="AY300" s="141"/>
      <c r="AZ300" s="141"/>
      <c r="BA300" s="141"/>
      <c r="BB300" s="141"/>
      <c r="BC300" s="141"/>
      <c r="BD300" s="141"/>
      <c r="BE300" s="141"/>
      <c r="BF300" s="141"/>
      <c r="BG300" s="141"/>
      <c r="BH300" s="141"/>
      <c r="BI300" s="141"/>
      <c r="BJ300" s="141"/>
      <c r="BK300" s="141"/>
      <c r="BL300" s="141"/>
      <c r="BM300" s="141"/>
      <c r="BN300" s="141"/>
      <c r="BO300" s="141"/>
      <c r="BP300" s="141"/>
      <c r="BQ300" s="141"/>
      <c r="BR300" s="141"/>
      <c r="BS300" s="141"/>
      <c r="BT300" s="141"/>
      <c r="BU300" s="141"/>
      <c r="BV300" s="141"/>
      <c r="BW300" s="141"/>
      <c r="BX300" s="141"/>
      <c r="BY300" s="141"/>
      <c r="BZ300" s="141"/>
      <c r="CA300" s="141"/>
      <c r="CB300" s="141"/>
      <c r="CC300" s="141"/>
      <c r="CD300" s="141"/>
      <c r="CE300" s="141"/>
      <c r="CF300" s="141"/>
      <c r="CG300" s="141"/>
      <c r="CH300" s="141"/>
      <c r="CI300" s="141"/>
      <c r="CJ300" s="141"/>
      <c r="CK300" s="141"/>
      <c r="CL300" s="141"/>
      <c r="CM300" s="141"/>
      <c r="CN300" s="141"/>
      <c r="CO300" s="141"/>
      <c r="CP300" s="141"/>
      <c r="CQ300" s="141"/>
      <c r="CR300" s="141"/>
      <c r="CS300" s="141"/>
      <c r="CT300" s="141"/>
      <c r="CU300" s="141"/>
      <c r="CV300" s="141"/>
      <c r="CW300" s="141"/>
      <c r="CX300" s="141"/>
      <c r="CY300" s="141"/>
      <c r="CZ300" s="141"/>
      <c r="DA300" s="141"/>
      <c r="DB300" s="141"/>
      <c r="DC300" s="141"/>
      <c r="DD300" s="141"/>
      <c r="DE300" s="141"/>
      <c r="DF300" s="141"/>
      <c r="DG300" s="141"/>
      <c r="DH300" s="141"/>
      <c r="DI300" s="141"/>
      <c r="DJ300" s="141"/>
      <c r="DK300" s="141"/>
      <c r="DL300" s="141"/>
      <c r="DM300" s="141"/>
      <c r="DN300" s="141"/>
      <c r="DO300" s="141"/>
      <c r="DP300" s="141"/>
      <c r="DQ300" s="141"/>
      <c r="DR300" s="141"/>
      <c r="DS300" s="141"/>
      <c r="DT300" s="141"/>
      <c r="DU300" s="141"/>
      <c r="DV300" s="141"/>
      <c r="DW300" s="141"/>
      <c r="DX300" s="141"/>
      <c r="DY300" s="141"/>
      <c r="DZ300" s="141"/>
      <c r="EA300" s="141"/>
      <c r="EB300" s="141"/>
      <c r="EC300" s="141"/>
      <c r="ED300" s="141"/>
      <c r="EE300" s="141"/>
      <c r="EF300" s="141"/>
      <c r="EG300" s="141"/>
      <c r="EH300" s="141"/>
      <c r="EI300" s="141"/>
      <c r="EJ300" s="141"/>
      <c r="EK300" s="141"/>
      <c r="EL300" s="141"/>
      <c r="EM300" s="141"/>
      <c r="EN300" s="141"/>
      <c r="EO300" s="141"/>
      <c r="EP300" s="141"/>
      <c r="EQ300" s="141"/>
      <c r="ER300" s="141"/>
      <c r="ES300" s="141"/>
      <c r="ET300" s="141"/>
      <c r="EU300" s="141"/>
      <c r="EV300" s="141"/>
      <c r="EW300" s="141"/>
      <c r="EX300" s="141"/>
      <c r="EY300" s="141"/>
      <c r="EZ300" s="141"/>
      <c r="FA300" s="141"/>
      <c r="FB300" s="141"/>
      <c r="FC300" s="141"/>
      <c r="FD300" s="141"/>
      <c r="FE300" s="141"/>
      <c r="FF300" s="141"/>
      <c r="FG300" s="141"/>
      <c r="FH300" s="141"/>
      <c r="FI300" s="141"/>
      <c r="FJ300" s="141"/>
      <c r="FK300" s="141"/>
      <c r="FL300" s="141"/>
      <c r="FM300" s="141"/>
      <c r="FN300" s="141"/>
    </row>
    <row r="301" spans="1:170" s="178" customFormat="1" ht="10.3" x14ac:dyDescent="0.25">
      <c r="A301" s="170" t="s">
        <v>0</v>
      </c>
      <c r="B301" s="170" t="s">
        <v>392</v>
      </c>
      <c r="C301" s="170" t="s">
        <v>393</v>
      </c>
      <c r="D301" s="172">
        <v>3.2054794520547945</v>
      </c>
      <c r="E301" s="171">
        <v>22.462</v>
      </c>
      <c r="F301" s="171">
        <v>23</v>
      </c>
      <c r="G301" s="172">
        <v>3.3</v>
      </c>
      <c r="H301" s="171">
        <v>0</v>
      </c>
      <c r="I301" s="171" t="s">
        <v>935</v>
      </c>
      <c r="J301" s="317" t="s">
        <v>942</v>
      </c>
      <c r="K301" s="317" t="s">
        <v>1083</v>
      </c>
      <c r="L301" s="311"/>
      <c r="M301" s="311" t="s">
        <v>949</v>
      </c>
      <c r="N301" s="173">
        <v>80</v>
      </c>
      <c r="O301" s="173">
        <v>70</v>
      </c>
      <c r="P301" s="173">
        <v>130</v>
      </c>
      <c r="Q301" s="174">
        <v>113</v>
      </c>
      <c r="R301" s="180">
        <v>45617</v>
      </c>
      <c r="S301" s="175">
        <v>43612</v>
      </c>
      <c r="T301" s="175">
        <v>43612</v>
      </c>
      <c r="U301" s="176">
        <f ca="1">[1]!cb_clause_conversion_2_relativeswapsharemonth(B301)</f>
        <v>6</v>
      </c>
      <c r="V301" s="177"/>
      <c r="W301" s="177"/>
      <c r="X301" s="177"/>
      <c r="Y301" s="177"/>
      <c r="Z301" s="177"/>
      <c r="AA301" s="177"/>
      <c r="AB301" s="177"/>
      <c r="AV301" s="179"/>
      <c r="AW301" s="179"/>
      <c r="AX301" s="179"/>
      <c r="AY301" s="179"/>
      <c r="AZ301" s="179"/>
      <c r="BA301" s="179"/>
      <c r="BB301" s="179"/>
      <c r="BC301" s="179"/>
      <c r="BD301" s="179"/>
      <c r="BE301" s="179"/>
      <c r="BF301" s="179"/>
      <c r="BG301" s="179"/>
      <c r="BH301" s="179"/>
      <c r="BI301" s="179"/>
      <c r="BJ301" s="179"/>
      <c r="BK301" s="179"/>
      <c r="BL301" s="179"/>
      <c r="BM301" s="179"/>
      <c r="BN301" s="179"/>
      <c r="BO301" s="179"/>
      <c r="BP301" s="179"/>
      <c r="BQ301" s="179"/>
      <c r="BR301" s="179"/>
      <c r="BS301" s="179"/>
      <c r="BT301" s="179"/>
      <c r="BU301" s="179"/>
      <c r="BV301" s="179"/>
      <c r="BW301" s="179"/>
      <c r="BX301" s="179"/>
      <c r="BY301" s="179"/>
      <c r="BZ301" s="179"/>
      <c r="CA301" s="179"/>
      <c r="CB301" s="179"/>
      <c r="CC301" s="179"/>
      <c r="CD301" s="179"/>
      <c r="CE301" s="179"/>
      <c r="CF301" s="179"/>
      <c r="CG301" s="179"/>
      <c r="CH301" s="179"/>
      <c r="CI301" s="179"/>
      <c r="CJ301" s="179"/>
      <c r="CK301" s="179"/>
      <c r="CL301" s="179"/>
      <c r="CM301" s="179"/>
      <c r="CN301" s="179"/>
      <c r="CO301" s="179"/>
      <c r="CP301" s="179"/>
      <c r="CQ301" s="179"/>
      <c r="CR301" s="179"/>
      <c r="CS301" s="179"/>
      <c r="CT301" s="179"/>
      <c r="CU301" s="179"/>
      <c r="CV301" s="179"/>
      <c r="CW301" s="179"/>
      <c r="CX301" s="179"/>
      <c r="CY301" s="179"/>
      <c r="CZ301" s="179"/>
      <c r="DA301" s="179"/>
      <c r="DB301" s="179"/>
      <c r="DC301" s="179"/>
      <c r="DD301" s="179"/>
      <c r="DE301" s="179"/>
      <c r="DF301" s="179"/>
      <c r="DG301" s="179"/>
      <c r="DH301" s="179"/>
      <c r="DI301" s="179"/>
      <c r="DJ301" s="179"/>
      <c r="DK301" s="179"/>
      <c r="DL301" s="179"/>
      <c r="DM301" s="179"/>
      <c r="DN301" s="179"/>
      <c r="DO301" s="179"/>
      <c r="DP301" s="179"/>
      <c r="DQ301" s="179"/>
      <c r="DR301" s="179"/>
      <c r="DS301" s="179"/>
      <c r="DT301" s="179"/>
      <c r="DU301" s="179"/>
      <c r="DV301" s="179"/>
      <c r="DW301" s="179"/>
      <c r="DX301" s="179"/>
      <c r="DY301" s="179"/>
      <c r="DZ301" s="179"/>
      <c r="EA301" s="179"/>
      <c r="EB301" s="179"/>
      <c r="EC301" s="179"/>
      <c r="ED301" s="179"/>
      <c r="EE301" s="179"/>
      <c r="EF301" s="179"/>
      <c r="EG301" s="179"/>
      <c r="EH301" s="179"/>
      <c r="EI301" s="179"/>
      <c r="EJ301" s="179"/>
      <c r="EK301" s="179"/>
      <c r="EL301" s="179"/>
      <c r="EM301" s="179"/>
      <c r="EN301" s="179"/>
      <c r="EO301" s="179"/>
      <c r="EP301" s="179"/>
      <c r="EQ301" s="179"/>
      <c r="ER301" s="179"/>
      <c r="ES301" s="179"/>
      <c r="ET301" s="179"/>
      <c r="EU301" s="179"/>
      <c r="EV301" s="179"/>
      <c r="EW301" s="179"/>
      <c r="EX301" s="179"/>
      <c r="EY301" s="179"/>
      <c r="EZ301" s="179"/>
      <c r="FA301" s="179"/>
      <c r="FB301" s="179"/>
      <c r="FC301" s="179"/>
      <c r="FD301" s="179"/>
      <c r="FE301" s="179"/>
      <c r="FF301" s="179"/>
      <c r="FG301" s="179"/>
      <c r="FH301" s="179"/>
      <c r="FI301" s="179"/>
      <c r="FJ301" s="179"/>
      <c r="FK301" s="179"/>
      <c r="FL301" s="179"/>
      <c r="FM301" s="179"/>
      <c r="FN301" s="179"/>
    </row>
    <row r="302" spans="1:170" s="140" customFormat="1" ht="10.3" x14ac:dyDescent="0.25">
      <c r="A302" s="132" t="s">
        <v>5</v>
      </c>
      <c r="B302" s="132" t="s">
        <v>885</v>
      </c>
      <c r="C302" s="132" t="s">
        <v>886</v>
      </c>
      <c r="D302" s="134">
        <v>3.1808219178082191</v>
      </c>
      <c r="E302" s="133">
        <v>24.974995</v>
      </c>
      <c r="F302" s="133">
        <v>25</v>
      </c>
      <c r="G302" s="134">
        <v>5.6</v>
      </c>
      <c r="H302" s="133">
        <v>0</v>
      </c>
      <c r="I302" s="133" t="s">
        <v>935</v>
      </c>
      <c r="J302" s="318" t="s">
        <v>936</v>
      </c>
      <c r="K302" s="318" t="s">
        <v>1149</v>
      </c>
      <c r="L302" s="312"/>
      <c r="M302" s="312" t="s">
        <v>1515</v>
      </c>
      <c r="N302" s="135">
        <v>80</v>
      </c>
      <c r="O302" s="135"/>
      <c r="P302" s="135">
        <v>130</v>
      </c>
      <c r="Q302" s="136">
        <v>109</v>
      </c>
      <c r="R302" s="137">
        <v>45608</v>
      </c>
      <c r="S302" s="138">
        <v>43601</v>
      </c>
      <c r="T302" s="138">
        <v>43601</v>
      </c>
      <c r="U302" s="181">
        <f ca="1">[1]!cb_clause_conversion_2_relativeswapsharemonth(B302)</f>
        <v>6</v>
      </c>
      <c r="V302" s="139"/>
      <c r="W302" s="139"/>
      <c r="X302" s="139"/>
      <c r="Y302" s="139"/>
      <c r="Z302" s="139"/>
      <c r="AA302" s="139"/>
      <c r="AB302" s="139"/>
      <c r="AV302" s="141"/>
      <c r="AW302" s="141"/>
      <c r="AX302" s="141"/>
      <c r="AY302" s="141"/>
      <c r="AZ302" s="141"/>
      <c r="BA302" s="141"/>
      <c r="BB302" s="141"/>
      <c r="BC302" s="141"/>
      <c r="BD302" s="141"/>
      <c r="BE302" s="141"/>
      <c r="BF302" s="141"/>
      <c r="BG302" s="141"/>
      <c r="BH302" s="141"/>
      <c r="BI302" s="141"/>
      <c r="BJ302" s="141"/>
      <c r="BK302" s="141"/>
      <c r="BL302" s="141"/>
      <c r="BM302" s="141"/>
      <c r="BN302" s="141"/>
      <c r="BO302" s="141"/>
      <c r="BP302" s="141"/>
      <c r="BQ302" s="141"/>
      <c r="BR302" s="141"/>
      <c r="BS302" s="141"/>
      <c r="BT302" s="141"/>
      <c r="BU302" s="141"/>
      <c r="BV302" s="141"/>
      <c r="BW302" s="141"/>
      <c r="BX302" s="141"/>
      <c r="BY302" s="141"/>
      <c r="BZ302" s="141"/>
      <c r="CA302" s="141"/>
      <c r="CB302" s="141"/>
      <c r="CC302" s="141"/>
      <c r="CD302" s="141"/>
      <c r="CE302" s="141"/>
      <c r="CF302" s="141"/>
      <c r="CG302" s="141"/>
      <c r="CH302" s="141"/>
      <c r="CI302" s="141"/>
      <c r="CJ302" s="141"/>
      <c r="CK302" s="141"/>
      <c r="CL302" s="141"/>
      <c r="CM302" s="141"/>
      <c r="CN302" s="141"/>
      <c r="CO302" s="141"/>
      <c r="CP302" s="141"/>
      <c r="CQ302" s="141"/>
      <c r="CR302" s="141"/>
      <c r="CS302" s="141"/>
      <c r="CT302" s="141"/>
      <c r="CU302" s="141"/>
      <c r="CV302" s="141"/>
      <c r="CW302" s="141"/>
      <c r="CX302" s="141"/>
      <c r="CY302" s="141"/>
      <c r="CZ302" s="141"/>
      <c r="DA302" s="141"/>
      <c r="DB302" s="141"/>
      <c r="DC302" s="141"/>
      <c r="DD302" s="141"/>
      <c r="DE302" s="141"/>
      <c r="DF302" s="141"/>
      <c r="DG302" s="141"/>
      <c r="DH302" s="141"/>
      <c r="DI302" s="141"/>
      <c r="DJ302" s="141"/>
      <c r="DK302" s="141"/>
      <c r="DL302" s="141"/>
      <c r="DM302" s="141"/>
      <c r="DN302" s="141"/>
      <c r="DO302" s="141"/>
      <c r="DP302" s="141"/>
      <c r="DQ302" s="141"/>
      <c r="DR302" s="141"/>
      <c r="DS302" s="141"/>
      <c r="DT302" s="141"/>
      <c r="DU302" s="141"/>
      <c r="DV302" s="141"/>
      <c r="DW302" s="141"/>
      <c r="DX302" s="141"/>
      <c r="DY302" s="141"/>
      <c r="DZ302" s="141"/>
      <c r="EA302" s="141"/>
      <c r="EB302" s="141"/>
      <c r="EC302" s="141"/>
      <c r="ED302" s="141"/>
      <c r="EE302" s="141"/>
      <c r="EF302" s="141"/>
      <c r="EG302" s="141"/>
      <c r="EH302" s="141"/>
      <c r="EI302" s="141"/>
      <c r="EJ302" s="141"/>
      <c r="EK302" s="141"/>
      <c r="EL302" s="141"/>
      <c r="EM302" s="141"/>
      <c r="EN302" s="141"/>
      <c r="EO302" s="141"/>
      <c r="EP302" s="141"/>
      <c r="EQ302" s="141"/>
      <c r="ER302" s="141"/>
      <c r="ES302" s="141"/>
      <c r="ET302" s="141"/>
      <c r="EU302" s="141"/>
      <c r="EV302" s="141"/>
      <c r="EW302" s="141"/>
      <c r="EX302" s="141"/>
      <c r="EY302" s="141"/>
      <c r="EZ302" s="141"/>
      <c r="FA302" s="141"/>
      <c r="FB302" s="141"/>
      <c r="FC302" s="141"/>
      <c r="FD302" s="141"/>
      <c r="FE302" s="141"/>
      <c r="FF302" s="141"/>
      <c r="FG302" s="141"/>
      <c r="FH302" s="141"/>
      <c r="FI302" s="141"/>
      <c r="FJ302" s="141"/>
      <c r="FK302" s="141"/>
      <c r="FL302" s="141"/>
      <c r="FM302" s="141"/>
      <c r="FN302" s="141"/>
    </row>
    <row r="303" spans="1:170" s="178" customFormat="1" ht="10.3" x14ac:dyDescent="0.25">
      <c r="A303" s="170" t="s">
        <v>0</v>
      </c>
      <c r="B303" s="170" t="s">
        <v>394</v>
      </c>
      <c r="C303" s="170" t="s">
        <v>395</v>
      </c>
      <c r="D303" s="172">
        <v>3.1671232876712327</v>
      </c>
      <c r="E303" s="171">
        <v>6.9687599999999996</v>
      </c>
      <c r="F303" s="171">
        <v>7</v>
      </c>
      <c r="G303" s="172">
        <v>11.04</v>
      </c>
      <c r="H303" s="171">
        <v>0</v>
      </c>
      <c r="I303" s="171" t="s">
        <v>957</v>
      </c>
      <c r="J303" s="317" t="s">
        <v>942</v>
      </c>
      <c r="K303" s="317" t="s">
        <v>981</v>
      </c>
      <c r="L303" s="311"/>
      <c r="M303" s="311" t="s">
        <v>979</v>
      </c>
      <c r="N303" s="173">
        <v>80</v>
      </c>
      <c r="O303" s="173">
        <v>70</v>
      </c>
      <c r="P303" s="173">
        <v>130</v>
      </c>
      <c r="Q303" s="174">
        <v>115</v>
      </c>
      <c r="R303" s="180">
        <v>45603</v>
      </c>
      <c r="S303" s="175">
        <v>43598</v>
      </c>
      <c r="T303" s="175">
        <v>43598</v>
      </c>
      <c r="U303" s="176">
        <f ca="1">[1]!cb_clause_conversion_2_relativeswapsharemonth(B303)</f>
        <v>6</v>
      </c>
      <c r="V303" s="177"/>
      <c r="W303" s="177"/>
      <c r="X303" s="177"/>
      <c r="Y303" s="177"/>
      <c r="Z303" s="177"/>
      <c r="AA303" s="177"/>
      <c r="AB303" s="177"/>
      <c r="AV303" s="179"/>
      <c r="AW303" s="179"/>
      <c r="AX303" s="179"/>
      <c r="AY303" s="179"/>
      <c r="AZ303" s="179"/>
      <c r="BA303" s="179"/>
      <c r="BB303" s="179"/>
      <c r="BC303" s="179"/>
      <c r="BD303" s="179"/>
      <c r="BE303" s="179"/>
      <c r="BF303" s="179"/>
      <c r="BG303" s="179"/>
      <c r="BH303" s="179"/>
      <c r="BI303" s="179"/>
      <c r="BJ303" s="179"/>
      <c r="BK303" s="179"/>
      <c r="BL303" s="179"/>
      <c r="BM303" s="179"/>
      <c r="BN303" s="179"/>
      <c r="BO303" s="179"/>
      <c r="BP303" s="179"/>
      <c r="BQ303" s="179"/>
      <c r="BR303" s="179"/>
      <c r="BS303" s="179"/>
      <c r="BT303" s="179"/>
      <c r="BU303" s="179"/>
      <c r="BV303" s="179"/>
      <c r="BW303" s="179"/>
      <c r="BX303" s="179"/>
      <c r="BY303" s="179"/>
      <c r="BZ303" s="179"/>
      <c r="CA303" s="179"/>
      <c r="CB303" s="179"/>
      <c r="CC303" s="179"/>
      <c r="CD303" s="179"/>
      <c r="CE303" s="179"/>
      <c r="CF303" s="179"/>
      <c r="CG303" s="179"/>
      <c r="CH303" s="179"/>
      <c r="CI303" s="179"/>
      <c r="CJ303" s="179"/>
      <c r="CK303" s="179"/>
      <c r="CL303" s="179"/>
      <c r="CM303" s="179"/>
      <c r="CN303" s="179"/>
      <c r="CO303" s="179"/>
      <c r="CP303" s="179"/>
      <c r="CQ303" s="179"/>
      <c r="CR303" s="179"/>
      <c r="CS303" s="179"/>
      <c r="CT303" s="179"/>
      <c r="CU303" s="179"/>
      <c r="CV303" s="179"/>
      <c r="CW303" s="179"/>
      <c r="CX303" s="179"/>
      <c r="CY303" s="179"/>
      <c r="CZ303" s="179"/>
      <c r="DA303" s="179"/>
      <c r="DB303" s="179"/>
      <c r="DC303" s="179"/>
      <c r="DD303" s="179"/>
      <c r="DE303" s="179"/>
      <c r="DF303" s="179"/>
      <c r="DG303" s="179"/>
      <c r="DH303" s="179"/>
      <c r="DI303" s="179"/>
      <c r="DJ303" s="179"/>
      <c r="DK303" s="179"/>
      <c r="DL303" s="179"/>
      <c r="DM303" s="179"/>
      <c r="DN303" s="179"/>
      <c r="DO303" s="179"/>
      <c r="DP303" s="179"/>
      <c r="DQ303" s="179"/>
      <c r="DR303" s="179"/>
      <c r="DS303" s="179"/>
      <c r="DT303" s="179"/>
      <c r="DU303" s="179"/>
      <c r="DV303" s="179"/>
      <c r="DW303" s="179"/>
      <c r="DX303" s="179"/>
      <c r="DY303" s="179"/>
      <c r="DZ303" s="179"/>
      <c r="EA303" s="179"/>
      <c r="EB303" s="179"/>
      <c r="EC303" s="179"/>
      <c r="ED303" s="179"/>
      <c r="EE303" s="179"/>
      <c r="EF303" s="179"/>
      <c r="EG303" s="179"/>
      <c r="EH303" s="179"/>
      <c r="EI303" s="179"/>
      <c r="EJ303" s="179"/>
      <c r="EK303" s="179"/>
      <c r="EL303" s="179"/>
      <c r="EM303" s="179"/>
      <c r="EN303" s="179"/>
      <c r="EO303" s="179"/>
      <c r="EP303" s="179"/>
      <c r="EQ303" s="179"/>
      <c r="ER303" s="179"/>
      <c r="ES303" s="179"/>
      <c r="ET303" s="179"/>
      <c r="EU303" s="179"/>
      <c r="EV303" s="179"/>
      <c r="EW303" s="179"/>
      <c r="EX303" s="179"/>
      <c r="EY303" s="179"/>
      <c r="EZ303" s="179"/>
      <c r="FA303" s="179"/>
      <c r="FB303" s="179"/>
      <c r="FC303" s="179"/>
      <c r="FD303" s="179"/>
      <c r="FE303" s="179"/>
      <c r="FF303" s="179"/>
      <c r="FG303" s="179"/>
      <c r="FH303" s="179"/>
      <c r="FI303" s="179"/>
      <c r="FJ303" s="179"/>
      <c r="FK303" s="179"/>
      <c r="FL303" s="179"/>
      <c r="FM303" s="179"/>
      <c r="FN303" s="179"/>
    </row>
    <row r="304" spans="1:170" s="140" customFormat="1" ht="10.3" x14ac:dyDescent="0.25">
      <c r="A304" s="132" t="s">
        <v>396</v>
      </c>
      <c r="B304" s="132" t="s">
        <v>397</v>
      </c>
      <c r="C304" s="132" t="s">
        <v>398</v>
      </c>
      <c r="D304" s="134">
        <v>3.1123287671232878</v>
      </c>
      <c r="E304" s="133">
        <v>38.934510299999999</v>
      </c>
      <c r="F304" s="133">
        <v>45</v>
      </c>
      <c r="G304" s="134">
        <v>11.12</v>
      </c>
      <c r="H304" s="133">
        <v>77</v>
      </c>
      <c r="I304" s="133" t="s">
        <v>941</v>
      </c>
      <c r="J304" s="318" t="s">
        <v>942</v>
      </c>
      <c r="K304" s="318" t="s">
        <v>1096</v>
      </c>
      <c r="L304" s="312"/>
      <c r="M304" s="312" t="s">
        <v>1097</v>
      </c>
      <c r="N304" s="135">
        <v>90</v>
      </c>
      <c r="O304" s="135">
        <v>70</v>
      </c>
      <c r="P304" s="135">
        <v>130</v>
      </c>
      <c r="Q304" s="136">
        <v>111</v>
      </c>
      <c r="R304" s="137">
        <v>45583</v>
      </c>
      <c r="S304" s="138">
        <v>44125</v>
      </c>
      <c r="T304" s="138">
        <v>44125</v>
      </c>
      <c r="U304" s="181">
        <f ca="1">[1]!cb_clause_conversion_2_relativeswapsharemonth(B304)</f>
        <v>12</v>
      </c>
      <c r="V304" s="139"/>
      <c r="W304" s="139"/>
      <c r="X304" s="139"/>
      <c r="Y304" s="139"/>
      <c r="Z304" s="139"/>
      <c r="AA304" s="139"/>
      <c r="AB304" s="139"/>
      <c r="AV304" s="141"/>
      <c r="AW304" s="141"/>
      <c r="AX304" s="141"/>
      <c r="AY304" s="141"/>
      <c r="AZ304" s="141"/>
      <c r="BA304" s="141"/>
      <c r="BB304" s="141"/>
      <c r="BC304" s="141"/>
      <c r="BD304" s="141"/>
      <c r="BE304" s="141"/>
      <c r="BF304" s="141"/>
      <c r="BG304" s="141"/>
      <c r="BH304" s="141"/>
      <c r="BI304" s="141"/>
      <c r="BJ304" s="141"/>
      <c r="BK304" s="141"/>
      <c r="BL304" s="141"/>
      <c r="BM304" s="141"/>
      <c r="BN304" s="141"/>
      <c r="BO304" s="141"/>
      <c r="BP304" s="141"/>
      <c r="BQ304" s="141"/>
      <c r="BR304" s="141"/>
      <c r="BS304" s="141"/>
      <c r="BT304" s="141"/>
      <c r="BU304" s="141"/>
      <c r="BV304" s="141"/>
      <c r="BW304" s="141"/>
      <c r="BX304" s="141"/>
      <c r="BY304" s="141"/>
      <c r="BZ304" s="141"/>
      <c r="CA304" s="141"/>
      <c r="CB304" s="141"/>
      <c r="CC304" s="141"/>
      <c r="CD304" s="141"/>
      <c r="CE304" s="141"/>
      <c r="CF304" s="141"/>
      <c r="CG304" s="141"/>
      <c r="CH304" s="141"/>
      <c r="CI304" s="141"/>
      <c r="CJ304" s="141"/>
      <c r="CK304" s="141"/>
      <c r="CL304" s="141"/>
      <c r="CM304" s="141"/>
      <c r="CN304" s="141"/>
      <c r="CO304" s="141"/>
      <c r="CP304" s="141"/>
      <c r="CQ304" s="141"/>
      <c r="CR304" s="141"/>
      <c r="CS304" s="141"/>
      <c r="CT304" s="141"/>
      <c r="CU304" s="141"/>
      <c r="CV304" s="141"/>
      <c r="CW304" s="141"/>
      <c r="CX304" s="141"/>
      <c r="CY304" s="141"/>
      <c r="CZ304" s="141"/>
      <c r="DA304" s="141"/>
      <c r="DB304" s="141"/>
      <c r="DC304" s="141"/>
      <c r="DD304" s="141"/>
      <c r="DE304" s="141"/>
      <c r="DF304" s="141"/>
      <c r="DG304" s="141"/>
      <c r="DH304" s="141"/>
      <c r="DI304" s="141"/>
      <c r="DJ304" s="141"/>
      <c r="DK304" s="141"/>
      <c r="DL304" s="141"/>
      <c r="DM304" s="141"/>
      <c r="DN304" s="141"/>
      <c r="DO304" s="141"/>
      <c r="DP304" s="141"/>
      <c r="DQ304" s="141"/>
      <c r="DR304" s="141"/>
      <c r="DS304" s="141"/>
      <c r="DT304" s="141"/>
      <c r="DU304" s="141"/>
      <c r="DV304" s="141"/>
      <c r="DW304" s="141"/>
      <c r="DX304" s="141"/>
      <c r="DY304" s="141"/>
      <c r="DZ304" s="141"/>
      <c r="EA304" s="141"/>
      <c r="EB304" s="141"/>
      <c r="EC304" s="141"/>
      <c r="ED304" s="141"/>
      <c r="EE304" s="141"/>
      <c r="EF304" s="141"/>
      <c r="EG304" s="141"/>
      <c r="EH304" s="141"/>
      <c r="EI304" s="141"/>
      <c r="EJ304" s="141"/>
      <c r="EK304" s="141"/>
      <c r="EL304" s="141"/>
      <c r="EM304" s="141"/>
      <c r="EN304" s="141"/>
      <c r="EO304" s="141"/>
      <c r="EP304" s="141"/>
      <c r="EQ304" s="141"/>
      <c r="ER304" s="141"/>
      <c r="ES304" s="141"/>
      <c r="ET304" s="141"/>
      <c r="EU304" s="141"/>
      <c r="EV304" s="141"/>
      <c r="EW304" s="141"/>
      <c r="EX304" s="141"/>
      <c r="EY304" s="141"/>
      <c r="EZ304" s="141"/>
      <c r="FA304" s="141"/>
      <c r="FB304" s="141"/>
      <c r="FC304" s="141"/>
      <c r="FD304" s="141"/>
      <c r="FE304" s="141"/>
      <c r="FF304" s="141"/>
      <c r="FG304" s="141"/>
      <c r="FH304" s="141"/>
      <c r="FI304" s="141"/>
      <c r="FJ304" s="141"/>
      <c r="FK304" s="141"/>
      <c r="FL304" s="141"/>
      <c r="FM304" s="141"/>
      <c r="FN304" s="141"/>
    </row>
    <row r="305" spans="1:170" s="178" customFormat="1" ht="10.3" x14ac:dyDescent="0.25">
      <c r="A305" s="170" t="s">
        <v>5</v>
      </c>
      <c r="B305" s="170" t="s">
        <v>399</v>
      </c>
      <c r="C305" s="170" t="s">
        <v>400</v>
      </c>
      <c r="D305" s="172">
        <v>3.1095890410958904</v>
      </c>
      <c r="E305" s="171">
        <v>8.0774249999999999</v>
      </c>
      <c r="F305" s="171">
        <v>8.5</v>
      </c>
      <c r="G305" s="172">
        <v>18.420000000000002</v>
      </c>
      <c r="H305" s="171">
        <v>0</v>
      </c>
      <c r="I305" s="171" t="s">
        <v>957</v>
      </c>
      <c r="J305" s="317" t="s">
        <v>942</v>
      </c>
      <c r="K305" s="317" t="s">
        <v>1024</v>
      </c>
      <c r="L305" s="311"/>
      <c r="M305" s="311" t="s">
        <v>971</v>
      </c>
      <c r="N305" s="173">
        <v>80</v>
      </c>
      <c r="O305" s="173">
        <v>70</v>
      </c>
      <c r="P305" s="173">
        <v>130</v>
      </c>
      <c r="Q305" s="174">
        <v>108</v>
      </c>
      <c r="R305" s="180">
        <v>45582</v>
      </c>
      <c r="S305" s="175">
        <v>43578</v>
      </c>
      <c r="T305" s="175">
        <v>43578</v>
      </c>
      <c r="U305" s="176">
        <f ca="1">[1]!cb_clause_conversion_2_relativeswapsharemonth(B305)</f>
        <v>6</v>
      </c>
      <c r="V305" s="177"/>
      <c r="W305" s="177"/>
      <c r="X305" s="177"/>
      <c r="Y305" s="177"/>
      <c r="Z305" s="177"/>
      <c r="AA305" s="177"/>
      <c r="AB305" s="177"/>
      <c r="AV305" s="179"/>
      <c r="AW305" s="179"/>
      <c r="AX305" s="179"/>
      <c r="AY305" s="179"/>
      <c r="AZ305" s="179"/>
      <c r="BA305" s="179"/>
      <c r="BB305" s="179"/>
      <c r="BC305" s="179"/>
      <c r="BD305" s="179"/>
      <c r="BE305" s="179"/>
      <c r="BF305" s="179"/>
      <c r="BG305" s="179"/>
      <c r="BH305" s="179"/>
      <c r="BI305" s="179"/>
      <c r="BJ305" s="179"/>
      <c r="BK305" s="179"/>
      <c r="BL305" s="179"/>
      <c r="BM305" s="179"/>
      <c r="BN305" s="179"/>
      <c r="BO305" s="179"/>
      <c r="BP305" s="179"/>
      <c r="BQ305" s="179"/>
      <c r="BR305" s="179"/>
      <c r="BS305" s="179"/>
      <c r="BT305" s="179"/>
      <c r="BU305" s="179"/>
      <c r="BV305" s="179"/>
      <c r="BW305" s="179"/>
      <c r="BX305" s="179"/>
      <c r="BY305" s="179"/>
      <c r="BZ305" s="179"/>
      <c r="CA305" s="179"/>
      <c r="CB305" s="179"/>
      <c r="CC305" s="179"/>
      <c r="CD305" s="179"/>
      <c r="CE305" s="179"/>
      <c r="CF305" s="179"/>
      <c r="CG305" s="179"/>
      <c r="CH305" s="179"/>
      <c r="CI305" s="179"/>
      <c r="CJ305" s="179"/>
      <c r="CK305" s="179"/>
      <c r="CL305" s="179"/>
      <c r="CM305" s="179"/>
      <c r="CN305" s="179"/>
      <c r="CO305" s="179"/>
      <c r="CP305" s="179"/>
      <c r="CQ305" s="179"/>
      <c r="CR305" s="179"/>
      <c r="CS305" s="179"/>
      <c r="CT305" s="179"/>
      <c r="CU305" s="179"/>
      <c r="CV305" s="179"/>
      <c r="CW305" s="179"/>
      <c r="CX305" s="179"/>
      <c r="CY305" s="179"/>
      <c r="CZ305" s="179"/>
      <c r="DA305" s="179"/>
      <c r="DB305" s="179"/>
      <c r="DC305" s="179"/>
      <c r="DD305" s="179"/>
      <c r="DE305" s="179"/>
      <c r="DF305" s="179"/>
      <c r="DG305" s="179"/>
      <c r="DH305" s="179"/>
      <c r="DI305" s="179"/>
      <c r="DJ305" s="179"/>
      <c r="DK305" s="179"/>
      <c r="DL305" s="179"/>
      <c r="DM305" s="179"/>
      <c r="DN305" s="179"/>
      <c r="DO305" s="179"/>
      <c r="DP305" s="179"/>
      <c r="DQ305" s="179"/>
      <c r="DR305" s="179"/>
      <c r="DS305" s="179"/>
      <c r="DT305" s="179"/>
      <c r="DU305" s="179"/>
      <c r="DV305" s="179"/>
      <c r="DW305" s="179"/>
      <c r="DX305" s="179"/>
      <c r="DY305" s="179"/>
      <c r="DZ305" s="179"/>
      <c r="EA305" s="179"/>
      <c r="EB305" s="179"/>
      <c r="EC305" s="179"/>
      <c r="ED305" s="179"/>
      <c r="EE305" s="179"/>
      <c r="EF305" s="179"/>
      <c r="EG305" s="179"/>
      <c r="EH305" s="179"/>
      <c r="EI305" s="179"/>
      <c r="EJ305" s="179"/>
      <c r="EK305" s="179"/>
      <c r="EL305" s="179"/>
      <c r="EM305" s="179"/>
      <c r="EN305" s="179"/>
      <c r="EO305" s="179"/>
      <c r="EP305" s="179"/>
      <c r="EQ305" s="179"/>
      <c r="ER305" s="179"/>
      <c r="ES305" s="179"/>
      <c r="ET305" s="179"/>
      <c r="EU305" s="179"/>
      <c r="EV305" s="179"/>
      <c r="EW305" s="179"/>
      <c r="EX305" s="179"/>
      <c r="EY305" s="179"/>
      <c r="EZ305" s="179"/>
      <c r="FA305" s="179"/>
      <c r="FB305" s="179"/>
      <c r="FC305" s="179"/>
      <c r="FD305" s="179"/>
      <c r="FE305" s="179"/>
      <c r="FF305" s="179"/>
      <c r="FG305" s="179"/>
      <c r="FH305" s="179"/>
      <c r="FI305" s="179"/>
      <c r="FJ305" s="179"/>
      <c r="FK305" s="179"/>
      <c r="FL305" s="179"/>
      <c r="FM305" s="179"/>
      <c r="FN305" s="179"/>
    </row>
    <row r="306" spans="1:170" s="140" customFormat="1" ht="10.3" x14ac:dyDescent="0.25">
      <c r="A306" s="132" t="s">
        <v>5</v>
      </c>
      <c r="B306" s="132" t="s">
        <v>401</v>
      </c>
      <c r="C306" s="132" t="s">
        <v>402</v>
      </c>
      <c r="D306" s="134">
        <v>2.956164383561644</v>
      </c>
      <c r="E306" s="133">
        <v>2.988359</v>
      </c>
      <c r="F306" s="133">
        <v>3</v>
      </c>
      <c r="G306" s="134">
        <v>5.71</v>
      </c>
      <c r="H306" s="133">
        <v>0</v>
      </c>
      <c r="I306" s="133" t="s">
        <v>973</v>
      </c>
      <c r="J306" s="318" t="s">
        <v>974</v>
      </c>
      <c r="K306" s="318" t="s">
        <v>1522</v>
      </c>
      <c r="L306" s="312"/>
      <c r="M306" s="312" t="s">
        <v>979</v>
      </c>
      <c r="N306" s="135">
        <v>85</v>
      </c>
      <c r="O306" s="135">
        <v>70</v>
      </c>
      <c r="P306" s="135">
        <v>130</v>
      </c>
      <c r="Q306" s="136">
        <v>112</v>
      </c>
      <c r="R306" s="137">
        <v>45526</v>
      </c>
      <c r="S306" s="138">
        <v>43889</v>
      </c>
      <c r="T306" s="138">
        <v>43889</v>
      </c>
      <c r="U306" s="181">
        <f ca="1">[1]!cb_clause_conversion_2_relativeswapsharemonth(B306)</f>
        <v>6</v>
      </c>
      <c r="V306" s="139"/>
      <c r="W306" s="139"/>
      <c r="X306" s="139"/>
      <c r="Y306" s="139"/>
      <c r="Z306" s="139"/>
      <c r="AA306" s="139"/>
      <c r="AB306" s="139"/>
      <c r="AV306" s="141"/>
      <c r="AW306" s="141"/>
      <c r="AX306" s="141"/>
      <c r="AY306" s="141"/>
      <c r="AZ306" s="141"/>
      <c r="BA306" s="141"/>
      <c r="BB306" s="141"/>
      <c r="BC306" s="141"/>
      <c r="BD306" s="141"/>
      <c r="BE306" s="141"/>
      <c r="BF306" s="141"/>
      <c r="BG306" s="141"/>
      <c r="BH306" s="141"/>
      <c r="BI306" s="141"/>
      <c r="BJ306" s="141"/>
      <c r="BK306" s="141"/>
      <c r="BL306" s="141"/>
      <c r="BM306" s="141"/>
      <c r="BN306" s="141"/>
      <c r="BO306" s="141"/>
      <c r="BP306" s="141"/>
      <c r="BQ306" s="141"/>
      <c r="BR306" s="141"/>
      <c r="BS306" s="141"/>
      <c r="BT306" s="141"/>
      <c r="BU306" s="141"/>
      <c r="BV306" s="141"/>
      <c r="BW306" s="141"/>
      <c r="BX306" s="141"/>
      <c r="BY306" s="141"/>
      <c r="BZ306" s="141"/>
      <c r="CA306" s="141"/>
      <c r="CB306" s="141"/>
      <c r="CC306" s="141"/>
      <c r="CD306" s="141"/>
      <c r="CE306" s="141"/>
      <c r="CF306" s="141"/>
      <c r="CG306" s="141"/>
      <c r="CH306" s="141"/>
      <c r="CI306" s="141"/>
      <c r="CJ306" s="141"/>
      <c r="CK306" s="141"/>
      <c r="CL306" s="141"/>
      <c r="CM306" s="141"/>
      <c r="CN306" s="141"/>
      <c r="CO306" s="141"/>
      <c r="CP306" s="141"/>
      <c r="CQ306" s="141"/>
      <c r="CR306" s="141"/>
      <c r="CS306" s="141"/>
      <c r="CT306" s="141"/>
      <c r="CU306" s="141"/>
      <c r="CV306" s="141"/>
      <c r="CW306" s="141"/>
      <c r="CX306" s="141"/>
      <c r="CY306" s="141"/>
      <c r="CZ306" s="141"/>
      <c r="DA306" s="141"/>
      <c r="DB306" s="141"/>
      <c r="DC306" s="141"/>
      <c r="DD306" s="141"/>
      <c r="DE306" s="141"/>
      <c r="DF306" s="141"/>
      <c r="DG306" s="141"/>
      <c r="DH306" s="141"/>
      <c r="DI306" s="141"/>
      <c r="DJ306" s="141"/>
      <c r="DK306" s="141"/>
      <c r="DL306" s="141"/>
      <c r="DM306" s="141"/>
      <c r="DN306" s="141"/>
      <c r="DO306" s="141"/>
      <c r="DP306" s="141"/>
      <c r="DQ306" s="141"/>
      <c r="DR306" s="141"/>
      <c r="DS306" s="141"/>
      <c r="DT306" s="141"/>
      <c r="DU306" s="141"/>
      <c r="DV306" s="141"/>
      <c r="DW306" s="141"/>
      <c r="DX306" s="141"/>
      <c r="DY306" s="141"/>
      <c r="DZ306" s="141"/>
      <c r="EA306" s="141"/>
      <c r="EB306" s="141"/>
      <c r="EC306" s="141"/>
      <c r="ED306" s="141"/>
      <c r="EE306" s="141"/>
      <c r="EF306" s="141"/>
      <c r="EG306" s="141"/>
      <c r="EH306" s="141"/>
      <c r="EI306" s="141"/>
      <c r="EJ306" s="141"/>
      <c r="EK306" s="141"/>
      <c r="EL306" s="141"/>
      <c r="EM306" s="141"/>
      <c r="EN306" s="141"/>
      <c r="EO306" s="141"/>
      <c r="EP306" s="141"/>
      <c r="EQ306" s="141"/>
      <c r="ER306" s="141"/>
      <c r="ES306" s="141"/>
      <c r="ET306" s="141"/>
      <c r="EU306" s="141"/>
      <c r="EV306" s="141"/>
      <c r="EW306" s="141"/>
      <c r="EX306" s="141"/>
      <c r="EY306" s="141"/>
      <c r="EZ306" s="141"/>
      <c r="FA306" s="141"/>
      <c r="FB306" s="141"/>
      <c r="FC306" s="141"/>
      <c r="FD306" s="141"/>
      <c r="FE306" s="141"/>
      <c r="FF306" s="141"/>
      <c r="FG306" s="141"/>
      <c r="FH306" s="141"/>
      <c r="FI306" s="141"/>
      <c r="FJ306" s="141"/>
      <c r="FK306" s="141"/>
      <c r="FL306" s="141"/>
      <c r="FM306" s="141"/>
      <c r="FN306" s="141"/>
    </row>
    <row r="307" spans="1:170" s="178" customFormat="1" ht="10.3" x14ac:dyDescent="0.25">
      <c r="A307" s="170" t="s">
        <v>5</v>
      </c>
      <c r="B307" s="170" t="s">
        <v>403</v>
      </c>
      <c r="C307" s="170" t="s">
        <v>404</v>
      </c>
      <c r="D307" s="172">
        <v>2.934246575342466</v>
      </c>
      <c r="E307" s="171">
        <v>6.5915499999999998</v>
      </c>
      <c r="F307" s="171">
        <v>6.6</v>
      </c>
      <c r="G307" s="172">
        <v>5.91</v>
      </c>
      <c r="H307" s="171">
        <v>0</v>
      </c>
      <c r="I307" s="171" t="s">
        <v>983</v>
      </c>
      <c r="J307" s="317" t="s">
        <v>955</v>
      </c>
      <c r="K307" s="317" t="s">
        <v>1514</v>
      </c>
      <c r="L307" s="314"/>
      <c r="M307" s="314" t="s">
        <v>1108</v>
      </c>
      <c r="N307" s="173">
        <v>90</v>
      </c>
      <c r="O307" s="173">
        <v>70</v>
      </c>
      <c r="P307" s="173">
        <v>130</v>
      </c>
      <c r="Q307" s="174">
        <v>107</v>
      </c>
      <c r="R307" s="180">
        <v>45518</v>
      </c>
      <c r="S307" s="175">
        <v>43516</v>
      </c>
      <c r="T307" s="175">
        <v>43516</v>
      </c>
      <c r="U307" s="176">
        <f ca="1">[1]!cb_clause_conversion_2_relativeswapsharemonth(B307)</f>
        <v>6</v>
      </c>
      <c r="V307" s="177"/>
      <c r="W307" s="177"/>
      <c r="X307" s="177"/>
      <c r="Y307" s="177"/>
      <c r="Z307" s="177"/>
      <c r="AA307" s="177"/>
      <c r="AB307" s="177"/>
      <c r="AV307" s="179"/>
      <c r="AW307" s="179"/>
      <c r="AX307" s="179"/>
      <c r="AY307" s="179"/>
      <c r="AZ307" s="179"/>
      <c r="BA307" s="179"/>
      <c r="BB307" s="179"/>
      <c r="BC307" s="179"/>
      <c r="BD307" s="179"/>
      <c r="BE307" s="179"/>
      <c r="BF307" s="179"/>
      <c r="BG307" s="179"/>
      <c r="BH307" s="179"/>
      <c r="BI307" s="179"/>
      <c r="BJ307" s="179"/>
      <c r="BK307" s="179"/>
      <c r="BL307" s="179"/>
      <c r="BM307" s="179"/>
      <c r="BN307" s="179"/>
      <c r="BO307" s="179"/>
      <c r="BP307" s="179"/>
      <c r="BQ307" s="179"/>
      <c r="BR307" s="179"/>
      <c r="BS307" s="179"/>
      <c r="BT307" s="179"/>
      <c r="BU307" s="179"/>
      <c r="BV307" s="179"/>
      <c r="BW307" s="179"/>
      <c r="BX307" s="179"/>
      <c r="BY307" s="179"/>
      <c r="BZ307" s="179"/>
      <c r="CA307" s="179"/>
      <c r="CB307" s="179"/>
      <c r="CC307" s="179"/>
      <c r="CD307" s="179"/>
      <c r="CE307" s="179"/>
      <c r="CF307" s="179"/>
      <c r="CG307" s="179"/>
      <c r="CH307" s="179"/>
      <c r="CI307" s="179"/>
      <c r="CJ307" s="179"/>
      <c r="CK307" s="179"/>
      <c r="CL307" s="179"/>
      <c r="CM307" s="179"/>
      <c r="CN307" s="179"/>
      <c r="CO307" s="179"/>
      <c r="CP307" s="179"/>
      <c r="CQ307" s="179"/>
      <c r="CR307" s="179"/>
      <c r="CS307" s="179"/>
      <c r="CT307" s="179"/>
      <c r="CU307" s="179"/>
      <c r="CV307" s="179"/>
      <c r="CW307" s="179"/>
      <c r="CX307" s="179"/>
      <c r="CY307" s="179"/>
      <c r="CZ307" s="179"/>
      <c r="DA307" s="179"/>
      <c r="DB307" s="179"/>
      <c r="DC307" s="179"/>
      <c r="DD307" s="179"/>
      <c r="DE307" s="179"/>
      <c r="DF307" s="179"/>
      <c r="DG307" s="179"/>
      <c r="DH307" s="179"/>
      <c r="DI307" s="179"/>
      <c r="DJ307" s="179"/>
      <c r="DK307" s="179"/>
      <c r="DL307" s="179"/>
      <c r="DM307" s="179"/>
      <c r="DN307" s="179"/>
      <c r="DO307" s="179"/>
      <c r="DP307" s="179"/>
      <c r="DQ307" s="179"/>
      <c r="DR307" s="179"/>
      <c r="DS307" s="179"/>
      <c r="DT307" s="179"/>
      <c r="DU307" s="179"/>
      <c r="DV307" s="179"/>
      <c r="DW307" s="179"/>
      <c r="DX307" s="179"/>
      <c r="DY307" s="179"/>
      <c r="DZ307" s="179"/>
      <c r="EA307" s="179"/>
      <c r="EB307" s="179"/>
      <c r="EC307" s="179"/>
      <c r="ED307" s="179"/>
      <c r="EE307" s="179"/>
      <c r="EF307" s="179"/>
      <c r="EG307" s="179"/>
      <c r="EH307" s="179"/>
      <c r="EI307" s="179"/>
      <c r="EJ307" s="179"/>
      <c r="EK307" s="179"/>
      <c r="EL307" s="179"/>
      <c r="EM307" s="179"/>
      <c r="EN307" s="179"/>
      <c r="EO307" s="179"/>
      <c r="EP307" s="179"/>
      <c r="EQ307" s="179"/>
      <c r="ER307" s="179"/>
      <c r="ES307" s="179"/>
      <c r="ET307" s="179"/>
      <c r="EU307" s="179"/>
      <c r="EV307" s="179"/>
      <c r="EW307" s="179"/>
      <c r="EX307" s="179"/>
      <c r="EY307" s="179"/>
      <c r="EZ307" s="179"/>
      <c r="FA307" s="179"/>
      <c r="FB307" s="179"/>
      <c r="FC307" s="179"/>
      <c r="FD307" s="179"/>
      <c r="FE307" s="179"/>
      <c r="FF307" s="179"/>
      <c r="FG307" s="179"/>
      <c r="FH307" s="179"/>
      <c r="FI307" s="179"/>
      <c r="FJ307" s="179"/>
      <c r="FK307" s="179"/>
      <c r="FL307" s="179"/>
      <c r="FM307" s="179"/>
      <c r="FN307" s="179"/>
    </row>
    <row r="308" spans="1:170" s="140" customFormat="1" ht="10.3" x14ac:dyDescent="0.25">
      <c r="A308" s="132" t="s">
        <v>5</v>
      </c>
      <c r="B308" s="132" t="s">
        <v>405</v>
      </c>
      <c r="C308" s="132" t="s">
        <v>406</v>
      </c>
      <c r="D308" s="134">
        <v>2.9315068493150687</v>
      </c>
      <c r="E308" s="133">
        <v>1.0018640000000001</v>
      </c>
      <c r="F308" s="133">
        <v>5.4</v>
      </c>
      <c r="G308" s="134">
        <v>5.79</v>
      </c>
      <c r="H308" s="133">
        <v>0</v>
      </c>
      <c r="I308" s="133" t="s">
        <v>1784</v>
      </c>
      <c r="J308" s="318" t="s">
        <v>942</v>
      </c>
      <c r="K308" s="318" t="s">
        <v>1241</v>
      </c>
      <c r="L308" s="312"/>
      <c r="M308" s="312" t="s">
        <v>972</v>
      </c>
      <c r="N308" s="135">
        <v>85</v>
      </c>
      <c r="O308" s="135">
        <v>70</v>
      </c>
      <c r="P308" s="135">
        <v>130</v>
      </c>
      <c r="Q308" s="136">
        <v>108</v>
      </c>
      <c r="R308" s="137">
        <v>45517</v>
      </c>
      <c r="S308" s="138">
        <v>43514</v>
      </c>
      <c r="T308" s="138">
        <v>43514</v>
      </c>
      <c r="U308" s="181">
        <f ca="1">[1]!cb_clause_conversion_2_relativeswapsharemonth(B308)</f>
        <v>6</v>
      </c>
      <c r="V308" s="139"/>
      <c r="W308" s="139"/>
      <c r="X308" s="139"/>
      <c r="Y308" s="139"/>
      <c r="Z308" s="139"/>
      <c r="AA308" s="139"/>
      <c r="AB308" s="139"/>
      <c r="AV308" s="141"/>
      <c r="AW308" s="141"/>
      <c r="AX308" s="141"/>
      <c r="AY308" s="141"/>
      <c r="AZ308" s="141"/>
      <c r="BA308" s="141"/>
      <c r="BB308" s="141"/>
      <c r="BC308" s="141"/>
      <c r="BD308" s="141"/>
      <c r="BE308" s="141"/>
      <c r="BF308" s="141"/>
      <c r="BG308" s="141"/>
      <c r="BH308" s="141"/>
      <c r="BI308" s="141"/>
      <c r="BJ308" s="141"/>
      <c r="BK308" s="141"/>
      <c r="BL308" s="141"/>
      <c r="BM308" s="141"/>
      <c r="BN308" s="141"/>
      <c r="BO308" s="141"/>
      <c r="BP308" s="141"/>
      <c r="BQ308" s="141"/>
      <c r="BR308" s="141"/>
      <c r="BS308" s="141"/>
      <c r="BT308" s="141"/>
      <c r="BU308" s="141"/>
      <c r="BV308" s="141"/>
      <c r="BW308" s="141"/>
      <c r="BX308" s="141"/>
      <c r="BY308" s="141"/>
      <c r="BZ308" s="141"/>
      <c r="CA308" s="141"/>
      <c r="CB308" s="141"/>
      <c r="CC308" s="141"/>
      <c r="CD308" s="141"/>
      <c r="CE308" s="141"/>
      <c r="CF308" s="141"/>
      <c r="CG308" s="141"/>
      <c r="CH308" s="141"/>
      <c r="CI308" s="141"/>
      <c r="CJ308" s="141"/>
      <c r="CK308" s="141"/>
      <c r="CL308" s="141"/>
      <c r="CM308" s="141"/>
      <c r="CN308" s="141"/>
      <c r="CO308" s="141"/>
      <c r="CP308" s="141"/>
      <c r="CQ308" s="141"/>
      <c r="CR308" s="141"/>
      <c r="CS308" s="141"/>
      <c r="CT308" s="141"/>
      <c r="CU308" s="141"/>
      <c r="CV308" s="141"/>
      <c r="CW308" s="141"/>
      <c r="CX308" s="141"/>
      <c r="CY308" s="141"/>
      <c r="CZ308" s="141"/>
      <c r="DA308" s="141"/>
      <c r="DB308" s="141"/>
      <c r="DC308" s="141"/>
      <c r="DD308" s="141"/>
      <c r="DE308" s="141"/>
      <c r="DF308" s="141"/>
      <c r="DG308" s="141"/>
      <c r="DH308" s="141"/>
      <c r="DI308" s="141"/>
      <c r="DJ308" s="141"/>
      <c r="DK308" s="141"/>
      <c r="DL308" s="141"/>
      <c r="DM308" s="141"/>
      <c r="DN308" s="141"/>
      <c r="DO308" s="141"/>
      <c r="DP308" s="141"/>
      <c r="DQ308" s="141"/>
      <c r="DR308" s="141"/>
      <c r="DS308" s="141"/>
      <c r="DT308" s="141"/>
      <c r="DU308" s="141"/>
      <c r="DV308" s="141"/>
      <c r="DW308" s="141"/>
      <c r="DX308" s="141"/>
      <c r="DY308" s="141"/>
      <c r="DZ308" s="141"/>
      <c r="EA308" s="141"/>
      <c r="EB308" s="141"/>
      <c r="EC308" s="141"/>
      <c r="ED308" s="141"/>
      <c r="EE308" s="141"/>
      <c r="EF308" s="141"/>
      <c r="EG308" s="141"/>
      <c r="EH308" s="141"/>
      <c r="EI308" s="141"/>
      <c r="EJ308" s="141"/>
      <c r="EK308" s="141"/>
      <c r="EL308" s="141"/>
      <c r="EM308" s="141"/>
      <c r="EN308" s="141"/>
      <c r="EO308" s="141"/>
      <c r="EP308" s="141"/>
      <c r="EQ308" s="141"/>
      <c r="ER308" s="141"/>
      <c r="ES308" s="141"/>
      <c r="ET308" s="141"/>
      <c r="EU308" s="141"/>
      <c r="EV308" s="141"/>
      <c r="EW308" s="141"/>
      <c r="EX308" s="141"/>
      <c r="EY308" s="141"/>
      <c r="EZ308" s="141"/>
      <c r="FA308" s="141"/>
      <c r="FB308" s="141"/>
      <c r="FC308" s="141"/>
      <c r="FD308" s="141"/>
      <c r="FE308" s="141"/>
      <c r="FF308" s="141"/>
      <c r="FG308" s="141"/>
      <c r="FH308" s="141"/>
      <c r="FI308" s="141"/>
      <c r="FJ308" s="141"/>
      <c r="FK308" s="141"/>
      <c r="FL308" s="141"/>
      <c r="FM308" s="141"/>
      <c r="FN308" s="141"/>
    </row>
    <row r="309" spans="1:170" s="178" customFormat="1" ht="10.3" x14ac:dyDescent="0.25">
      <c r="A309" s="170" t="s">
        <v>0</v>
      </c>
      <c r="B309" s="170" t="s">
        <v>878</v>
      </c>
      <c r="C309" s="170" t="s">
        <v>879</v>
      </c>
      <c r="D309" s="172">
        <v>2.9013698630136986</v>
      </c>
      <c r="E309" s="171">
        <v>12.88608</v>
      </c>
      <c r="F309" s="171">
        <v>25</v>
      </c>
      <c r="G309" s="172">
        <v>5.37</v>
      </c>
      <c r="H309" s="171">
        <v>0</v>
      </c>
      <c r="I309" s="171" t="s">
        <v>935</v>
      </c>
      <c r="J309" s="317" t="s">
        <v>936</v>
      </c>
      <c r="K309" s="317" t="s">
        <v>1438</v>
      </c>
      <c r="L309" s="311"/>
      <c r="M309" s="311" t="s">
        <v>1439</v>
      </c>
      <c r="N309" s="173">
        <v>80</v>
      </c>
      <c r="O309" s="173"/>
      <c r="P309" s="173">
        <v>130</v>
      </c>
      <c r="Q309" s="174">
        <v>110</v>
      </c>
      <c r="R309" s="180">
        <v>45506</v>
      </c>
      <c r="S309" s="175">
        <v>43507</v>
      </c>
      <c r="T309" s="175">
        <v>43507</v>
      </c>
      <c r="U309" s="176">
        <f ca="1">[1]!cb_clause_conversion_2_relativeswapsharemonth(B309)</f>
        <v>6</v>
      </c>
      <c r="V309" s="177"/>
      <c r="W309" s="177"/>
      <c r="X309" s="177"/>
      <c r="Y309" s="177"/>
      <c r="Z309" s="177"/>
      <c r="AA309" s="177"/>
      <c r="AB309" s="177"/>
      <c r="AV309" s="179"/>
      <c r="AW309" s="179"/>
      <c r="AX309" s="179"/>
      <c r="AY309" s="179"/>
      <c r="AZ309" s="179"/>
      <c r="BA309" s="179"/>
      <c r="BB309" s="179"/>
      <c r="BC309" s="179"/>
      <c r="BD309" s="179"/>
      <c r="BE309" s="179"/>
      <c r="BF309" s="179"/>
      <c r="BG309" s="179"/>
      <c r="BH309" s="179"/>
      <c r="BI309" s="179"/>
      <c r="BJ309" s="179"/>
      <c r="BK309" s="179"/>
      <c r="BL309" s="179"/>
      <c r="BM309" s="179"/>
      <c r="BN309" s="179"/>
      <c r="BO309" s="179"/>
      <c r="BP309" s="179"/>
      <c r="BQ309" s="179"/>
      <c r="BR309" s="179"/>
      <c r="BS309" s="179"/>
      <c r="BT309" s="179"/>
      <c r="BU309" s="179"/>
      <c r="BV309" s="179"/>
      <c r="BW309" s="179"/>
      <c r="BX309" s="179"/>
      <c r="BY309" s="179"/>
      <c r="BZ309" s="179"/>
      <c r="CA309" s="179"/>
      <c r="CB309" s="179"/>
      <c r="CC309" s="179"/>
      <c r="CD309" s="179"/>
      <c r="CE309" s="179"/>
      <c r="CF309" s="179"/>
      <c r="CG309" s="179"/>
      <c r="CH309" s="179"/>
      <c r="CI309" s="179"/>
      <c r="CJ309" s="179"/>
      <c r="CK309" s="179"/>
      <c r="CL309" s="179"/>
      <c r="CM309" s="179"/>
      <c r="CN309" s="179"/>
      <c r="CO309" s="179"/>
      <c r="CP309" s="179"/>
      <c r="CQ309" s="179"/>
      <c r="CR309" s="179"/>
      <c r="CS309" s="179"/>
      <c r="CT309" s="179"/>
      <c r="CU309" s="179"/>
      <c r="CV309" s="179"/>
      <c r="CW309" s="179"/>
      <c r="CX309" s="179"/>
      <c r="CY309" s="179"/>
      <c r="CZ309" s="179"/>
      <c r="DA309" s="179"/>
      <c r="DB309" s="179"/>
      <c r="DC309" s="179"/>
      <c r="DD309" s="179"/>
      <c r="DE309" s="179"/>
      <c r="DF309" s="179"/>
      <c r="DG309" s="179"/>
      <c r="DH309" s="179"/>
      <c r="DI309" s="179"/>
      <c r="DJ309" s="179"/>
      <c r="DK309" s="179"/>
      <c r="DL309" s="179"/>
      <c r="DM309" s="179"/>
      <c r="DN309" s="179"/>
      <c r="DO309" s="179"/>
      <c r="DP309" s="179"/>
      <c r="DQ309" s="179"/>
      <c r="DR309" s="179"/>
      <c r="DS309" s="179"/>
      <c r="DT309" s="179"/>
      <c r="DU309" s="179"/>
      <c r="DV309" s="179"/>
      <c r="DW309" s="179"/>
      <c r="DX309" s="179"/>
      <c r="DY309" s="179"/>
      <c r="DZ309" s="179"/>
      <c r="EA309" s="179"/>
      <c r="EB309" s="179"/>
      <c r="EC309" s="179"/>
      <c r="ED309" s="179"/>
      <c r="EE309" s="179"/>
      <c r="EF309" s="179"/>
      <c r="EG309" s="179"/>
      <c r="EH309" s="179"/>
      <c r="EI309" s="179"/>
      <c r="EJ309" s="179"/>
      <c r="EK309" s="179"/>
      <c r="EL309" s="179"/>
      <c r="EM309" s="179"/>
      <c r="EN309" s="179"/>
      <c r="EO309" s="179"/>
      <c r="EP309" s="179"/>
      <c r="EQ309" s="179"/>
      <c r="ER309" s="179"/>
      <c r="ES309" s="179"/>
      <c r="ET309" s="179"/>
      <c r="EU309" s="179"/>
      <c r="EV309" s="179"/>
      <c r="EW309" s="179"/>
      <c r="EX309" s="179"/>
      <c r="EY309" s="179"/>
      <c r="EZ309" s="179"/>
      <c r="FA309" s="179"/>
      <c r="FB309" s="179"/>
      <c r="FC309" s="179"/>
      <c r="FD309" s="179"/>
      <c r="FE309" s="179"/>
      <c r="FF309" s="179"/>
      <c r="FG309" s="179"/>
      <c r="FH309" s="179"/>
      <c r="FI309" s="179"/>
      <c r="FJ309" s="179"/>
      <c r="FK309" s="179"/>
      <c r="FL309" s="179"/>
      <c r="FM309" s="179"/>
      <c r="FN309" s="179"/>
    </row>
    <row r="310" spans="1:170" s="140" customFormat="1" ht="10.3" x14ac:dyDescent="0.25">
      <c r="A310" s="132" t="s">
        <v>5</v>
      </c>
      <c r="B310" s="132" t="s">
        <v>407</v>
      </c>
      <c r="C310" s="132" t="s">
        <v>408</v>
      </c>
      <c r="D310" s="134">
        <v>2.893150684931507</v>
      </c>
      <c r="E310" s="133">
        <v>4.1560129999999997</v>
      </c>
      <c r="F310" s="133">
        <v>4.2</v>
      </c>
      <c r="G310" s="134">
        <v>12.86</v>
      </c>
      <c r="H310" s="133">
        <v>0</v>
      </c>
      <c r="I310" s="133" t="s">
        <v>939</v>
      </c>
      <c r="J310" s="318" t="s">
        <v>1082</v>
      </c>
      <c r="K310" s="318" t="s">
        <v>1130</v>
      </c>
      <c r="L310" s="312"/>
      <c r="M310" s="312" t="s">
        <v>982</v>
      </c>
      <c r="N310" s="135">
        <v>85</v>
      </c>
      <c r="O310" s="135">
        <v>70</v>
      </c>
      <c r="P310" s="135">
        <v>130</v>
      </c>
      <c r="Q310" s="136">
        <v>112</v>
      </c>
      <c r="R310" s="137">
        <v>45503</v>
      </c>
      <c r="S310" s="138">
        <v>43507</v>
      </c>
      <c r="T310" s="138">
        <v>43507</v>
      </c>
      <c r="U310" s="181">
        <f ca="1">[1]!cb_clause_conversion_2_relativeswapsharemonth(B310)</f>
        <v>6</v>
      </c>
      <c r="V310" s="139"/>
      <c r="W310" s="139"/>
      <c r="X310" s="139"/>
      <c r="Y310" s="139"/>
      <c r="Z310" s="139"/>
      <c r="AA310" s="139"/>
      <c r="AB310" s="139"/>
      <c r="AV310" s="141"/>
      <c r="AW310" s="141"/>
      <c r="AX310" s="141"/>
      <c r="AY310" s="141"/>
      <c r="AZ310" s="141"/>
      <c r="BA310" s="141"/>
      <c r="BB310" s="141"/>
      <c r="BC310" s="141"/>
      <c r="BD310" s="141"/>
      <c r="BE310" s="141"/>
      <c r="BF310" s="141"/>
      <c r="BG310" s="141"/>
      <c r="BH310" s="141"/>
      <c r="BI310" s="141"/>
      <c r="BJ310" s="141"/>
      <c r="BK310" s="141"/>
      <c r="BL310" s="141"/>
      <c r="BM310" s="141"/>
      <c r="BN310" s="141"/>
      <c r="BO310" s="141"/>
      <c r="BP310" s="141"/>
      <c r="BQ310" s="141"/>
      <c r="BR310" s="141"/>
      <c r="BS310" s="141"/>
      <c r="BT310" s="141"/>
      <c r="BU310" s="141"/>
      <c r="BV310" s="141"/>
      <c r="BW310" s="141"/>
      <c r="BX310" s="141"/>
      <c r="BY310" s="141"/>
      <c r="BZ310" s="141"/>
      <c r="CA310" s="141"/>
      <c r="CB310" s="141"/>
      <c r="CC310" s="141"/>
      <c r="CD310" s="141"/>
      <c r="CE310" s="141"/>
      <c r="CF310" s="141"/>
      <c r="CG310" s="141"/>
      <c r="CH310" s="141"/>
      <c r="CI310" s="141"/>
      <c r="CJ310" s="141"/>
      <c r="CK310" s="141"/>
      <c r="CL310" s="141"/>
      <c r="CM310" s="141"/>
      <c r="CN310" s="141"/>
      <c r="CO310" s="141"/>
      <c r="CP310" s="141"/>
      <c r="CQ310" s="141"/>
      <c r="CR310" s="141"/>
      <c r="CS310" s="141"/>
      <c r="CT310" s="141"/>
      <c r="CU310" s="141"/>
      <c r="CV310" s="141"/>
      <c r="CW310" s="141"/>
      <c r="CX310" s="141"/>
      <c r="CY310" s="141"/>
      <c r="CZ310" s="141"/>
      <c r="DA310" s="141"/>
      <c r="DB310" s="141"/>
      <c r="DC310" s="141"/>
      <c r="DD310" s="141"/>
      <c r="DE310" s="141"/>
      <c r="DF310" s="141"/>
      <c r="DG310" s="141"/>
      <c r="DH310" s="141"/>
      <c r="DI310" s="141"/>
      <c r="DJ310" s="141"/>
      <c r="DK310" s="141"/>
      <c r="DL310" s="141"/>
      <c r="DM310" s="141"/>
      <c r="DN310" s="141"/>
      <c r="DO310" s="141"/>
      <c r="DP310" s="141"/>
      <c r="DQ310" s="141"/>
      <c r="DR310" s="141"/>
      <c r="DS310" s="141"/>
      <c r="DT310" s="141"/>
      <c r="DU310" s="141"/>
      <c r="DV310" s="141"/>
      <c r="DW310" s="141"/>
      <c r="DX310" s="141"/>
      <c r="DY310" s="141"/>
      <c r="DZ310" s="141"/>
      <c r="EA310" s="141"/>
      <c r="EB310" s="141"/>
      <c r="EC310" s="141"/>
      <c r="ED310" s="141"/>
      <c r="EE310" s="141"/>
      <c r="EF310" s="141"/>
      <c r="EG310" s="141"/>
      <c r="EH310" s="141"/>
      <c r="EI310" s="141"/>
      <c r="EJ310" s="141"/>
      <c r="EK310" s="141"/>
      <c r="EL310" s="141"/>
      <c r="EM310" s="141"/>
      <c r="EN310" s="141"/>
      <c r="EO310" s="141"/>
      <c r="EP310" s="141"/>
      <c r="EQ310" s="141"/>
      <c r="ER310" s="141"/>
      <c r="ES310" s="141"/>
      <c r="ET310" s="141"/>
      <c r="EU310" s="141"/>
      <c r="EV310" s="141"/>
      <c r="EW310" s="141"/>
      <c r="EX310" s="141"/>
      <c r="EY310" s="141"/>
      <c r="EZ310" s="141"/>
      <c r="FA310" s="141"/>
      <c r="FB310" s="141"/>
      <c r="FC310" s="141"/>
      <c r="FD310" s="141"/>
      <c r="FE310" s="141"/>
      <c r="FF310" s="141"/>
      <c r="FG310" s="141"/>
      <c r="FH310" s="141"/>
      <c r="FI310" s="141"/>
      <c r="FJ310" s="141"/>
      <c r="FK310" s="141"/>
      <c r="FL310" s="141"/>
      <c r="FM310" s="141"/>
      <c r="FN310" s="141"/>
    </row>
    <row r="311" spans="1:170" s="178" customFormat="1" ht="10.3" x14ac:dyDescent="0.25">
      <c r="A311" s="170" t="s">
        <v>5</v>
      </c>
      <c r="B311" s="170" t="s">
        <v>409</v>
      </c>
      <c r="C311" s="170" t="s">
        <v>410</v>
      </c>
      <c r="D311" s="172">
        <v>2.882191780821918</v>
      </c>
      <c r="E311" s="171">
        <v>0.38233299999999998</v>
      </c>
      <c r="F311" s="171">
        <v>1.4</v>
      </c>
      <c r="G311" s="172">
        <v>9.0399999999999991</v>
      </c>
      <c r="H311" s="171">
        <v>0</v>
      </c>
      <c r="I311" s="171" t="s">
        <v>1031</v>
      </c>
      <c r="J311" s="317" t="s">
        <v>951</v>
      </c>
      <c r="K311" s="317" t="s">
        <v>1785</v>
      </c>
      <c r="L311" s="311"/>
      <c r="M311" s="311" t="s">
        <v>979</v>
      </c>
      <c r="N311" s="173">
        <v>90</v>
      </c>
      <c r="O311" s="173">
        <v>70</v>
      </c>
      <c r="P311" s="173">
        <v>130</v>
      </c>
      <c r="Q311" s="174">
        <v>110</v>
      </c>
      <c r="R311" s="180">
        <v>45499</v>
      </c>
      <c r="S311" s="175">
        <v>43497</v>
      </c>
      <c r="T311" s="175">
        <v>43497</v>
      </c>
      <c r="U311" s="176">
        <f ca="1">[1]!cb_clause_conversion_2_relativeswapsharemonth(B311)</f>
        <v>6</v>
      </c>
      <c r="V311" s="177"/>
      <c r="W311" s="177"/>
      <c r="X311" s="177"/>
      <c r="Y311" s="177"/>
      <c r="Z311" s="177"/>
      <c r="AA311" s="177"/>
      <c r="AB311" s="177"/>
      <c r="AV311" s="179"/>
      <c r="AW311" s="179"/>
      <c r="AX311" s="179"/>
      <c r="AY311" s="179"/>
      <c r="AZ311" s="179"/>
      <c r="BA311" s="179"/>
      <c r="BB311" s="179"/>
      <c r="BC311" s="179"/>
      <c r="BD311" s="179"/>
      <c r="BE311" s="179"/>
      <c r="BF311" s="179"/>
      <c r="BG311" s="179"/>
      <c r="BH311" s="179"/>
      <c r="BI311" s="179"/>
      <c r="BJ311" s="179"/>
      <c r="BK311" s="179"/>
      <c r="BL311" s="179"/>
      <c r="BM311" s="179"/>
      <c r="BN311" s="179"/>
      <c r="BO311" s="179"/>
      <c r="BP311" s="179"/>
      <c r="BQ311" s="179"/>
      <c r="BR311" s="179"/>
      <c r="BS311" s="179"/>
      <c r="BT311" s="179"/>
      <c r="BU311" s="179"/>
      <c r="BV311" s="179"/>
      <c r="BW311" s="179"/>
      <c r="BX311" s="179"/>
      <c r="BY311" s="179"/>
      <c r="BZ311" s="179"/>
      <c r="CA311" s="179"/>
      <c r="CB311" s="179"/>
      <c r="CC311" s="179"/>
      <c r="CD311" s="179"/>
      <c r="CE311" s="179"/>
      <c r="CF311" s="179"/>
      <c r="CG311" s="179"/>
      <c r="CH311" s="179"/>
      <c r="CI311" s="179"/>
      <c r="CJ311" s="179"/>
      <c r="CK311" s="179"/>
      <c r="CL311" s="179"/>
      <c r="CM311" s="179"/>
      <c r="CN311" s="179"/>
      <c r="CO311" s="179"/>
      <c r="CP311" s="179"/>
      <c r="CQ311" s="179"/>
      <c r="CR311" s="179"/>
      <c r="CS311" s="179"/>
      <c r="CT311" s="179"/>
      <c r="CU311" s="179"/>
      <c r="CV311" s="179"/>
      <c r="CW311" s="179"/>
      <c r="CX311" s="179"/>
      <c r="CY311" s="179"/>
      <c r="CZ311" s="179"/>
      <c r="DA311" s="179"/>
      <c r="DB311" s="179"/>
      <c r="DC311" s="179"/>
      <c r="DD311" s="179"/>
      <c r="DE311" s="179"/>
      <c r="DF311" s="179"/>
      <c r="DG311" s="179"/>
      <c r="DH311" s="179"/>
      <c r="DI311" s="179"/>
      <c r="DJ311" s="179"/>
      <c r="DK311" s="179"/>
      <c r="DL311" s="179"/>
      <c r="DM311" s="179"/>
      <c r="DN311" s="179"/>
      <c r="DO311" s="179"/>
      <c r="DP311" s="179"/>
      <c r="DQ311" s="179"/>
      <c r="DR311" s="179"/>
      <c r="DS311" s="179"/>
      <c r="DT311" s="179"/>
      <c r="DU311" s="179"/>
      <c r="DV311" s="179"/>
      <c r="DW311" s="179"/>
      <c r="DX311" s="179"/>
      <c r="DY311" s="179"/>
      <c r="DZ311" s="179"/>
      <c r="EA311" s="179"/>
      <c r="EB311" s="179"/>
      <c r="EC311" s="179"/>
      <c r="ED311" s="179"/>
      <c r="EE311" s="179"/>
      <c r="EF311" s="179"/>
      <c r="EG311" s="179"/>
      <c r="EH311" s="179"/>
      <c r="EI311" s="179"/>
      <c r="EJ311" s="179"/>
      <c r="EK311" s="179"/>
      <c r="EL311" s="179"/>
      <c r="EM311" s="179"/>
      <c r="EN311" s="179"/>
      <c r="EO311" s="179"/>
      <c r="EP311" s="179"/>
      <c r="EQ311" s="179"/>
      <c r="ER311" s="179"/>
      <c r="ES311" s="179"/>
      <c r="ET311" s="179"/>
      <c r="EU311" s="179"/>
      <c r="EV311" s="179"/>
      <c r="EW311" s="179"/>
      <c r="EX311" s="179"/>
      <c r="EY311" s="179"/>
      <c r="EZ311" s="179"/>
      <c r="FA311" s="179"/>
      <c r="FB311" s="179"/>
      <c r="FC311" s="179"/>
      <c r="FD311" s="179"/>
      <c r="FE311" s="179"/>
      <c r="FF311" s="179"/>
      <c r="FG311" s="179"/>
      <c r="FH311" s="179"/>
      <c r="FI311" s="179"/>
      <c r="FJ311" s="179"/>
      <c r="FK311" s="179"/>
      <c r="FL311" s="179"/>
      <c r="FM311" s="179"/>
      <c r="FN311" s="179"/>
    </row>
    <row r="312" spans="1:170" s="140" customFormat="1" ht="10.3" x14ac:dyDescent="0.25">
      <c r="A312" s="132" t="s">
        <v>5</v>
      </c>
      <c r="B312" s="132" t="s">
        <v>411</v>
      </c>
      <c r="C312" s="132" t="s">
        <v>412</v>
      </c>
      <c r="D312" s="134">
        <v>2.8657534246575342</v>
      </c>
      <c r="E312" s="133">
        <v>1.2755110000000001</v>
      </c>
      <c r="F312" s="133">
        <v>9.5</v>
      </c>
      <c r="G312" s="134">
        <v>5.27</v>
      </c>
      <c r="H312" s="133">
        <v>0</v>
      </c>
      <c r="I312" s="133" t="s">
        <v>973</v>
      </c>
      <c r="J312" s="318" t="s">
        <v>951</v>
      </c>
      <c r="K312" s="318" t="s">
        <v>1064</v>
      </c>
      <c r="L312" s="312"/>
      <c r="M312" s="312" t="s">
        <v>1046</v>
      </c>
      <c r="N312" s="135">
        <v>80</v>
      </c>
      <c r="O312" s="135">
        <v>70</v>
      </c>
      <c r="P312" s="135">
        <v>130</v>
      </c>
      <c r="Q312" s="136">
        <v>106</v>
      </c>
      <c r="R312" s="137">
        <v>45493</v>
      </c>
      <c r="S312" s="138">
        <v>43493</v>
      </c>
      <c r="T312" s="138">
        <v>43493</v>
      </c>
      <c r="U312" s="181">
        <f ca="1">[1]!cb_clause_conversion_2_relativeswapsharemonth(B312)</f>
        <v>6</v>
      </c>
      <c r="V312" s="139"/>
      <c r="W312" s="139"/>
      <c r="X312" s="139"/>
      <c r="Y312" s="139"/>
      <c r="Z312" s="139"/>
      <c r="AA312" s="139"/>
      <c r="AB312" s="139"/>
      <c r="AV312" s="141"/>
      <c r="AW312" s="141"/>
      <c r="AX312" s="141"/>
      <c r="AY312" s="141"/>
      <c r="AZ312" s="141"/>
      <c r="BA312" s="141"/>
      <c r="BB312" s="141"/>
      <c r="BC312" s="141"/>
      <c r="BD312" s="141"/>
      <c r="BE312" s="141"/>
      <c r="BF312" s="141"/>
      <c r="BG312" s="141"/>
      <c r="BH312" s="141"/>
      <c r="BI312" s="141"/>
      <c r="BJ312" s="141"/>
      <c r="BK312" s="141"/>
      <c r="BL312" s="141"/>
      <c r="BM312" s="141"/>
      <c r="BN312" s="141"/>
      <c r="BO312" s="141"/>
      <c r="BP312" s="141"/>
      <c r="BQ312" s="141"/>
      <c r="BR312" s="141"/>
      <c r="BS312" s="141"/>
      <c r="BT312" s="141"/>
      <c r="BU312" s="141"/>
      <c r="BV312" s="141"/>
      <c r="BW312" s="141"/>
      <c r="BX312" s="141"/>
      <c r="BY312" s="141"/>
      <c r="BZ312" s="141"/>
      <c r="CA312" s="141"/>
      <c r="CB312" s="141"/>
      <c r="CC312" s="141"/>
      <c r="CD312" s="141"/>
      <c r="CE312" s="141"/>
      <c r="CF312" s="141"/>
      <c r="CG312" s="141"/>
      <c r="CH312" s="141"/>
      <c r="CI312" s="141"/>
      <c r="CJ312" s="141"/>
      <c r="CK312" s="141"/>
      <c r="CL312" s="141"/>
      <c r="CM312" s="141"/>
      <c r="CN312" s="141"/>
      <c r="CO312" s="141"/>
      <c r="CP312" s="141"/>
      <c r="CQ312" s="141"/>
      <c r="CR312" s="141"/>
      <c r="CS312" s="141"/>
      <c r="CT312" s="141"/>
      <c r="CU312" s="141"/>
      <c r="CV312" s="141"/>
      <c r="CW312" s="141"/>
      <c r="CX312" s="141"/>
      <c r="CY312" s="141"/>
      <c r="CZ312" s="141"/>
      <c r="DA312" s="141"/>
      <c r="DB312" s="141"/>
      <c r="DC312" s="141"/>
      <c r="DD312" s="141"/>
      <c r="DE312" s="141"/>
      <c r="DF312" s="141"/>
      <c r="DG312" s="141"/>
      <c r="DH312" s="141"/>
      <c r="DI312" s="141"/>
      <c r="DJ312" s="141"/>
      <c r="DK312" s="141"/>
      <c r="DL312" s="141"/>
      <c r="DM312" s="141"/>
      <c r="DN312" s="141"/>
      <c r="DO312" s="141"/>
      <c r="DP312" s="141"/>
      <c r="DQ312" s="141"/>
      <c r="DR312" s="141"/>
      <c r="DS312" s="141"/>
      <c r="DT312" s="141"/>
      <c r="DU312" s="141"/>
      <c r="DV312" s="141"/>
      <c r="DW312" s="141"/>
      <c r="DX312" s="141"/>
      <c r="DY312" s="141"/>
      <c r="DZ312" s="141"/>
      <c r="EA312" s="141"/>
      <c r="EB312" s="141"/>
      <c r="EC312" s="141"/>
      <c r="ED312" s="141"/>
      <c r="EE312" s="141"/>
      <c r="EF312" s="141"/>
      <c r="EG312" s="141"/>
      <c r="EH312" s="141"/>
      <c r="EI312" s="141"/>
      <c r="EJ312" s="141"/>
      <c r="EK312" s="141"/>
      <c r="EL312" s="141"/>
      <c r="EM312" s="141"/>
      <c r="EN312" s="141"/>
      <c r="EO312" s="141"/>
      <c r="EP312" s="141"/>
      <c r="EQ312" s="141"/>
      <c r="ER312" s="141"/>
      <c r="ES312" s="141"/>
      <c r="ET312" s="141"/>
      <c r="EU312" s="141"/>
      <c r="EV312" s="141"/>
      <c r="EW312" s="141"/>
      <c r="EX312" s="141"/>
      <c r="EY312" s="141"/>
      <c r="EZ312" s="141"/>
      <c r="FA312" s="141"/>
      <c r="FB312" s="141"/>
      <c r="FC312" s="141"/>
      <c r="FD312" s="141"/>
      <c r="FE312" s="141"/>
      <c r="FF312" s="141"/>
      <c r="FG312" s="141"/>
      <c r="FH312" s="141"/>
      <c r="FI312" s="141"/>
      <c r="FJ312" s="141"/>
      <c r="FK312" s="141"/>
      <c r="FL312" s="141"/>
      <c r="FM312" s="141"/>
      <c r="FN312" s="141"/>
    </row>
    <row r="313" spans="1:170" s="178" customFormat="1" ht="10.3" x14ac:dyDescent="0.25">
      <c r="A313" s="170" t="s">
        <v>5</v>
      </c>
      <c r="B313" s="170" t="s">
        <v>413</v>
      </c>
      <c r="C313" s="170" t="s">
        <v>414</v>
      </c>
      <c r="D313" s="172">
        <v>2.86027397260274</v>
      </c>
      <c r="E313" s="171">
        <v>2.5066480000000002</v>
      </c>
      <c r="F313" s="171">
        <v>5.6</v>
      </c>
      <c r="G313" s="172">
        <v>31.38</v>
      </c>
      <c r="H313" s="171">
        <v>0</v>
      </c>
      <c r="I313" s="171" t="s">
        <v>973</v>
      </c>
      <c r="J313" s="317" t="s">
        <v>942</v>
      </c>
      <c r="K313" s="317" t="s">
        <v>1355</v>
      </c>
      <c r="L313" s="311"/>
      <c r="M313" s="311" t="s">
        <v>1086</v>
      </c>
      <c r="N313" s="173">
        <v>85</v>
      </c>
      <c r="O313" s="173">
        <v>70</v>
      </c>
      <c r="P313" s="173">
        <v>130</v>
      </c>
      <c r="Q313" s="174">
        <v>112</v>
      </c>
      <c r="R313" s="180">
        <v>45491</v>
      </c>
      <c r="S313" s="175">
        <v>43489</v>
      </c>
      <c r="T313" s="175">
        <v>43489</v>
      </c>
      <c r="U313" s="176">
        <f ca="1">[1]!cb_clause_conversion_2_relativeswapsharemonth(B313)</f>
        <v>6</v>
      </c>
      <c r="V313" s="177"/>
      <c r="W313" s="177"/>
      <c r="X313" s="177"/>
      <c r="Y313" s="177"/>
      <c r="Z313" s="177"/>
      <c r="AA313" s="177"/>
      <c r="AB313" s="177"/>
      <c r="AV313" s="179"/>
      <c r="AW313" s="179"/>
      <c r="AX313" s="179"/>
      <c r="AY313" s="179"/>
      <c r="AZ313" s="179"/>
      <c r="BA313" s="179"/>
      <c r="BB313" s="179"/>
      <c r="BC313" s="179"/>
      <c r="BD313" s="179"/>
      <c r="BE313" s="179"/>
      <c r="BF313" s="179"/>
      <c r="BG313" s="179"/>
      <c r="BH313" s="179"/>
      <c r="BI313" s="179"/>
      <c r="BJ313" s="179"/>
      <c r="BK313" s="179"/>
      <c r="BL313" s="179"/>
      <c r="BM313" s="179"/>
      <c r="BN313" s="179"/>
      <c r="BO313" s="179"/>
      <c r="BP313" s="179"/>
      <c r="BQ313" s="179"/>
      <c r="BR313" s="179"/>
      <c r="BS313" s="179"/>
      <c r="BT313" s="179"/>
      <c r="BU313" s="179"/>
      <c r="BV313" s="179"/>
      <c r="BW313" s="179"/>
      <c r="BX313" s="179"/>
      <c r="BY313" s="179"/>
      <c r="BZ313" s="179"/>
      <c r="CA313" s="179"/>
      <c r="CB313" s="179"/>
      <c r="CC313" s="179"/>
      <c r="CD313" s="179"/>
      <c r="CE313" s="179"/>
      <c r="CF313" s="179"/>
      <c r="CG313" s="179"/>
      <c r="CH313" s="179"/>
      <c r="CI313" s="179"/>
      <c r="CJ313" s="179"/>
      <c r="CK313" s="179"/>
      <c r="CL313" s="179"/>
      <c r="CM313" s="179"/>
      <c r="CN313" s="179"/>
      <c r="CO313" s="179"/>
      <c r="CP313" s="179"/>
      <c r="CQ313" s="179"/>
      <c r="CR313" s="179"/>
      <c r="CS313" s="179"/>
      <c r="CT313" s="179"/>
      <c r="CU313" s="179"/>
      <c r="CV313" s="179"/>
      <c r="CW313" s="179"/>
      <c r="CX313" s="179"/>
      <c r="CY313" s="179"/>
      <c r="CZ313" s="179"/>
      <c r="DA313" s="179"/>
      <c r="DB313" s="179"/>
      <c r="DC313" s="179"/>
      <c r="DD313" s="179"/>
      <c r="DE313" s="179"/>
      <c r="DF313" s="179"/>
      <c r="DG313" s="179"/>
      <c r="DH313" s="179"/>
      <c r="DI313" s="179"/>
      <c r="DJ313" s="179"/>
      <c r="DK313" s="179"/>
      <c r="DL313" s="179"/>
      <c r="DM313" s="179"/>
      <c r="DN313" s="179"/>
      <c r="DO313" s="179"/>
      <c r="DP313" s="179"/>
      <c r="DQ313" s="179"/>
      <c r="DR313" s="179"/>
      <c r="DS313" s="179"/>
      <c r="DT313" s="179"/>
      <c r="DU313" s="179"/>
      <c r="DV313" s="179"/>
      <c r="DW313" s="179"/>
      <c r="DX313" s="179"/>
      <c r="DY313" s="179"/>
      <c r="DZ313" s="179"/>
      <c r="EA313" s="179"/>
      <c r="EB313" s="179"/>
      <c r="EC313" s="179"/>
      <c r="ED313" s="179"/>
      <c r="EE313" s="179"/>
      <c r="EF313" s="179"/>
      <c r="EG313" s="179"/>
      <c r="EH313" s="179"/>
      <c r="EI313" s="179"/>
      <c r="EJ313" s="179"/>
      <c r="EK313" s="179"/>
      <c r="EL313" s="179"/>
      <c r="EM313" s="179"/>
      <c r="EN313" s="179"/>
      <c r="EO313" s="179"/>
      <c r="EP313" s="179"/>
      <c r="EQ313" s="179"/>
      <c r="ER313" s="179"/>
      <c r="ES313" s="179"/>
      <c r="ET313" s="179"/>
      <c r="EU313" s="179"/>
      <c r="EV313" s="179"/>
      <c r="EW313" s="179"/>
      <c r="EX313" s="179"/>
      <c r="EY313" s="179"/>
      <c r="EZ313" s="179"/>
      <c r="FA313" s="179"/>
      <c r="FB313" s="179"/>
      <c r="FC313" s="179"/>
      <c r="FD313" s="179"/>
      <c r="FE313" s="179"/>
      <c r="FF313" s="179"/>
      <c r="FG313" s="179"/>
      <c r="FH313" s="179"/>
      <c r="FI313" s="179"/>
      <c r="FJ313" s="179"/>
      <c r="FK313" s="179"/>
      <c r="FL313" s="179"/>
      <c r="FM313" s="179"/>
      <c r="FN313" s="179"/>
    </row>
    <row r="314" spans="1:170" s="140" customFormat="1" ht="10.3" x14ac:dyDescent="0.25">
      <c r="A314" s="132" t="s">
        <v>5</v>
      </c>
      <c r="B314" s="132" t="s">
        <v>415</v>
      </c>
      <c r="C314" s="132" t="s">
        <v>416</v>
      </c>
      <c r="D314" s="134">
        <v>2.8575342465753426</v>
      </c>
      <c r="E314" s="133">
        <v>0.529783</v>
      </c>
      <c r="F314" s="133">
        <v>10</v>
      </c>
      <c r="G314" s="134">
        <v>6.82</v>
      </c>
      <c r="H314" s="133">
        <v>0</v>
      </c>
      <c r="I314" s="133" t="s">
        <v>957</v>
      </c>
      <c r="J314" s="318" t="s">
        <v>942</v>
      </c>
      <c r="K314" s="318" t="s">
        <v>1273</v>
      </c>
      <c r="L314" s="312"/>
      <c r="M314" s="312" t="s">
        <v>975</v>
      </c>
      <c r="N314" s="135">
        <v>90</v>
      </c>
      <c r="O314" s="135">
        <v>70</v>
      </c>
      <c r="P314" s="135">
        <v>130</v>
      </c>
      <c r="Q314" s="136">
        <v>110</v>
      </c>
      <c r="R314" s="137">
        <v>45490</v>
      </c>
      <c r="S314" s="138">
        <v>43488</v>
      </c>
      <c r="T314" s="138">
        <v>43488</v>
      </c>
      <c r="U314" s="181">
        <f ca="1">[1]!cb_clause_conversion_2_relativeswapsharemonth(B314)</f>
        <v>6</v>
      </c>
      <c r="V314" s="139"/>
      <c r="W314" s="139"/>
      <c r="X314" s="139"/>
      <c r="Y314" s="139"/>
      <c r="Z314" s="139"/>
      <c r="AA314" s="139"/>
      <c r="AB314" s="139"/>
      <c r="AV314" s="141"/>
      <c r="AW314" s="141"/>
      <c r="AX314" s="141"/>
      <c r="AY314" s="141"/>
      <c r="AZ314" s="141"/>
      <c r="BA314" s="141"/>
      <c r="BB314" s="141"/>
      <c r="BC314" s="141"/>
      <c r="BD314" s="141"/>
      <c r="BE314" s="141"/>
      <c r="BF314" s="141"/>
      <c r="BG314" s="141"/>
      <c r="BH314" s="141"/>
      <c r="BI314" s="141"/>
      <c r="BJ314" s="141"/>
      <c r="BK314" s="141"/>
      <c r="BL314" s="141"/>
      <c r="BM314" s="141"/>
      <c r="BN314" s="141"/>
      <c r="BO314" s="141"/>
      <c r="BP314" s="141"/>
      <c r="BQ314" s="141"/>
      <c r="BR314" s="141"/>
      <c r="BS314" s="141"/>
      <c r="BT314" s="141"/>
      <c r="BU314" s="141"/>
      <c r="BV314" s="141"/>
      <c r="BW314" s="141"/>
      <c r="BX314" s="141"/>
      <c r="BY314" s="141"/>
      <c r="BZ314" s="141"/>
      <c r="CA314" s="141"/>
      <c r="CB314" s="141"/>
      <c r="CC314" s="141"/>
      <c r="CD314" s="141"/>
      <c r="CE314" s="141"/>
      <c r="CF314" s="141"/>
      <c r="CG314" s="141"/>
      <c r="CH314" s="141"/>
      <c r="CI314" s="141"/>
      <c r="CJ314" s="141"/>
      <c r="CK314" s="141"/>
      <c r="CL314" s="141"/>
      <c r="CM314" s="141"/>
      <c r="CN314" s="141"/>
      <c r="CO314" s="141"/>
      <c r="CP314" s="141"/>
      <c r="CQ314" s="141"/>
      <c r="CR314" s="141"/>
      <c r="CS314" s="141"/>
      <c r="CT314" s="141"/>
      <c r="CU314" s="141"/>
      <c r="CV314" s="141"/>
      <c r="CW314" s="141"/>
      <c r="CX314" s="141"/>
      <c r="CY314" s="141"/>
      <c r="CZ314" s="141"/>
      <c r="DA314" s="141"/>
      <c r="DB314" s="141"/>
      <c r="DC314" s="141"/>
      <c r="DD314" s="141"/>
      <c r="DE314" s="141"/>
      <c r="DF314" s="141"/>
      <c r="DG314" s="141"/>
      <c r="DH314" s="141"/>
      <c r="DI314" s="141"/>
      <c r="DJ314" s="141"/>
      <c r="DK314" s="141"/>
      <c r="DL314" s="141"/>
      <c r="DM314" s="141"/>
      <c r="DN314" s="141"/>
      <c r="DO314" s="141"/>
      <c r="DP314" s="141"/>
      <c r="DQ314" s="141"/>
      <c r="DR314" s="141"/>
      <c r="DS314" s="141"/>
      <c r="DT314" s="141"/>
      <c r="DU314" s="141"/>
      <c r="DV314" s="141"/>
      <c r="DW314" s="141"/>
      <c r="DX314" s="141"/>
      <c r="DY314" s="141"/>
      <c r="DZ314" s="141"/>
      <c r="EA314" s="141"/>
      <c r="EB314" s="141"/>
      <c r="EC314" s="141"/>
      <c r="ED314" s="141"/>
      <c r="EE314" s="141"/>
      <c r="EF314" s="141"/>
      <c r="EG314" s="141"/>
      <c r="EH314" s="141"/>
      <c r="EI314" s="141"/>
      <c r="EJ314" s="141"/>
      <c r="EK314" s="141"/>
      <c r="EL314" s="141"/>
      <c r="EM314" s="141"/>
      <c r="EN314" s="141"/>
      <c r="EO314" s="141"/>
      <c r="EP314" s="141"/>
      <c r="EQ314" s="141"/>
      <c r="ER314" s="141"/>
      <c r="ES314" s="141"/>
      <c r="ET314" s="141"/>
      <c r="EU314" s="141"/>
      <c r="EV314" s="141"/>
      <c r="EW314" s="141"/>
      <c r="EX314" s="141"/>
      <c r="EY314" s="141"/>
      <c r="EZ314" s="141"/>
      <c r="FA314" s="141"/>
      <c r="FB314" s="141"/>
      <c r="FC314" s="141"/>
      <c r="FD314" s="141"/>
      <c r="FE314" s="141"/>
      <c r="FF314" s="141"/>
      <c r="FG314" s="141"/>
      <c r="FH314" s="141"/>
      <c r="FI314" s="141"/>
      <c r="FJ314" s="141"/>
      <c r="FK314" s="141"/>
      <c r="FL314" s="141"/>
      <c r="FM314" s="141"/>
      <c r="FN314" s="141"/>
    </row>
    <row r="315" spans="1:170" s="178" customFormat="1" ht="10.3" x14ac:dyDescent="0.25">
      <c r="A315" s="170" t="s">
        <v>0</v>
      </c>
      <c r="B315" s="170" t="s">
        <v>417</v>
      </c>
      <c r="C315" s="170" t="s">
        <v>418</v>
      </c>
      <c r="D315" s="172">
        <v>2.8465753424657532</v>
      </c>
      <c r="E315" s="171">
        <v>29.49643</v>
      </c>
      <c r="F315" s="171">
        <v>30</v>
      </c>
      <c r="G315" s="172">
        <v>7.04</v>
      </c>
      <c r="H315" s="171">
        <v>0</v>
      </c>
      <c r="I315" s="171" t="s">
        <v>952</v>
      </c>
      <c r="J315" s="317" t="s">
        <v>962</v>
      </c>
      <c r="K315" s="317" t="s">
        <v>1786</v>
      </c>
      <c r="L315" s="314"/>
      <c r="M315" s="314" t="s">
        <v>1113</v>
      </c>
      <c r="N315" s="173">
        <v>85</v>
      </c>
      <c r="O315" s="173">
        <v>70</v>
      </c>
      <c r="P315" s="173">
        <v>130</v>
      </c>
      <c r="Q315" s="174">
        <v>108</v>
      </c>
      <c r="R315" s="180">
        <v>45486</v>
      </c>
      <c r="S315" s="175">
        <v>43486</v>
      </c>
      <c r="T315" s="175">
        <v>43486</v>
      </c>
      <c r="U315" s="176">
        <f ca="1">[1]!cb_clause_conversion_2_relativeswapsharemonth(B315)</f>
        <v>6</v>
      </c>
      <c r="V315" s="177"/>
      <c r="W315" s="177"/>
      <c r="X315" s="177"/>
      <c r="Y315" s="177"/>
      <c r="Z315" s="177"/>
      <c r="AA315" s="177"/>
      <c r="AB315" s="177"/>
      <c r="AV315" s="179"/>
      <c r="AW315" s="179"/>
      <c r="AX315" s="179"/>
      <c r="AY315" s="179"/>
      <c r="AZ315" s="179"/>
      <c r="BA315" s="179"/>
      <c r="BB315" s="179"/>
      <c r="BC315" s="179"/>
      <c r="BD315" s="179"/>
      <c r="BE315" s="179"/>
      <c r="BF315" s="179"/>
      <c r="BG315" s="179"/>
      <c r="BH315" s="179"/>
      <c r="BI315" s="179"/>
      <c r="BJ315" s="179"/>
      <c r="BK315" s="179"/>
      <c r="BL315" s="179"/>
      <c r="BM315" s="179"/>
      <c r="BN315" s="179"/>
      <c r="BO315" s="179"/>
      <c r="BP315" s="179"/>
      <c r="BQ315" s="179"/>
      <c r="BR315" s="179"/>
      <c r="BS315" s="179"/>
      <c r="BT315" s="179"/>
      <c r="BU315" s="179"/>
      <c r="BV315" s="179"/>
      <c r="BW315" s="179"/>
      <c r="BX315" s="179"/>
      <c r="BY315" s="179"/>
      <c r="BZ315" s="179"/>
      <c r="CA315" s="179"/>
      <c r="CB315" s="179"/>
      <c r="CC315" s="179"/>
      <c r="CD315" s="179"/>
      <c r="CE315" s="179"/>
      <c r="CF315" s="179"/>
      <c r="CG315" s="179"/>
      <c r="CH315" s="179"/>
      <c r="CI315" s="179"/>
      <c r="CJ315" s="179"/>
      <c r="CK315" s="179"/>
      <c r="CL315" s="179"/>
      <c r="CM315" s="179"/>
      <c r="CN315" s="179"/>
      <c r="CO315" s="179"/>
      <c r="CP315" s="179"/>
      <c r="CQ315" s="179"/>
      <c r="CR315" s="179"/>
      <c r="CS315" s="179"/>
      <c r="CT315" s="179"/>
      <c r="CU315" s="179"/>
      <c r="CV315" s="179"/>
      <c r="CW315" s="179"/>
      <c r="CX315" s="179"/>
      <c r="CY315" s="179"/>
      <c r="CZ315" s="179"/>
      <c r="DA315" s="179"/>
      <c r="DB315" s="179"/>
      <c r="DC315" s="179"/>
      <c r="DD315" s="179"/>
      <c r="DE315" s="179"/>
      <c r="DF315" s="179"/>
      <c r="DG315" s="179"/>
      <c r="DH315" s="179"/>
      <c r="DI315" s="179"/>
      <c r="DJ315" s="179"/>
      <c r="DK315" s="179"/>
      <c r="DL315" s="179"/>
      <c r="DM315" s="179"/>
      <c r="DN315" s="179"/>
      <c r="DO315" s="179"/>
      <c r="DP315" s="179"/>
      <c r="DQ315" s="179"/>
      <c r="DR315" s="179"/>
      <c r="DS315" s="179"/>
      <c r="DT315" s="179"/>
      <c r="DU315" s="179"/>
      <c r="DV315" s="179"/>
      <c r="DW315" s="179"/>
      <c r="DX315" s="179"/>
      <c r="DY315" s="179"/>
      <c r="DZ315" s="179"/>
      <c r="EA315" s="179"/>
      <c r="EB315" s="179"/>
      <c r="EC315" s="179"/>
      <c r="ED315" s="179"/>
      <c r="EE315" s="179"/>
      <c r="EF315" s="179"/>
      <c r="EG315" s="179"/>
      <c r="EH315" s="179"/>
      <c r="EI315" s="179"/>
      <c r="EJ315" s="179"/>
      <c r="EK315" s="179"/>
      <c r="EL315" s="179"/>
      <c r="EM315" s="179"/>
      <c r="EN315" s="179"/>
      <c r="EO315" s="179"/>
      <c r="EP315" s="179"/>
      <c r="EQ315" s="179"/>
      <c r="ER315" s="179"/>
      <c r="ES315" s="179"/>
      <c r="ET315" s="179"/>
      <c r="EU315" s="179"/>
      <c r="EV315" s="179"/>
      <c r="EW315" s="179"/>
      <c r="EX315" s="179"/>
      <c r="EY315" s="179"/>
      <c r="EZ315" s="179"/>
      <c r="FA315" s="179"/>
      <c r="FB315" s="179"/>
      <c r="FC315" s="179"/>
      <c r="FD315" s="179"/>
      <c r="FE315" s="179"/>
      <c r="FF315" s="179"/>
      <c r="FG315" s="179"/>
      <c r="FH315" s="179"/>
      <c r="FI315" s="179"/>
      <c r="FJ315" s="179"/>
      <c r="FK315" s="179"/>
      <c r="FL315" s="179"/>
      <c r="FM315" s="179"/>
      <c r="FN315" s="179"/>
    </row>
    <row r="316" spans="1:170" s="140" customFormat="1" ht="10.3" x14ac:dyDescent="0.25">
      <c r="A316" s="132" t="s">
        <v>5</v>
      </c>
      <c r="B316" s="132" t="s">
        <v>419</v>
      </c>
      <c r="C316" s="132" t="s">
        <v>420</v>
      </c>
      <c r="D316" s="134">
        <v>2.8246575342465752</v>
      </c>
      <c r="E316" s="133">
        <v>4.2960060000000002</v>
      </c>
      <c r="F316" s="133">
        <v>4.3</v>
      </c>
      <c r="G316" s="134">
        <v>12.15</v>
      </c>
      <c r="H316" s="133">
        <v>0</v>
      </c>
      <c r="I316" s="133" t="s">
        <v>973</v>
      </c>
      <c r="J316" s="318" t="s">
        <v>942</v>
      </c>
      <c r="K316" s="318" t="s">
        <v>1062</v>
      </c>
      <c r="L316" s="312"/>
      <c r="M316" s="312" t="s">
        <v>1034</v>
      </c>
      <c r="N316" s="135">
        <v>90</v>
      </c>
      <c r="O316" s="135">
        <v>70</v>
      </c>
      <c r="P316" s="135">
        <v>130</v>
      </c>
      <c r="Q316" s="136">
        <v>108</v>
      </c>
      <c r="R316" s="137">
        <v>45478</v>
      </c>
      <c r="S316" s="138">
        <v>43476</v>
      </c>
      <c r="T316" s="138">
        <v>43476</v>
      </c>
      <c r="U316" s="181">
        <f ca="1">[1]!cb_clause_conversion_2_relativeswapsharemonth(B316)</f>
        <v>6</v>
      </c>
      <c r="V316" s="139"/>
      <c r="W316" s="139"/>
      <c r="X316" s="139"/>
      <c r="Y316" s="139"/>
      <c r="Z316" s="139"/>
      <c r="AA316" s="139"/>
      <c r="AB316" s="139"/>
      <c r="AV316" s="141"/>
      <c r="AW316" s="141"/>
      <c r="AX316" s="141"/>
      <c r="AY316" s="141"/>
      <c r="AZ316" s="141"/>
      <c r="BA316" s="141"/>
      <c r="BB316" s="141"/>
      <c r="BC316" s="141"/>
      <c r="BD316" s="141"/>
      <c r="BE316" s="141"/>
      <c r="BF316" s="141"/>
      <c r="BG316" s="141"/>
      <c r="BH316" s="141"/>
      <c r="BI316" s="141"/>
      <c r="BJ316" s="141"/>
      <c r="BK316" s="141"/>
      <c r="BL316" s="141"/>
      <c r="BM316" s="141"/>
      <c r="BN316" s="141"/>
      <c r="BO316" s="141"/>
      <c r="BP316" s="141"/>
      <c r="BQ316" s="141"/>
      <c r="BR316" s="141"/>
      <c r="BS316" s="141"/>
      <c r="BT316" s="141"/>
      <c r="BU316" s="141"/>
      <c r="BV316" s="141"/>
      <c r="BW316" s="141"/>
      <c r="BX316" s="141"/>
      <c r="BY316" s="141"/>
      <c r="BZ316" s="141"/>
      <c r="CA316" s="141"/>
      <c r="CB316" s="141"/>
      <c r="CC316" s="141"/>
      <c r="CD316" s="141"/>
      <c r="CE316" s="141"/>
      <c r="CF316" s="141"/>
      <c r="CG316" s="141"/>
      <c r="CH316" s="141"/>
      <c r="CI316" s="141"/>
      <c r="CJ316" s="141"/>
      <c r="CK316" s="141"/>
      <c r="CL316" s="141"/>
      <c r="CM316" s="141"/>
      <c r="CN316" s="141"/>
      <c r="CO316" s="141"/>
      <c r="CP316" s="141"/>
      <c r="CQ316" s="141"/>
      <c r="CR316" s="141"/>
      <c r="CS316" s="141"/>
      <c r="CT316" s="141"/>
      <c r="CU316" s="141"/>
      <c r="CV316" s="141"/>
      <c r="CW316" s="141"/>
      <c r="CX316" s="141"/>
      <c r="CY316" s="141"/>
      <c r="CZ316" s="141"/>
      <c r="DA316" s="141"/>
      <c r="DB316" s="141"/>
      <c r="DC316" s="141"/>
      <c r="DD316" s="141"/>
      <c r="DE316" s="141"/>
      <c r="DF316" s="141"/>
      <c r="DG316" s="141"/>
      <c r="DH316" s="141"/>
      <c r="DI316" s="141"/>
      <c r="DJ316" s="141"/>
      <c r="DK316" s="141"/>
      <c r="DL316" s="141"/>
      <c r="DM316" s="141"/>
      <c r="DN316" s="141"/>
      <c r="DO316" s="141"/>
      <c r="DP316" s="141"/>
      <c r="DQ316" s="141"/>
      <c r="DR316" s="141"/>
      <c r="DS316" s="141"/>
      <c r="DT316" s="141"/>
      <c r="DU316" s="141"/>
      <c r="DV316" s="141"/>
      <c r="DW316" s="141"/>
      <c r="DX316" s="141"/>
      <c r="DY316" s="141"/>
      <c r="DZ316" s="141"/>
      <c r="EA316" s="141"/>
      <c r="EB316" s="141"/>
      <c r="EC316" s="141"/>
      <c r="ED316" s="141"/>
      <c r="EE316" s="141"/>
      <c r="EF316" s="141"/>
      <c r="EG316" s="141"/>
      <c r="EH316" s="141"/>
      <c r="EI316" s="141"/>
      <c r="EJ316" s="141"/>
      <c r="EK316" s="141"/>
      <c r="EL316" s="141"/>
      <c r="EM316" s="141"/>
      <c r="EN316" s="141"/>
      <c r="EO316" s="141"/>
      <c r="EP316" s="141"/>
      <c r="EQ316" s="141"/>
      <c r="ER316" s="141"/>
      <c r="ES316" s="141"/>
      <c r="ET316" s="141"/>
      <c r="EU316" s="141"/>
      <c r="EV316" s="141"/>
      <c r="EW316" s="141"/>
      <c r="EX316" s="141"/>
      <c r="EY316" s="141"/>
      <c r="EZ316" s="141"/>
      <c r="FA316" s="141"/>
      <c r="FB316" s="141"/>
      <c r="FC316" s="141"/>
      <c r="FD316" s="141"/>
      <c r="FE316" s="141"/>
      <c r="FF316" s="141"/>
      <c r="FG316" s="141"/>
      <c r="FH316" s="141"/>
      <c r="FI316" s="141"/>
      <c r="FJ316" s="141"/>
      <c r="FK316" s="141"/>
      <c r="FL316" s="141"/>
      <c r="FM316" s="141"/>
      <c r="FN316" s="141"/>
    </row>
    <row r="317" spans="1:170" s="178" customFormat="1" ht="10.3" x14ac:dyDescent="0.25">
      <c r="A317" s="170" t="s">
        <v>5</v>
      </c>
      <c r="B317" s="170" t="s">
        <v>421</v>
      </c>
      <c r="C317" s="170" t="s">
        <v>422</v>
      </c>
      <c r="D317" s="172">
        <v>2.8054794520547945</v>
      </c>
      <c r="E317" s="171">
        <v>12.184366000000001</v>
      </c>
      <c r="F317" s="171">
        <v>17.3</v>
      </c>
      <c r="G317" s="172">
        <v>5.58</v>
      </c>
      <c r="H317" s="171">
        <v>0</v>
      </c>
      <c r="I317" s="171" t="s">
        <v>935</v>
      </c>
      <c r="J317" s="317" t="s">
        <v>942</v>
      </c>
      <c r="K317" s="317" t="s">
        <v>1117</v>
      </c>
      <c r="L317" s="311"/>
      <c r="M317" s="311" t="s">
        <v>989</v>
      </c>
      <c r="N317" s="173">
        <v>90</v>
      </c>
      <c r="O317" s="173">
        <v>70</v>
      </c>
      <c r="P317" s="173">
        <v>130</v>
      </c>
      <c r="Q317" s="174">
        <v>108</v>
      </c>
      <c r="R317" s="180">
        <v>45471</v>
      </c>
      <c r="S317" s="175">
        <v>43469</v>
      </c>
      <c r="T317" s="175">
        <v>43469</v>
      </c>
      <c r="U317" s="176">
        <f ca="1">[1]!cb_clause_conversion_2_relativeswapsharemonth(B317)</f>
        <v>6</v>
      </c>
      <c r="V317" s="177"/>
      <c r="W317" s="177"/>
      <c r="X317" s="177"/>
      <c r="Y317" s="177"/>
      <c r="Z317" s="177"/>
      <c r="AA317" s="177"/>
      <c r="AB317" s="177"/>
      <c r="AV317" s="179"/>
      <c r="AW317" s="179"/>
      <c r="AX317" s="179"/>
      <c r="AY317" s="179"/>
      <c r="AZ317" s="179"/>
      <c r="BA317" s="179"/>
      <c r="BB317" s="179"/>
      <c r="BC317" s="179"/>
      <c r="BD317" s="179"/>
      <c r="BE317" s="179"/>
      <c r="BF317" s="179"/>
      <c r="BG317" s="179"/>
      <c r="BH317" s="179"/>
      <c r="BI317" s="179"/>
      <c r="BJ317" s="179"/>
      <c r="BK317" s="179"/>
      <c r="BL317" s="179"/>
      <c r="BM317" s="179"/>
      <c r="BN317" s="179"/>
      <c r="BO317" s="179"/>
      <c r="BP317" s="179"/>
      <c r="BQ317" s="179"/>
      <c r="BR317" s="179"/>
      <c r="BS317" s="179"/>
      <c r="BT317" s="179"/>
      <c r="BU317" s="179"/>
      <c r="BV317" s="179"/>
      <c r="BW317" s="179"/>
      <c r="BX317" s="179"/>
      <c r="BY317" s="179"/>
      <c r="BZ317" s="179"/>
      <c r="CA317" s="179"/>
      <c r="CB317" s="179"/>
      <c r="CC317" s="179"/>
      <c r="CD317" s="179"/>
      <c r="CE317" s="179"/>
      <c r="CF317" s="179"/>
      <c r="CG317" s="179"/>
      <c r="CH317" s="179"/>
      <c r="CI317" s="179"/>
      <c r="CJ317" s="179"/>
      <c r="CK317" s="179"/>
      <c r="CL317" s="179"/>
      <c r="CM317" s="179"/>
      <c r="CN317" s="179"/>
      <c r="CO317" s="179"/>
      <c r="CP317" s="179"/>
      <c r="CQ317" s="179"/>
      <c r="CR317" s="179"/>
      <c r="CS317" s="179"/>
      <c r="CT317" s="179"/>
      <c r="CU317" s="179"/>
      <c r="CV317" s="179"/>
      <c r="CW317" s="179"/>
      <c r="CX317" s="179"/>
      <c r="CY317" s="179"/>
      <c r="CZ317" s="179"/>
      <c r="DA317" s="179"/>
      <c r="DB317" s="179"/>
      <c r="DC317" s="179"/>
      <c r="DD317" s="179"/>
      <c r="DE317" s="179"/>
      <c r="DF317" s="179"/>
      <c r="DG317" s="179"/>
      <c r="DH317" s="179"/>
      <c r="DI317" s="179"/>
      <c r="DJ317" s="179"/>
      <c r="DK317" s="179"/>
      <c r="DL317" s="179"/>
      <c r="DM317" s="179"/>
      <c r="DN317" s="179"/>
      <c r="DO317" s="179"/>
      <c r="DP317" s="179"/>
      <c r="DQ317" s="179"/>
      <c r="DR317" s="179"/>
      <c r="DS317" s="179"/>
      <c r="DT317" s="179"/>
      <c r="DU317" s="179"/>
      <c r="DV317" s="179"/>
      <c r="DW317" s="179"/>
      <c r="DX317" s="179"/>
      <c r="DY317" s="179"/>
      <c r="DZ317" s="179"/>
      <c r="EA317" s="179"/>
      <c r="EB317" s="179"/>
      <c r="EC317" s="179"/>
      <c r="ED317" s="179"/>
      <c r="EE317" s="179"/>
      <c r="EF317" s="179"/>
      <c r="EG317" s="179"/>
      <c r="EH317" s="179"/>
      <c r="EI317" s="179"/>
      <c r="EJ317" s="179"/>
      <c r="EK317" s="179"/>
      <c r="EL317" s="179"/>
      <c r="EM317" s="179"/>
      <c r="EN317" s="179"/>
      <c r="EO317" s="179"/>
      <c r="EP317" s="179"/>
      <c r="EQ317" s="179"/>
      <c r="ER317" s="179"/>
      <c r="ES317" s="179"/>
      <c r="ET317" s="179"/>
      <c r="EU317" s="179"/>
      <c r="EV317" s="179"/>
      <c r="EW317" s="179"/>
      <c r="EX317" s="179"/>
      <c r="EY317" s="179"/>
      <c r="EZ317" s="179"/>
      <c r="FA317" s="179"/>
      <c r="FB317" s="179"/>
      <c r="FC317" s="179"/>
      <c r="FD317" s="179"/>
      <c r="FE317" s="179"/>
      <c r="FF317" s="179"/>
      <c r="FG317" s="179"/>
      <c r="FH317" s="179"/>
      <c r="FI317" s="179"/>
      <c r="FJ317" s="179"/>
      <c r="FK317" s="179"/>
      <c r="FL317" s="179"/>
      <c r="FM317" s="179"/>
      <c r="FN317" s="179"/>
    </row>
    <row r="318" spans="1:170" s="140" customFormat="1" ht="10.3" x14ac:dyDescent="0.25">
      <c r="A318" s="132" t="s">
        <v>0</v>
      </c>
      <c r="B318" s="132" t="s">
        <v>423</v>
      </c>
      <c r="C318" s="132" t="s">
        <v>424</v>
      </c>
      <c r="D318" s="134">
        <v>2.8027397260273972</v>
      </c>
      <c r="E318" s="133">
        <v>0.7087</v>
      </c>
      <c r="F318" s="133">
        <v>8</v>
      </c>
      <c r="G318" s="134">
        <v>6.87</v>
      </c>
      <c r="H318" s="133">
        <v>0</v>
      </c>
      <c r="I318" s="133" t="s">
        <v>957</v>
      </c>
      <c r="J318" s="318" t="s">
        <v>942</v>
      </c>
      <c r="K318" s="318" t="s">
        <v>1153</v>
      </c>
      <c r="L318" s="312"/>
      <c r="M318" s="312" t="s">
        <v>943</v>
      </c>
      <c r="N318" s="135">
        <v>90</v>
      </c>
      <c r="O318" s="135">
        <v>70</v>
      </c>
      <c r="P318" s="135">
        <v>130</v>
      </c>
      <c r="Q318" s="136">
        <v>108</v>
      </c>
      <c r="R318" s="137">
        <v>45470</v>
      </c>
      <c r="S318" s="138">
        <v>43468</v>
      </c>
      <c r="T318" s="138">
        <v>43468</v>
      </c>
      <c r="U318" s="181">
        <f ca="1">[1]!cb_clause_conversion_2_relativeswapsharemonth(B318)</f>
        <v>6</v>
      </c>
      <c r="V318" s="139"/>
      <c r="W318" s="139"/>
      <c r="X318" s="139"/>
      <c r="Y318" s="139"/>
      <c r="Z318" s="139"/>
      <c r="AA318" s="139"/>
      <c r="AB318" s="139"/>
      <c r="AV318" s="141"/>
      <c r="AW318" s="141"/>
      <c r="AX318" s="141"/>
      <c r="AY318" s="141"/>
      <c r="AZ318" s="141"/>
      <c r="BA318" s="141"/>
      <c r="BB318" s="141"/>
      <c r="BC318" s="141"/>
      <c r="BD318" s="141"/>
      <c r="BE318" s="141"/>
      <c r="BF318" s="141"/>
      <c r="BG318" s="141"/>
      <c r="BH318" s="141"/>
      <c r="BI318" s="141"/>
      <c r="BJ318" s="141"/>
      <c r="BK318" s="141"/>
      <c r="BL318" s="141"/>
      <c r="BM318" s="141"/>
      <c r="BN318" s="141"/>
      <c r="BO318" s="141"/>
      <c r="BP318" s="141"/>
      <c r="BQ318" s="141"/>
      <c r="BR318" s="141"/>
      <c r="BS318" s="141"/>
      <c r="BT318" s="141"/>
      <c r="BU318" s="141"/>
      <c r="BV318" s="141"/>
      <c r="BW318" s="141"/>
      <c r="BX318" s="141"/>
      <c r="BY318" s="141"/>
      <c r="BZ318" s="141"/>
      <c r="CA318" s="141"/>
      <c r="CB318" s="141"/>
      <c r="CC318" s="141"/>
      <c r="CD318" s="141"/>
      <c r="CE318" s="141"/>
      <c r="CF318" s="141"/>
      <c r="CG318" s="141"/>
      <c r="CH318" s="141"/>
      <c r="CI318" s="141"/>
      <c r="CJ318" s="141"/>
      <c r="CK318" s="141"/>
      <c r="CL318" s="141"/>
      <c r="CM318" s="141"/>
      <c r="CN318" s="141"/>
      <c r="CO318" s="141"/>
      <c r="CP318" s="141"/>
      <c r="CQ318" s="141"/>
      <c r="CR318" s="141"/>
      <c r="CS318" s="141"/>
      <c r="CT318" s="141"/>
      <c r="CU318" s="141"/>
      <c r="CV318" s="141"/>
      <c r="CW318" s="141"/>
      <c r="CX318" s="141"/>
      <c r="CY318" s="141"/>
      <c r="CZ318" s="141"/>
      <c r="DA318" s="141"/>
      <c r="DB318" s="141"/>
      <c r="DC318" s="141"/>
      <c r="DD318" s="141"/>
      <c r="DE318" s="141"/>
      <c r="DF318" s="141"/>
      <c r="DG318" s="141"/>
      <c r="DH318" s="141"/>
      <c r="DI318" s="141"/>
      <c r="DJ318" s="141"/>
      <c r="DK318" s="141"/>
      <c r="DL318" s="141"/>
      <c r="DM318" s="141"/>
      <c r="DN318" s="141"/>
      <c r="DO318" s="141"/>
      <c r="DP318" s="141"/>
      <c r="DQ318" s="141"/>
      <c r="DR318" s="141"/>
      <c r="DS318" s="141"/>
      <c r="DT318" s="141"/>
      <c r="DU318" s="141"/>
      <c r="DV318" s="141"/>
      <c r="DW318" s="141"/>
      <c r="DX318" s="141"/>
      <c r="DY318" s="141"/>
      <c r="DZ318" s="141"/>
      <c r="EA318" s="141"/>
      <c r="EB318" s="141"/>
      <c r="EC318" s="141"/>
      <c r="ED318" s="141"/>
      <c r="EE318" s="141"/>
      <c r="EF318" s="141"/>
      <c r="EG318" s="141"/>
      <c r="EH318" s="141"/>
      <c r="EI318" s="141"/>
      <c r="EJ318" s="141"/>
      <c r="EK318" s="141"/>
      <c r="EL318" s="141"/>
      <c r="EM318" s="141"/>
      <c r="EN318" s="141"/>
      <c r="EO318" s="141"/>
      <c r="EP318" s="141"/>
      <c r="EQ318" s="141"/>
      <c r="ER318" s="141"/>
      <c r="ES318" s="141"/>
      <c r="ET318" s="141"/>
      <c r="EU318" s="141"/>
      <c r="EV318" s="141"/>
      <c r="EW318" s="141"/>
      <c r="EX318" s="141"/>
      <c r="EY318" s="141"/>
      <c r="EZ318" s="141"/>
      <c r="FA318" s="141"/>
      <c r="FB318" s="141"/>
      <c r="FC318" s="141"/>
      <c r="FD318" s="141"/>
      <c r="FE318" s="141"/>
      <c r="FF318" s="141"/>
      <c r="FG318" s="141"/>
      <c r="FH318" s="141"/>
      <c r="FI318" s="141"/>
      <c r="FJ318" s="141"/>
      <c r="FK318" s="141"/>
      <c r="FL318" s="141"/>
      <c r="FM318" s="141"/>
      <c r="FN318" s="141"/>
    </row>
    <row r="319" spans="1:170" s="178" customFormat="1" ht="10.3" x14ac:dyDescent="0.25">
      <c r="A319" s="170" t="s">
        <v>5</v>
      </c>
      <c r="B319" s="170" t="s">
        <v>425</v>
      </c>
      <c r="C319" s="170" t="s">
        <v>426</v>
      </c>
      <c r="D319" s="172">
        <v>2.7671232876712328</v>
      </c>
      <c r="E319" s="171">
        <v>2.2221039999999999</v>
      </c>
      <c r="F319" s="171">
        <v>2.2000000000000002</v>
      </c>
      <c r="G319" s="172">
        <v>10.15</v>
      </c>
      <c r="H319" s="171">
        <v>0</v>
      </c>
      <c r="I319" s="171" t="s">
        <v>957</v>
      </c>
      <c r="J319" s="317" t="s">
        <v>942</v>
      </c>
      <c r="K319" s="317" t="s">
        <v>1260</v>
      </c>
      <c r="L319" s="311"/>
      <c r="M319" s="311" t="s">
        <v>1259</v>
      </c>
      <c r="N319" s="173">
        <v>90</v>
      </c>
      <c r="O319" s="173">
        <v>70</v>
      </c>
      <c r="P319" s="173">
        <v>130</v>
      </c>
      <c r="Q319" s="174">
        <v>108</v>
      </c>
      <c r="R319" s="180">
        <v>45457</v>
      </c>
      <c r="S319" s="175">
        <v>43455</v>
      </c>
      <c r="T319" s="175">
        <v>43455</v>
      </c>
      <c r="U319" s="176">
        <f ca="1">[1]!cb_clause_conversion_2_relativeswapsharemonth(B319)</f>
        <v>6</v>
      </c>
      <c r="V319" s="177"/>
      <c r="W319" s="177"/>
      <c r="X319" s="177"/>
      <c r="Y319" s="177"/>
      <c r="Z319" s="177"/>
      <c r="AA319" s="177"/>
      <c r="AB319" s="177"/>
      <c r="AV319" s="179"/>
      <c r="AW319" s="179"/>
      <c r="AX319" s="179"/>
      <c r="AY319" s="179"/>
      <c r="AZ319" s="179"/>
      <c r="BA319" s="179"/>
      <c r="BB319" s="179"/>
      <c r="BC319" s="179"/>
      <c r="BD319" s="179"/>
      <c r="BE319" s="179"/>
      <c r="BF319" s="179"/>
      <c r="BG319" s="179"/>
      <c r="BH319" s="179"/>
      <c r="BI319" s="179"/>
      <c r="BJ319" s="179"/>
      <c r="BK319" s="179"/>
      <c r="BL319" s="179"/>
      <c r="BM319" s="179"/>
      <c r="BN319" s="179"/>
      <c r="BO319" s="179"/>
      <c r="BP319" s="179"/>
      <c r="BQ319" s="179"/>
      <c r="BR319" s="179"/>
      <c r="BS319" s="179"/>
      <c r="BT319" s="179"/>
      <c r="BU319" s="179"/>
      <c r="BV319" s="179"/>
      <c r="BW319" s="179"/>
      <c r="BX319" s="179"/>
      <c r="BY319" s="179"/>
      <c r="BZ319" s="179"/>
      <c r="CA319" s="179"/>
      <c r="CB319" s="179"/>
      <c r="CC319" s="179"/>
      <c r="CD319" s="179"/>
      <c r="CE319" s="179"/>
      <c r="CF319" s="179"/>
      <c r="CG319" s="179"/>
      <c r="CH319" s="179"/>
      <c r="CI319" s="179"/>
      <c r="CJ319" s="179"/>
      <c r="CK319" s="179"/>
      <c r="CL319" s="179"/>
      <c r="CM319" s="179"/>
      <c r="CN319" s="179"/>
      <c r="CO319" s="179"/>
      <c r="CP319" s="179"/>
      <c r="CQ319" s="179"/>
      <c r="CR319" s="179"/>
      <c r="CS319" s="179"/>
      <c r="CT319" s="179"/>
      <c r="CU319" s="179"/>
      <c r="CV319" s="179"/>
      <c r="CW319" s="179"/>
      <c r="CX319" s="179"/>
      <c r="CY319" s="179"/>
      <c r="CZ319" s="179"/>
      <c r="DA319" s="179"/>
      <c r="DB319" s="179"/>
      <c r="DC319" s="179"/>
      <c r="DD319" s="179"/>
      <c r="DE319" s="179"/>
      <c r="DF319" s="179"/>
      <c r="DG319" s="179"/>
      <c r="DH319" s="179"/>
      <c r="DI319" s="179"/>
      <c r="DJ319" s="179"/>
      <c r="DK319" s="179"/>
      <c r="DL319" s="179"/>
      <c r="DM319" s="179"/>
      <c r="DN319" s="179"/>
      <c r="DO319" s="179"/>
      <c r="DP319" s="179"/>
      <c r="DQ319" s="179"/>
      <c r="DR319" s="179"/>
      <c r="DS319" s="179"/>
      <c r="DT319" s="179"/>
      <c r="DU319" s="179"/>
      <c r="DV319" s="179"/>
      <c r="DW319" s="179"/>
      <c r="DX319" s="179"/>
      <c r="DY319" s="179"/>
      <c r="DZ319" s="179"/>
      <c r="EA319" s="179"/>
      <c r="EB319" s="179"/>
      <c r="EC319" s="179"/>
      <c r="ED319" s="179"/>
      <c r="EE319" s="179"/>
      <c r="EF319" s="179"/>
      <c r="EG319" s="179"/>
      <c r="EH319" s="179"/>
      <c r="EI319" s="179"/>
      <c r="EJ319" s="179"/>
      <c r="EK319" s="179"/>
      <c r="EL319" s="179"/>
      <c r="EM319" s="179"/>
      <c r="EN319" s="179"/>
      <c r="EO319" s="179"/>
      <c r="EP319" s="179"/>
      <c r="EQ319" s="179"/>
      <c r="ER319" s="179"/>
      <c r="ES319" s="179"/>
      <c r="ET319" s="179"/>
      <c r="EU319" s="179"/>
      <c r="EV319" s="179"/>
      <c r="EW319" s="179"/>
      <c r="EX319" s="179"/>
      <c r="EY319" s="179"/>
      <c r="EZ319" s="179"/>
      <c r="FA319" s="179"/>
      <c r="FB319" s="179"/>
      <c r="FC319" s="179"/>
      <c r="FD319" s="179"/>
      <c r="FE319" s="179"/>
      <c r="FF319" s="179"/>
      <c r="FG319" s="179"/>
      <c r="FH319" s="179"/>
      <c r="FI319" s="179"/>
      <c r="FJ319" s="179"/>
      <c r="FK319" s="179"/>
      <c r="FL319" s="179"/>
      <c r="FM319" s="179"/>
      <c r="FN319" s="179"/>
    </row>
    <row r="320" spans="1:170" s="140" customFormat="1" ht="10.3" x14ac:dyDescent="0.25">
      <c r="A320" s="132" t="s">
        <v>5</v>
      </c>
      <c r="B320" s="132" t="s">
        <v>427</v>
      </c>
      <c r="C320" s="132" t="s">
        <v>428</v>
      </c>
      <c r="D320" s="134">
        <v>2.7506849315068491</v>
      </c>
      <c r="E320" s="133">
        <v>2.024829</v>
      </c>
      <c r="F320" s="133">
        <v>6.2</v>
      </c>
      <c r="G320" s="134">
        <v>5.79</v>
      </c>
      <c r="H320" s="133">
        <v>0</v>
      </c>
      <c r="I320" s="133" t="s">
        <v>973</v>
      </c>
      <c r="J320" s="318" t="s">
        <v>951</v>
      </c>
      <c r="K320" s="318" t="s">
        <v>1347</v>
      </c>
      <c r="L320" s="312"/>
      <c r="M320" s="312" t="s">
        <v>1006</v>
      </c>
      <c r="N320" s="135">
        <v>85</v>
      </c>
      <c r="O320" s="135">
        <v>70</v>
      </c>
      <c r="P320" s="135">
        <v>130</v>
      </c>
      <c r="Q320" s="136">
        <v>106</v>
      </c>
      <c r="R320" s="137">
        <v>45451</v>
      </c>
      <c r="S320" s="138">
        <v>43448</v>
      </c>
      <c r="T320" s="138">
        <v>43448</v>
      </c>
      <c r="U320" s="181">
        <f ca="1">[1]!cb_clause_conversion_2_relativeswapsharemonth(B320)</f>
        <v>6</v>
      </c>
      <c r="V320" s="139"/>
      <c r="W320" s="139"/>
      <c r="X320" s="139"/>
      <c r="Y320" s="139"/>
      <c r="Z320" s="139"/>
      <c r="AA320" s="139"/>
      <c r="AB320" s="139"/>
      <c r="AV320" s="141"/>
      <c r="AW320" s="141"/>
      <c r="AX320" s="141"/>
      <c r="AY320" s="141"/>
      <c r="AZ320" s="141"/>
      <c r="BA320" s="141"/>
      <c r="BB320" s="141"/>
      <c r="BC320" s="141"/>
      <c r="BD320" s="141"/>
      <c r="BE320" s="141"/>
      <c r="BF320" s="141"/>
      <c r="BG320" s="141"/>
      <c r="BH320" s="141"/>
      <c r="BI320" s="141"/>
      <c r="BJ320" s="141"/>
      <c r="BK320" s="141"/>
      <c r="BL320" s="141"/>
      <c r="BM320" s="141"/>
      <c r="BN320" s="141"/>
      <c r="BO320" s="141"/>
      <c r="BP320" s="141"/>
      <c r="BQ320" s="141"/>
      <c r="BR320" s="141"/>
      <c r="BS320" s="141"/>
      <c r="BT320" s="141"/>
      <c r="BU320" s="141"/>
      <c r="BV320" s="141"/>
      <c r="BW320" s="141"/>
      <c r="BX320" s="141"/>
      <c r="BY320" s="141"/>
      <c r="BZ320" s="141"/>
      <c r="CA320" s="141"/>
      <c r="CB320" s="141"/>
      <c r="CC320" s="141"/>
      <c r="CD320" s="141"/>
      <c r="CE320" s="141"/>
      <c r="CF320" s="141"/>
      <c r="CG320" s="141"/>
      <c r="CH320" s="141"/>
      <c r="CI320" s="141"/>
      <c r="CJ320" s="141"/>
      <c r="CK320" s="141"/>
      <c r="CL320" s="141"/>
      <c r="CM320" s="141"/>
      <c r="CN320" s="141"/>
      <c r="CO320" s="141"/>
      <c r="CP320" s="141"/>
      <c r="CQ320" s="141"/>
      <c r="CR320" s="141"/>
      <c r="CS320" s="141"/>
      <c r="CT320" s="141"/>
      <c r="CU320" s="141"/>
      <c r="CV320" s="141"/>
      <c r="CW320" s="141"/>
      <c r="CX320" s="141"/>
      <c r="CY320" s="141"/>
      <c r="CZ320" s="141"/>
      <c r="DA320" s="141"/>
      <c r="DB320" s="141"/>
      <c r="DC320" s="141"/>
      <c r="DD320" s="141"/>
      <c r="DE320" s="141"/>
      <c r="DF320" s="141"/>
      <c r="DG320" s="141"/>
      <c r="DH320" s="141"/>
      <c r="DI320" s="141"/>
      <c r="DJ320" s="141"/>
      <c r="DK320" s="141"/>
      <c r="DL320" s="141"/>
      <c r="DM320" s="141"/>
      <c r="DN320" s="141"/>
      <c r="DO320" s="141"/>
      <c r="DP320" s="141"/>
      <c r="DQ320" s="141"/>
      <c r="DR320" s="141"/>
      <c r="DS320" s="141"/>
      <c r="DT320" s="141"/>
      <c r="DU320" s="141"/>
      <c r="DV320" s="141"/>
      <c r="DW320" s="141"/>
      <c r="DX320" s="141"/>
      <c r="DY320" s="141"/>
      <c r="DZ320" s="141"/>
      <c r="EA320" s="141"/>
      <c r="EB320" s="141"/>
      <c r="EC320" s="141"/>
      <c r="ED320" s="141"/>
      <c r="EE320" s="141"/>
      <c r="EF320" s="141"/>
      <c r="EG320" s="141"/>
      <c r="EH320" s="141"/>
      <c r="EI320" s="141"/>
      <c r="EJ320" s="141"/>
      <c r="EK320" s="141"/>
      <c r="EL320" s="141"/>
      <c r="EM320" s="141"/>
      <c r="EN320" s="141"/>
      <c r="EO320" s="141"/>
      <c r="EP320" s="141"/>
      <c r="EQ320" s="141"/>
      <c r="ER320" s="141"/>
      <c r="ES320" s="141"/>
      <c r="ET320" s="141"/>
      <c r="EU320" s="141"/>
      <c r="EV320" s="141"/>
      <c r="EW320" s="141"/>
      <c r="EX320" s="141"/>
      <c r="EY320" s="141"/>
      <c r="EZ320" s="141"/>
      <c r="FA320" s="141"/>
      <c r="FB320" s="141"/>
      <c r="FC320" s="141"/>
      <c r="FD320" s="141"/>
      <c r="FE320" s="141"/>
      <c r="FF320" s="141"/>
      <c r="FG320" s="141"/>
      <c r="FH320" s="141"/>
      <c r="FI320" s="141"/>
      <c r="FJ320" s="141"/>
      <c r="FK320" s="141"/>
      <c r="FL320" s="141"/>
      <c r="FM320" s="141"/>
      <c r="FN320" s="141"/>
    </row>
    <row r="321" spans="1:170" s="178" customFormat="1" ht="10.3" x14ac:dyDescent="0.25">
      <c r="A321" s="170" t="s">
        <v>0</v>
      </c>
      <c r="B321" s="170" t="s">
        <v>429</v>
      </c>
      <c r="C321" s="170" t="s">
        <v>430</v>
      </c>
      <c r="D321" s="172">
        <v>2.7397260273972601</v>
      </c>
      <c r="E321" s="171">
        <v>0</v>
      </c>
      <c r="F321" s="171">
        <v>4.5</v>
      </c>
      <c r="G321" s="172">
        <v>15.25</v>
      </c>
      <c r="H321" s="171">
        <v>0</v>
      </c>
      <c r="I321" s="171" t="s">
        <v>957</v>
      </c>
      <c r="J321" s="317" t="s">
        <v>942</v>
      </c>
      <c r="K321" s="317" t="s">
        <v>1437</v>
      </c>
      <c r="L321" s="311" t="s">
        <v>1576</v>
      </c>
      <c r="M321" s="311" t="s">
        <v>943</v>
      </c>
      <c r="N321" s="173">
        <v>80</v>
      </c>
      <c r="O321" s="173">
        <v>70</v>
      </c>
      <c r="P321" s="173">
        <v>130</v>
      </c>
      <c r="Q321" s="174">
        <v>106</v>
      </c>
      <c r="R321" s="180">
        <v>45447</v>
      </c>
      <c r="S321" s="175">
        <v>43444</v>
      </c>
      <c r="T321" s="175">
        <v>43444</v>
      </c>
      <c r="U321" s="176">
        <f ca="1">[1]!cb_clause_conversion_2_relativeswapsharemonth(B321)</f>
        <v>6</v>
      </c>
      <c r="V321" s="177"/>
      <c r="W321" s="177"/>
      <c r="X321" s="177"/>
      <c r="Y321" s="177"/>
      <c r="Z321" s="177"/>
      <c r="AA321" s="177"/>
      <c r="AB321" s="177"/>
      <c r="AV321" s="179"/>
      <c r="AW321" s="179"/>
      <c r="AX321" s="179"/>
      <c r="AY321" s="179"/>
      <c r="AZ321" s="179"/>
      <c r="BA321" s="179"/>
      <c r="BB321" s="179"/>
      <c r="BC321" s="179"/>
      <c r="BD321" s="179"/>
      <c r="BE321" s="179"/>
      <c r="BF321" s="179"/>
      <c r="BG321" s="179"/>
      <c r="BH321" s="179"/>
      <c r="BI321" s="179"/>
      <c r="BJ321" s="179"/>
      <c r="BK321" s="179"/>
      <c r="BL321" s="179"/>
      <c r="BM321" s="179"/>
      <c r="BN321" s="179"/>
      <c r="BO321" s="179"/>
      <c r="BP321" s="179"/>
      <c r="BQ321" s="179"/>
      <c r="BR321" s="179"/>
      <c r="BS321" s="179"/>
      <c r="BT321" s="179"/>
      <c r="BU321" s="179"/>
      <c r="BV321" s="179"/>
      <c r="BW321" s="179"/>
      <c r="BX321" s="179"/>
      <c r="BY321" s="179"/>
      <c r="BZ321" s="179"/>
      <c r="CA321" s="179"/>
      <c r="CB321" s="179"/>
      <c r="CC321" s="179"/>
      <c r="CD321" s="179"/>
      <c r="CE321" s="179"/>
      <c r="CF321" s="179"/>
      <c r="CG321" s="179"/>
      <c r="CH321" s="179"/>
      <c r="CI321" s="179"/>
      <c r="CJ321" s="179"/>
      <c r="CK321" s="179"/>
      <c r="CL321" s="179"/>
      <c r="CM321" s="179"/>
      <c r="CN321" s="179"/>
      <c r="CO321" s="179"/>
      <c r="CP321" s="179"/>
      <c r="CQ321" s="179"/>
      <c r="CR321" s="179"/>
      <c r="CS321" s="179"/>
      <c r="CT321" s="179"/>
      <c r="CU321" s="179"/>
      <c r="CV321" s="179"/>
      <c r="CW321" s="179"/>
      <c r="CX321" s="179"/>
      <c r="CY321" s="179"/>
      <c r="CZ321" s="179"/>
      <c r="DA321" s="179"/>
      <c r="DB321" s="179"/>
      <c r="DC321" s="179"/>
      <c r="DD321" s="179"/>
      <c r="DE321" s="179"/>
      <c r="DF321" s="179"/>
      <c r="DG321" s="179"/>
      <c r="DH321" s="179"/>
      <c r="DI321" s="179"/>
      <c r="DJ321" s="179"/>
      <c r="DK321" s="179"/>
      <c r="DL321" s="179"/>
      <c r="DM321" s="179"/>
      <c r="DN321" s="179"/>
      <c r="DO321" s="179"/>
      <c r="DP321" s="179"/>
      <c r="DQ321" s="179"/>
      <c r="DR321" s="179"/>
      <c r="DS321" s="179"/>
      <c r="DT321" s="179"/>
      <c r="DU321" s="179"/>
      <c r="DV321" s="179"/>
      <c r="DW321" s="179"/>
      <c r="DX321" s="179"/>
      <c r="DY321" s="179"/>
      <c r="DZ321" s="179"/>
      <c r="EA321" s="179"/>
      <c r="EB321" s="179"/>
      <c r="EC321" s="179"/>
      <c r="ED321" s="179"/>
      <c r="EE321" s="179"/>
      <c r="EF321" s="179"/>
      <c r="EG321" s="179"/>
      <c r="EH321" s="179"/>
      <c r="EI321" s="179"/>
      <c r="EJ321" s="179"/>
      <c r="EK321" s="179"/>
      <c r="EL321" s="179"/>
      <c r="EM321" s="179"/>
      <c r="EN321" s="179"/>
      <c r="EO321" s="179"/>
      <c r="EP321" s="179"/>
      <c r="EQ321" s="179"/>
      <c r="ER321" s="179"/>
      <c r="ES321" s="179"/>
      <c r="ET321" s="179"/>
      <c r="EU321" s="179"/>
      <c r="EV321" s="179"/>
      <c r="EW321" s="179"/>
      <c r="EX321" s="179"/>
      <c r="EY321" s="179"/>
      <c r="EZ321" s="179"/>
      <c r="FA321" s="179"/>
      <c r="FB321" s="179"/>
      <c r="FC321" s="179"/>
      <c r="FD321" s="179"/>
      <c r="FE321" s="179"/>
      <c r="FF321" s="179"/>
      <c r="FG321" s="179"/>
      <c r="FH321" s="179"/>
      <c r="FI321" s="179"/>
      <c r="FJ321" s="179"/>
      <c r="FK321" s="179"/>
      <c r="FL321" s="179"/>
      <c r="FM321" s="179"/>
      <c r="FN321" s="179"/>
    </row>
    <row r="322" spans="1:170" s="140" customFormat="1" ht="10.3" x14ac:dyDescent="0.25">
      <c r="A322" s="132" t="s">
        <v>0</v>
      </c>
      <c r="B322" s="132" t="s">
        <v>431</v>
      </c>
      <c r="C322" s="132" t="s">
        <v>432</v>
      </c>
      <c r="D322" s="134">
        <v>2.6684931506849314</v>
      </c>
      <c r="E322" s="133">
        <v>4.99641</v>
      </c>
      <c r="F322" s="133">
        <v>5</v>
      </c>
      <c r="G322" s="134">
        <v>12.29</v>
      </c>
      <c r="H322" s="133">
        <v>0</v>
      </c>
      <c r="I322" s="133" t="s">
        <v>957</v>
      </c>
      <c r="J322" s="318" t="s">
        <v>968</v>
      </c>
      <c r="K322" s="318" t="s">
        <v>1310</v>
      </c>
      <c r="L322" s="312"/>
      <c r="M322" s="312" t="s">
        <v>949</v>
      </c>
      <c r="N322" s="135">
        <v>90</v>
      </c>
      <c r="O322" s="135">
        <v>70</v>
      </c>
      <c r="P322" s="135">
        <v>130</v>
      </c>
      <c r="Q322" s="136">
        <v>110</v>
      </c>
      <c r="R322" s="137">
        <v>45421</v>
      </c>
      <c r="S322" s="138">
        <v>43784</v>
      </c>
      <c r="T322" s="138">
        <v>43784</v>
      </c>
      <c r="U322" s="181">
        <f ca="1">[1]!cb_clause_conversion_2_relativeswapsharemonth(B322)</f>
        <v>6</v>
      </c>
      <c r="V322" s="139"/>
      <c r="W322" s="139"/>
      <c r="X322" s="139"/>
      <c r="Y322" s="139"/>
      <c r="Z322" s="139"/>
      <c r="AA322" s="139"/>
      <c r="AB322" s="139"/>
      <c r="AV322" s="141"/>
      <c r="AW322" s="141"/>
      <c r="AX322" s="141"/>
      <c r="AY322" s="141"/>
      <c r="AZ322" s="141"/>
      <c r="BA322" s="141"/>
      <c r="BB322" s="141"/>
      <c r="BC322" s="141"/>
      <c r="BD322" s="141"/>
      <c r="BE322" s="141"/>
      <c r="BF322" s="141"/>
      <c r="BG322" s="141"/>
      <c r="BH322" s="141"/>
      <c r="BI322" s="141"/>
      <c r="BJ322" s="141"/>
      <c r="BK322" s="141"/>
      <c r="BL322" s="141"/>
      <c r="BM322" s="141"/>
      <c r="BN322" s="141"/>
      <c r="BO322" s="141"/>
      <c r="BP322" s="141"/>
      <c r="BQ322" s="141"/>
      <c r="BR322" s="141"/>
      <c r="BS322" s="141"/>
      <c r="BT322" s="141"/>
      <c r="BU322" s="141"/>
      <c r="BV322" s="141"/>
      <c r="BW322" s="141"/>
      <c r="BX322" s="141"/>
      <c r="BY322" s="141"/>
      <c r="BZ322" s="141"/>
      <c r="CA322" s="141"/>
      <c r="CB322" s="141"/>
      <c r="CC322" s="141"/>
      <c r="CD322" s="141"/>
      <c r="CE322" s="141"/>
      <c r="CF322" s="141"/>
      <c r="CG322" s="141"/>
      <c r="CH322" s="141"/>
      <c r="CI322" s="141"/>
      <c r="CJ322" s="141"/>
      <c r="CK322" s="141"/>
      <c r="CL322" s="141"/>
      <c r="CM322" s="141"/>
      <c r="CN322" s="141"/>
      <c r="CO322" s="141"/>
      <c r="CP322" s="141"/>
      <c r="CQ322" s="141"/>
      <c r="CR322" s="141"/>
      <c r="CS322" s="141"/>
      <c r="CT322" s="141"/>
      <c r="CU322" s="141"/>
      <c r="CV322" s="141"/>
      <c r="CW322" s="141"/>
      <c r="CX322" s="141"/>
      <c r="CY322" s="141"/>
      <c r="CZ322" s="141"/>
      <c r="DA322" s="141"/>
      <c r="DB322" s="141"/>
      <c r="DC322" s="141"/>
      <c r="DD322" s="141"/>
      <c r="DE322" s="141"/>
      <c r="DF322" s="141"/>
      <c r="DG322" s="141"/>
      <c r="DH322" s="141"/>
      <c r="DI322" s="141"/>
      <c r="DJ322" s="141"/>
      <c r="DK322" s="141"/>
      <c r="DL322" s="141"/>
      <c r="DM322" s="141"/>
      <c r="DN322" s="141"/>
      <c r="DO322" s="141"/>
      <c r="DP322" s="141"/>
      <c r="DQ322" s="141"/>
      <c r="DR322" s="141"/>
      <c r="DS322" s="141"/>
      <c r="DT322" s="141"/>
      <c r="DU322" s="141"/>
      <c r="DV322" s="141"/>
      <c r="DW322" s="141"/>
      <c r="DX322" s="141"/>
      <c r="DY322" s="141"/>
      <c r="DZ322" s="141"/>
      <c r="EA322" s="141"/>
      <c r="EB322" s="141"/>
      <c r="EC322" s="141"/>
      <c r="ED322" s="141"/>
      <c r="EE322" s="141"/>
      <c r="EF322" s="141"/>
      <c r="EG322" s="141"/>
      <c r="EH322" s="141"/>
      <c r="EI322" s="141"/>
      <c r="EJ322" s="141"/>
      <c r="EK322" s="141"/>
      <c r="EL322" s="141"/>
      <c r="EM322" s="141"/>
      <c r="EN322" s="141"/>
      <c r="EO322" s="141"/>
      <c r="EP322" s="141"/>
      <c r="EQ322" s="141"/>
      <c r="ER322" s="141"/>
      <c r="ES322" s="141"/>
      <c r="ET322" s="141"/>
      <c r="EU322" s="141"/>
      <c r="EV322" s="141"/>
      <c r="EW322" s="141"/>
      <c r="EX322" s="141"/>
      <c r="EY322" s="141"/>
      <c r="EZ322" s="141"/>
      <c r="FA322" s="141"/>
      <c r="FB322" s="141"/>
      <c r="FC322" s="141"/>
      <c r="FD322" s="141"/>
      <c r="FE322" s="141"/>
      <c r="FF322" s="141"/>
      <c r="FG322" s="141"/>
      <c r="FH322" s="141"/>
      <c r="FI322" s="141"/>
      <c r="FJ322" s="141"/>
      <c r="FK322" s="141"/>
      <c r="FL322" s="141"/>
      <c r="FM322" s="141"/>
      <c r="FN322" s="141"/>
    </row>
    <row r="323" spans="1:170" s="178" customFormat="1" ht="10.3" x14ac:dyDescent="0.25">
      <c r="A323" s="170" t="s">
        <v>0</v>
      </c>
      <c r="B323" s="170" t="s">
        <v>433</v>
      </c>
      <c r="C323" s="170" t="s">
        <v>434</v>
      </c>
      <c r="D323" s="172">
        <v>2.6328767123287671</v>
      </c>
      <c r="E323" s="171">
        <v>0</v>
      </c>
      <c r="F323" s="171">
        <v>21.5</v>
      </c>
      <c r="G323" s="172">
        <v>15.65</v>
      </c>
      <c r="H323" s="171">
        <v>0</v>
      </c>
      <c r="I323" s="171" t="s">
        <v>939</v>
      </c>
      <c r="J323" s="317" t="s">
        <v>958</v>
      </c>
      <c r="K323" s="317" t="s">
        <v>1436</v>
      </c>
      <c r="L323" s="314"/>
      <c r="M323" s="314" t="s">
        <v>980</v>
      </c>
      <c r="N323" s="173">
        <v>80</v>
      </c>
      <c r="O323" s="173">
        <v>70</v>
      </c>
      <c r="P323" s="173">
        <v>130</v>
      </c>
      <c r="Q323" s="174">
        <v>108</v>
      </c>
      <c r="R323" s="180">
        <v>45408</v>
      </c>
      <c r="S323" s="175">
        <v>43409</v>
      </c>
      <c r="T323" s="175">
        <v>43409</v>
      </c>
      <c r="U323" s="176">
        <f ca="1">[1]!cb_clause_conversion_2_relativeswapsharemonth(B323)</f>
        <v>6</v>
      </c>
      <c r="V323" s="177"/>
      <c r="W323" s="177"/>
      <c r="X323" s="177"/>
      <c r="Y323" s="177"/>
      <c r="Z323" s="177"/>
      <c r="AA323" s="177"/>
      <c r="AB323" s="177"/>
      <c r="AV323" s="179"/>
      <c r="AW323" s="179"/>
      <c r="AX323" s="179"/>
      <c r="AY323" s="179"/>
      <c r="AZ323" s="179"/>
      <c r="BA323" s="179"/>
      <c r="BB323" s="179"/>
      <c r="BC323" s="179"/>
      <c r="BD323" s="179"/>
      <c r="BE323" s="179"/>
      <c r="BF323" s="179"/>
      <c r="BG323" s="179"/>
      <c r="BH323" s="179"/>
      <c r="BI323" s="179"/>
      <c r="BJ323" s="179"/>
      <c r="BK323" s="179"/>
      <c r="BL323" s="179"/>
      <c r="BM323" s="179"/>
      <c r="BN323" s="179"/>
      <c r="BO323" s="179"/>
      <c r="BP323" s="179"/>
      <c r="BQ323" s="179"/>
      <c r="BR323" s="179"/>
      <c r="BS323" s="179"/>
      <c r="BT323" s="179"/>
      <c r="BU323" s="179"/>
      <c r="BV323" s="179"/>
      <c r="BW323" s="179"/>
      <c r="BX323" s="179"/>
      <c r="BY323" s="179"/>
      <c r="BZ323" s="179"/>
      <c r="CA323" s="179"/>
      <c r="CB323" s="179"/>
      <c r="CC323" s="179"/>
      <c r="CD323" s="179"/>
      <c r="CE323" s="179"/>
      <c r="CF323" s="179"/>
      <c r="CG323" s="179"/>
      <c r="CH323" s="179"/>
      <c r="CI323" s="179"/>
      <c r="CJ323" s="179"/>
      <c r="CK323" s="179"/>
      <c r="CL323" s="179"/>
      <c r="CM323" s="179"/>
      <c r="CN323" s="179"/>
      <c r="CO323" s="179"/>
      <c r="CP323" s="179"/>
      <c r="CQ323" s="179"/>
      <c r="CR323" s="179"/>
      <c r="CS323" s="179"/>
      <c r="CT323" s="179"/>
      <c r="CU323" s="179"/>
      <c r="CV323" s="179"/>
      <c r="CW323" s="179"/>
      <c r="CX323" s="179"/>
      <c r="CY323" s="179"/>
      <c r="CZ323" s="179"/>
      <c r="DA323" s="179"/>
      <c r="DB323" s="179"/>
      <c r="DC323" s="179"/>
      <c r="DD323" s="179"/>
      <c r="DE323" s="179"/>
      <c r="DF323" s="179"/>
      <c r="DG323" s="179"/>
      <c r="DH323" s="179"/>
      <c r="DI323" s="179"/>
      <c r="DJ323" s="179"/>
      <c r="DK323" s="179"/>
      <c r="DL323" s="179"/>
      <c r="DM323" s="179"/>
      <c r="DN323" s="179"/>
      <c r="DO323" s="179"/>
      <c r="DP323" s="179"/>
      <c r="DQ323" s="179"/>
      <c r="DR323" s="179"/>
      <c r="DS323" s="179"/>
      <c r="DT323" s="179"/>
      <c r="DU323" s="179"/>
      <c r="DV323" s="179"/>
      <c r="DW323" s="179"/>
      <c r="DX323" s="179"/>
      <c r="DY323" s="179"/>
      <c r="DZ323" s="179"/>
      <c r="EA323" s="179"/>
      <c r="EB323" s="179"/>
      <c r="EC323" s="179"/>
      <c r="ED323" s="179"/>
      <c r="EE323" s="179"/>
      <c r="EF323" s="179"/>
      <c r="EG323" s="179"/>
      <c r="EH323" s="179"/>
      <c r="EI323" s="179"/>
      <c r="EJ323" s="179"/>
      <c r="EK323" s="179"/>
      <c r="EL323" s="179"/>
      <c r="EM323" s="179"/>
      <c r="EN323" s="179"/>
      <c r="EO323" s="179"/>
      <c r="EP323" s="179"/>
      <c r="EQ323" s="179"/>
      <c r="ER323" s="179"/>
      <c r="ES323" s="179"/>
      <c r="ET323" s="179"/>
      <c r="EU323" s="179"/>
      <c r="EV323" s="179"/>
      <c r="EW323" s="179"/>
      <c r="EX323" s="179"/>
      <c r="EY323" s="179"/>
      <c r="EZ323" s="179"/>
      <c r="FA323" s="179"/>
      <c r="FB323" s="179"/>
      <c r="FC323" s="179"/>
      <c r="FD323" s="179"/>
      <c r="FE323" s="179"/>
      <c r="FF323" s="179"/>
      <c r="FG323" s="179"/>
      <c r="FH323" s="179"/>
      <c r="FI323" s="179"/>
      <c r="FJ323" s="179"/>
      <c r="FK323" s="179"/>
      <c r="FL323" s="179"/>
      <c r="FM323" s="179"/>
      <c r="FN323" s="179"/>
    </row>
    <row r="324" spans="1:170" s="140" customFormat="1" ht="10.3" x14ac:dyDescent="0.25">
      <c r="A324" s="132" t="s">
        <v>396</v>
      </c>
      <c r="B324" s="132" t="s">
        <v>435</v>
      </c>
      <c r="C324" s="132" t="s">
        <v>436</v>
      </c>
      <c r="D324" s="134">
        <v>2.5863013698630137</v>
      </c>
      <c r="E324" s="133">
        <v>177.68499679999999</v>
      </c>
      <c r="F324" s="133">
        <v>200</v>
      </c>
      <c r="G324" s="134">
        <v>16.739999999999998</v>
      </c>
      <c r="H324" s="133">
        <v>80</v>
      </c>
      <c r="I324" s="133" t="s">
        <v>953</v>
      </c>
      <c r="J324" s="318" t="s">
        <v>1787</v>
      </c>
      <c r="K324" s="318" t="s">
        <v>1400</v>
      </c>
      <c r="L324" s="313"/>
      <c r="M324" s="313" t="s">
        <v>1401</v>
      </c>
      <c r="N324" s="135">
        <v>80</v>
      </c>
      <c r="O324" s="135">
        <v>70</v>
      </c>
      <c r="P324" s="135">
        <v>120</v>
      </c>
      <c r="Q324" s="136">
        <v>108.5</v>
      </c>
      <c r="R324" s="137">
        <v>45391</v>
      </c>
      <c r="S324" s="138">
        <v>43934</v>
      </c>
      <c r="T324" s="138">
        <v>43934</v>
      </c>
      <c r="U324" s="181">
        <f ca="1">[1]!cb_clause_conversion_2_relativeswapsharemonth(B324)</f>
        <v>12</v>
      </c>
      <c r="V324" s="139"/>
      <c r="W324" s="139"/>
      <c r="X324" s="139"/>
      <c r="Y324" s="139"/>
      <c r="Z324" s="139"/>
      <c r="AA324" s="139"/>
      <c r="AB324" s="139"/>
      <c r="AV324" s="141"/>
      <c r="AW324" s="141"/>
      <c r="AX324" s="141"/>
      <c r="AY324" s="141"/>
      <c r="AZ324" s="141"/>
      <c r="BA324" s="141"/>
      <c r="BB324" s="141"/>
      <c r="BC324" s="141"/>
      <c r="BD324" s="141"/>
      <c r="BE324" s="141"/>
      <c r="BF324" s="141"/>
      <c r="BG324" s="141"/>
      <c r="BH324" s="141"/>
      <c r="BI324" s="141"/>
      <c r="BJ324" s="141"/>
      <c r="BK324" s="141"/>
      <c r="BL324" s="141"/>
      <c r="BM324" s="141"/>
      <c r="BN324" s="141"/>
      <c r="BO324" s="141"/>
      <c r="BP324" s="141"/>
      <c r="BQ324" s="141"/>
      <c r="BR324" s="141"/>
      <c r="BS324" s="141"/>
      <c r="BT324" s="141"/>
      <c r="BU324" s="141"/>
      <c r="BV324" s="141"/>
      <c r="BW324" s="141"/>
      <c r="BX324" s="141"/>
      <c r="BY324" s="141"/>
      <c r="BZ324" s="141"/>
      <c r="CA324" s="141"/>
      <c r="CB324" s="141"/>
      <c r="CC324" s="141"/>
      <c r="CD324" s="141"/>
      <c r="CE324" s="141"/>
      <c r="CF324" s="141"/>
      <c r="CG324" s="141"/>
      <c r="CH324" s="141"/>
      <c r="CI324" s="141"/>
      <c r="CJ324" s="141"/>
      <c r="CK324" s="141"/>
      <c r="CL324" s="141"/>
      <c r="CM324" s="141"/>
      <c r="CN324" s="141"/>
      <c r="CO324" s="141"/>
      <c r="CP324" s="141"/>
      <c r="CQ324" s="141"/>
      <c r="CR324" s="141"/>
      <c r="CS324" s="141"/>
      <c r="CT324" s="141"/>
      <c r="CU324" s="141"/>
      <c r="CV324" s="141"/>
      <c r="CW324" s="141"/>
      <c r="CX324" s="141"/>
      <c r="CY324" s="141"/>
      <c r="CZ324" s="141"/>
      <c r="DA324" s="141"/>
      <c r="DB324" s="141"/>
      <c r="DC324" s="141"/>
      <c r="DD324" s="141"/>
      <c r="DE324" s="141"/>
      <c r="DF324" s="141"/>
      <c r="DG324" s="141"/>
      <c r="DH324" s="141"/>
      <c r="DI324" s="141"/>
      <c r="DJ324" s="141"/>
      <c r="DK324" s="141"/>
      <c r="DL324" s="141"/>
      <c r="DM324" s="141"/>
      <c r="DN324" s="141"/>
      <c r="DO324" s="141"/>
      <c r="DP324" s="141"/>
      <c r="DQ324" s="141"/>
      <c r="DR324" s="141"/>
      <c r="DS324" s="141"/>
      <c r="DT324" s="141"/>
      <c r="DU324" s="141"/>
      <c r="DV324" s="141"/>
      <c r="DW324" s="141"/>
      <c r="DX324" s="141"/>
      <c r="DY324" s="141"/>
      <c r="DZ324" s="141"/>
      <c r="EA324" s="141"/>
      <c r="EB324" s="141"/>
      <c r="EC324" s="141"/>
      <c r="ED324" s="141"/>
      <c r="EE324" s="141"/>
      <c r="EF324" s="141"/>
      <c r="EG324" s="141"/>
      <c r="EH324" s="141"/>
      <c r="EI324" s="141"/>
      <c r="EJ324" s="141"/>
      <c r="EK324" s="141"/>
      <c r="EL324" s="141"/>
      <c r="EM324" s="141"/>
      <c r="EN324" s="141"/>
      <c r="EO324" s="141"/>
      <c r="EP324" s="141"/>
      <c r="EQ324" s="141"/>
      <c r="ER324" s="141"/>
      <c r="ES324" s="141"/>
      <c r="ET324" s="141"/>
      <c r="EU324" s="141"/>
      <c r="EV324" s="141"/>
      <c r="EW324" s="141"/>
      <c r="EX324" s="141"/>
      <c r="EY324" s="141"/>
      <c r="EZ324" s="141"/>
      <c r="FA324" s="141"/>
      <c r="FB324" s="141"/>
      <c r="FC324" s="141"/>
      <c r="FD324" s="141"/>
      <c r="FE324" s="141"/>
      <c r="FF324" s="141"/>
      <c r="FG324" s="141"/>
      <c r="FH324" s="141"/>
      <c r="FI324" s="141"/>
      <c r="FJ324" s="141"/>
      <c r="FK324" s="141"/>
      <c r="FL324" s="141"/>
      <c r="FM324" s="141"/>
      <c r="FN324" s="141"/>
    </row>
    <row r="325" spans="1:170" s="178" customFormat="1" ht="10.3" x14ac:dyDescent="0.25">
      <c r="A325" s="170" t="s">
        <v>5</v>
      </c>
      <c r="B325" s="170" t="s">
        <v>437</v>
      </c>
      <c r="C325" s="170" t="s">
        <v>438</v>
      </c>
      <c r="D325" s="172">
        <v>2.5342465753424657</v>
      </c>
      <c r="E325" s="171">
        <v>2.0968770000000001</v>
      </c>
      <c r="F325" s="171">
        <v>2.1</v>
      </c>
      <c r="G325" s="172">
        <v>14.1</v>
      </c>
      <c r="H325" s="171">
        <v>0</v>
      </c>
      <c r="I325" s="171" t="s">
        <v>1049</v>
      </c>
      <c r="J325" s="317" t="s">
        <v>970</v>
      </c>
      <c r="K325" s="317" t="s">
        <v>1465</v>
      </c>
      <c r="L325" s="314"/>
      <c r="M325" s="314" t="s">
        <v>990</v>
      </c>
      <c r="N325" s="173">
        <v>80</v>
      </c>
      <c r="O325" s="173">
        <v>70</v>
      </c>
      <c r="P325" s="173">
        <v>130</v>
      </c>
      <c r="Q325" s="174">
        <v>110</v>
      </c>
      <c r="R325" s="180">
        <v>45372</v>
      </c>
      <c r="S325" s="175">
        <v>43735</v>
      </c>
      <c r="T325" s="175">
        <v>43735</v>
      </c>
      <c r="U325" s="176">
        <f ca="1">[1]!cb_clause_conversion_2_relativeswapsharemonth(B325)</f>
        <v>6</v>
      </c>
      <c r="V325" s="177"/>
      <c r="W325" s="177"/>
      <c r="X325" s="177"/>
      <c r="Y325" s="177"/>
      <c r="Z325" s="177"/>
      <c r="AA325" s="177"/>
      <c r="AB325" s="177"/>
      <c r="AV325" s="179"/>
      <c r="AW325" s="179"/>
      <c r="AX325" s="179"/>
      <c r="AY325" s="179"/>
      <c r="AZ325" s="179"/>
      <c r="BA325" s="179"/>
      <c r="BB325" s="179"/>
      <c r="BC325" s="179"/>
      <c r="BD325" s="179"/>
      <c r="BE325" s="179"/>
      <c r="BF325" s="179"/>
      <c r="BG325" s="179"/>
      <c r="BH325" s="179"/>
      <c r="BI325" s="179"/>
      <c r="BJ325" s="179"/>
      <c r="BK325" s="179"/>
      <c r="BL325" s="179"/>
      <c r="BM325" s="179"/>
      <c r="BN325" s="179"/>
      <c r="BO325" s="179"/>
      <c r="BP325" s="179"/>
      <c r="BQ325" s="179"/>
      <c r="BR325" s="179"/>
      <c r="BS325" s="179"/>
      <c r="BT325" s="179"/>
      <c r="BU325" s="179"/>
      <c r="BV325" s="179"/>
      <c r="BW325" s="179"/>
      <c r="BX325" s="179"/>
      <c r="BY325" s="179"/>
      <c r="BZ325" s="179"/>
      <c r="CA325" s="179"/>
      <c r="CB325" s="179"/>
      <c r="CC325" s="179"/>
      <c r="CD325" s="179"/>
      <c r="CE325" s="179"/>
      <c r="CF325" s="179"/>
      <c r="CG325" s="179"/>
      <c r="CH325" s="179"/>
      <c r="CI325" s="179"/>
      <c r="CJ325" s="179"/>
      <c r="CK325" s="179"/>
      <c r="CL325" s="179"/>
      <c r="CM325" s="179"/>
      <c r="CN325" s="179"/>
      <c r="CO325" s="179"/>
      <c r="CP325" s="179"/>
      <c r="CQ325" s="179"/>
      <c r="CR325" s="179"/>
      <c r="CS325" s="179"/>
      <c r="CT325" s="179"/>
      <c r="CU325" s="179"/>
      <c r="CV325" s="179"/>
      <c r="CW325" s="179"/>
      <c r="CX325" s="179"/>
      <c r="CY325" s="179"/>
      <c r="CZ325" s="179"/>
      <c r="DA325" s="179"/>
      <c r="DB325" s="179"/>
      <c r="DC325" s="179"/>
      <c r="DD325" s="179"/>
      <c r="DE325" s="179"/>
      <c r="DF325" s="179"/>
      <c r="DG325" s="179"/>
      <c r="DH325" s="179"/>
      <c r="DI325" s="179"/>
      <c r="DJ325" s="179"/>
      <c r="DK325" s="179"/>
      <c r="DL325" s="179"/>
      <c r="DM325" s="179"/>
      <c r="DN325" s="179"/>
      <c r="DO325" s="179"/>
      <c r="DP325" s="179"/>
      <c r="DQ325" s="179"/>
      <c r="DR325" s="179"/>
      <c r="DS325" s="179"/>
      <c r="DT325" s="179"/>
      <c r="DU325" s="179"/>
      <c r="DV325" s="179"/>
      <c r="DW325" s="179"/>
      <c r="DX325" s="179"/>
      <c r="DY325" s="179"/>
      <c r="DZ325" s="179"/>
      <c r="EA325" s="179"/>
      <c r="EB325" s="179"/>
      <c r="EC325" s="179"/>
      <c r="ED325" s="179"/>
      <c r="EE325" s="179"/>
      <c r="EF325" s="179"/>
      <c r="EG325" s="179"/>
      <c r="EH325" s="179"/>
      <c r="EI325" s="179"/>
      <c r="EJ325" s="179"/>
      <c r="EK325" s="179"/>
      <c r="EL325" s="179"/>
      <c r="EM325" s="179"/>
      <c r="EN325" s="179"/>
      <c r="EO325" s="179"/>
      <c r="EP325" s="179"/>
      <c r="EQ325" s="179"/>
      <c r="ER325" s="179"/>
      <c r="ES325" s="179"/>
      <c r="ET325" s="179"/>
      <c r="EU325" s="179"/>
      <c r="EV325" s="179"/>
      <c r="EW325" s="179"/>
      <c r="EX325" s="179"/>
      <c r="EY325" s="179"/>
      <c r="EZ325" s="179"/>
      <c r="FA325" s="179"/>
      <c r="FB325" s="179"/>
      <c r="FC325" s="179"/>
      <c r="FD325" s="179"/>
      <c r="FE325" s="179"/>
      <c r="FF325" s="179"/>
      <c r="FG325" s="179"/>
      <c r="FH325" s="179"/>
      <c r="FI325" s="179"/>
      <c r="FJ325" s="179"/>
      <c r="FK325" s="179"/>
      <c r="FL325" s="179"/>
      <c r="FM325" s="179"/>
      <c r="FN325" s="179"/>
    </row>
    <row r="326" spans="1:170" s="140" customFormat="1" ht="10.3" x14ac:dyDescent="0.25">
      <c r="A326" s="132" t="s">
        <v>5</v>
      </c>
      <c r="B326" s="132" t="s">
        <v>439</v>
      </c>
      <c r="C326" s="132" t="s">
        <v>440</v>
      </c>
      <c r="D326" s="134">
        <v>2.5178082191780824</v>
      </c>
      <c r="E326" s="133">
        <v>6.0282840000000002</v>
      </c>
      <c r="F326" s="133">
        <v>6</v>
      </c>
      <c r="G326" s="134">
        <v>3.1</v>
      </c>
      <c r="H326" s="133">
        <v>0</v>
      </c>
      <c r="I326" s="133" t="s">
        <v>957</v>
      </c>
      <c r="J326" s="318" t="s">
        <v>936</v>
      </c>
      <c r="K326" s="318" t="s">
        <v>1372</v>
      </c>
      <c r="L326" s="312"/>
      <c r="M326" s="312" t="s">
        <v>1048</v>
      </c>
      <c r="N326" s="135">
        <v>85</v>
      </c>
      <c r="O326" s="135">
        <v>70</v>
      </c>
      <c r="P326" s="135">
        <v>130</v>
      </c>
      <c r="Q326" s="136">
        <v>108</v>
      </c>
      <c r="R326" s="137">
        <v>45366</v>
      </c>
      <c r="S326" s="138">
        <v>43364</v>
      </c>
      <c r="T326" s="138">
        <v>43364</v>
      </c>
      <c r="U326" s="181">
        <f ca="1">[1]!cb_clause_conversion_2_relativeswapsharemonth(B326)</f>
        <v>6</v>
      </c>
      <c r="V326" s="139"/>
      <c r="W326" s="139"/>
      <c r="X326" s="139"/>
      <c r="Y326" s="139"/>
      <c r="Z326" s="139"/>
      <c r="AA326" s="139"/>
      <c r="AB326" s="139"/>
      <c r="AV326" s="141"/>
      <c r="AW326" s="141"/>
      <c r="AX326" s="141"/>
      <c r="AY326" s="141"/>
      <c r="AZ326" s="141"/>
      <c r="BA326" s="141"/>
      <c r="BB326" s="141"/>
      <c r="BC326" s="141"/>
      <c r="BD326" s="141"/>
      <c r="BE326" s="141"/>
      <c r="BF326" s="141"/>
      <c r="BG326" s="141"/>
      <c r="BH326" s="141"/>
      <c r="BI326" s="141"/>
      <c r="BJ326" s="141"/>
      <c r="BK326" s="141"/>
      <c r="BL326" s="141"/>
      <c r="BM326" s="141"/>
      <c r="BN326" s="141"/>
      <c r="BO326" s="141"/>
      <c r="BP326" s="141"/>
      <c r="BQ326" s="141"/>
      <c r="BR326" s="141"/>
      <c r="BS326" s="141"/>
      <c r="BT326" s="141"/>
      <c r="BU326" s="141"/>
      <c r="BV326" s="141"/>
      <c r="BW326" s="141"/>
      <c r="BX326" s="141"/>
      <c r="BY326" s="141"/>
      <c r="BZ326" s="141"/>
      <c r="CA326" s="141"/>
      <c r="CB326" s="141"/>
      <c r="CC326" s="141"/>
      <c r="CD326" s="141"/>
      <c r="CE326" s="141"/>
      <c r="CF326" s="141"/>
      <c r="CG326" s="141"/>
      <c r="CH326" s="141"/>
      <c r="CI326" s="141"/>
      <c r="CJ326" s="141"/>
      <c r="CK326" s="141"/>
      <c r="CL326" s="141"/>
      <c r="CM326" s="141"/>
      <c r="CN326" s="141"/>
      <c r="CO326" s="141"/>
      <c r="CP326" s="141"/>
      <c r="CQ326" s="141"/>
      <c r="CR326" s="141"/>
      <c r="CS326" s="141"/>
      <c r="CT326" s="141"/>
      <c r="CU326" s="141"/>
      <c r="CV326" s="141"/>
      <c r="CW326" s="141"/>
      <c r="CX326" s="141"/>
      <c r="CY326" s="141"/>
      <c r="CZ326" s="141"/>
      <c r="DA326" s="141"/>
      <c r="DB326" s="141"/>
      <c r="DC326" s="141"/>
      <c r="DD326" s="141"/>
      <c r="DE326" s="141"/>
      <c r="DF326" s="141"/>
      <c r="DG326" s="141"/>
      <c r="DH326" s="141"/>
      <c r="DI326" s="141"/>
      <c r="DJ326" s="141"/>
      <c r="DK326" s="141"/>
      <c r="DL326" s="141"/>
      <c r="DM326" s="141"/>
      <c r="DN326" s="141"/>
      <c r="DO326" s="141"/>
      <c r="DP326" s="141"/>
      <c r="DQ326" s="141"/>
      <c r="DR326" s="141"/>
      <c r="DS326" s="141"/>
      <c r="DT326" s="141"/>
      <c r="DU326" s="141"/>
      <c r="DV326" s="141"/>
      <c r="DW326" s="141"/>
      <c r="DX326" s="141"/>
      <c r="DY326" s="141"/>
      <c r="DZ326" s="141"/>
      <c r="EA326" s="141"/>
      <c r="EB326" s="141"/>
      <c r="EC326" s="141"/>
      <c r="ED326" s="141"/>
      <c r="EE326" s="141"/>
      <c r="EF326" s="141"/>
      <c r="EG326" s="141"/>
      <c r="EH326" s="141"/>
      <c r="EI326" s="141"/>
      <c r="EJ326" s="141"/>
      <c r="EK326" s="141"/>
      <c r="EL326" s="141"/>
      <c r="EM326" s="141"/>
      <c r="EN326" s="141"/>
      <c r="EO326" s="141"/>
      <c r="EP326" s="141"/>
      <c r="EQ326" s="141"/>
      <c r="ER326" s="141"/>
      <c r="ES326" s="141"/>
      <c r="ET326" s="141"/>
      <c r="EU326" s="141"/>
      <c r="EV326" s="141"/>
      <c r="EW326" s="141"/>
      <c r="EX326" s="141"/>
      <c r="EY326" s="141"/>
      <c r="EZ326" s="141"/>
      <c r="FA326" s="141"/>
      <c r="FB326" s="141"/>
      <c r="FC326" s="141"/>
      <c r="FD326" s="141"/>
      <c r="FE326" s="141"/>
      <c r="FF326" s="141"/>
      <c r="FG326" s="141"/>
      <c r="FH326" s="141"/>
      <c r="FI326" s="141"/>
      <c r="FJ326" s="141"/>
      <c r="FK326" s="141"/>
      <c r="FL326" s="141"/>
      <c r="FM326" s="141"/>
      <c r="FN326" s="141"/>
    </row>
    <row r="327" spans="1:170" s="178" customFormat="1" ht="10.3" x14ac:dyDescent="0.25">
      <c r="A327" s="170" t="s">
        <v>5</v>
      </c>
      <c r="B327" s="170" t="s">
        <v>441</v>
      </c>
      <c r="C327" s="170" t="s">
        <v>442</v>
      </c>
      <c r="D327" s="172">
        <v>2.5123287671232877</v>
      </c>
      <c r="E327" s="171">
        <v>24.072535999999999</v>
      </c>
      <c r="F327" s="171">
        <v>24.1</v>
      </c>
      <c r="G327" s="172">
        <v>20.22</v>
      </c>
      <c r="H327" s="171">
        <v>0</v>
      </c>
      <c r="I327" s="171" t="s">
        <v>952</v>
      </c>
      <c r="J327" s="317" t="s">
        <v>970</v>
      </c>
      <c r="K327" s="317" t="s">
        <v>1498</v>
      </c>
      <c r="L327" s="314"/>
      <c r="M327" s="314" t="s">
        <v>998</v>
      </c>
      <c r="N327" s="173">
        <v>80</v>
      </c>
      <c r="O327" s="173">
        <v>70</v>
      </c>
      <c r="P327" s="173">
        <v>130</v>
      </c>
      <c r="Q327" s="174">
        <v>105</v>
      </c>
      <c r="R327" s="180">
        <v>45364</v>
      </c>
      <c r="S327" s="175">
        <v>43362</v>
      </c>
      <c r="T327" s="175">
        <v>43362</v>
      </c>
      <c r="U327" s="176">
        <f ca="1">[1]!cb_clause_conversion_2_relativeswapsharemonth(B327)</f>
        <v>6</v>
      </c>
      <c r="V327" s="177"/>
      <c r="W327" s="177"/>
      <c r="X327" s="177"/>
      <c r="Y327" s="177"/>
      <c r="Z327" s="177"/>
      <c r="AA327" s="177"/>
      <c r="AB327" s="177"/>
      <c r="AV327" s="179"/>
      <c r="AW327" s="179"/>
      <c r="AX327" s="179"/>
      <c r="AY327" s="179"/>
      <c r="AZ327" s="179"/>
      <c r="BA327" s="179"/>
      <c r="BB327" s="179"/>
      <c r="BC327" s="179"/>
      <c r="BD327" s="179"/>
      <c r="BE327" s="179"/>
      <c r="BF327" s="179"/>
      <c r="BG327" s="179"/>
      <c r="BH327" s="179"/>
      <c r="BI327" s="179"/>
      <c r="BJ327" s="179"/>
      <c r="BK327" s="179"/>
      <c r="BL327" s="179"/>
      <c r="BM327" s="179"/>
      <c r="BN327" s="179"/>
      <c r="BO327" s="179"/>
      <c r="BP327" s="179"/>
      <c r="BQ327" s="179"/>
      <c r="BR327" s="179"/>
      <c r="BS327" s="179"/>
      <c r="BT327" s="179"/>
      <c r="BU327" s="179"/>
      <c r="BV327" s="179"/>
      <c r="BW327" s="179"/>
      <c r="BX327" s="179"/>
      <c r="BY327" s="179"/>
      <c r="BZ327" s="179"/>
      <c r="CA327" s="179"/>
      <c r="CB327" s="179"/>
      <c r="CC327" s="179"/>
      <c r="CD327" s="179"/>
      <c r="CE327" s="179"/>
      <c r="CF327" s="179"/>
      <c r="CG327" s="179"/>
      <c r="CH327" s="179"/>
      <c r="CI327" s="179"/>
      <c r="CJ327" s="179"/>
      <c r="CK327" s="179"/>
      <c r="CL327" s="179"/>
      <c r="CM327" s="179"/>
      <c r="CN327" s="179"/>
      <c r="CO327" s="179"/>
      <c r="CP327" s="179"/>
      <c r="CQ327" s="179"/>
      <c r="CR327" s="179"/>
      <c r="CS327" s="179"/>
      <c r="CT327" s="179"/>
      <c r="CU327" s="179"/>
      <c r="CV327" s="179"/>
      <c r="CW327" s="179"/>
      <c r="CX327" s="179"/>
      <c r="CY327" s="179"/>
      <c r="CZ327" s="179"/>
      <c r="DA327" s="179"/>
      <c r="DB327" s="179"/>
      <c r="DC327" s="179"/>
      <c r="DD327" s="179"/>
      <c r="DE327" s="179"/>
      <c r="DF327" s="179"/>
      <c r="DG327" s="179"/>
      <c r="DH327" s="179"/>
      <c r="DI327" s="179"/>
      <c r="DJ327" s="179"/>
      <c r="DK327" s="179"/>
      <c r="DL327" s="179"/>
      <c r="DM327" s="179"/>
      <c r="DN327" s="179"/>
      <c r="DO327" s="179"/>
      <c r="DP327" s="179"/>
      <c r="DQ327" s="179"/>
      <c r="DR327" s="179"/>
      <c r="DS327" s="179"/>
      <c r="DT327" s="179"/>
      <c r="DU327" s="179"/>
      <c r="DV327" s="179"/>
      <c r="DW327" s="179"/>
      <c r="DX327" s="179"/>
      <c r="DY327" s="179"/>
      <c r="DZ327" s="179"/>
      <c r="EA327" s="179"/>
      <c r="EB327" s="179"/>
      <c r="EC327" s="179"/>
      <c r="ED327" s="179"/>
      <c r="EE327" s="179"/>
      <c r="EF327" s="179"/>
      <c r="EG327" s="179"/>
      <c r="EH327" s="179"/>
      <c r="EI327" s="179"/>
      <c r="EJ327" s="179"/>
      <c r="EK327" s="179"/>
      <c r="EL327" s="179"/>
      <c r="EM327" s="179"/>
      <c r="EN327" s="179"/>
      <c r="EO327" s="179"/>
      <c r="EP327" s="179"/>
      <c r="EQ327" s="179"/>
      <c r="ER327" s="179"/>
      <c r="ES327" s="179"/>
      <c r="ET327" s="179"/>
      <c r="EU327" s="179"/>
      <c r="EV327" s="179"/>
      <c r="EW327" s="179"/>
      <c r="EX327" s="179"/>
      <c r="EY327" s="179"/>
      <c r="EZ327" s="179"/>
      <c r="FA327" s="179"/>
      <c r="FB327" s="179"/>
      <c r="FC327" s="179"/>
      <c r="FD327" s="179"/>
      <c r="FE327" s="179"/>
      <c r="FF327" s="179"/>
      <c r="FG327" s="179"/>
      <c r="FH327" s="179"/>
      <c r="FI327" s="179"/>
      <c r="FJ327" s="179"/>
      <c r="FK327" s="179"/>
      <c r="FL327" s="179"/>
      <c r="FM327" s="179"/>
      <c r="FN327" s="179"/>
    </row>
    <row r="328" spans="1:170" s="140" customFormat="1" ht="10.3" x14ac:dyDescent="0.25">
      <c r="A328" s="132" t="s">
        <v>5</v>
      </c>
      <c r="B328" s="132" t="s">
        <v>881</v>
      </c>
      <c r="C328" s="132" t="s">
        <v>882</v>
      </c>
      <c r="D328" s="134">
        <v>2.5095890410958903</v>
      </c>
      <c r="E328" s="133">
        <v>49.965007</v>
      </c>
      <c r="F328" s="133">
        <v>50</v>
      </c>
      <c r="G328" s="134">
        <v>7.13</v>
      </c>
      <c r="H328" s="133">
        <v>80</v>
      </c>
      <c r="I328" s="133" t="s">
        <v>941</v>
      </c>
      <c r="J328" s="318" t="s">
        <v>942</v>
      </c>
      <c r="K328" s="318" t="s">
        <v>1114</v>
      </c>
      <c r="L328" s="312"/>
      <c r="M328" s="312" t="s">
        <v>1115</v>
      </c>
      <c r="N328" s="135">
        <v>80</v>
      </c>
      <c r="O328" s="135"/>
      <c r="P328" s="135">
        <v>130</v>
      </c>
      <c r="Q328" s="136">
        <v>105</v>
      </c>
      <c r="R328" s="137">
        <v>45363</v>
      </c>
      <c r="S328" s="138">
        <v>43360</v>
      </c>
      <c r="T328" s="138">
        <v>43360</v>
      </c>
      <c r="U328" s="181">
        <f ca="1">[1]!cb_clause_conversion_2_relativeswapsharemonth(B328)</f>
        <v>6</v>
      </c>
      <c r="V328" s="139"/>
      <c r="W328" s="139"/>
      <c r="X328" s="139"/>
      <c r="Y328" s="139"/>
      <c r="Z328" s="139"/>
      <c r="AA328" s="139"/>
      <c r="AB328" s="139"/>
      <c r="AV328" s="141"/>
      <c r="AW328" s="141"/>
      <c r="AX328" s="141"/>
      <c r="AY328" s="141"/>
      <c r="AZ328" s="141"/>
      <c r="BA328" s="141"/>
      <c r="BB328" s="141"/>
      <c r="BC328" s="141"/>
      <c r="BD328" s="141"/>
      <c r="BE328" s="141"/>
      <c r="BF328" s="141"/>
      <c r="BG328" s="141"/>
      <c r="BH328" s="141"/>
      <c r="BI328" s="141"/>
      <c r="BJ328" s="141"/>
      <c r="BK328" s="141"/>
      <c r="BL328" s="141"/>
      <c r="BM328" s="141"/>
      <c r="BN328" s="141"/>
      <c r="BO328" s="141"/>
      <c r="BP328" s="141"/>
      <c r="BQ328" s="141"/>
      <c r="BR328" s="141"/>
      <c r="BS328" s="141"/>
      <c r="BT328" s="141"/>
      <c r="BU328" s="141"/>
      <c r="BV328" s="141"/>
      <c r="BW328" s="141"/>
      <c r="BX328" s="141"/>
      <c r="BY328" s="141"/>
      <c r="BZ328" s="141"/>
      <c r="CA328" s="141"/>
      <c r="CB328" s="141"/>
      <c r="CC328" s="141"/>
      <c r="CD328" s="141"/>
      <c r="CE328" s="141"/>
      <c r="CF328" s="141"/>
      <c r="CG328" s="141"/>
      <c r="CH328" s="141"/>
      <c r="CI328" s="141"/>
      <c r="CJ328" s="141"/>
      <c r="CK328" s="141"/>
      <c r="CL328" s="141"/>
      <c r="CM328" s="141"/>
      <c r="CN328" s="141"/>
      <c r="CO328" s="141"/>
      <c r="CP328" s="141"/>
      <c r="CQ328" s="141"/>
      <c r="CR328" s="141"/>
      <c r="CS328" s="141"/>
      <c r="CT328" s="141"/>
      <c r="CU328" s="141"/>
      <c r="CV328" s="141"/>
      <c r="CW328" s="141"/>
      <c r="CX328" s="141"/>
      <c r="CY328" s="141"/>
      <c r="CZ328" s="141"/>
      <c r="DA328" s="141"/>
      <c r="DB328" s="141"/>
      <c r="DC328" s="141"/>
      <c r="DD328" s="141"/>
      <c r="DE328" s="141"/>
      <c r="DF328" s="141"/>
      <c r="DG328" s="141"/>
      <c r="DH328" s="141"/>
      <c r="DI328" s="141"/>
      <c r="DJ328" s="141"/>
      <c r="DK328" s="141"/>
      <c r="DL328" s="141"/>
      <c r="DM328" s="141"/>
      <c r="DN328" s="141"/>
      <c r="DO328" s="141"/>
      <c r="DP328" s="141"/>
      <c r="DQ328" s="141"/>
      <c r="DR328" s="141"/>
      <c r="DS328" s="141"/>
      <c r="DT328" s="141"/>
      <c r="DU328" s="141"/>
      <c r="DV328" s="141"/>
      <c r="DW328" s="141"/>
      <c r="DX328" s="141"/>
      <c r="DY328" s="141"/>
      <c r="DZ328" s="141"/>
      <c r="EA328" s="141"/>
      <c r="EB328" s="141"/>
      <c r="EC328" s="141"/>
      <c r="ED328" s="141"/>
      <c r="EE328" s="141"/>
      <c r="EF328" s="141"/>
      <c r="EG328" s="141"/>
      <c r="EH328" s="141"/>
      <c r="EI328" s="141"/>
      <c r="EJ328" s="141"/>
      <c r="EK328" s="141"/>
      <c r="EL328" s="141"/>
      <c r="EM328" s="141"/>
      <c r="EN328" s="141"/>
      <c r="EO328" s="141"/>
      <c r="EP328" s="141"/>
      <c r="EQ328" s="141"/>
      <c r="ER328" s="141"/>
      <c r="ES328" s="141"/>
      <c r="ET328" s="141"/>
      <c r="EU328" s="141"/>
      <c r="EV328" s="141"/>
      <c r="EW328" s="141"/>
      <c r="EX328" s="141"/>
      <c r="EY328" s="141"/>
      <c r="EZ328" s="141"/>
      <c r="FA328" s="141"/>
      <c r="FB328" s="141"/>
      <c r="FC328" s="141"/>
      <c r="FD328" s="141"/>
      <c r="FE328" s="141"/>
      <c r="FF328" s="141"/>
      <c r="FG328" s="141"/>
      <c r="FH328" s="141"/>
      <c r="FI328" s="141"/>
      <c r="FJ328" s="141"/>
      <c r="FK328" s="141"/>
      <c r="FL328" s="141"/>
      <c r="FM328" s="141"/>
      <c r="FN328" s="141"/>
    </row>
    <row r="329" spans="1:170" s="178" customFormat="1" ht="10.3" x14ac:dyDescent="0.25">
      <c r="A329" s="170" t="s">
        <v>5</v>
      </c>
      <c r="B329" s="170" t="s">
        <v>443</v>
      </c>
      <c r="C329" s="170" t="s">
        <v>444</v>
      </c>
      <c r="D329" s="172">
        <v>2.5013698630136987</v>
      </c>
      <c r="E329" s="171">
        <v>1.4589669999999999</v>
      </c>
      <c r="F329" s="171">
        <v>6.5</v>
      </c>
      <c r="G329" s="172">
        <v>6.93</v>
      </c>
      <c r="H329" s="171">
        <v>0</v>
      </c>
      <c r="I329" s="171" t="s">
        <v>973</v>
      </c>
      <c r="J329" s="317" t="s">
        <v>946</v>
      </c>
      <c r="K329" s="317" t="s">
        <v>1070</v>
      </c>
      <c r="L329" s="311"/>
      <c r="M329" s="311" t="s">
        <v>985</v>
      </c>
      <c r="N329" s="173">
        <v>90</v>
      </c>
      <c r="O329" s="173">
        <v>70</v>
      </c>
      <c r="P329" s="173">
        <v>130</v>
      </c>
      <c r="Q329" s="174">
        <v>106</v>
      </c>
      <c r="R329" s="180">
        <v>45360</v>
      </c>
      <c r="S329" s="175">
        <v>43360</v>
      </c>
      <c r="T329" s="175">
        <v>43360</v>
      </c>
      <c r="U329" s="176">
        <f ca="1">[1]!cb_clause_conversion_2_relativeswapsharemonth(B329)</f>
        <v>6</v>
      </c>
      <c r="V329" s="177"/>
      <c r="W329" s="177"/>
      <c r="X329" s="177"/>
      <c r="Y329" s="177"/>
      <c r="Z329" s="177"/>
      <c r="AA329" s="177"/>
      <c r="AB329" s="177"/>
      <c r="AV329" s="179"/>
      <c r="AW329" s="179"/>
      <c r="AX329" s="179"/>
      <c r="AY329" s="179"/>
      <c r="AZ329" s="179"/>
      <c r="BA329" s="179"/>
      <c r="BB329" s="179"/>
      <c r="BC329" s="179"/>
      <c r="BD329" s="179"/>
      <c r="BE329" s="179"/>
      <c r="BF329" s="179"/>
      <c r="BG329" s="179"/>
      <c r="BH329" s="179"/>
      <c r="BI329" s="179"/>
      <c r="BJ329" s="179"/>
      <c r="BK329" s="179"/>
      <c r="BL329" s="179"/>
      <c r="BM329" s="179"/>
      <c r="BN329" s="179"/>
      <c r="BO329" s="179"/>
      <c r="BP329" s="179"/>
      <c r="BQ329" s="179"/>
      <c r="BR329" s="179"/>
      <c r="BS329" s="179"/>
      <c r="BT329" s="179"/>
      <c r="BU329" s="179"/>
      <c r="BV329" s="179"/>
      <c r="BW329" s="179"/>
      <c r="BX329" s="179"/>
      <c r="BY329" s="179"/>
      <c r="BZ329" s="179"/>
      <c r="CA329" s="179"/>
      <c r="CB329" s="179"/>
      <c r="CC329" s="179"/>
      <c r="CD329" s="179"/>
      <c r="CE329" s="179"/>
      <c r="CF329" s="179"/>
      <c r="CG329" s="179"/>
      <c r="CH329" s="179"/>
      <c r="CI329" s="179"/>
      <c r="CJ329" s="179"/>
      <c r="CK329" s="179"/>
      <c r="CL329" s="179"/>
      <c r="CM329" s="179"/>
      <c r="CN329" s="179"/>
      <c r="CO329" s="179"/>
      <c r="CP329" s="179"/>
      <c r="CQ329" s="179"/>
      <c r="CR329" s="179"/>
      <c r="CS329" s="179"/>
      <c r="CT329" s="179"/>
      <c r="CU329" s="179"/>
      <c r="CV329" s="179"/>
      <c r="CW329" s="179"/>
      <c r="CX329" s="179"/>
      <c r="CY329" s="179"/>
      <c r="CZ329" s="179"/>
      <c r="DA329" s="179"/>
      <c r="DB329" s="179"/>
      <c r="DC329" s="179"/>
      <c r="DD329" s="179"/>
      <c r="DE329" s="179"/>
      <c r="DF329" s="179"/>
      <c r="DG329" s="179"/>
      <c r="DH329" s="179"/>
      <c r="DI329" s="179"/>
      <c r="DJ329" s="179"/>
      <c r="DK329" s="179"/>
      <c r="DL329" s="179"/>
      <c r="DM329" s="179"/>
      <c r="DN329" s="179"/>
      <c r="DO329" s="179"/>
      <c r="DP329" s="179"/>
      <c r="DQ329" s="179"/>
      <c r="DR329" s="179"/>
      <c r="DS329" s="179"/>
      <c r="DT329" s="179"/>
      <c r="DU329" s="179"/>
      <c r="DV329" s="179"/>
      <c r="DW329" s="179"/>
      <c r="DX329" s="179"/>
      <c r="DY329" s="179"/>
      <c r="DZ329" s="179"/>
      <c r="EA329" s="179"/>
      <c r="EB329" s="179"/>
      <c r="EC329" s="179"/>
      <c r="ED329" s="179"/>
      <c r="EE329" s="179"/>
      <c r="EF329" s="179"/>
      <c r="EG329" s="179"/>
      <c r="EH329" s="179"/>
      <c r="EI329" s="179"/>
      <c r="EJ329" s="179"/>
      <c r="EK329" s="179"/>
      <c r="EL329" s="179"/>
      <c r="EM329" s="179"/>
      <c r="EN329" s="179"/>
      <c r="EO329" s="179"/>
      <c r="EP329" s="179"/>
      <c r="EQ329" s="179"/>
      <c r="ER329" s="179"/>
      <c r="ES329" s="179"/>
      <c r="ET329" s="179"/>
      <c r="EU329" s="179"/>
      <c r="EV329" s="179"/>
      <c r="EW329" s="179"/>
      <c r="EX329" s="179"/>
      <c r="EY329" s="179"/>
      <c r="EZ329" s="179"/>
      <c r="FA329" s="179"/>
      <c r="FB329" s="179"/>
      <c r="FC329" s="179"/>
      <c r="FD329" s="179"/>
      <c r="FE329" s="179"/>
      <c r="FF329" s="179"/>
      <c r="FG329" s="179"/>
      <c r="FH329" s="179"/>
      <c r="FI329" s="179"/>
      <c r="FJ329" s="179"/>
      <c r="FK329" s="179"/>
      <c r="FL329" s="179"/>
      <c r="FM329" s="179"/>
      <c r="FN329" s="179"/>
    </row>
    <row r="330" spans="1:170" s="140" customFormat="1" ht="10.3" x14ac:dyDescent="0.25">
      <c r="A330" s="132" t="s">
        <v>0</v>
      </c>
      <c r="B330" s="132" t="s">
        <v>445</v>
      </c>
      <c r="C330" s="132" t="s">
        <v>446</v>
      </c>
      <c r="D330" s="134">
        <v>2.493150684931507</v>
      </c>
      <c r="E330" s="133">
        <v>7.4983399999999998</v>
      </c>
      <c r="F330" s="133">
        <v>7.8</v>
      </c>
      <c r="G330" s="134">
        <v>7.08</v>
      </c>
      <c r="H330" s="133">
        <v>0</v>
      </c>
      <c r="I330" s="133" t="s">
        <v>957</v>
      </c>
      <c r="J330" s="318" t="s">
        <v>951</v>
      </c>
      <c r="K330" s="318" t="s">
        <v>1066</v>
      </c>
      <c r="L330" s="312"/>
      <c r="M330" s="312" t="s">
        <v>1380</v>
      </c>
      <c r="N330" s="135">
        <v>90</v>
      </c>
      <c r="O330" s="135">
        <v>70</v>
      </c>
      <c r="P330" s="135">
        <v>130</v>
      </c>
      <c r="Q330" s="136">
        <v>108</v>
      </c>
      <c r="R330" s="137">
        <v>45357</v>
      </c>
      <c r="S330" s="138">
        <v>43355</v>
      </c>
      <c r="T330" s="138">
        <v>43355</v>
      </c>
      <c r="U330" s="181">
        <f ca="1">[1]!cb_clause_conversion_2_relativeswapsharemonth(B330)</f>
        <v>6</v>
      </c>
      <c r="V330" s="139"/>
      <c r="W330" s="139"/>
      <c r="X330" s="139"/>
      <c r="Y330" s="139"/>
      <c r="Z330" s="139"/>
      <c r="AA330" s="139"/>
      <c r="AB330" s="139"/>
      <c r="AV330" s="141"/>
      <c r="AW330" s="141"/>
      <c r="AX330" s="141"/>
      <c r="AY330" s="141"/>
      <c r="AZ330" s="141"/>
      <c r="BA330" s="141"/>
      <c r="BB330" s="141"/>
      <c r="BC330" s="141"/>
      <c r="BD330" s="141"/>
      <c r="BE330" s="141"/>
      <c r="BF330" s="141"/>
      <c r="BG330" s="141"/>
      <c r="BH330" s="141"/>
      <c r="BI330" s="141"/>
      <c r="BJ330" s="141"/>
      <c r="BK330" s="141"/>
      <c r="BL330" s="141"/>
      <c r="BM330" s="141"/>
      <c r="BN330" s="141"/>
      <c r="BO330" s="141"/>
      <c r="BP330" s="141"/>
      <c r="BQ330" s="141"/>
      <c r="BR330" s="141"/>
      <c r="BS330" s="141"/>
      <c r="BT330" s="141"/>
      <c r="BU330" s="141"/>
      <c r="BV330" s="141"/>
      <c r="BW330" s="141"/>
      <c r="BX330" s="141"/>
      <c r="BY330" s="141"/>
      <c r="BZ330" s="141"/>
      <c r="CA330" s="141"/>
      <c r="CB330" s="141"/>
      <c r="CC330" s="141"/>
      <c r="CD330" s="141"/>
      <c r="CE330" s="141"/>
      <c r="CF330" s="141"/>
      <c r="CG330" s="141"/>
      <c r="CH330" s="141"/>
      <c r="CI330" s="141"/>
      <c r="CJ330" s="141"/>
      <c r="CK330" s="141"/>
      <c r="CL330" s="141"/>
      <c r="CM330" s="141"/>
      <c r="CN330" s="141"/>
      <c r="CO330" s="141"/>
      <c r="CP330" s="141"/>
      <c r="CQ330" s="141"/>
      <c r="CR330" s="141"/>
      <c r="CS330" s="141"/>
      <c r="CT330" s="141"/>
      <c r="CU330" s="141"/>
      <c r="CV330" s="141"/>
      <c r="CW330" s="141"/>
      <c r="CX330" s="141"/>
      <c r="CY330" s="141"/>
      <c r="CZ330" s="141"/>
      <c r="DA330" s="141"/>
      <c r="DB330" s="141"/>
      <c r="DC330" s="141"/>
      <c r="DD330" s="141"/>
      <c r="DE330" s="141"/>
      <c r="DF330" s="141"/>
      <c r="DG330" s="141"/>
      <c r="DH330" s="141"/>
      <c r="DI330" s="141"/>
      <c r="DJ330" s="141"/>
      <c r="DK330" s="141"/>
      <c r="DL330" s="141"/>
      <c r="DM330" s="141"/>
      <c r="DN330" s="141"/>
      <c r="DO330" s="141"/>
      <c r="DP330" s="141"/>
      <c r="DQ330" s="141"/>
      <c r="DR330" s="141"/>
      <c r="DS330" s="141"/>
      <c r="DT330" s="141"/>
      <c r="DU330" s="141"/>
      <c r="DV330" s="141"/>
      <c r="DW330" s="141"/>
      <c r="DX330" s="141"/>
      <c r="DY330" s="141"/>
      <c r="DZ330" s="141"/>
      <c r="EA330" s="141"/>
      <c r="EB330" s="141"/>
      <c r="EC330" s="141"/>
      <c r="ED330" s="141"/>
      <c r="EE330" s="141"/>
      <c r="EF330" s="141"/>
      <c r="EG330" s="141"/>
      <c r="EH330" s="141"/>
      <c r="EI330" s="141"/>
      <c r="EJ330" s="141"/>
      <c r="EK330" s="141"/>
      <c r="EL330" s="141"/>
      <c r="EM330" s="141"/>
      <c r="EN330" s="141"/>
      <c r="EO330" s="141"/>
      <c r="EP330" s="141"/>
      <c r="EQ330" s="141"/>
      <c r="ER330" s="141"/>
      <c r="ES330" s="141"/>
      <c r="ET330" s="141"/>
      <c r="EU330" s="141"/>
      <c r="EV330" s="141"/>
      <c r="EW330" s="141"/>
      <c r="EX330" s="141"/>
      <c r="EY330" s="141"/>
      <c r="EZ330" s="141"/>
      <c r="FA330" s="141"/>
      <c r="FB330" s="141"/>
      <c r="FC330" s="141"/>
      <c r="FD330" s="141"/>
      <c r="FE330" s="141"/>
      <c r="FF330" s="141"/>
      <c r="FG330" s="141"/>
      <c r="FH330" s="141"/>
      <c r="FI330" s="141"/>
      <c r="FJ330" s="141"/>
      <c r="FK330" s="141"/>
      <c r="FL330" s="141"/>
      <c r="FM330" s="141"/>
      <c r="FN330" s="141"/>
    </row>
    <row r="331" spans="1:170" s="178" customFormat="1" ht="10.3" x14ac:dyDescent="0.25">
      <c r="A331" s="170" t="s">
        <v>0</v>
      </c>
      <c r="B331" s="170" t="s">
        <v>447</v>
      </c>
      <c r="C331" s="170" t="s">
        <v>448</v>
      </c>
      <c r="D331" s="172">
        <v>2.4821917808219176</v>
      </c>
      <c r="E331" s="171">
        <v>4.8984800000000002</v>
      </c>
      <c r="F331" s="171">
        <v>6.9</v>
      </c>
      <c r="G331" s="172">
        <v>20.81</v>
      </c>
      <c r="H331" s="171">
        <v>0</v>
      </c>
      <c r="I331" s="171" t="s">
        <v>957</v>
      </c>
      <c r="J331" s="317" t="s">
        <v>936</v>
      </c>
      <c r="K331" s="317" t="s">
        <v>1358</v>
      </c>
      <c r="L331" s="311"/>
      <c r="M331" s="311" t="s">
        <v>950</v>
      </c>
      <c r="N331" s="173">
        <v>80</v>
      </c>
      <c r="O331" s="173">
        <v>70</v>
      </c>
      <c r="P331" s="173">
        <v>130</v>
      </c>
      <c r="Q331" s="174">
        <v>106</v>
      </c>
      <c r="R331" s="180">
        <v>45353</v>
      </c>
      <c r="S331" s="175">
        <v>43353</v>
      </c>
      <c r="T331" s="175">
        <v>43353</v>
      </c>
      <c r="U331" s="176">
        <f ca="1">[1]!cb_clause_conversion_2_relativeswapsharemonth(B331)</f>
        <v>6</v>
      </c>
      <c r="V331" s="177"/>
      <c r="W331" s="177"/>
      <c r="X331" s="177"/>
      <c r="Y331" s="177"/>
      <c r="Z331" s="177"/>
      <c r="AA331" s="177"/>
      <c r="AB331" s="177"/>
      <c r="AV331" s="179"/>
      <c r="AW331" s="179"/>
      <c r="AX331" s="179"/>
      <c r="AY331" s="179"/>
      <c r="AZ331" s="179"/>
      <c r="BA331" s="179"/>
      <c r="BB331" s="179"/>
      <c r="BC331" s="179"/>
      <c r="BD331" s="179"/>
      <c r="BE331" s="179"/>
      <c r="BF331" s="179"/>
      <c r="BG331" s="179"/>
      <c r="BH331" s="179"/>
      <c r="BI331" s="179"/>
      <c r="BJ331" s="179"/>
      <c r="BK331" s="179"/>
      <c r="BL331" s="179"/>
      <c r="BM331" s="179"/>
      <c r="BN331" s="179"/>
      <c r="BO331" s="179"/>
      <c r="BP331" s="179"/>
      <c r="BQ331" s="179"/>
      <c r="BR331" s="179"/>
      <c r="BS331" s="179"/>
      <c r="BT331" s="179"/>
      <c r="BU331" s="179"/>
      <c r="BV331" s="179"/>
      <c r="BW331" s="179"/>
      <c r="BX331" s="179"/>
      <c r="BY331" s="179"/>
      <c r="BZ331" s="179"/>
      <c r="CA331" s="179"/>
      <c r="CB331" s="179"/>
      <c r="CC331" s="179"/>
      <c r="CD331" s="179"/>
      <c r="CE331" s="179"/>
      <c r="CF331" s="179"/>
      <c r="CG331" s="179"/>
      <c r="CH331" s="179"/>
      <c r="CI331" s="179"/>
      <c r="CJ331" s="179"/>
      <c r="CK331" s="179"/>
      <c r="CL331" s="179"/>
      <c r="CM331" s="179"/>
      <c r="CN331" s="179"/>
      <c r="CO331" s="179"/>
      <c r="CP331" s="179"/>
      <c r="CQ331" s="179"/>
      <c r="CR331" s="179"/>
      <c r="CS331" s="179"/>
      <c r="CT331" s="179"/>
      <c r="CU331" s="179"/>
      <c r="CV331" s="179"/>
      <c r="CW331" s="179"/>
      <c r="CX331" s="179"/>
      <c r="CY331" s="179"/>
      <c r="CZ331" s="179"/>
      <c r="DA331" s="179"/>
      <c r="DB331" s="179"/>
      <c r="DC331" s="179"/>
      <c r="DD331" s="179"/>
      <c r="DE331" s="179"/>
      <c r="DF331" s="179"/>
      <c r="DG331" s="179"/>
      <c r="DH331" s="179"/>
      <c r="DI331" s="179"/>
      <c r="DJ331" s="179"/>
      <c r="DK331" s="179"/>
      <c r="DL331" s="179"/>
      <c r="DM331" s="179"/>
      <c r="DN331" s="179"/>
      <c r="DO331" s="179"/>
      <c r="DP331" s="179"/>
      <c r="DQ331" s="179"/>
      <c r="DR331" s="179"/>
      <c r="DS331" s="179"/>
      <c r="DT331" s="179"/>
      <c r="DU331" s="179"/>
      <c r="DV331" s="179"/>
      <c r="DW331" s="179"/>
      <c r="DX331" s="179"/>
      <c r="DY331" s="179"/>
      <c r="DZ331" s="179"/>
      <c r="EA331" s="179"/>
      <c r="EB331" s="179"/>
      <c r="EC331" s="179"/>
      <c r="ED331" s="179"/>
      <c r="EE331" s="179"/>
      <c r="EF331" s="179"/>
      <c r="EG331" s="179"/>
      <c r="EH331" s="179"/>
      <c r="EI331" s="179"/>
      <c r="EJ331" s="179"/>
      <c r="EK331" s="179"/>
      <c r="EL331" s="179"/>
      <c r="EM331" s="179"/>
      <c r="EN331" s="179"/>
      <c r="EO331" s="179"/>
      <c r="EP331" s="179"/>
      <c r="EQ331" s="179"/>
      <c r="ER331" s="179"/>
      <c r="ES331" s="179"/>
      <c r="ET331" s="179"/>
      <c r="EU331" s="179"/>
      <c r="EV331" s="179"/>
      <c r="EW331" s="179"/>
      <c r="EX331" s="179"/>
      <c r="EY331" s="179"/>
      <c r="EZ331" s="179"/>
      <c r="FA331" s="179"/>
      <c r="FB331" s="179"/>
      <c r="FC331" s="179"/>
      <c r="FD331" s="179"/>
      <c r="FE331" s="179"/>
      <c r="FF331" s="179"/>
      <c r="FG331" s="179"/>
      <c r="FH331" s="179"/>
      <c r="FI331" s="179"/>
      <c r="FJ331" s="179"/>
      <c r="FK331" s="179"/>
      <c r="FL331" s="179"/>
      <c r="FM331" s="179"/>
      <c r="FN331" s="179"/>
    </row>
    <row r="332" spans="1:170" s="140" customFormat="1" ht="10.3" x14ac:dyDescent="0.25">
      <c r="A332" s="132" t="s">
        <v>5</v>
      </c>
      <c r="B332" s="132" t="s">
        <v>449</v>
      </c>
      <c r="C332" s="132" t="s">
        <v>450</v>
      </c>
      <c r="D332" s="134">
        <v>2.4164383561643836</v>
      </c>
      <c r="E332" s="133">
        <v>22.996105</v>
      </c>
      <c r="F332" s="133">
        <v>23</v>
      </c>
      <c r="G332" s="134">
        <v>51.9</v>
      </c>
      <c r="H332" s="133">
        <v>0</v>
      </c>
      <c r="I332" s="133" t="s">
        <v>935</v>
      </c>
      <c r="J332" s="318" t="s">
        <v>946</v>
      </c>
      <c r="K332" s="318" t="s">
        <v>1512</v>
      </c>
      <c r="L332" s="312"/>
      <c r="M332" s="312" t="s">
        <v>1513</v>
      </c>
      <c r="N332" s="135">
        <v>80</v>
      </c>
      <c r="O332" s="135">
        <v>70</v>
      </c>
      <c r="P332" s="135">
        <v>130</v>
      </c>
      <c r="Q332" s="136">
        <v>105</v>
      </c>
      <c r="R332" s="137">
        <v>45328</v>
      </c>
      <c r="S332" s="138">
        <v>43325</v>
      </c>
      <c r="T332" s="138">
        <v>43325</v>
      </c>
      <c r="U332" s="181">
        <f ca="1">[1]!cb_clause_conversion_2_relativeswapsharemonth(B332)</f>
        <v>6</v>
      </c>
      <c r="V332" s="139"/>
      <c r="W332" s="139"/>
      <c r="X332" s="139"/>
      <c r="Y332" s="139"/>
      <c r="Z332" s="139"/>
      <c r="AA332" s="139"/>
      <c r="AB332" s="139"/>
      <c r="AV332" s="141"/>
      <c r="AW332" s="141"/>
      <c r="AX332" s="141"/>
      <c r="AY332" s="141"/>
      <c r="AZ332" s="141"/>
      <c r="BA332" s="141"/>
      <c r="BB332" s="141"/>
      <c r="BC332" s="141"/>
      <c r="BD332" s="141"/>
      <c r="BE332" s="141"/>
      <c r="BF332" s="141"/>
      <c r="BG332" s="141"/>
      <c r="BH332" s="141"/>
      <c r="BI332" s="141"/>
      <c r="BJ332" s="141"/>
      <c r="BK332" s="141"/>
      <c r="BL332" s="141"/>
      <c r="BM332" s="141"/>
      <c r="BN332" s="141"/>
      <c r="BO332" s="141"/>
      <c r="BP332" s="141"/>
      <c r="BQ332" s="141"/>
      <c r="BR332" s="141"/>
      <c r="BS332" s="141"/>
      <c r="BT332" s="141"/>
      <c r="BU332" s="141"/>
      <c r="BV332" s="141"/>
      <c r="BW332" s="141"/>
      <c r="BX332" s="141"/>
      <c r="BY332" s="141"/>
      <c r="BZ332" s="141"/>
      <c r="CA332" s="141"/>
      <c r="CB332" s="141"/>
      <c r="CC332" s="141"/>
      <c r="CD332" s="141"/>
      <c r="CE332" s="141"/>
      <c r="CF332" s="141"/>
      <c r="CG332" s="141"/>
      <c r="CH332" s="141"/>
      <c r="CI332" s="141"/>
      <c r="CJ332" s="141"/>
      <c r="CK332" s="141"/>
      <c r="CL332" s="141"/>
      <c r="CM332" s="141"/>
      <c r="CN332" s="141"/>
      <c r="CO332" s="141"/>
      <c r="CP332" s="141"/>
      <c r="CQ332" s="141"/>
      <c r="CR332" s="141"/>
      <c r="CS332" s="141"/>
      <c r="CT332" s="141"/>
      <c r="CU332" s="141"/>
      <c r="CV332" s="141"/>
      <c r="CW332" s="141"/>
      <c r="CX332" s="141"/>
      <c r="CY332" s="141"/>
      <c r="CZ332" s="141"/>
      <c r="DA332" s="141"/>
      <c r="DB332" s="141"/>
      <c r="DC332" s="141"/>
      <c r="DD332" s="141"/>
      <c r="DE332" s="141"/>
      <c r="DF332" s="141"/>
      <c r="DG332" s="141"/>
      <c r="DH332" s="141"/>
      <c r="DI332" s="141"/>
      <c r="DJ332" s="141"/>
      <c r="DK332" s="141"/>
      <c r="DL332" s="141"/>
      <c r="DM332" s="141"/>
      <c r="DN332" s="141"/>
      <c r="DO332" s="141"/>
      <c r="DP332" s="141"/>
      <c r="DQ332" s="141"/>
      <c r="DR332" s="141"/>
      <c r="DS332" s="141"/>
      <c r="DT332" s="141"/>
      <c r="DU332" s="141"/>
      <c r="DV332" s="141"/>
      <c r="DW332" s="141"/>
      <c r="DX332" s="141"/>
      <c r="DY332" s="141"/>
      <c r="DZ332" s="141"/>
      <c r="EA332" s="141"/>
      <c r="EB332" s="141"/>
      <c r="EC332" s="141"/>
      <c r="ED332" s="141"/>
      <c r="EE332" s="141"/>
      <c r="EF332" s="141"/>
      <c r="EG332" s="141"/>
      <c r="EH332" s="141"/>
      <c r="EI332" s="141"/>
      <c r="EJ332" s="141"/>
      <c r="EK332" s="141"/>
      <c r="EL332" s="141"/>
      <c r="EM332" s="141"/>
      <c r="EN332" s="141"/>
      <c r="EO332" s="141"/>
      <c r="EP332" s="141"/>
      <c r="EQ332" s="141"/>
      <c r="ER332" s="141"/>
      <c r="ES332" s="141"/>
      <c r="ET332" s="141"/>
      <c r="EU332" s="141"/>
      <c r="EV332" s="141"/>
      <c r="EW332" s="141"/>
      <c r="EX332" s="141"/>
      <c r="EY332" s="141"/>
      <c r="EZ332" s="141"/>
      <c r="FA332" s="141"/>
      <c r="FB332" s="141"/>
      <c r="FC332" s="141"/>
      <c r="FD332" s="141"/>
      <c r="FE332" s="141"/>
      <c r="FF332" s="141"/>
      <c r="FG332" s="141"/>
      <c r="FH332" s="141"/>
      <c r="FI332" s="141"/>
      <c r="FJ332" s="141"/>
      <c r="FK332" s="141"/>
      <c r="FL332" s="141"/>
      <c r="FM332" s="141"/>
      <c r="FN332" s="141"/>
    </row>
    <row r="333" spans="1:170" s="178" customFormat="1" ht="10.3" x14ac:dyDescent="0.25">
      <c r="A333" s="170" t="s">
        <v>0</v>
      </c>
      <c r="B333" s="170" t="s">
        <v>856</v>
      </c>
      <c r="C333" s="170" t="s">
        <v>857</v>
      </c>
      <c r="D333" s="172">
        <v>2.3972602739726026</v>
      </c>
      <c r="E333" s="171">
        <v>29.213629999999998</v>
      </c>
      <c r="F333" s="171">
        <v>30</v>
      </c>
      <c r="G333" s="172">
        <v>5.61</v>
      </c>
      <c r="H333" s="171">
        <v>0</v>
      </c>
      <c r="I333" s="171" t="s">
        <v>935</v>
      </c>
      <c r="J333" s="317" t="s">
        <v>942</v>
      </c>
      <c r="K333" s="317" t="s">
        <v>1129</v>
      </c>
      <c r="L333" s="311"/>
      <c r="M333" s="311" t="s">
        <v>943</v>
      </c>
      <c r="N333" s="173">
        <v>80</v>
      </c>
      <c r="O333" s="173"/>
      <c r="P333" s="173">
        <v>130</v>
      </c>
      <c r="Q333" s="174">
        <v>106</v>
      </c>
      <c r="R333" s="180">
        <v>45321</v>
      </c>
      <c r="S333" s="175">
        <v>43318</v>
      </c>
      <c r="T333" s="175">
        <v>43318</v>
      </c>
      <c r="U333" s="176">
        <f ca="1">[1]!cb_clause_conversion_2_relativeswapsharemonth(B333)</f>
        <v>6</v>
      </c>
      <c r="V333" s="177"/>
      <c r="W333" s="177"/>
      <c r="X333" s="177"/>
      <c r="Y333" s="177"/>
      <c r="Z333" s="177"/>
      <c r="AA333" s="177"/>
      <c r="AB333" s="177"/>
      <c r="AV333" s="179"/>
      <c r="AW333" s="179"/>
      <c r="AX333" s="179"/>
      <c r="AY333" s="179"/>
      <c r="AZ333" s="179"/>
      <c r="BA333" s="179"/>
      <c r="BB333" s="179"/>
      <c r="BC333" s="179"/>
      <c r="BD333" s="179"/>
      <c r="BE333" s="179"/>
      <c r="BF333" s="179"/>
      <c r="BG333" s="179"/>
      <c r="BH333" s="179"/>
      <c r="BI333" s="179"/>
      <c r="BJ333" s="179"/>
      <c r="BK333" s="179"/>
      <c r="BL333" s="179"/>
      <c r="BM333" s="179"/>
      <c r="BN333" s="179"/>
      <c r="BO333" s="179"/>
      <c r="BP333" s="179"/>
      <c r="BQ333" s="179"/>
      <c r="BR333" s="179"/>
      <c r="BS333" s="179"/>
      <c r="BT333" s="179"/>
      <c r="BU333" s="179"/>
      <c r="BV333" s="179"/>
      <c r="BW333" s="179"/>
      <c r="BX333" s="179"/>
      <c r="BY333" s="179"/>
      <c r="BZ333" s="179"/>
      <c r="CA333" s="179"/>
      <c r="CB333" s="179"/>
      <c r="CC333" s="179"/>
      <c r="CD333" s="179"/>
      <c r="CE333" s="179"/>
      <c r="CF333" s="179"/>
      <c r="CG333" s="179"/>
      <c r="CH333" s="179"/>
      <c r="CI333" s="179"/>
      <c r="CJ333" s="179"/>
      <c r="CK333" s="179"/>
      <c r="CL333" s="179"/>
      <c r="CM333" s="179"/>
      <c r="CN333" s="179"/>
      <c r="CO333" s="179"/>
      <c r="CP333" s="179"/>
      <c r="CQ333" s="179"/>
      <c r="CR333" s="179"/>
      <c r="CS333" s="179"/>
      <c r="CT333" s="179"/>
      <c r="CU333" s="179"/>
      <c r="CV333" s="179"/>
      <c r="CW333" s="179"/>
      <c r="CX333" s="179"/>
      <c r="CY333" s="179"/>
      <c r="CZ333" s="179"/>
      <c r="DA333" s="179"/>
      <c r="DB333" s="179"/>
      <c r="DC333" s="179"/>
      <c r="DD333" s="179"/>
      <c r="DE333" s="179"/>
      <c r="DF333" s="179"/>
      <c r="DG333" s="179"/>
      <c r="DH333" s="179"/>
      <c r="DI333" s="179"/>
      <c r="DJ333" s="179"/>
      <c r="DK333" s="179"/>
      <c r="DL333" s="179"/>
      <c r="DM333" s="179"/>
      <c r="DN333" s="179"/>
      <c r="DO333" s="179"/>
      <c r="DP333" s="179"/>
      <c r="DQ333" s="179"/>
      <c r="DR333" s="179"/>
      <c r="DS333" s="179"/>
      <c r="DT333" s="179"/>
      <c r="DU333" s="179"/>
      <c r="DV333" s="179"/>
      <c r="DW333" s="179"/>
      <c r="DX333" s="179"/>
      <c r="DY333" s="179"/>
      <c r="DZ333" s="179"/>
      <c r="EA333" s="179"/>
      <c r="EB333" s="179"/>
      <c r="EC333" s="179"/>
      <c r="ED333" s="179"/>
      <c r="EE333" s="179"/>
      <c r="EF333" s="179"/>
      <c r="EG333" s="179"/>
      <c r="EH333" s="179"/>
      <c r="EI333" s="179"/>
      <c r="EJ333" s="179"/>
      <c r="EK333" s="179"/>
      <c r="EL333" s="179"/>
      <c r="EM333" s="179"/>
      <c r="EN333" s="179"/>
      <c r="EO333" s="179"/>
      <c r="EP333" s="179"/>
      <c r="EQ333" s="179"/>
      <c r="ER333" s="179"/>
      <c r="ES333" s="179"/>
      <c r="ET333" s="179"/>
      <c r="EU333" s="179"/>
      <c r="EV333" s="179"/>
      <c r="EW333" s="179"/>
      <c r="EX333" s="179"/>
      <c r="EY333" s="179"/>
      <c r="EZ333" s="179"/>
      <c r="FA333" s="179"/>
      <c r="FB333" s="179"/>
      <c r="FC333" s="179"/>
      <c r="FD333" s="179"/>
      <c r="FE333" s="179"/>
      <c r="FF333" s="179"/>
      <c r="FG333" s="179"/>
      <c r="FH333" s="179"/>
      <c r="FI333" s="179"/>
      <c r="FJ333" s="179"/>
      <c r="FK333" s="179"/>
      <c r="FL333" s="179"/>
      <c r="FM333" s="179"/>
      <c r="FN333" s="179"/>
    </row>
    <row r="334" spans="1:170" s="140" customFormat="1" ht="10.3" x14ac:dyDescent="0.25">
      <c r="A334" s="132" t="s">
        <v>5</v>
      </c>
      <c r="B334" s="132" t="s">
        <v>883</v>
      </c>
      <c r="C334" s="132" t="s">
        <v>884</v>
      </c>
      <c r="D334" s="134">
        <v>2.3863013698630136</v>
      </c>
      <c r="E334" s="133">
        <v>17.581268999999999</v>
      </c>
      <c r="F334" s="133">
        <v>20</v>
      </c>
      <c r="G334" s="134">
        <v>4.32</v>
      </c>
      <c r="H334" s="133">
        <v>0</v>
      </c>
      <c r="I334" s="133" t="s">
        <v>935</v>
      </c>
      <c r="J334" s="318" t="s">
        <v>936</v>
      </c>
      <c r="K334" s="318" t="s">
        <v>1067</v>
      </c>
      <c r="L334" s="312"/>
      <c r="M334" s="312" t="s">
        <v>947</v>
      </c>
      <c r="N334" s="135">
        <v>80</v>
      </c>
      <c r="O334" s="135"/>
      <c r="P334" s="135">
        <v>130</v>
      </c>
      <c r="Q334" s="136">
        <v>106</v>
      </c>
      <c r="R334" s="137">
        <v>45317</v>
      </c>
      <c r="S334" s="138">
        <v>43313</v>
      </c>
      <c r="T334" s="138">
        <v>43313</v>
      </c>
      <c r="U334" s="181">
        <f ca="1">[1]!cb_clause_conversion_2_relativeswapsharemonth(B334)</f>
        <v>6</v>
      </c>
      <c r="V334" s="139"/>
      <c r="W334" s="139"/>
      <c r="X334" s="139"/>
      <c r="Y334" s="139"/>
      <c r="Z334" s="139"/>
      <c r="AA334" s="139"/>
      <c r="AB334" s="139"/>
      <c r="AV334" s="141"/>
      <c r="AW334" s="141"/>
      <c r="AX334" s="141"/>
      <c r="AY334" s="141"/>
      <c r="AZ334" s="141"/>
      <c r="BA334" s="141"/>
      <c r="BB334" s="141"/>
      <c r="BC334" s="141"/>
      <c r="BD334" s="141"/>
      <c r="BE334" s="141"/>
      <c r="BF334" s="141"/>
      <c r="BG334" s="141"/>
      <c r="BH334" s="141"/>
      <c r="BI334" s="141"/>
      <c r="BJ334" s="141"/>
      <c r="BK334" s="141"/>
      <c r="BL334" s="141"/>
      <c r="BM334" s="141"/>
      <c r="BN334" s="141"/>
      <c r="BO334" s="141"/>
      <c r="BP334" s="141"/>
      <c r="BQ334" s="141"/>
      <c r="BR334" s="141"/>
      <c r="BS334" s="141"/>
      <c r="BT334" s="141"/>
      <c r="BU334" s="141"/>
      <c r="BV334" s="141"/>
      <c r="BW334" s="141"/>
      <c r="BX334" s="141"/>
      <c r="BY334" s="141"/>
      <c r="BZ334" s="141"/>
      <c r="CA334" s="141"/>
      <c r="CB334" s="141"/>
      <c r="CC334" s="141"/>
      <c r="CD334" s="141"/>
      <c r="CE334" s="141"/>
      <c r="CF334" s="141"/>
      <c r="CG334" s="141"/>
      <c r="CH334" s="141"/>
      <c r="CI334" s="141"/>
      <c r="CJ334" s="141"/>
      <c r="CK334" s="141"/>
      <c r="CL334" s="141"/>
      <c r="CM334" s="141"/>
      <c r="CN334" s="141"/>
      <c r="CO334" s="141"/>
      <c r="CP334" s="141"/>
      <c r="CQ334" s="141"/>
      <c r="CR334" s="141"/>
      <c r="CS334" s="141"/>
      <c r="CT334" s="141"/>
      <c r="CU334" s="141"/>
      <c r="CV334" s="141"/>
      <c r="CW334" s="141"/>
      <c r="CX334" s="141"/>
      <c r="CY334" s="141"/>
      <c r="CZ334" s="141"/>
      <c r="DA334" s="141"/>
      <c r="DB334" s="141"/>
      <c r="DC334" s="141"/>
      <c r="DD334" s="141"/>
      <c r="DE334" s="141"/>
      <c r="DF334" s="141"/>
      <c r="DG334" s="141"/>
      <c r="DH334" s="141"/>
      <c r="DI334" s="141"/>
      <c r="DJ334" s="141"/>
      <c r="DK334" s="141"/>
      <c r="DL334" s="141"/>
      <c r="DM334" s="141"/>
      <c r="DN334" s="141"/>
      <c r="DO334" s="141"/>
      <c r="DP334" s="141"/>
      <c r="DQ334" s="141"/>
      <c r="DR334" s="141"/>
      <c r="DS334" s="141"/>
      <c r="DT334" s="141"/>
      <c r="DU334" s="141"/>
      <c r="DV334" s="141"/>
      <c r="DW334" s="141"/>
      <c r="DX334" s="141"/>
      <c r="DY334" s="141"/>
      <c r="DZ334" s="141"/>
      <c r="EA334" s="141"/>
      <c r="EB334" s="141"/>
      <c r="EC334" s="141"/>
      <c r="ED334" s="141"/>
      <c r="EE334" s="141"/>
      <c r="EF334" s="141"/>
      <c r="EG334" s="141"/>
      <c r="EH334" s="141"/>
      <c r="EI334" s="141"/>
      <c r="EJ334" s="141"/>
      <c r="EK334" s="141"/>
      <c r="EL334" s="141"/>
      <c r="EM334" s="141"/>
      <c r="EN334" s="141"/>
      <c r="EO334" s="141"/>
      <c r="EP334" s="141"/>
      <c r="EQ334" s="141"/>
      <c r="ER334" s="141"/>
      <c r="ES334" s="141"/>
      <c r="ET334" s="141"/>
      <c r="EU334" s="141"/>
      <c r="EV334" s="141"/>
      <c r="EW334" s="141"/>
      <c r="EX334" s="141"/>
      <c r="EY334" s="141"/>
      <c r="EZ334" s="141"/>
      <c r="FA334" s="141"/>
      <c r="FB334" s="141"/>
      <c r="FC334" s="141"/>
      <c r="FD334" s="141"/>
      <c r="FE334" s="141"/>
      <c r="FF334" s="141"/>
      <c r="FG334" s="141"/>
      <c r="FH334" s="141"/>
      <c r="FI334" s="141"/>
      <c r="FJ334" s="141"/>
      <c r="FK334" s="141"/>
      <c r="FL334" s="141"/>
      <c r="FM334" s="141"/>
      <c r="FN334" s="141"/>
    </row>
    <row r="335" spans="1:170" s="178" customFormat="1" ht="10.3" x14ac:dyDescent="0.25">
      <c r="A335" s="170" t="s">
        <v>5</v>
      </c>
      <c r="B335" s="170" t="s">
        <v>451</v>
      </c>
      <c r="C335" s="170" t="s">
        <v>452</v>
      </c>
      <c r="D335" s="172">
        <v>2.3068493150684932</v>
      </c>
      <c r="E335" s="171">
        <v>0</v>
      </c>
      <c r="F335" s="171">
        <v>4.8</v>
      </c>
      <c r="G335" s="172">
        <v>14.5</v>
      </c>
      <c r="H335" s="171">
        <v>0</v>
      </c>
      <c r="I335" s="171" t="s">
        <v>973</v>
      </c>
      <c r="J335" s="317" t="s">
        <v>942</v>
      </c>
      <c r="K335" s="317" t="s">
        <v>1038</v>
      </c>
      <c r="L335" s="311"/>
      <c r="M335" s="311" t="s">
        <v>1039</v>
      </c>
      <c r="N335" s="173">
        <v>85</v>
      </c>
      <c r="O335" s="173">
        <v>70</v>
      </c>
      <c r="P335" s="173">
        <v>130</v>
      </c>
      <c r="Q335" s="174">
        <v>107</v>
      </c>
      <c r="R335" s="180">
        <v>45288</v>
      </c>
      <c r="S335" s="175">
        <v>43285</v>
      </c>
      <c r="T335" s="175">
        <v>43285</v>
      </c>
      <c r="U335" s="176">
        <f ca="1">[1]!cb_clause_conversion_2_relativeswapsharemonth(B335)</f>
        <v>6</v>
      </c>
      <c r="V335" s="177"/>
      <c r="W335" s="177"/>
      <c r="X335" s="177"/>
      <c r="Y335" s="177"/>
      <c r="Z335" s="177"/>
      <c r="AA335" s="177"/>
      <c r="AB335" s="177"/>
      <c r="AV335" s="179"/>
      <c r="AW335" s="179"/>
      <c r="AX335" s="179"/>
      <c r="AY335" s="179"/>
      <c r="AZ335" s="179"/>
      <c r="BA335" s="179"/>
      <c r="BB335" s="179"/>
      <c r="BC335" s="179"/>
      <c r="BD335" s="179"/>
      <c r="BE335" s="179"/>
      <c r="BF335" s="179"/>
      <c r="BG335" s="179"/>
      <c r="BH335" s="179"/>
      <c r="BI335" s="179"/>
      <c r="BJ335" s="179"/>
      <c r="BK335" s="179"/>
      <c r="BL335" s="179"/>
      <c r="BM335" s="179"/>
      <c r="BN335" s="179"/>
      <c r="BO335" s="179"/>
      <c r="BP335" s="179"/>
      <c r="BQ335" s="179"/>
      <c r="BR335" s="179"/>
      <c r="BS335" s="179"/>
      <c r="BT335" s="179"/>
      <c r="BU335" s="179"/>
      <c r="BV335" s="179"/>
      <c r="BW335" s="179"/>
      <c r="BX335" s="179"/>
      <c r="BY335" s="179"/>
      <c r="BZ335" s="179"/>
      <c r="CA335" s="179"/>
      <c r="CB335" s="179"/>
      <c r="CC335" s="179"/>
      <c r="CD335" s="179"/>
      <c r="CE335" s="179"/>
      <c r="CF335" s="179"/>
      <c r="CG335" s="179"/>
      <c r="CH335" s="179"/>
      <c r="CI335" s="179"/>
      <c r="CJ335" s="179"/>
      <c r="CK335" s="179"/>
      <c r="CL335" s="179"/>
      <c r="CM335" s="179"/>
      <c r="CN335" s="179"/>
      <c r="CO335" s="179"/>
      <c r="CP335" s="179"/>
      <c r="CQ335" s="179"/>
      <c r="CR335" s="179"/>
      <c r="CS335" s="179"/>
      <c r="CT335" s="179"/>
      <c r="CU335" s="179"/>
      <c r="CV335" s="179"/>
      <c r="CW335" s="179"/>
      <c r="CX335" s="179"/>
      <c r="CY335" s="179"/>
      <c r="CZ335" s="179"/>
      <c r="DA335" s="179"/>
      <c r="DB335" s="179"/>
      <c r="DC335" s="179"/>
      <c r="DD335" s="179"/>
      <c r="DE335" s="179"/>
      <c r="DF335" s="179"/>
      <c r="DG335" s="179"/>
      <c r="DH335" s="179"/>
      <c r="DI335" s="179"/>
      <c r="DJ335" s="179"/>
      <c r="DK335" s="179"/>
      <c r="DL335" s="179"/>
      <c r="DM335" s="179"/>
      <c r="DN335" s="179"/>
      <c r="DO335" s="179"/>
      <c r="DP335" s="179"/>
      <c r="DQ335" s="179"/>
      <c r="DR335" s="179"/>
      <c r="DS335" s="179"/>
      <c r="DT335" s="179"/>
      <c r="DU335" s="179"/>
      <c r="DV335" s="179"/>
      <c r="DW335" s="179"/>
      <c r="DX335" s="179"/>
      <c r="DY335" s="179"/>
      <c r="DZ335" s="179"/>
      <c r="EA335" s="179"/>
      <c r="EB335" s="179"/>
      <c r="EC335" s="179"/>
      <c r="ED335" s="179"/>
      <c r="EE335" s="179"/>
      <c r="EF335" s="179"/>
      <c r="EG335" s="179"/>
      <c r="EH335" s="179"/>
      <c r="EI335" s="179"/>
      <c r="EJ335" s="179"/>
      <c r="EK335" s="179"/>
      <c r="EL335" s="179"/>
      <c r="EM335" s="179"/>
      <c r="EN335" s="179"/>
      <c r="EO335" s="179"/>
      <c r="EP335" s="179"/>
      <c r="EQ335" s="179"/>
      <c r="ER335" s="179"/>
      <c r="ES335" s="179"/>
      <c r="ET335" s="179"/>
      <c r="EU335" s="179"/>
      <c r="EV335" s="179"/>
      <c r="EW335" s="179"/>
      <c r="EX335" s="179"/>
      <c r="EY335" s="179"/>
      <c r="EZ335" s="179"/>
      <c r="FA335" s="179"/>
      <c r="FB335" s="179"/>
      <c r="FC335" s="179"/>
      <c r="FD335" s="179"/>
      <c r="FE335" s="179"/>
      <c r="FF335" s="179"/>
      <c r="FG335" s="179"/>
      <c r="FH335" s="179"/>
      <c r="FI335" s="179"/>
      <c r="FJ335" s="179"/>
      <c r="FK335" s="179"/>
      <c r="FL335" s="179"/>
      <c r="FM335" s="179"/>
      <c r="FN335" s="179"/>
    </row>
    <row r="336" spans="1:170" s="140" customFormat="1" ht="10.3" x14ac:dyDescent="0.25">
      <c r="A336" s="132" t="s">
        <v>5</v>
      </c>
      <c r="B336" s="132" t="s">
        <v>455</v>
      </c>
      <c r="C336" s="132" t="s">
        <v>456</v>
      </c>
      <c r="D336" s="134">
        <v>2.3041095890410959</v>
      </c>
      <c r="E336" s="133">
        <v>2.9792040000000002</v>
      </c>
      <c r="F336" s="133">
        <v>5.2</v>
      </c>
      <c r="G336" s="134">
        <v>8.7100000000000009</v>
      </c>
      <c r="H336" s="133">
        <v>0</v>
      </c>
      <c r="I336" s="133" t="s">
        <v>957</v>
      </c>
      <c r="J336" s="318" t="s">
        <v>974</v>
      </c>
      <c r="K336" s="318" t="s">
        <v>1127</v>
      </c>
      <c r="L336" s="312"/>
      <c r="M336" s="312" t="s">
        <v>1046</v>
      </c>
      <c r="N336" s="135">
        <v>85</v>
      </c>
      <c r="O336" s="135">
        <v>70</v>
      </c>
      <c r="P336" s="135">
        <v>130</v>
      </c>
      <c r="Q336" s="136">
        <v>106</v>
      </c>
      <c r="R336" s="137">
        <v>45287</v>
      </c>
      <c r="S336" s="138">
        <v>43284</v>
      </c>
      <c r="T336" s="138">
        <v>43284</v>
      </c>
      <c r="U336" s="181">
        <f ca="1">[1]!cb_clause_conversion_2_relativeswapsharemonth(B336)</f>
        <v>6</v>
      </c>
      <c r="V336" s="139"/>
      <c r="W336" s="139"/>
      <c r="X336" s="139"/>
      <c r="Y336" s="139"/>
      <c r="Z336" s="139"/>
      <c r="AA336" s="139"/>
      <c r="AB336" s="139"/>
      <c r="AV336" s="141"/>
      <c r="AW336" s="141"/>
      <c r="AX336" s="141"/>
      <c r="AY336" s="141"/>
      <c r="AZ336" s="141"/>
      <c r="BA336" s="141"/>
      <c r="BB336" s="141"/>
      <c r="BC336" s="141"/>
      <c r="BD336" s="141"/>
      <c r="BE336" s="141"/>
      <c r="BF336" s="141"/>
      <c r="BG336" s="141"/>
      <c r="BH336" s="141"/>
      <c r="BI336" s="141"/>
      <c r="BJ336" s="141"/>
      <c r="BK336" s="141"/>
      <c r="BL336" s="141"/>
      <c r="BM336" s="141"/>
      <c r="BN336" s="141"/>
      <c r="BO336" s="141"/>
      <c r="BP336" s="141"/>
      <c r="BQ336" s="141"/>
      <c r="BR336" s="141"/>
      <c r="BS336" s="141"/>
      <c r="BT336" s="141"/>
      <c r="BU336" s="141"/>
      <c r="BV336" s="141"/>
      <c r="BW336" s="141"/>
      <c r="BX336" s="141"/>
      <c r="BY336" s="141"/>
      <c r="BZ336" s="141"/>
      <c r="CA336" s="141"/>
      <c r="CB336" s="141"/>
      <c r="CC336" s="141"/>
      <c r="CD336" s="141"/>
      <c r="CE336" s="141"/>
      <c r="CF336" s="141"/>
      <c r="CG336" s="141"/>
      <c r="CH336" s="141"/>
      <c r="CI336" s="141"/>
      <c r="CJ336" s="141"/>
      <c r="CK336" s="141"/>
      <c r="CL336" s="141"/>
      <c r="CM336" s="141"/>
      <c r="CN336" s="141"/>
      <c r="CO336" s="141"/>
      <c r="CP336" s="141"/>
      <c r="CQ336" s="141"/>
      <c r="CR336" s="141"/>
      <c r="CS336" s="141"/>
      <c r="CT336" s="141"/>
      <c r="CU336" s="141"/>
      <c r="CV336" s="141"/>
      <c r="CW336" s="141"/>
      <c r="CX336" s="141"/>
      <c r="CY336" s="141"/>
      <c r="CZ336" s="141"/>
      <c r="DA336" s="141"/>
      <c r="DB336" s="141"/>
      <c r="DC336" s="141"/>
      <c r="DD336" s="141"/>
      <c r="DE336" s="141"/>
      <c r="DF336" s="141"/>
      <c r="DG336" s="141"/>
      <c r="DH336" s="141"/>
      <c r="DI336" s="141"/>
      <c r="DJ336" s="141"/>
      <c r="DK336" s="141"/>
      <c r="DL336" s="141"/>
      <c r="DM336" s="141"/>
      <c r="DN336" s="141"/>
      <c r="DO336" s="141"/>
      <c r="DP336" s="141"/>
      <c r="DQ336" s="141"/>
      <c r="DR336" s="141"/>
      <c r="DS336" s="141"/>
      <c r="DT336" s="141"/>
      <c r="DU336" s="141"/>
      <c r="DV336" s="141"/>
      <c r="DW336" s="141"/>
      <c r="DX336" s="141"/>
      <c r="DY336" s="141"/>
      <c r="DZ336" s="141"/>
      <c r="EA336" s="141"/>
      <c r="EB336" s="141"/>
      <c r="EC336" s="141"/>
      <c r="ED336" s="141"/>
      <c r="EE336" s="141"/>
      <c r="EF336" s="141"/>
      <c r="EG336" s="141"/>
      <c r="EH336" s="141"/>
      <c r="EI336" s="141"/>
      <c r="EJ336" s="141"/>
      <c r="EK336" s="141"/>
      <c r="EL336" s="141"/>
      <c r="EM336" s="141"/>
      <c r="EN336" s="141"/>
      <c r="EO336" s="141"/>
      <c r="EP336" s="141"/>
      <c r="EQ336" s="141"/>
      <c r="ER336" s="141"/>
      <c r="ES336" s="141"/>
      <c r="ET336" s="141"/>
      <c r="EU336" s="141"/>
      <c r="EV336" s="141"/>
      <c r="EW336" s="141"/>
      <c r="EX336" s="141"/>
      <c r="EY336" s="141"/>
      <c r="EZ336" s="141"/>
      <c r="FA336" s="141"/>
      <c r="FB336" s="141"/>
      <c r="FC336" s="141"/>
      <c r="FD336" s="141"/>
      <c r="FE336" s="141"/>
      <c r="FF336" s="141"/>
      <c r="FG336" s="141"/>
      <c r="FH336" s="141"/>
      <c r="FI336" s="141"/>
      <c r="FJ336" s="141"/>
      <c r="FK336" s="141"/>
      <c r="FL336" s="141"/>
      <c r="FM336" s="141"/>
      <c r="FN336" s="141"/>
    </row>
    <row r="337" spans="1:170" s="178" customFormat="1" ht="10.3" x14ac:dyDescent="0.25">
      <c r="A337" s="170" t="s">
        <v>0</v>
      </c>
      <c r="B337" s="170" t="s">
        <v>453</v>
      </c>
      <c r="C337" s="170" t="s">
        <v>454</v>
      </c>
      <c r="D337" s="172">
        <v>2.3041095890410959</v>
      </c>
      <c r="E337" s="171">
        <v>15.59033</v>
      </c>
      <c r="F337" s="171">
        <v>15.6</v>
      </c>
      <c r="G337" s="172">
        <v>2.95</v>
      </c>
      <c r="H337" s="171">
        <v>0</v>
      </c>
      <c r="I337" s="171" t="s">
        <v>952</v>
      </c>
      <c r="J337" s="317" t="s">
        <v>955</v>
      </c>
      <c r="K337" s="317" t="s">
        <v>1424</v>
      </c>
      <c r="L337" s="311"/>
      <c r="M337" s="311" t="s">
        <v>1254</v>
      </c>
      <c r="N337" s="173">
        <v>90</v>
      </c>
      <c r="O337" s="173">
        <v>70</v>
      </c>
      <c r="P337" s="173">
        <v>130</v>
      </c>
      <c r="Q337" s="174">
        <v>106</v>
      </c>
      <c r="R337" s="180">
        <v>45287</v>
      </c>
      <c r="S337" s="175">
        <v>43283</v>
      </c>
      <c r="T337" s="175">
        <v>43283</v>
      </c>
      <c r="U337" s="176">
        <f ca="1">[1]!cb_clause_conversion_2_relativeswapsharemonth(B337)</f>
        <v>6</v>
      </c>
      <c r="V337" s="177"/>
      <c r="W337" s="177"/>
      <c r="X337" s="177"/>
      <c r="Y337" s="177"/>
      <c r="Z337" s="177"/>
      <c r="AA337" s="177"/>
      <c r="AB337" s="177"/>
      <c r="AV337" s="179"/>
      <c r="AW337" s="179"/>
      <c r="AX337" s="179"/>
      <c r="AY337" s="179"/>
      <c r="AZ337" s="179"/>
      <c r="BA337" s="179"/>
      <c r="BB337" s="179"/>
      <c r="BC337" s="179"/>
      <c r="BD337" s="179"/>
      <c r="BE337" s="179"/>
      <c r="BF337" s="179"/>
      <c r="BG337" s="179"/>
      <c r="BH337" s="179"/>
      <c r="BI337" s="179"/>
      <c r="BJ337" s="179"/>
      <c r="BK337" s="179"/>
      <c r="BL337" s="179"/>
      <c r="BM337" s="179"/>
      <c r="BN337" s="179"/>
      <c r="BO337" s="179"/>
      <c r="BP337" s="179"/>
      <c r="BQ337" s="179"/>
      <c r="BR337" s="179"/>
      <c r="BS337" s="179"/>
      <c r="BT337" s="179"/>
      <c r="BU337" s="179"/>
      <c r="BV337" s="179"/>
      <c r="BW337" s="179"/>
      <c r="BX337" s="179"/>
      <c r="BY337" s="179"/>
      <c r="BZ337" s="179"/>
      <c r="CA337" s="179"/>
      <c r="CB337" s="179"/>
      <c r="CC337" s="179"/>
      <c r="CD337" s="179"/>
      <c r="CE337" s="179"/>
      <c r="CF337" s="179"/>
      <c r="CG337" s="179"/>
      <c r="CH337" s="179"/>
      <c r="CI337" s="179"/>
      <c r="CJ337" s="179"/>
      <c r="CK337" s="179"/>
      <c r="CL337" s="179"/>
      <c r="CM337" s="179"/>
      <c r="CN337" s="179"/>
      <c r="CO337" s="179"/>
      <c r="CP337" s="179"/>
      <c r="CQ337" s="179"/>
      <c r="CR337" s="179"/>
      <c r="CS337" s="179"/>
      <c r="CT337" s="179"/>
      <c r="CU337" s="179"/>
      <c r="CV337" s="179"/>
      <c r="CW337" s="179"/>
      <c r="CX337" s="179"/>
      <c r="CY337" s="179"/>
      <c r="CZ337" s="179"/>
      <c r="DA337" s="179"/>
      <c r="DB337" s="179"/>
      <c r="DC337" s="179"/>
      <c r="DD337" s="179"/>
      <c r="DE337" s="179"/>
      <c r="DF337" s="179"/>
      <c r="DG337" s="179"/>
      <c r="DH337" s="179"/>
      <c r="DI337" s="179"/>
      <c r="DJ337" s="179"/>
      <c r="DK337" s="179"/>
      <c r="DL337" s="179"/>
      <c r="DM337" s="179"/>
      <c r="DN337" s="179"/>
      <c r="DO337" s="179"/>
      <c r="DP337" s="179"/>
      <c r="DQ337" s="179"/>
      <c r="DR337" s="179"/>
      <c r="DS337" s="179"/>
      <c r="DT337" s="179"/>
      <c r="DU337" s="179"/>
      <c r="DV337" s="179"/>
      <c r="DW337" s="179"/>
      <c r="DX337" s="179"/>
      <c r="DY337" s="179"/>
      <c r="DZ337" s="179"/>
      <c r="EA337" s="179"/>
      <c r="EB337" s="179"/>
      <c r="EC337" s="179"/>
      <c r="ED337" s="179"/>
      <c r="EE337" s="179"/>
      <c r="EF337" s="179"/>
      <c r="EG337" s="179"/>
      <c r="EH337" s="179"/>
      <c r="EI337" s="179"/>
      <c r="EJ337" s="179"/>
      <c r="EK337" s="179"/>
      <c r="EL337" s="179"/>
      <c r="EM337" s="179"/>
      <c r="EN337" s="179"/>
      <c r="EO337" s="179"/>
      <c r="EP337" s="179"/>
      <c r="EQ337" s="179"/>
      <c r="ER337" s="179"/>
      <c r="ES337" s="179"/>
      <c r="ET337" s="179"/>
      <c r="EU337" s="179"/>
      <c r="EV337" s="179"/>
      <c r="EW337" s="179"/>
      <c r="EX337" s="179"/>
      <c r="EY337" s="179"/>
      <c r="EZ337" s="179"/>
      <c r="FA337" s="179"/>
      <c r="FB337" s="179"/>
      <c r="FC337" s="179"/>
      <c r="FD337" s="179"/>
      <c r="FE337" s="179"/>
      <c r="FF337" s="179"/>
      <c r="FG337" s="179"/>
      <c r="FH337" s="179"/>
      <c r="FI337" s="179"/>
      <c r="FJ337" s="179"/>
      <c r="FK337" s="179"/>
      <c r="FL337" s="179"/>
      <c r="FM337" s="179"/>
      <c r="FN337" s="179"/>
    </row>
    <row r="338" spans="1:170" s="140" customFormat="1" ht="10.3" x14ac:dyDescent="0.25">
      <c r="A338" s="132" t="s">
        <v>5</v>
      </c>
      <c r="B338" s="132" t="s">
        <v>457</v>
      </c>
      <c r="C338" s="132" t="s">
        <v>458</v>
      </c>
      <c r="D338" s="134">
        <v>2.2986301369863016</v>
      </c>
      <c r="E338" s="133">
        <v>0</v>
      </c>
      <c r="F338" s="133">
        <v>10</v>
      </c>
      <c r="G338" s="134">
        <v>9.8699999999999992</v>
      </c>
      <c r="H338" s="133">
        <v>0</v>
      </c>
      <c r="I338" s="133" t="s">
        <v>957</v>
      </c>
      <c r="J338" s="318" t="s">
        <v>942</v>
      </c>
      <c r="K338" s="318" t="s">
        <v>1356</v>
      </c>
      <c r="L338" s="312"/>
      <c r="M338" s="312" t="s">
        <v>972</v>
      </c>
      <c r="N338" s="135">
        <v>90</v>
      </c>
      <c r="O338" s="135">
        <v>70</v>
      </c>
      <c r="P338" s="135">
        <v>130</v>
      </c>
      <c r="Q338" s="136">
        <v>106</v>
      </c>
      <c r="R338" s="137">
        <v>45285</v>
      </c>
      <c r="S338" s="138">
        <v>43280</v>
      </c>
      <c r="T338" s="138">
        <v>43280</v>
      </c>
      <c r="U338" s="181">
        <f ca="1">[1]!cb_clause_conversion_2_relativeswapsharemonth(B338)</f>
        <v>6</v>
      </c>
      <c r="V338" s="139"/>
      <c r="W338" s="139"/>
      <c r="X338" s="139"/>
      <c r="Y338" s="139"/>
      <c r="Z338" s="139"/>
      <c r="AA338" s="139"/>
      <c r="AB338" s="139"/>
      <c r="AV338" s="141"/>
      <c r="AW338" s="141"/>
      <c r="AX338" s="141"/>
      <c r="AY338" s="141"/>
      <c r="AZ338" s="141"/>
      <c r="BA338" s="141"/>
      <c r="BB338" s="141"/>
      <c r="BC338" s="141"/>
      <c r="BD338" s="141"/>
      <c r="BE338" s="141"/>
      <c r="BF338" s="141"/>
      <c r="BG338" s="141"/>
      <c r="BH338" s="141"/>
      <c r="BI338" s="141"/>
      <c r="BJ338" s="141"/>
      <c r="BK338" s="141"/>
      <c r="BL338" s="141"/>
      <c r="BM338" s="141"/>
      <c r="BN338" s="141"/>
      <c r="BO338" s="141"/>
      <c r="BP338" s="141"/>
      <c r="BQ338" s="141"/>
      <c r="BR338" s="141"/>
      <c r="BS338" s="141"/>
      <c r="BT338" s="141"/>
      <c r="BU338" s="141"/>
      <c r="BV338" s="141"/>
      <c r="BW338" s="141"/>
      <c r="BX338" s="141"/>
      <c r="BY338" s="141"/>
      <c r="BZ338" s="141"/>
      <c r="CA338" s="141"/>
      <c r="CB338" s="141"/>
      <c r="CC338" s="141"/>
      <c r="CD338" s="141"/>
      <c r="CE338" s="141"/>
      <c r="CF338" s="141"/>
      <c r="CG338" s="141"/>
      <c r="CH338" s="141"/>
      <c r="CI338" s="141"/>
      <c r="CJ338" s="141"/>
      <c r="CK338" s="141"/>
      <c r="CL338" s="141"/>
      <c r="CM338" s="141"/>
      <c r="CN338" s="141"/>
      <c r="CO338" s="141"/>
      <c r="CP338" s="141"/>
      <c r="CQ338" s="141"/>
      <c r="CR338" s="141"/>
      <c r="CS338" s="141"/>
      <c r="CT338" s="141"/>
      <c r="CU338" s="141"/>
      <c r="CV338" s="141"/>
      <c r="CW338" s="141"/>
      <c r="CX338" s="141"/>
      <c r="CY338" s="141"/>
      <c r="CZ338" s="141"/>
      <c r="DA338" s="141"/>
      <c r="DB338" s="141"/>
      <c r="DC338" s="141"/>
      <c r="DD338" s="141"/>
      <c r="DE338" s="141"/>
      <c r="DF338" s="141"/>
      <c r="DG338" s="141"/>
      <c r="DH338" s="141"/>
      <c r="DI338" s="141"/>
      <c r="DJ338" s="141"/>
      <c r="DK338" s="141"/>
      <c r="DL338" s="141"/>
      <c r="DM338" s="141"/>
      <c r="DN338" s="141"/>
      <c r="DO338" s="141"/>
      <c r="DP338" s="141"/>
      <c r="DQ338" s="141"/>
      <c r="DR338" s="141"/>
      <c r="DS338" s="141"/>
      <c r="DT338" s="141"/>
      <c r="DU338" s="141"/>
      <c r="DV338" s="141"/>
      <c r="DW338" s="141"/>
      <c r="DX338" s="141"/>
      <c r="DY338" s="141"/>
      <c r="DZ338" s="141"/>
      <c r="EA338" s="141"/>
      <c r="EB338" s="141"/>
      <c r="EC338" s="141"/>
      <c r="ED338" s="141"/>
      <c r="EE338" s="141"/>
      <c r="EF338" s="141"/>
      <c r="EG338" s="141"/>
      <c r="EH338" s="141"/>
      <c r="EI338" s="141"/>
      <c r="EJ338" s="141"/>
      <c r="EK338" s="141"/>
      <c r="EL338" s="141"/>
      <c r="EM338" s="141"/>
      <c r="EN338" s="141"/>
      <c r="EO338" s="141"/>
      <c r="EP338" s="141"/>
      <c r="EQ338" s="141"/>
      <c r="ER338" s="141"/>
      <c r="ES338" s="141"/>
      <c r="ET338" s="141"/>
      <c r="EU338" s="141"/>
      <c r="EV338" s="141"/>
      <c r="EW338" s="141"/>
      <c r="EX338" s="141"/>
      <c r="EY338" s="141"/>
      <c r="EZ338" s="141"/>
      <c r="FA338" s="141"/>
      <c r="FB338" s="141"/>
      <c r="FC338" s="141"/>
      <c r="FD338" s="141"/>
      <c r="FE338" s="141"/>
      <c r="FF338" s="141"/>
      <c r="FG338" s="141"/>
      <c r="FH338" s="141"/>
      <c r="FI338" s="141"/>
      <c r="FJ338" s="141"/>
      <c r="FK338" s="141"/>
      <c r="FL338" s="141"/>
      <c r="FM338" s="141"/>
      <c r="FN338" s="141"/>
    </row>
    <row r="339" spans="1:170" s="178" customFormat="1" ht="10.3" x14ac:dyDescent="0.25">
      <c r="A339" s="170" t="s">
        <v>5</v>
      </c>
      <c r="B339" s="170" t="s">
        <v>459</v>
      </c>
      <c r="C339" s="170" t="s">
        <v>460</v>
      </c>
      <c r="D339" s="172">
        <v>2.2958904109589042</v>
      </c>
      <c r="E339" s="171">
        <v>6.2</v>
      </c>
      <c r="F339" s="171">
        <v>6.2</v>
      </c>
      <c r="G339" s="172">
        <v>8.91</v>
      </c>
      <c r="H339" s="171">
        <v>0</v>
      </c>
      <c r="I339" s="171" t="s">
        <v>952</v>
      </c>
      <c r="J339" s="317" t="s">
        <v>958</v>
      </c>
      <c r="K339" s="317" t="s">
        <v>1399</v>
      </c>
      <c r="L339" s="314"/>
      <c r="M339" s="314" t="s">
        <v>978</v>
      </c>
      <c r="N339" s="173">
        <v>85</v>
      </c>
      <c r="O339" s="173">
        <v>70</v>
      </c>
      <c r="P339" s="173">
        <v>130</v>
      </c>
      <c r="Q339" s="174">
        <v>119.8</v>
      </c>
      <c r="R339" s="180">
        <v>45284</v>
      </c>
      <c r="S339" s="175">
        <v>43825</v>
      </c>
      <c r="T339" s="175">
        <v>43825</v>
      </c>
      <c r="U339" s="176">
        <f ca="1">[1]!cb_clause_conversion_2_relativeswapsharemonth(B339)</f>
        <v>12</v>
      </c>
      <c r="V339" s="177"/>
      <c r="W339" s="177"/>
      <c r="X339" s="177"/>
      <c r="Y339" s="177"/>
      <c r="Z339" s="177"/>
      <c r="AA339" s="177"/>
      <c r="AB339" s="177"/>
      <c r="AV339" s="179"/>
      <c r="AW339" s="179"/>
      <c r="AX339" s="179"/>
      <c r="AY339" s="179"/>
      <c r="AZ339" s="179"/>
      <c r="BA339" s="179"/>
      <c r="BB339" s="179"/>
      <c r="BC339" s="179"/>
      <c r="BD339" s="179"/>
      <c r="BE339" s="179"/>
      <c r="BF339" s="179"/>
      <c r="BG339" s="179"/>
      <c r="BH339" s="179"/>
      <c r="BI339" s="179"/>
      <c r="BJ339" s="179"/>
      <c r="BK339" s="179"/>
      <c r="BL339" s="179"/>
      <c r="BM339" s="179"/>
      <c r="BN339" s="179"/>
      <c r="BO339" s="179"/>
      <c r="BP339" s="179"/>
      <c r="BQ339" s="179"/>
      <c r="BR339" s="179"/>
      <c r="BS339" s="179"/>
      <c r="BT339" s="179"/>
      <c r="BU339" s="179"/>
      <c r="BV339" s="179"/>
      <c r="BW339" s="179"/>
      <c r="BX339" s="179"/>
      <c r="BY339" s="179"/>
      <c r="BZ339" s="179"/>
      <c r="CA339" s="179"/>
      <c r="CB339" s="179"/>
      <c r="CC339" s="179"/>
      <c r="CD339" s="179"/>
      <c r="CE339" s="179"/>
      <c r="CF339" s="179"/>
      <c r="CG339" s="179"/>
      <c r="CH339" s="179"/>
      <c r="CI339" s="179"/>
      <c r="CJ339" s="179"/>
      <c r="CK339" s="179"/>
      <c r="CL339" s="179"/>
      <c r="CM339" s="179"/>
      <c r="CN339" s="179"/>
      <c r="CO339" s="179"/>
      <c r="CP339" s="179"/>
      <c r="CQ339" s="179"/>
      <c r="CR339" s="179"/>
      <c r="CS339" s="179"/>
      <c r="CT339" s="179"/>
      <c r="CU339" s="179"/>
      <c r="CV339" s="179"/>
      <c r="CW339" s="179"/>
      <c r="CX339" s="179"/>
      <c r="CY339" s="179"/>
      <c r="CZ339" s="179"/>
      <c r="DA339" s="179"/>
      <c r="DB339" s="179"/>
      <c r="DC339" s="179"/>
      <c r="DD339" s="179"/>
      <c r="DE339" s="179"/>
      <c r="DF339" s="179"/>
      <c r="DG339" s="179"/>
      <c r="DH339" s="179"/>
      <c r="DI339" s="179"/>
      <c r="DJ339" s="179"/>
      <c r="DK339" s="179"/>
      <c r="DL339" s="179"/>
      <c r="DM339" s="179"/>
      <c r="DN339" s="179"/>
      <c r="DO339" s="179"/>
      <c r="DP339" s="179"/>
      <c r="DQ339" s="179"/>
      <c r="DR339" s="179"/>
      <c r="DS339" s="179"/>
      <c r="DT339" s="179"/>
      <c r="DU339" s="179"/>
      <c r="DV339" s="179"/>
      <c r="DW339" s="179"/>
      <c r="DX339" s="179"/>
      <c r="DY339" s="179"/>
      <c r="DZ339" s="179"/>
      <c r="EA339" s="179"/>
      <c r="EB339" s="179"/>
      <c r="EC339" s="179"/>
      <c r="ED339" s="179"/>
      <c r="EE339" s="179"/>
      <c r="EF339" s="179"/>
      <c r="EG339" s="179"/>
      <c r="EH339" s="179"/>
      <c r="EI339" s="179"/>
      <c r="EJ339" s="179"/>
      <c r="EK339" s="179"/>
      <c r="EL339" s="179"/>
      <c r="EM339" s="179"/>
      <c r="EN339" s="179"/>
      <c r="EO339" s="179"/>
      <c r="EP339" s="179"/>
      <c r="EQ339" s="179"/>
      <c r="ER339" s="179"/>
      <c r="ES339" s="179"/>
      <c r="ET339" s="179"/>
      <c r="EU339" s="179"/>
      <c r="EV339" s="179"/>
      <c r="EW339" s="179"/>
      <c r="EX339" s="179"/>
      <c r="EY339" s="179"/>
      <c r="EZ339" s="179"/>
      <c r="FA339" s="179"/>
      <c r="FB339" s="179"/>
      <c r="FC339" s="179"/>
      <c r="FD339" s="179"/>
      <c r="FE339" s="179"/>
      <c r="FF339" s="179"/>
      <c r="FG339" s="179"/>
      <c r="FH339" s="179"/>
      <c r="FI339" s="179"/>
      <c r="FJ339" s="179"/>
      <c r="FK339" s="179"/>
      <c r="FL339" s="179"/>
      <c r="FM339" s="179"/>
      <c r="FN339" s="179"/>
    </row>
    <row r="340" spans="1:170" s="140" customFormat="1" ht="10.3" x14ac:dyDescent="0.25">
      <c r="A340" s="132" t="s">
        <v>0</v>
      </c>
      <c r="B340" s="132" t="s">
        <v>461</v>
      </c>
      <c r="C340" s="132" t="s">
        <v>462</v>
      </c>
      <c r="D340" s="134">
        <v>2.2904109589041095</v>
      </c>
      <c r="E340" s="133">
        <v>18.728580000000001</v>
      </c>
      <c r="F340" s="133">
        <v>18.8</v>
      </c>
      <c r="G340" s="134">
        <v>2.56</v>
      </c>
      <c r="H340" s="133">
        <v>69</v>
      </c>
      <c r="I340" s="133" t="s">
        <v>941</v>
      </c>
      <c r="J340" s="318" t="s">
        <v>936</v>
      </c>
      <c r="K340" s="318" t="s">
        <v>1404</v>
      </c>
      <c r="L340" s="312"/>
      <c r="M340" s="312" t="s">
        <v>1405</v>
      </c>
      <c r="N340" s="135">
        <v>90</v>
      </c>
      <c r="O340" s="135">
        <v>70</v>
      </c>
      <c r="P340" s="135">
        <v>130</v>
      </c>
      <c r="Q340" s="136">
        <v>106</v>
      </c>
      <c r="R340" s="137">
        <v>45282</v>
      </c>
      <c r="S340" s="138">
        <v>43279</v>
      </c>
      <c r="T340" s="138">
        <v>43279</v>
      </c>
      <c r="U340" s="181">
        <f ca="1">[1]!cb_clause_conversion_2_relativeswapsharemonth(B340)</f>
        <v>6</v>
      </c>
      <c r="V340" s="139"/>
      <c r="W340" s="139"/>
      <c r="X340" s="139"/>
      <c r="Y340" s="139"/>
      <c r="Z340" s="139"/>
      <c r="AA340" s="139"/>
      <c r="AB340" s="139"/>
      <c r="AV340" s="141"/>
      <c r="AW340" s="141"/>
      <c r="AX340" s="141"/>
      <c r="AY340" s="141"/>
      <c r="AZ340" s="141"/>
      <c r="BA340" s="141"/>
      <c r="BB340" s="141"/>
      <c r="BC340" s="141"/>
      <c r="BD340" s="141"/>
      <c r="BE340" s="141"/>
      <c r="BF340" s="141"/>
      <c r="BG340" s="141"/>
      <c r="BH340" s="141"/>
      <c r="BI340" s="141"/>
      <c r="BJ340" s="141"/>
      <c r="BK340" s="141"/>
      <c r="BL340" s="141"/>
      <c r="BM340" s="141"/>
      <c r="BN340" s="141"/>
      <c r="BO340" s="141"/>
      <c r="BP340" s="141"/>
      <c r="BQ340" s="141"/>
      <c r="BR340" s="141"/>
      <c r="BS340" s="141"/>
      <c r="BT340" s="141"/>
      <c r="BU340" s="141"/>
      <c r="BV340" s="141"/>
      <c r="BW340" s="141"/>
      <c r="BX340" s="141"/>
      <c r="BY340" s="141"/>
      <c r="BZ340" s="141"/>
      <c r="CA340" s="141"/>
      <c r="CB340" s="141"/>
      <c r="CC340" s="141"/>
      <c r="CD340" s="141"/>
      <c r="CE340" s="141"/>
      <c r="CF340" s="141"/>
      <c r="CG340" s="141"/>
      <c r="CH340" s="141"/>
      <c r="CI340" s="141"/>
      <c r="CJ340" s="141"/>
      <c r="CK340" s="141"/>
      <c r="CL340" s="141"/>
      <c r="CM340" s="141"/>
      <c r="CN340" s="141"/>
      <c r="CO340" s="141"/>
      <c r="CP340" s="141"/>
      <c r="CQ340" s="141"/>
      <c r="CR340" s="141"/>
      <c r="CS340" s="141"/>
      <c r="CT340" s="141"/>
      <c r="CU340" s="141"/>
      <c r="CV340" s="141"/>
      <c r="CW340" s="141"/>
      <c r="CX340" s="141"/>
      <c r="CY340" s="141"/>
      <c r="CZ340" s="141"/>
      <c r="DA340" s="141"/>
      <c r="DB340" s="141"/>
      <c r="DC340" s="141"/>
      <c r="DD340" s="141"/>
      <c r="DE340" s="141"/>
      <c r="DF340" s="141"/>
      <c r="DG340" s="141"/>
      <c r="DH340" s="141"/>
      <c r="DI340" s="141"/>
      <c r="DJ340" s="141"/>
      <c r="DK340" s="141"/>
      <c r="DL340" s="141"/>
      <c r="DM340" s="141"/>
      <c r="DN340" s="141"/>
      <c r="DO340" s="141"/>
      <c r="DP340" s="141"/>
      <c r="DQ340" s="141"/>
      <c r="DR340" s="141"/>
      <c r="DS340" s="141"/>
      <c r="DT340" s="141"/>
      <c r="DU340" s="141"/>
      <c r="DV340" s="141"/>
      <c r="DW340" s="141"/>
      <c r="DX340" s="141"/>
      <c r="DY340" s="141"/>
      <c r="DZ340" s="141"/>
      <c r="EA340" s="141"/>
      <c r="EB340" s="141"/>
      <c r="EC340" s="141"/>
      <c r="ED340" s="141"/>
      <c r="EE340" s="141"/>
      <c r="EF340" s="141"/>
      <c r="EG340" s="141"/>
      <c r="EH340" s="141"/>
      <c r="EI340" s="141"/>
      <c r="EJ340" s="141"/>
      <c r="EK340" s="141"/>
      <c r="EL340" s="141"/>
      <c r="EM340" s="141"/>
      <c r="EN340" s="141"/>
      <c r="EO340" s="141"/>
      <c r="EP340" s="141"/>
      <c r="EQ340" s="141"/>
      <c r="ER340" s="141"/>
      <c r="ES340" s="141"/>
      <c r="ET340" s="141"/>
      <c r="EU340" s="141"/>
      <c r="EV340" s="141"/>
      <c r="EW340" s="141"/>
      <c r="EX340" s="141"/>
      <c r="EY340" s="141"/>
      <c r="EZ340" s="141"/>
      <c r="FA340" s="141"/>
      <c r="FB340" s="141"/>
      <c r="FC340" s="141"/>
      <c r="FD340" s="141"/>
      <c r="FE340" s="141"/>
      <c r="FF340" s="141"/>
      <c r="FG340" s="141"/>
      <c r="FH340" s="141"/>
      <c r="FI340" s="141"/>
      <c r="FJ340" s="141"/>
      <c r="FK340" s="141"/>
      <c r="FL340" s="141"/>
      <c r="FM340" s="141"/>
      <c r="FN340" s="141"/>
    </row>
    <row r="341" spans="1:170" s="178" customFormat="1" ht="10.3" x14ac:dyDescent="0.25">
      <c r="A341" s="170" t="s">
        <v>5</v>
      </c>
      <c r="B341" s="170" t="s">
        <v>463</v>
      </c>
      <c r="C341" s="170" t="s">
        <v>464</v>
      </c>
      <c r="D341" s="172">
        <v>2.2904109589041095</v>
      </c>
      <c r="E341" s="171">
        <v>0.88827900000000004</v>
      </c>
      <c r="F341" s="171">
        <v>10</v>
      </c>
      <c r="G341" s="172">
        <v>7.39</v>
      </c>
      <c r="H341" s="171">
        <v>0</v>
      </c>
      <c r="I341" s="171" t="s">
        <v>939</v>
      </c>
      <c r="J341" s="317" t="s">
        <v>955</v>
      </c>
      <c r="K341" s="317" t="s">
        <v>1010</v>
      </c>
      <c r="L341" s="311"/>
      <c r="M341" s="311" t="s">
        <v>1511</v>
      </c>
      <c r="N341" s="173">
        <v>90</v>
      </c>
      <c r="O341" s="173">
        <v>70</v>
      </c>
      <c r="P341" s="173">
        <v>130</v>
      </c>
      <c r="Q341" s="174">
        <v>108</v>
      </c>
      <c r="R341" s="180">
        <v>45282</v>
      </c>
      <c r="S341" s="175">
        <v>43279</v>
      </c>
      <c r="T341" s="175">
        <v>43279</v>
      </c>
      <c r="U341" s="176">
        <f ca="1">[1]!cb_clause_conversion_2_relativeswapsharemonth(B341)</f>
        <v>6</v>
      </c>
      <c r="V341" s="177"/>
      <c r="W341" s="177"/>
      <c r="X341" s="177"/>
      <c r="Y341" s="177"/>
      <c r="Z341" s="177"/>
      <c r="AA341" s="177"/>
      <c r="AB341" s="177"/>
      <c r="AV341" s="179"/>
      <c r="AW341" s="179"/>
      <c r="AX341" s="179"/>
      <c r="AY341" s="179"/>
      <c r="AZ341" s="179"/>
      <c r="BA341" s="179"/>
      <c r="BB341" s="179"/>
      <c r="BC341" s="179"/>
      <c r="BD341" s="179"/>
      <c r="BE341" s="179"/>
      <c r="BF341" s="179"/>
      <c r="BG341" s="179"/>
      <c r="BH341" s="179"/>
      <c r="BI341" s="179"/>
      <c r="BJ341" s="179"/>
      <c r="BK341" s="179"/>
      <c r="BL341" s="179"/>
      <c r="BM341" s="179"/>
      <c r="BN341" s="179"/>
      <c r="BO341" s="179"/>
      <c r="BP341" s="179"/>
      <c r="BQ341" s="179"/>
      <c r="BR341" s="179"/>
      <c r="BS341" s="179"/>
      <c r="BT341" s="179"/>
      <c r="BU341" s="179"/>
      <c r="BV341" s="179"/>
      <c r="BW341" s="179"/>
      <c r="BX341" s="179"/>
      <c r="BY341" s="179"/>
      <c r="BZ341" s="179"/>
      <c r="CA341" s="179"/>
      <c r="CB341" s="179"/>
      <c r="CC341" s="179"/>
      <c r="CD341" s="179"/>
      <c r="CE341" s="179"/>
      <c r="CF341" s="179"/>
      <c r="CG341" s="179"/>
      <c r="CH341" s="179"/>
      <c r="CI341" s="179"/>
      <c r="CJ341" s="179"/>
      <c r="CK341" s="179"/>
      <c r="CL341" s="179"/>
      <c r="CM341" s="179"/>
      <c r="CN341" s="179"/>
      <c r="CO341" s="179"/>
      <c r="CP341" s="179"/>
      <c r="CQ341" s="179"/>
      <c r="CR341" s="179"/>
      <c r="CS341" s="179"/>
      <c r="CT341" s="179"/>
      <c r="CU341" s="179"/>
      <c r="CV341" s="179"/>
      <c r="CW341" s="179"/>
      <c r="CX341" s="179"/>
      <c r="CY341" s="179"/>
      <c r="CZ341" s="179"/>
      <c r="DA341" s="179"/>
      <c r="DB341" s="179"/>
      <c r="DC341" s="179"/>
      <c r="DD341" s="179"/>
      <c r="DE341" s="179"/>
      <c r="DF341" s="179"/>
      <c r="DG341" s="179"/>
      <c r="DH341" s="179"/>
      <c r="DI341" s="179"/>
      <c r="DJ341" s="179"/>
      <c r="DK341" s="179"/>
      <c r="DL341" s="179"/>
      <c r="DM341" s="179"/>
      <c r="DN341" s="179"/>
      <c r="DO341" s="179"/>
      <c r="DP341" s="179"/>
      <c r="DQ341" s="179"/>
      <c r="DR341" s="179"/>
      <c r="DS341" s="179"/>
      <c r="DT341" s="179"/>
      <c r="DU341" s="179"/>
      <c r="DV341" s="179"/>
      <c r="DW341" s="179"/>
      <c r="DX341" s="179"/>
      <c r="DY341" s="179"/>
      <c r="DZ341" s="179"/>
      <c r="EA341" s="179"/>
      <c r="EB341" s="179"/>
      <c r="EC341" s="179"/>
      <c r="ED341" s="179"/>
      <c r="EE341" s="179"/>
      <c r="EF341" s="179"/>
      <c r="EG341" s="179"/>
      <c r="EH341" s="179"/>
      <c r="EI341" s="179"/>
      <c r="EJ341" s="179"/>
      <c r="EK341" s="179"/>
      <c r="EL341" s="179"/>
      <c r="EM341" s="179"/>
      <c r="EN341" s="179"/>
      <c r="EO341" s="179"/>
      <c r="EP341" s="179"/>
      <c r="EQ341" s="179"/>
      <c r="ER341" s="179"/>
      <c r="ES341" s="179"/>
      <c r="ET341" s="179"/>
      <c r="EU341" s="179"/>
      <c r="EV341" s="179"/>
      <c r="EW341" s="179"/>
      <c r="EX341" s="179"/>
      <c r="EY341" s="179"/>
      <c r="EZ341" s="179"/>
      <c r="FA341" s="179"/>
      <c r="FB341" s="179"/>
      <c r="FC341" s="179"/>
      <c r="FD341" s="179"/>
      <c r="FE341" s="179"/>
      <c r="FF341" s="179"/>
      <c r="FG341" s="179"/>
      <c r="FH341" s="179"/>
      <c r="FI341" s="179"/>
      <c r="FJ341" s="179"/>
      <c r="FK341" s="179"/>
      <c r="FL341" s="179"/>
      <c r="FM341" s="179"/>
      <c r="FN341" s="179"/>
    </row>
    <row r="342" spans="1:170" s="140" customFormat="1" ht="10.3" x14ac:dyDescent="0.25">
      <c r="A342" s="132" t="s">
        <v>5</v>
      </c>
      <c r="B342" s="132" t="s">
        <v>465</v>
      </c>
      <c r="C342" s="132" t="s">
        <v>466</v>
      </c>
      <c r="D342" s="134">
        <v>2.2794520547945205</v>
      </c>
      <c r="E342" s="133">
        <v>8.0317629999999998</v>
      </c>
      <c r="F342" s="133">
        <v>11</v>
      </c>
      <c r="G342" s="134">
        <v>3.82</v>
      </c>
      <c r="H342" s="133">
        <v>0</v>
      </c>
      <c r="I342" s="133" t="s">
        <v>939</v>
      </c>
      <c r="J342" s="318" t="s">
        <v>958</v>
      </c>
      <c r="K342" s="318" t="s">
        <v>1788</v>
      </c>
      <c r="L342" s="313"/>
      <c r="M342" s="313" t="s">
        <v>1058</v>
      </c>
      <c r="N342" s="135">
        <v>85</v>
      </c>
      <c r="O342" s="135">
        <v>70</v>
      </c>
      <c r="P342" s="135">
        <v>130</v>
      </c>
      <c r="Q342" s="136">
        <v>106</v>
      </c>
      <c r="R342" s="137">
        <v>45278</v>
      </c>
      <c r="S342" s="138">
        <v>43273</v>
      </c>
      <c r="T342" s="138">
        <v>43273</v>
      </c>
      <c r="U342" s="181">
        <f ca="1">[1]!cb_clause_conversion_2_relativeswapsharemonth(B342)</f>
        <v>6</v>
      </c>
      <c r="V342" s="139"/>
      <c r="W342" s="139"/>
      <c r="X342" s="139"/>
      <c r="Y342" s="139"/>
      <c r="Z342" s="139"/>
      <c r="AA342" s="139"/>
      <c r="AB342" s="139"/>
      <c r="AV342" s="141"/>
      <c r="AW342" s="141"/>
      <c r="AX342" s="141"/>
      <c r="AY342" s="141"/>
      <c r="AZ342" s="141"/>
      <c r="BA342" s="141"/>
      <c r="BB342" s="141"/>
      <c r="BC342" s="141"/>
      <c r="BD342" s="141"/>
      <c r="BE342" s="141"/>
      <c r="BF342" s="141"/>
      <c r="BG342" s="141"/>
      <c r="BH342" s="141"/>
      <c r="BI342" s="141"/>
      <c r="BJ342" s="141"/>
      <c r="BK342" s="141"/>
      <c r="BL342" s="141"/>
      <c r="BM342" s="141"/>
      <c r="BN342" s="141"/>
      <c r="BO342" s="141"/>
      <c r="BP342" s="141"/>
      <c r="BQ342" s="141"/>
      <c r="BR342" s="141"/>
      <c r="BS342" s="141"/>
      <c r="BT342" s="141"/>
      <c r="BU342" s="141"/>
      <c r="BV342" s="141"/>
      <c r="BW342" s="141"/>
      <c r="BX342" s="141"/>
      <c r="BY342" s="141"/>
      <c r="BZ342" s="141"/>
      <c r="CA342" s="141"/>
      <c r="CB342" s="141"/>
      <c r="CC342" s="141"/>
      <c r="CD342" s="141"/>
      <c r="CE342" s="141"/>
      <c r="CF342" s="141"/>
      <c r="CG342" s="141"/>
      <c r="CH342" s="141"/>
      <c r="CI342" s="141"/>
      <c r="CJ342" s="141"/>
      <c r="CK342" s="141"/>
      <c r="CL342" s="141"/>
      <c r="CM342" s="141"/>
      <c r="CN342" s="141"/>
      <c r="CO342" s="141"/>
      <c r="CP342" s="141"/>
      <c r="CQ342" s="141"/>
      <c r="CR342" s="141"/>
      <c r="CS342" s="141"/>
      <c r="CT342" s="141"/>
      <c r="CU342" s="141"/>
      <c r="CV342" s="141"/>
      <c r="CW342" s="141"/>
      <c r="CX342" s="141"/>
      <c r="CY342" s="141"/>
      <c r="CZ342" s="141"/>
      <c r="DA342" s="141"/>
      <c r="DB342" s="141"/>
      <c r="DC342" s="141"/>
      <c r="DD342" s="141"/>
      <c r="DE342" s="141"/>
      <c r="DF342" s="141"/>
      <c r="DG342" s="141"/>
      <c r="DH342" s="141"/>
      <c r="DI342" s="141"/>
      <c r="DJ342" s="141"/>
      <c r="DK342" s="141"/>
      <c r="DL342" s="141"/>
      <c r="DM342" s="141"/>
      <c r="DN342" s="141"/>
      <c r="DO342" s="141"/>
      <c r="DP342" s="141"/>
      <c r="DQ342" s="141"/>
      <c r="DR342" s="141"/>
      <c r="DS342" s="141"/>
      <c r="DT342" s="141"/>
      <c r="DU342" s="141"/>
      <c r="DV342" s="141"/>
      <c r="DW342" s="141"/>
      <c r="DX342" s="141"/>
      <c r="DY342" s="141"/>
      <c r="DZ342" s="141"/>
      <c r="EA342" s="141"/>
      <c r="EB342" s="141"/>
      <c r="EC342" s="141"/>
      <c r="ED342" s="141"/>
      <c r="EE342" s="141"/>
      <c r="EF342" s="141"/>
      <c r="EG342" s="141"/>
      <c r="EH342" s="141"/>
      <c r="EI342" s="141"/>
      <c r="EJ342" s="141"/>
      <c r="EK342" s="141"/>
      <c r="EL342" s="141"/>
      <c r="EM342" s="141"/>
      <c r="EN342" s="141"/>
      <c r="EO342" s="141"/>
      <c r="EP342" s="141"/>
      <c r="EQ342" s="141"/>
      <c r="ER342" s="141"/>
      <c r="ES342" s="141"/>
      <c r="ET342" s="141"/>
      <c r="EU342" s="141"/>
      <c r="EV342" s="141"/>
      <c r="EW342" s="141"/>
      <c r="EX342" s="141"/>
      <c r="EY342" s="141"/>
      <c r="EZ342" s="141"/>
      <c r="FA342" s="141"/>
      <c r="FB342" s="141"/>
      <c r="FC342" s="141"/>
      <c r="FD342" s="141"/>
      <c r="FE342" s="141"/>
      <c r="FF342" s="141"/>
      <c r="FG342" s="141"/>
      <c r="FH342" s="141"/>
      <c r="FI342" s="141"/>
      <c r="FJ342" s="141"/>
      <c r="FK342" s="141"/>
      <c r="FL342" s="141"/>
      <c r="FM342" s="141"/>
      <c r="FN342" s="141"/>
    </row>
    <row r="343" spans="1:170" s="178" customFormat="1" ht="10.3" x14ac:dyDescent="0.25">
      <c r="A343" s="170" t="s">
        <v>5</v>
      </c>
      <c r="B343" s="170" t="s">
        <v>467</v>
      </c>
      <c r="C343" s="170" t="s">
        <v>468</v>
      </c>
      <c r="D343" s="172">
        <v>2.2657534246575342</v>
      </c>
      <c r="E343" s="171">
        <v>4.090427</v>
      </c>
      <c r="F343" s="171">
        <v>9.1999999999999993</v>
      </c>
      <c r="G343" s="172">
        <v>11.36</v>
      </c>
      <c r="H343" s="171">
        <v>0</v>
      </c>
      <c r="I343" s="171" t="s">
        <v>973</v>
      </c>
      <c r="J343" s="317" t="s">
        <v>946</v>
      </c>
      <c r="K343" s="317" t="s">
        <v>1119</v>
      </c>
      <c r="L343" s="311"/>
      <c r="M343" s="311" t="s">
        <v>1034</v>
      </c>
      <c r="N343" s="173">
        <v>80</v>
      </c>
      <c r="O343" s="173">
        <v>70</v>
      </c>
      <c r="P343" s="173">
        <v>130</v>
      </c>
      <c r="Q343" s="174">
        <v>106</v>
      </c>
      <c r="R343" s="180">
        <v>45273</v>
      </c>
      <c r="S343" s="175">
        <v>43270</v>
      </c>
      <c r="T343" s="175">
        <v>43270</v>
      </c>
      <c r="U343" s="176">
        <f ca="1">[1]!cb_clause_conversion_2_relativeswapsharemonth(B343)</f>
        <v>6</v>
      </c>
      <c r="V343" s="177"/>
      <c r="W343" s="177"/>
      <c r="X343" s="177"/>
      <c r="Y343" s="177"/>
      <c r="Z343" s="177"/>
      <c r="AA343" s="177"/>
      <c r="AB343" s="177"/>
      <c r="AV343" s="179"/>
      <c r="AW343" s="179"/>
      <c r="AX343" s="179"/>
      <c r="AY343" s="179"/>
      <c r="AZ343" s="179"/>
      <c r="BA343" s="179"/>
      <c r="BB343" s="179"/>
      <c r="BC343" s="179"/>
      <c r="BD343" s="179"/>
      <c r="BE343" s="179"/>
      <c r="BF343" s="179"/>
      <c r="BG343" s="179"/>
      <c r="BH343" s="179"/>
      <c r="BI343" s="179"/>
      <c r="BJ343" s="179"/>
      <c r="BK343" s="179"/>
      <c r="BL343" s="179"/>
      <c r="BM343" s="179"/>
      <c r="BN343" s="179"/>
      <c r="BO343" s="179"/>
      <c r="BP343" s="179"/>
      <c r="BQ343" s="179"/>
      <c r="BR343" s="179"/>
      <c r="BS343" s="179"/>
      <c r="BT343" s="179"/>
      <c r="BU343" s="179"/>
      <c r="BV343" s="179"/>
      <c r="BW343" s="179"/>
      <c r="BX343" s="179"/>
      <c r="BY343" s="179"/>
      <c r="BZ343" s="179"/>
      <c r="CA343" s="179"/>
      <c r="CB343" s="179"/>
      <c r="CC343" s="179"/>
      <c r="CD343" s="179"/>
      <c r="CE343" s="179"/>
      <c r="CF343" s="179"/>
      <c r="CG343" s="179"/>
      <c r="CH343" s="179"/>
      <c r="CI343" s="179"/>
      <c r="CJ343" s="179"/>
      <c r="CK343" s="179"/>
      <c r="CL343" s="179"/>
      <c r="CM343" s="179"/>
      <c r="CN343" s="179"/>
      <c r="CO343" s="179"/>
      <c r="CP343" s="179"/>
      <c r="CQ343" s="179"/>
      <c r="CR343" s="179"/>
      <c r="CS343" s="179"/>
      <c r="CT343" s="179"/>
      <c r="CU343" s="179"/>
      <c r="CV343" s="179"/>
      <c r="CW343" s="179"/>
      <c r="CX343" s="179"/>
      <c r="CY343" s="179"/>
      <c r="CZ343" s="179"/>
      <c r="DA343" s="179"/>
      <c r="DB343" s="179"/>
      <c r="DC343" s="179"/>
      <c r="DD343" s="179"/>
      <c r="DE343" s="179"/>
      <c r="DF343" s="179"/>
      <c r="DG343" s="179"/>
      <c r="DH343" s="179"/>
      <c r="DI343" s="179"/>
      <c r="DJ343" s="179"/>
      <c r="DK343" s="179"/>
      <c r="DL343" s="179"/>
      <c r="DM343" s="179"/>
      <c r="DN343" s="179"/>
      <c r="DO343" s="179"/>
      <c r="DP343" s="179"/>
      <c r="DQ343" s="179"/>
      <c r="DR343" s="179"/>
      <c r="DS343" s="179"/>
      <c r="DT343" s="179"/>
      <c r="DU343" s="179"/>
      <c r="DV343" s="179"/>
      <c r="DW343" s="179"/>
      <c r="DX343" s="179"/>
      <c r="DY343" s="179"/>
      <c r="DZ343" s="179"/>
      <c r="EA343" s="179"/>
      <c r="EB343" s="179"/>
      <c r="EC343" s="179"/>
      <c r="ED343" s="179"/>
      <c r="EE343" s="179"/>
      <c r="EF343" s="179"/>
      <c r="EG343" s="179"/>
      <c r="EH343" s="179"/>
      <c r="EI343" s="179"/>
      <c r="EJ343" s="179"/>
      <c r="EK343" s="179"/>
      <c r="EL343" s="179"/>
      <c r="EM343" s="179"/>
      <c r="EN343" s="179"/>
      <c r="EO343" s="179"/>
      <c r="EP343" s="179"/>
      <c r="EQ343" s="179"/>
      <c r="ER343" s="179"/>
      <c r="ES343" s="179"/>
      <c r="ET343" s="179"/>
      <c r="EU343" s="179"/>
      <c r="EV343" s="179"/>
      <c r="EW343" s="179"/>
      <c r="EX343" s="179"/>
      <c r="EY343" s="179"/>
      <c r="EZ343" s="179"/>
      <c r="FA343" s="179"/>
      <c r="FB343" s="179"/>
      <c r="FC343" s="179"/>
      <c r="FD343" s="179"/>
      <c r="FE343" s="179"/>
      <c r="FF343" s="179"/>
      <c r="FG343" s="179"/>
      <c r="FH343" s="179"/>
      <c r="FI343" s="179"/>
      <c r="FJ343" s="179"/>
      <c r="FK343" s="179"/>
      <c r="FL343" s="179"/>
      <c r="FM343" s="179"/>
      <c r="FN343" s="179"/>
    </row>
    <row r="344" spans="1:170" s="140" customFormat="1" ht="10.3" x14ac:dyDescent="0.25">
      <c r="A344" s="132" t="s">
        <v>5</v>
      </c>
      <c r="B344" s="132" t="s">
        <v>469</v>
      </c>
      <c r="C344" s="132" t="s">
        <v>470</v>
      </c>
      <c r="D344" s="134">
        <v>2.2465753424657535</v>
      </c>
      <c r="E344" s="133">
        <v>2.9800430000000002</v>
      </c>
      <c r="F344" s="133">
        <v>3.5</v>
      </c>
      <c r="G344" s="134">
        <v>14.05</v>
      </c>
      <c r="H344" s="133">
        <v>0</v>
      </c>
      <c r="I344" s="133" t="s">
        <v>973</v>
      </c>
      <c r="J344" s="318" t="s">
        <v>974</v>
      </c>
      <c r="K344" s="318" t="s">
        <v>1147</v>
      </c>
      <c r="L344" s="312"/>
      <c r="M344" s="312" t="s">
        <v>982</v>
      </c>
      <c r="N344" s="135">
        <v>85</v>
      </c>
      <c r="O344" s="135">
        <v>70</v>
      </c>
      <c r="P344" s="135">
        <v>130</v>
      </c>
      <c r="Q344" s="136">
        <v>106</v>
      </c>
      <c r="R344" s="137">
        <v>45266</v>
      </c>
      <c r="S344" s="138">
        <v>43263</v>
      </c>
      <c r="T344" s="138">
        <v>43263</v>
      </c>
      <c r="U344" s="181">
        <f ca="1">[1]!cb_clause_conversion_2_relativeswapsharemonth(B344)</f>
        <v>6</v>
      </c>
      <c r="V344" s="139"/>
      <c r="W344" s="139"/>
      <c r="X344" s="139"/>
      <c r="Y344" s="139"/>
      <c r="Z344" s="139"/>
      <c r="AA344" s="139"/>
      <c r="AB344" s="139"/>
      <c r="AV344" s="141"/>
      <c r="AW344" s="141"/>
      <c r="AX344" s="141"/>
      <c r="AY344" s="141"/>
      <c r="AZ344" s="141"/>
      <c r="BA344" s="141"/>
      <c r="BB344" s="141"/>
      <c r="BC344" s="141"/>
      <c r="BD344" s="141"/>
      <c r="BE344" s="141"/>
      <c r="BF344" s="141"/>
      <c r="BG344" s="141"/>
      <c r="BH344" s="141"/>
      <c r="BI344" s="141"/>
      <c r="BJ344" s="141"/>
      <c r="BK344" s="141"/>
      <c r="BL344" s="141"/>
      <c r="BM344" s="141"/>
      <c r="BN344" s="141"/>
      <c r="BO344" s="141"/>
      <c r="BP344" s="141"/>
      <c r="BQ344" s="141"/>
      <c r="BR344" s="141"/>
      <c r="BS344" s="141"/>
      <c r="BT344" s="141"/>
      <c r="BU344" s="141"/>
      <c r="BV344" s="141"/>
      <c r="BW344" s="141"/>
      <c r="BX344" s="141"/>
      <c r="BY344" s="141"/>
      <c r="BZ344" s="141"/>
      <c r="CA344" s="141"/>
      <c r="CB344" s="141"/>
      <c r="CC344" s="141"/>
      <c r="CD344" s="141"/>
      <c r="CE344" s="141"/>
      <c r="CF344" s="141"/>
      <c r="CG344" s="141"/>
      <c r="CH344" s="141"/>
      <c r="CI344" s="141"/>
      <c r="CJ344" s="141"/>
      <c r="CK344" s="141"/>
      <c r="CL344" s="141"/>
      <c r="CM344" s="141"/>
      <c r="CN344" s="141"/>
      <c r="CO344" s="141"/>
      <c r="CP344" s="141"/>
      <c r="CQ344" s="141"/>
      <c r="CR344" s="141"/>
      <c r="CS344" s="141"/>
      <c r="CT344" s="141"/>
      <c r="CU344" s="141"/>
      <c r="CV344" s="141"/>
      <c r="CW344" s="141"/>
      <c r="CX344" s="141"/>
      <c r="CY344" s="141"/>
      <c r="CZ344" s="141"/>
      <c r="DA344" s="141"/>
      <c r="DB344" s="141"/>
      <c r="DC344" s="141"/>
      <c r="DD344" s="141"/>
      <c r="DE344" s="141"/>
      <c r="DF344" s="141"/>
      <c r="DG344" s="141"/>
      <c r="DH344" s="141"/>
      <c r="DI344" s="141"/>
      <c r="DJ344" s="141"/>
      <c r="DK344" s="141"/>
      <c r="DL344" s="141"/>
      <c r="DM344" s="141"/>
      <c r="DN344" s="141"/>
      <c r="DO344" s="141"/>
      <c r="DP344" s="141"/>
      <c r="DQ344" s="141"/>
      <c r="DR344" s="141"/>
      <c r="DS344" s="141"/>
      <c r="DT344" s="141"/>
      <c r="DU344" s="141"/>
      <c r="DV344" s="141"/>
      <c r="DW344" s="141"/>
      <c r="DX344" s="141"/>
      <c r="DY344" s="141"/>
      <c r="DZ344" s="141"/>
      <c r="EA344" s="141"/>
      <c r="EB344" s="141"/>
      <c r="EC344" s="141"/>
      <c r="ED344" s="141"/>
      <c r="EE344" s="141"/>
      <c r="EF344" s="141"/>
      <c r="EG344" s="141"/>
      <c r="EH344" s="141"/>
      <c r="EI344" s="141"/>
      <c r="EJ344" s="141"/>
      <c r="EK344" s="141"/>
      <c r="EL344" s="141"/>
      <c r="EM344" s="141"/>
      <c r="EN344" s="141"/>
      <c r="EO344" s="141"/>
      <c r="EP344" s="141"/>
      <c r="EQ344" s="141"/>
      <c r="ER344" s="141"/>
      <c r="ES344" s="141"/>
      <c r="ET344" s="141"/>
      <c r="EU344" s="141"/>
      <c r="EV344" s="141"/>
      <c r="EW344" s="141"/>
      <c r="EX344" s="141"/>
      <c r="EY344" s="141"/>
      <c r="EZ344" s="141"/>
      <c r="FA344" s="141"/>
      <c r="FB344" s="141"/>
      <c r="FC344" s="141"/>
      <c r="FD344" s="141"/>
      <c r="FE344" s="141"/>
      <c r="FF344" s="141"/>
      <c r="FG344" s="141"/>
      <c r="FH344" s="141"/>
      <c r="FI344" s="141"/>
      <c r="FJ344" s="141"/>
      <c r="FK344" s="141"/>
      <c r="FL344" s="141"/>
      <c r="FM344" s="141"/>
      <c r="FN344" s="141"/>
    </row>
    <row r="345" spans="1:170" s="178" customFormat="1" ht="10.3" x14ac:dyDescent="0.25">
      <c r="A345" s="170" t="s">
        <v>5</v>
      </c>
      <c r="B345" s="170" t="s">
        <v>471</v>
      </c>
      <c r="C345" s="170" t="s">
        <v>472</v>
      </c>
      <c r="D345" s="172">
        <v>2.2410958904109588</v>
      </c>
      <c r="E345" s="171">
        <v>9.9869109999999992</v>
      </c>
      <c r="F345" s="171">
        <v>10</v>
      </c>
      <c r="G345" s="172">
        <v>10.34</v>
      </c>
      <c r="H345" s="171">
        <v>0</v>
      </c>
      <c r="I345" s="171" t="s">
        <v>939</v>
      </c>
      <c r="J345" s="317" t="s">
        <v>958</v>
      </c>
      <c r="K345" s="317" t="s">
        <v>1388</v>
      </c>
      <c r="L345" s="314"/>
      <c r="M345" s="314" t="s">
        <v>1118</v>
      </c>
      <c r="N345" s="173">
        <v>85</v>
      </c>
      <c r="O345" s="173">
        <v>70</v>
      </c>
      <c r="P345" s="173">
        <v>130</v>
      </c>
      <c r="Q345" s="174">
        <v>108</v>
      </c>
      <c r="R345" s="180">
        <v>45264</v>
      </c>
      <c r="S345" s="175">
        <v>43259</v>
      </c>
      <c r="T345" s="175">
        <v>43259</v>
      </c>
      <c r="U345" s="176">
        <f ca="1">[1]!cb_clause_conversion_2_relativeswapsharemonth(B345)</f>
        <v>6</v>
      </c>
      <c r="V345" s="177"/>
      <c r="W345" s="177"/>
      <c r="X345" s="177"/>
      <c r="Y345" s="177"/>
      <c r="Z345" s="177"/>
      <c r="AA345" s="177"/>
      <c r="AB345" s="177"/>
      <c r="AV345" s="179"/>
      <c r="AW345" s="179"/>
      <c r="AX345" s="179"/>
      <c r="AY345" s="179"/>
      <c r="AZ345" s="179"/>
      <c r="BA345" s="179"/>
      <c r="BB345" s="179"/>
      <c r="BC345" s="179"/>
      <c r="BD345" s="179"/>
      <c r="BE345" s="179"/>
      <c r="BF345" s="179"/>
      <c r="BG345" s="179"/>
      <c r="BH345" s="179"/>
      <c r="BI345" s="179"/>
      <c r="BJ345" s="179"/>
      <c r="BK345" s="179"/>
      <c r="BL345" s="179"/>
      <c r="BM345" s="179"/>
      <c r="BN345" s="179"/>
      <c r="BO345" s="179"/>
      <c r="BP345" s="179"/>
      <c r="BQ345" s="179"/>
      <c r="BR345" s="179"/>
      <c r="BS345" s="179"/>
      <c r="BT345" s="179"/>
      <c r="BU345" s="179"/>
      <c r="BV345" s="179"/>
      <c r="BW345" s="179"/>
      <c r="BX345" s="179"/>
      <c r="BY345" s="179"/>
      <c r="BZ345" s="179"/>
      <c r="CA345" s="179"/>
      <c r="CB345" s="179"/>
      <c r="CC345" s="179"/>
      <c r="CD345" s="179"/>
      <c r="CE345" s="179"/>
      <c r="CF345" s="179"/>
      <c r="CG345" s="179"/>
      <c r="CH345" s="179"/>
      <c r="CI345" s="179"/>
      <c r="CJ345" s="179"/>
      <c r="CK345" s="179"/>
      <c r="CL345" s="179"/>
      <c r="CM345" s="179"/>
      <c r="CN345" s="179"/>
      <c r="CO345" s="179"/>
      <c r="CP345" s="179"/>
      <c r="CQ345" s="179"/>
      <c r="CR345" s="179"/>
      <c r="CS345" s="179"/>
      <c r="CT345" s="179"/>
      <c r="CU345" s="179"/>
      <c r="CV345" s="179"/>
      <c r="CW345" s="179"/>
      <c r="CX345" s="179"/>
      <c r="CY345" s="179"/>
      <c r="CZ345" s="179"/>
      <c r="DA345" s="179"/>
      <c r="DB345" s="179"/>
      <c r="DC345" s="179"/>
      <c r="DD345" s="179"/>
      <c r="DE345" s="179"/>
      <c r="DF345" s="179"/>
      <c r="DG345" s="179"/>
      <c r="DH345" s="179"/>
      <c r="DI345" s="179"/>
      <c r="DJ345" s="179"/>
      <c r="DK345" s="179"/>
      <c r="DL345" s="179"/>
      <c r="DM345" s="179"/>
      <c r="DN345" s="179"/>
      <c r="DO345" s="179"/>
      <c r="DP345" s="179"/>
      <c r="DQ345" s="179"/>
      <c r="DR345" s="179"/>
      <c r="DS345" s="179"/>
      <c r="DT345" s="179"/>
      <c r="DU345" s="179"/>
      <c r="DV345" s="179"/>
      <c r="DW345" s="179"/>
      <c r="DX345" s="179"/>
      <c r="DY345" s="179"/>
      <c r="DZ345" s="179"/>
      <c r="EA345" s="179"/>
      <c r="EB345" s="179"/>
      <c r="EC345" s="179"/>
      <c r="ED345" s="179"/>
      <c r="EE345" s="179"/>
      <c r="EF345" s="179"/>
      <c r="EG345" s="179"/>
      <c r="EH345" s="179"/>
      <c r="EI345" s="179"/>
      <c r="EJ345" s="179"/>
      <c r="EK345" s="179"/>
      <c r="EL345" s="179"/>
      <c r="EM345" s="179"/>
      <c r="EN345" s="179"/>
      <c r="EO345" s="179"/>
      <c r="EP345" s="179"/>
      <c r="EQ345" s="179"/>
      <c r="ER345" s="179"/>
      <c r="ES345" s="179"/>
      <c r="ET345" s="179"/>
      <c r="EU345" s="179"/>
      <c r="EV345" s="179"/>
      <c r="EW345" s="179"/>
      <c r="EX345" s="179"/>
      <c r="EY345" s="179"/>
      <c r="EZ345" s="179"/>
      <c r="FA345" s="179"/>
      <c r="FB345" s="179"/>
      <c r="FC345" s="179"/>
      <c r="FD345" s="179"/>
      <c r="FE345" s="179"/>
      <c r="FF345" s="179"/>
      <c r="FG345" s="179"/>
      <c r="FH345" s="179"/>
      <c r="FI345" s="179"/>
      <c r="FJ345" s="179"/>
      <c r="FK345" s="179"/>
      <c r="FL345" s="179"/>
      <c r="FM345" s="179"/>
      <c r="FN345" s="179"/>
    </row>
    <row r="346" spans="1:170" s="140" customFormat="1" ht="10.3" x14ac:dyDescent="0.25">
      <c r="A346" s="132" t="s">
        <v>5</v>
      </c>
      <c r="B346" s="132" t="s">
        <v>473</v>
      </c>
      <c r="C346" s="132" t="s">
        <v>474</v>
      </c>
      <c r="D346" s="134">
        <v>2.2328767123287672</v>
      </c>
      <c r="E346" s="133">
        <v>4.5556939999999999</v>
      </c>
      <c r="F346" s="133">
        <v>7</v>
      </c>
      <c r="G346" s="134">
        <v>7.92</v>
      </c>
      <c r="H346" s="133">
        <v>0</v>
      </c>
      <c r="I346" s="133" t="s">
        <v>1329</v>
      </c>
      <c r="J346" s="318" t="s">
        <v>942</v>
      </c>
      <c r="K346" s="318" t="s">
        <v>1328</v>
      </c>
      <c r="L346" s="312"/>
      <c r="M346" s="312" t="s">
        <v>947</v>
      </c>
      <c r="N346" s="135">
        <v>90</v>
      </c>
      <c r="O346" s="135">
        <v>70</v>
      </c>
      <c r="P346" s="135">
        <v>130</v>
      </c>
      <c r="Q346" s="136">
        <v>106</v>
      </c>
      <c r="R346" s="137">
        <v>45261</v>
      </c>
      <c r="S346" s="138">
        <v>43258</v>
      </c>
      <c r="T346" s="138">
        <v>43258</v>
      </c>
      <c r="U346" s="181">
        <f ca="1">[1]!cb_clause_conversion_2_relativeswapsharemonth(B346)</f>
        <v>6</v>
      </c>
      <c r="V346" s="139"/>
      <c r="W346" s="139"/>
      <c r="X346" s="139"/>
      <c r="Y346" s="139"/>
      <c r="Z346" s="139"/>
      <c r="AA346" s="139"/>
      <c r="AB346" s="139"/>
      <c r="AV346" s="141"/>
      <c r="AW346" s="141"/>
      <c r="AX346" s="141"/>
      <c r="AY346" s="141"/>
      <c r="AZ346" s="141"/>
      <c r="BA346" s="141"/>
      <c r="BB346" s="141"/>
      <c r="BC346" s="141"/>
      <c r="BD346" s="141"/>
      <c r="BE346" s="141"/>
      <c r="BF346" s="141"/>
      <c r="BG346" s="141"/>
      <c r="BH346" s="141"/>
      <c r="BI346" s="141"/>
      <c r="BJ346" s="141"/>
      <c r="BK346" s="141"/>
      <c r="BL346" s="141"/>
      <c r="BM346" s="141"/>
      <c r="BN346" s="141"/>
      <c r="BO346" s="141"/>
      <c r="BP346" s="141"/>
      <c r="BQ346" s="141"/>
      <c r="BR346" s="141"/>
      <c r="BS346" s="141"/>
      <c r="BT346" s="141"/>
      <c r="BU346" s="141"/>
      <c r="BV346" s="141"/>
      <c r="BW346" s="141"/>
      <c r="BX346" s="141"/>
      <c r="BY346" s="141"/>
      <c r="BZ346" s="141"/>
      <c r="CA346" s="141"/>
      <c r="CB346" s="141"/>
      <c r="CC346" s="141"/>
      <c r="CD346" s="141"/>
      <c r="CE346" s="141"/>
      <c r="CF346" s="141"/>
      <c r="CG346" s="141"/>
      <c r="CH346" s="141"/>
      <c r="CI346" s="141"/>
      <c r="CJ346" s="141"/>
      <c r="CK346" s="141"/>
      <c r="CL346" s="141"/>
      <c r="CM346" s="141"/>
      <c r="CN346" s="141"/>
      <c r="CO346" s="141"/>
      <c r="CP346" s="141"/>
      <c r="CQ346" s="141"/>
      <c r="CR346" s="141"/>
      <c r="CS346" s="141"/>
      <c r="CT346" s="141"/>
      <c r="CU346" s="141"/>
      <c r="CV346" s="141"/>
      <c r="CW346" s="141"/>
      <c r="CX346" s="141"/>
      <c r="CY346" s="141"/>
      <c r="CZ346" s="141"/>
      <c r="DA346" s="141"/>
      <c r="DB346" s="141"/>
      <c r="DC346" s="141"/>
      <c r="DD346" s="141"/>
      <c r="DE346" s="141"/>
      <c r="DF346" s="141"/>
      <c r="DG346" s="141"/>
      <c r="DH346" s="141"/>
      <c r="DI346" s="141"/>
      <c r="DJ346" s="141"/>
      <c r="DK346" s="141"/>
      <c r="DL346" s="141"/>
      <c r="DM346" s="141"/>
      <c r="DN346" s="141"/>
      <c r="DO346" s="141"/>
      <c r="DP346" s="141"/>
      <c r="DQ346" s="141"/>
      <c r="DR346" s="141"/>
      <c r="DS346" s="141"/>
      <c r="DT346" s="141"/>
      <c r="DU346" s="141"/>
      <c r="DV346" s="141"/>
      <c r="DW346" s="141"/>
      <c r="DX346" s="141"/>
      <c r="DY346" s="141"/>
      <c r="DZ346" s="141"/>
      <c r="EA346" s="141"/>
      <c r="EB346" s="141"/>
      <c r="EC346" s="141"/>
      <c r="ED346" s="141"/>
      <c r="EE346" s="141"/>
      <c r="EF346" s="141"/>
      <c r="EG346" s="141"/>
      <c r="EH346" s="141"/>
      <c r="EI346" s="141"/>
      <c r="EJ346" s="141"/>
      <c r="EK346" s="141"/>
      <c r="EL346" s="141"/>
      <c r="EM346" s="141"/>
      <c r="EN346" s="141"/>
      <c r="EO346" s="141"/>
      <c r="EP346" s="141"/>
      <c r="EQ346" s="141"/>
      <c r="ER346" s="141"/>
      <c r="ES346" s="141"/>
      <c r="ET346" s="141"/>
      <c r="EU346" s="141"/>
      <c r="EV346" s="141"/>
      <c r="EW346" s="141"/>
      <c r="EX346" s="141"/>
      <c r="EY346" s="141"/>
      <c r="EZ346" s="141"/>
      <c r="FA346" s="141"/>
      <c r="FB346" s="141"/>
      <c r="FC346" s="141"/>
      <c r="FD346" s="141"/>
      <c r="FE346" s="141"/>
      <c r="FF346" s="141"/>
      <c r="FG346" s="141"/>
      <c r="FH346" s="141"/>
      <c r="FI346" s="141"/>
      <c r="FJ346" s="141"/>
      <c r="FK346" s="141"/>
      <c r="FL346" s="141"/>
      <c r="FM346" s="141"/>
      <c r="FN346" s="141"/>
    </row>
    <row r="347" spans="1:170" s="178" customFormat="1" ht="10.3" x14ac:dyDescent="0.25">
      <c r="A347" s="170" t="s">
        <v>5</v>
      </c>
      <c r="B347" s="170" t="s">
        <v>475</v>
      </c>
      <c r="C347" s="170" t="s">
        <v>476</v>
      </c>
      <c r="D347" s="172">
        <v>2.2246575342465755</v>
      </c>
      <c r="E347" s="171">
        <v>2.6531929999999999</v>
      </c>
      <c r="F347" s="171">
        <v>7</v>
      </c>
      <c r="G347" s="172">
        <v>5.19</v>
      </c>
      <c r="H347" s="171">
        <v>0</v>
      </c>
      <c r="I347" s="171" t="s">
        <v>957</v>
      </c>
      <c r="J347" s="317" t="s">
        <v>942</v>
      </c>
      <c r="K347" s="317" t="s">
        <v>1363</v>
      </c>
      <c r="L347" s="311"/>
      <c r="M347" s="311" t="s">
        <v>1046</v>
      </c>
      <c r="N347" s="173">
        <v>85</v>
      </c>
      <c r="O347" s="173">
        <v>70</v>
      </c>
      <c r="P347" s="173">
        <v>130</v>
      </c>
      <c r="Q347" s="174">
        <v>106</v>
      </c>
      <c r="R347" s="180">
        <v>45258</v>
      </c>
      <c r="S347" s="175">
        <v>43255</v>
      </c>
      <c r="T347" s="175">
        <v>43255</v>
      </c>
      <c r="U347" s="176">
        <f ca="1">[1]!cb_clause_conversion_2_relativeswapsharemonth(B347)</f>
        <v>6</v>
      </c>
      <c r="V347" s="177"/>
      <c r="W347" s="177"/>
      <c r="X347" s="177"/>
      <c r="Y347" s="177"/>
      <c r="Z347" s="177"/>
      <c r="AA347" s="177"/>
      <c r="AB347" s="177"/>
      <c r="AV347" s="179"/>
      <c r="AW347" s="179"/>
      <c r="AX347" s="179"/>
      <c r="AY347" s="179"/>
      <c r="AZ347" s="179"/>
      <c r="BA347" s="179"/>
      <c r="BB347" s="179"/>
      <c r="BC347" s="179"/>
      <c r="BD347" s="179"/>
      <c r="BE347" s="179"/>
      <c r="BF347" s="179"/>
      <c r="BG347" s="179"/>
      <c r="BH347" s="179"/>
      <c r="BI347" s="179"/>
      <c r="BJ347" s="179"/>
      <c r="BK347" s="179"/>
      <c r="BL347" s="179"/>
      <c r="BM347" s="179"/>
      <c r="BN347" s="179"/>
      <c r="BO347" s="179"/>
      <c r="BP347" s="179"/>
      <c r="BQ347" s="179"/>
      <c r="BR347" s="179"/>
      <c r="BS347" s="179"/>
      <c r="BT347" s="179"/>
      <c r="BU347" s="179"/>
      <c r="BV347" s="179"/>
      <c r="BW347" s="179"/>
      <c r="BX347" s="179"/>
      <c r="BY347" s="179"/>
      <c r="BZ347" s="179"/>
      <c r="CA347" s="179"/>
      <c r="CB347" s="179"/>
      <c r="CC347" s="179"/>
      <c r="CD347" s="179"/>
      <c r="CE347" s="179"/>
      <c r="CF347" s="179"/>
      <c r="CG347" s="179"/>
      <c r="CH347" s="179"/>
      <c r="CI347" s="179"/>
      <c r="CJ347" s="179"/>
      <c r="CK347" s="179"/>
      <c r="CL347" s="179"/>
      <c r="CM347" s="179"/>
      <c r="CN347" s="179"/>
      <c r="CO347" s="179"/>
      <c r="CP347" s="179"/>
      <c r="CQ347" s="179"/>
      <c r="CR347" s="179"/>
      <c r="CS347" s="179"/>
      <c r="CT347" s="179"/>
      <c r="CU347" s="179"/>
      <c r="CV347" s="179"/>
      <c r="CW347" s="179"/>
      <c r="CX347" s="179"/>
      <c r="CY347" s="179"/>
      <c r="CZ347" s="179"/>
      <c r="DA347" s="179"/>
      <c r="DB347" s="179"/>
      <c r="DC347" s="179"/>
      <c r="DD347" s="179"/>
      <c r="DE347" s="179"/>
      <c r="DF347" s="179"/>
      <c r="DG347" s="179"/>
      <c r="DH347" s="179"/>
      <c r="DI347" s="179"/>
      <c r="DJ347" s="179"/>
      <c r="DK347" s="179"/>
      <c r="DL347" s="179"/>
      <c r="DM347" s="179"/>
      <c r="DN347" s="179"/>
      <c r="DO347" s="179"/>
      <c r="DP347" s="179"/>
      <c r="DQ347" s="179"/>
      <c r="DR347" s="179"/>
      <c r="DS347" s="179"/>
      <c r="DT347" s="179"/>
      <c r="DU347" s="179"/>
      <c r="DV347" s="179"/>
      <c r="DW347" s="179"/>
      <c r="DX347" s="179"/>
      <c r="DY347" s="179"/>
      <c r="DZ347" s="179"/>
      <c r="EA347" s="179"/>
      <c r="EB347" s="179"/>
      <c r="EC347" s="179"/>
      <c r="ED347" s="179"/>
      <c r="EE347" s="179"/>
      <c r="EF347" s="179"/>
      <c r="EG347" s="179"/>
      <c r="EH347" s="179"/>
      <c r="EI347" s="179"/>
      <c r="EJ347" s="179"/>
      <c r="EK347" s="179"/>
      <c r="EL347" s="179"/>
      <c r="EM347" s="179"/>
      <c r="EN347" s="179"/>
      <c r="EO347" s="179"/>
      <c r="EP347" s="179"/>
      <c r="EQ347" s="179"/>
      <c r="ER347" s="179"/>
      <c r="ES347" s="179"/>
      <c r="ET347" s="179"/>
      <c r="EU347" s="179"/>
      <c r="EV347" s="179"/>
      <c r="EW347" s="179"/>
      <c r="EX347" s="179"/>
      <c r="EY347" s="179"/>
      <c r="EZ347" s="179"/>
      <c r="FA347" s="179"/>
      <c r="FB347" s="179"/>
      <c r="FC347" s="179"/>
      <c r="FD347" s="179"/>
      <c r="FE347" s="179"/>
      <c r="FF347" s="179"/>
      <c r="FG347" s="179"/>
      <c r="FH347" s="179"/>
      <c r="FI347" s="179"/>
      <c r="FJ347" s="179"/>
      <c r="FK347" s="179"/>
      <c r="FL347" s="179"/>
      <c r="FM347" s="179"/>
      <c r="FN347" s="179"/>
    </row>
    <row r="348" spans="1:170" s="140" customFormat="1" ht="10.3" x14ac:dyDescent="0.25">
      <c r="A348" s="132" t="s">
        <v>5</v>
      </c>
      <c r="B348" s="132" t="s">
        <v>477</v>
      </c>
      <c r="C348" s="132" t="s">
        <v>478</v>
      </c>
      <c r="D348" s="134">
        <v>2.2136986301369861</v>
      </c>
      <c r="E348" s="133">
        <v>2.5216189999999998</v>
      </c>
      <c r="F348" s="133">
        <v>6</v>
      </c>
      <c r="G348" s="134">
        <v>8.36</v>
      </c>
      <c r="H348" s="133">
        <v>0</v>
      </c>
      <c r="I348" s="133" t="s">
        <v>957</v>
      </c>
      <c r="J348" s="318" t="s">
        <v>951</v>
      </c>
      <c r="K348" s="318" t="s">
        <v>1301</v>
      </c>
      <c r="L348" s="312"/>
      <c r="M348" s="312" t="s">
        <v>963</v>
      </c>
      <c r="N348" s="135">
        <v>85</v>
      </c>
      <c r="O348" s="135">
        <v>70</v>
      </c>
      <c r="P348" s="135">
        <v>130</v>
      </c>
      <c r="Q348" s="136">
        <v>106</v>
      </c>
      <c r="R348" s="137">
        <v>45254</v>
      </c>
      <c r="S348" s="138">
        <v>43250</v>
      </c>
      <c r="T348" s="138">
        <v>43250</v>
      </c>
      <c r="U348" s="181">
        <f ca="1">[1]!cb_clause_conversion_2_relativeswapsharemonth(B348)</f>
        <v>6</v>
      </c>
      <c r="V348" s="139"/>
      <c r="W348" s="139"/>
      <c r="X348" s="139"/>
      <c r="Y348" s="139"/>
      <c r="Z348" s="139"/>
      <c r="AA348" s="139"/>
      <c r="AB348" s="139"/>
      <c r="AV348" s="141"/>
      <c r="AW348" s="141"/>
      <c r="AX348" s="141"/>
      <c r="AY348" s="141"/>
      <c r="AZ348" s="141"/>
      <c r="BA348" s="141"/>
      <c r="BB348" s="141"/>
      <c r="BC348" s="141"/>
      <c r="BD348" s="141"/>
      <c r="BE348" s="141"/>
      <c r="BF348" s="141"/>
      <c r="BG348" s="141"/>
      <c r="BH348" s="141"/>
      <c r="BI348" s="141"/>
      <c r="BJ348" s="141"/>
      <c r="BK348" s="141"/>
      <c r="BL348" s="141"/>
      <c r="BM348" s="141"/>
      <c r="BN348" s="141"/>
      <c r="BO348" s="141"/>
      <c r="BP348" s="141"/>
      <c r="BQ348" s="141"/>
      <c r="BR348" s="141"/>
      <c r="BS348" s="141"/>
      <c r="BT348" s="141"/>
      <c r="BU348" s="141"/>
      <c r="BV348" s="141"/>
      <c r="BW348" s="141"/>
      <c r="BX348" s="141"/>
      <c r="BY348" s="141"/>
      <c r="BZ348" s="141"/>
      <c r="CA348" s="141"/>
      <c r="CB348" s="141"/>
      <c r="CC348" s="141"/>
      <c r="CD348" s="141"/>
      <c r="CE348" s="141"/>
      <c r="CF348" s="141"/>
      <c r="CG348" s="141"/>
      <c r="CH348" s="141"/>
      <c r="CI348" s="141"/>
      <c r="CJ348" s="141"/>
      <c r="CK348" s="141"/>
      <c r="CL348" s="141"/>
      <c r="CM348" s="141"/>
      <c r="CN348" s="141"/>
      <c r="CO348" s="141"/>
      <c r="CP348" s="141"/>
      <c r="CQ348" s="141"/>
      <c r="CR348" s="141"/>
      <c r="CS348" s="141"/>
      <c r="CT348" s="141"/>
      <c r="CU348" s="141"/>
      <c r="CV348" s="141"/>
      <c r="CW348" s="141"/>
      <c r="CX348" s="141"/>
      <c r="CY348" s="141"/>
      <c r="CZ348" s="141"/>
      <c r="DA348" s="141"/>
      <c r="DB348" s="141"/>
      <c r="DC348" s="141"/>
      <c r="DD348" s="141"/>
      <c r="DE348" s="141"/>
      <c r="DF348" s="141"/>
      <c r="DG348" s="141"/>
      <c r="DH348" s="141"/>
      <c r="DI348" s="141"/>
      <c r="DJ348" s="141"/>
      <c r="DK348" s="141"/>
      <c r="DL348" s="141"/>
      <c r="DM348" s="141"/>
      <c r="DN348" s="141"/>
      <c r="DO348" s="141"/>
      <c r="DP348" s="141"/>
      <c r="DQ348" s="141"/>
      <c r="DR348" s="141"/>
      <c r="DS348" s="141"/>
      <c r="DT348" s="141"/>
      <c r="DU348" s="141"/>
      <c r="DV348" s="141"/>
      <c r="DW348" s="141"/>
      <c r="DX348" s="141"/>
      <c r="DY348" s="141"/>
      <c r="DZ348" s="141"/>
      <c r="EA348" s="141"/>
      <c r="EB348" s="141"/>
      <c r="EC348" s="141"/>
      <c r="ED348" s="141"/>
      <c r="EE348" s="141"/>
      <c r="EF348" s="141"/>
      <c r="EG348" s="141"/>
      <c r="EH348" s="141"/>
      <c r="EI348" s="141"/>
      <c r="EJ348" s="141"/>
      <c r="EK348" s="141"/>
      <c r="EL348" s="141"/>
      <c r="EM348" s="141"/>
      <c r="EN348" s="141"/>
      <c r="EO348" s="141"/>
      <c r="EP348" s="141"/>
      <c r="EQ348" s="141"/>
      <c r="ER348" s="141"/>
      <c r="ES348" s="141"/>
      <c r="ET348" s="141"/>
      <c r="EU348" s="141"/>
      <c r="EV348" s="141"/>
      <c r="EW348" s="141"/>
      <c r="EX348" s="141"/>
      <c r="EY348" s="141"/>
      <c r="EZ348" s="141"/>
      <c r="FA348" s="141"/>
      <c r="FB348" s="141"/>
      <c r="FC348" s="141"/>
      <c r="FD348" s="141"/>
      <c r="FE348" s="141"/>
      <c r="FF348" s="141"/>
      <c r="FG348" s="141"/>
      <c r="FH348" s="141"/>
      <c r="FI348" s="141"/>
      <c r="FJ348" s="141"/>
      <c r="FK348" s="141"/>
      <c r="FL348" s="141"/>
      <c r="FM348" s="141"/>
      <c r="FN348" s="141"/>
    </row>
    <row r="349" spans="1:170" s="178" customFormat="1" ht="10.3" x14ac:dyDescent="0.25">
      <c r="A349" s="170" t="s">
        <v>0</v>
      </c>
      <c r="B349" s="170" t="s">
        <v>479</v>
      </c>
      <c r="C349" s="170" t="s">
        <v>480</v>
      </c>
      <c r="D349" s="172">
        <v>2.1753424657534248</v>
      </c>
      <c r="E349" s="171">
        <v>1.8453599999999999</v>
      </c>
      <c r="F349" s="171">
        <v>1.8</v>
      </c>
      <c r="G349" s="172">
        <v>44.64</v>
      </c>
      <c r="H349" s="171">
        <v>0</v>
      </c>
      <c r="I349" s="171" t="s">
        <v>983</v>
      </c>
      <c r="J349" s="317" t="s">
        <v>955</v>
      </c>
      <c r="K349" s="317" t="s">
        <v>1326</v>
      </c>
      <c r="L349" s="314" t="s">
        <v>1577</v>
      </c>
      <c r="M349" s="314" t="s">
        <v>994</v>
      </c>
      <c r="N349" s="173">
        <v>90</v>
      </c>
      <c r="O349" s="173">
        <v>70</v>
      </c>
      <c r="P349" s="173">
        <v>130</v>
      </c>
      <c r="Q349" s="174">
        <v>108</v>
      </c>
      <c r="R349" s="180">
        <v>45240</v>
      </c>
      <c r="S349" s="175">
        <v>43237</v>
      </c>
      <c r="T349" s="175">
        <v>43237</v>
      </c>
      <c r="U349" s="176">
        <f ca="1">[1]!cb_clause_conversion_2_relativeswapsharemonth(B349)</f>
        <v>6</v>
      </c>
      <c r="V349" s="177"/>
      <c r="W349" s="177"/>
      <c r="X349" s="177"/>
      <c r="Y349" s="177"/>
      <c r="Z349" s="177"/>
      <c r="AA349" s="177"/>
      <c r="AB349" s="177"/>
      <c r="AV349" s="179"/>
      <c r="AW349" s="179"/>
      <c r="AX349" s="179"/>
      <c r="AY349" s="179"/>
      <c r="AZ349" s="179"/>
      <c r="BA349" s="179"/>
      <c r="BB349" s="179"/>
      <c r="BC349" s="179"/>
      <c r="BD349" s="179"/>
      <c r="BE349" s="179"/>
      <c r="BF349" s="179"/>
      <c r="BG349" s="179"/>
      <c r="BH349" s="179"/>
      <c r="BI349" s="179"/>
      <c r="BJ349" s="179"/>
      <c r="BK349" s="179"/>
      <c r="BL349" s="179"/>
      <c r="BM349" s="179"/>
      <c r="BN349" s="179"/>
      <c r="BO349" s="179"/>
      <c r="BP349" s="179"/>
      <c r="BQ349" s="179"/>
      <c r="BR349" s="179"/>
      <c r="BS349" s="179"/>
      <c r="BT349" s="179"/>
      <c r="BU349" s="179"/>
      <c r="BV349" s="179"/>
      <c r="BW349" s="179"/>
      <c r="BX349" s="179"/>
      <c r="BY349" s="179"/>
      <c r="BZ349" s="179"/>
      <c r="CA349" s="179"/>
      <c r="CB349" s="179"/>
      <c r="CC349" s="179"/>
      <c r="CD349" s="179"/>
      <c r="CE349" s="179"/>
      <c r="CF349" s="179"/>
      <c r="CG349" s="179"/>
      <c r="CH349" s="179"/>
      <c r="CI349" s="179"/>
      <c r="CJ349" s="179"/>
      <c r="CK349" s="179"/>
      <c r="CL349" s="179"/>
      <c r="CM349" s="179"/>
      <c r="CN349" s="179"/>
      <c r="CO349" s="179"/>
      <c r="CP349" s="179"/>
      <c r="CQ349" s="179"/>
      <c r="CR349" s="179"/>
      <c r="CS349" s="179"/>
      <c r="CT349" s="179"/>
      <c r="CU349" s="179"/>
      <c r="CV349" s="179"/>
      <c r="CW349" s="179"/>
      <c r="CX349" s="179"/>
      <c r="CY349" s="179"/>
      <c r="CZ349" s="179"/>
      <c r="DA349" s="179"/>
      <c r="DB349" s="179"/>
      <c r="DC349" s="179"/>
      <c r="DD349" s="179"/>
      <c r="DE349" s="179"/>
      <c r="DF349" s="179"/>
      <c r="DG349" s="179"/>
      <c r="DH349" s="179"/>
      <c r="DI349" s="179"/>
      <c r="DJ349" s="179"/>
      <c r="DK349" s="179"/>
      <c r="DL349" s="179"/>
      <c r="DM349" s="179"/>
      <c r="DN349" s="179"/>
      <c r="DO349" s="179"/>
      <c r="DP349" s="179"/>
      <c r="DQ349" s="179"/>
      <c r="DR349" s="179"/>
      <c r="DS349" s="179"/>
      <c r="DT349" s="179"/>
      <c r="DU349" s="179"/>
      <c r="DV349" s="179"/>
      <c r="DW349" s="179"/>
      <c r="DX349" s="179"/>
      <c r="DY349" s="179"/>
      <c r="DZ349" s="179"/>
      <c r="EA349" s="179"/>
      <c r="EB349" s="179"/>
      <c r="EC349" s="179"/>
      <c r="ED349" s="179"/>
      <c r="EE349" s="179"/>
      <c r="EF349" s="179"/>
      <c r="EG349" s="179"/>
      <c r="EH349" s="179"/>
      <c r="EI349" s="179"/>
      <c r="EJ349" s="179"/>
      <c r="EK349" s="179"/>
      <c r="EL349" s="179"/>
      <c r="EM349" s="179"/>
      <c r="EN349" s="179"/>
      <c r="EO349" s="179"/>
      <c r="EP349" s="179"/>
      <c r="EQ349" s="179"/>
      <c r="ER349" s="179"/>
      <c r="ES349" s="179"/>
      <c r="ET349" s="179"/>
      <c r="EU349" s="179"/>
      <c r="EV349" s="179"/>
      <c r="EW349" s="179"/>
      <c r="EX349" s="179"/>
      <c r="EY349" s="179"/>
      <c r="EZ349" s="179"/>
      <c r="FA349" s="179"/>
      <c r="FB349" s="179"/>
      <c r="FC349" s="179"/>
      <c r="FD349" s="179"/>
      <c r="FE349" s="179"/>
      <c r="FF349" s="179"/>
      <c r="FG349" s="179"/>
      <c r="FH349" s="179"/>
      <c r="FI349" s="179"/>
      <c r="FJ349" s="179"/>
      <c r="FK349" s="179"/>
      <c r="FL349" s="179"/>
      <c r="FM349" s="179"/>
      <c r="FN349" s="179"/>
    </row>
    <row r="350" spans="1:170" s="140" customFormat="1" ht="10.3" x14ac:dyDescent="0.25">
      <c r="A350" s="132" t="s">
        <v>0</v>
      </c>
      <c r="B350" s="132" t="s">
        <v>481</v>
      </c>
      <c r="C350" s="132" t="s">
        <v>482</v>
      </c>
      <c r="D350" s="134">
        <v>2.1643835616438354</v>
      </c>
      <c r="E350" s="133">
        <v>2.3331840000000001</v>
      </c>
      <c r="F350" s="133">
        <v>15</v>
      </c>
      <c r="G350" s="134">
        <v>16.96</v>
      </c>
      <c r="H350" s="133">
        <v>0</v>
      </c>
      <c r="I350" s="133" t="s">
        <v>983</v>
      </c>
      <c r="J350" s="318" t="s">
        <v>1082</v>
      </c>
      <c r="K350" s="318" t="s">
        <v>1128</v>
      </c>
      <c r="L350" s="312"/>
      <c r="M350" s="312" t="s">
        <v>945</v>
      </c>
      <c r="N350" s="135">
        <v>90</v>
      </c>
      <c r="O350" s="135">
        <v>70</v>
      </c>
      <c r="P350" s="135">
        <v>130</v>
      </c>
      <c r="Q350" s="136">
        <v>106</v>
      </c>
      <c r="R350" s="137">
        <v>45236</v>
      </c>
      <c r="S350" s="138">
        <v>43231</v>
      </c>
      <c r="T350" s="138">
        <v>43231</v>
      </c>
      <c r="U350" s="181">
        <f ca="1">[1]!cb_clause_conversion_2_relativeswapsharemonth(B350)</f>
        <v>6</v>
      </c>
      <c r="V350" s="139"/>
      <c r="W350" s="139"/>
      <c r="X350" s="139"/>
      <c r="Y350" s="139"/>
      <c r="Z350" s="139"/>
      <c r="AA350" s="139"/>
      <c r="AB350" s="139"/>
      <c r="AV350" s="141"/>
      <c r="AW350" s="141"/>
      <c r="AX350" s="141"/>
      <c r="AY350" s="141"/>
      <c r="AZ350" s="141"/>
      <c r="BA350" s="141"/>
      <c r="BB350" s="141"/>
      <c r="BC350" s="141"/>
      <c r="BD350" s="141"/>
      <c r="BE350" s="141"/>
      <c r="BF350" s="141"/>
      <c r="BG350" s="141"/>
      <c r="BH350" s="141"/>
      <c r="BI350" s="141"/>
      <c r="BJ350" s="141"/>
      <c r="BK350" s="141"/>
      <c r="BL350" s="141"/>
      <c r="BM350" s="141"/>
      <c r="BN350" s="141"/>
      <c r="BO350" s="141"/>
      <c r="BP350" s="141"/>
      <c r="BQ350" s="141"/>
      <c r="BR350" s="141"/>
      <c r="BS350" s="141"/>
      <c r="BT350" s="141"/>
      <c r="BU350" s="141"/>
      <c r="BV350" s="141"/>
      <c r="BW350" s="141"/>
      <c r="BX350" s="141"/>
      <c r="BY350" s="141"/>
      <c r="BZ350" s="141"/>
      <c r="CA350" s="141"/>
      <c r="CB350" s="141"/>
      <c r="CC350" s="141"/>
      <c r="CD350" s="141"/>
      <c r="CE350" s="141"/>
      <c r="CF350" s="141"/>
      <c r="CG350" s="141"/>
      <c r="CH350" s="141"/>
      <c r="CI350" s="141"/>
      <c r="CJ350" s="141"/>
      <c r="CK350" s="141"/>
      <c r="CL350" s="141"/>
      <c r="CM350" s="141"/>
      <c r="CN350" s="141"/>
      <c r="CO350" s="141"/>
      <c r="CP350" s="141"/>
      <c r="CQ350" s="141"/>
      <c r="CR350" s="141"/>
      <c r="CS350" s="141"/>
      <c r="CT350" s="141"/>
      <c r="CU350" s="141"/>
      <c r="CV350" s="141"/>
      <c r="CW350" s="141"/>
      <c r="CX350" s="141"/>
      <c r="CY350" s="141"/>
      <c r="CZ350" s="141"/>
      <c r="DA350" s="141"/>
      <c r="DB350" s="141"/>
      <c r="DC350" s="141"/>
      <c r="DD350" s="141"/>
      <c r="DE350" s="141"/>
      <c r="DF350" s="141"/>
      <c r="DG350" s="141"/>
      <c r="DH350" s="141"/>
      <c r="DI350" s="141"/>
      <c r="DJ350" s="141"/>
      <c r="DK350" s="141"/>
      <c r="DL350" s="141"/>
      <c r="DM350" s="141"/>
      <c r="DN350" s="141"/>
      <c r="DO350" s="141"/>
      <c r="DP350" s="141"/>
      <c r="DQ350" s="141"/>
      <c r="DR350" s="141"/>
      <c r="DS350" s="141"/>
      <c r="DT350" s="141"/>
      <c r="DU350" s="141"/>
      <c r="DV350" s="141"/>
      <c r="DW350" s="141"/>
      <c r="DX350" s="141"/>
      <c r="DY350" s="141"/>
      <c r="DZ350" s="141"/>
      <c r="EA350" s="141"/>
      <c r="EB350" s="141"/>
      <c r="EC350" s="141"/>
      <c r="ED350" s="141"/>
      <c r="EE350" s="141"/>
      <c r="EF350" s="141"/>
      <c r="EG350" s="141"/>
      <c r="EH350" s="141"/>
      <c r="EI350" s="141"/>
      <c r="EJ350" s="141"/>
      <c r="EK350" s="141"/>
      <c r="EL350" s="141"/>
      <c r="EM350" s="141"/>
      <c r="EN350" s="141"/>
      <c r="EO350" s="141"/>
      <c r="EP350" s="141"/>
      <c r="EQ350" s="141"/>
      <c r="ER350" s="141"/>
      <c r="ES350" s="141"/>
      <c r="ET350" s="141"/>
      <c r="EU350" s="141"/>
      <c r="EV350" s="141"/>
      <c r="EW350" s="141"/>
      <c r="EX350" s="141"/>
      <c r="EY350" s="141"/>
      <c r="EZ350" s="141"/>
      <c r="FA350" s="141"/>
      <c r="FB350" s="141"/>
      <c r="FC350" s="141"/>
      <c r="FD350" s="141"/>
      <c r="FE350" s="141"/>
      <c r="FF350" s="141"/>
      <c r="FG350" s="141"/>
      <c r="FH350" s="141"/>
      <c r="FI350" s="141"/>
      <c r="FJ350" s="141"/>
      <c r="FK350" s="141"/>
      <c r="FL350" s="141"/>
      <c r="FM350" s="141"/>
      <c r="FN350" s="141"/>
    </row>
    <row r="351" spans="1:170" s="178" customFormat="1" ht="10.3" x14ac:dyDescent="0.25">
      <c r="A351" s="170" t="s">
        <v>5</v>
      </c>
      <c r="B351" s="170" t="s">
        <v>483</v>
      </c>
      <c r="C351" s="170" t="s">
        <v>484</v>
      </c>
      <c r="D351" s="172">
        <v>2.1643835616438354</v>
      </c>
      <c r="E351" s="171">
        <v>4.0540539999999998</v>
      </c>
      <c r="F351" s="171">
        <v>8.8000000000000007</v>
      </c>
      <c r="G351" s="172">
        <v>7.36</v>
      </c>
      <c r="H351" s="171">
        <v>0</v>
      </c>
      <c r="I351" s="171" t="s">
        <v>957</v>
      </c>
      <c r="J351" s="317" t="s">
        <v>942</v>
      </c>
      <c r="K351" s="317" t="s">
        <v>1387</v>
      </c>
      <c r="L351" s="311"/>
      <c r="M351" s="311" t="s">
        <v>972</v>
      </c>
      <c r="N351" s="173">
        <v>90</v>
      </c>
      <c r="O351" s="173">
        <v>70</v>
      </c>
      <c r="P351" s="173">
        <v>130</v>
      </c>
      <c r="Q351" s="174">
        <v>106</v>
      </c>
      <c r="R351" s="180">
        <v>45236</v>
      </c>
      <c r="S351" s="175">
        <v>43230</v>
      </c>
      <c r="T351" s="175">
        <v>43230</v>
      </c>
      <c r="U351" s="176">
        <f ca="1">[1]!cb_clause_conversion_2_relativeswapsharemonth(B351)</f>
        <v>6</v>
      </c>
      <c r="V351" s="177"/>
      <c r="W351" s="177"/>
      <c r="X351" s="177"/>
      <c r="Y351" s="177"/>
      <c r="Z351" s="177"/>
      <c r="AA351" s="177"/>
      <c r="AB351" s="177"/>
      <c r="AV351" s="179"/>
      <c r="AW351" s="179"/>
      <c r="AX351" s="179"/>
      <c r="AY351" s="179"/>
      <c r="AZ351" s="179"/>
      <c r="BA351" s="179"/>
      <c r="BB351" s="179"/>
      <c r="BC351" s="179"/>
      <c r="BD351" s="179"/>
      <c r="BE351" s="179"/>
      <c r="BF351" s="179"/>
      <c r="BG351" s="179"/>
      <c r="BH351" s="179"/>
      <c r="BI351" s="179"/>
      <c r="BJ351" s="179"/>
      <c r="BK351" s="179"/>
      <c r="BL351" s="179"/>
      <c r="BM351" s="179"/>
      <c r="BN351" s="179"/>
      <c r="BO351" s="179"/>
      <c r="BP351" s="179"/>
      <c r="BQ351" s="179"/>
      <c r="BR351" s="179"/>
      <c r="BS351" s="179"/>
      <c r="BT351" s="179"/>
      <c r="BU351" s="179"/>
      <c r="BV351" s="179"/>
      <c r="BW351" s="179"/>
      <c r="BX351" s="179"/>
      <c r="BY351" s="179"/>
      <c r="BZ351" s="179"/>
      <c r="CA351" s="179"/>
      <c r="CB351" s="179"/>
      <c r="CC351" s="179"/>
      <c r="CD351" s="179"/>
      <c r="CE351" s="179"/>
      <c r="CF351" s="179"/>
      <c r="CG351" s="179"/>
      <c r="CH351" s="179"/>
      <c r="CI351" s="179"/>
      <c r="CJ351" s="179"/>
      <c r="CK351" s="179"/>
      <c r="CL351" s="179"/>
      <c r="CM351" s="179"/>
      <c r="CN351" s="179"/>
      <c r="CO351" s="179"/>
      <c r="CP351" s="179"/>
      <c r="CQ351" s="179"/>
      <c r="CR351" s="179"/>
      <c r="CS351" s="179"/>
      <c r="CT351" s="179"/>
      <c r="CU351" s="179"/>
      <c r="CV351" s="179"/>
      <c r="CW351" s="179"/>
      <c r="CX351" s="179"/>
      <c r="CY351" s="179"/>
      <c r="CZ351" s="179"/>
      <c r="DA351" s="179"/>
      <c r="DB351" s="179"/>
      <c r="DC351" s="179"/>
      <c r="DD351" s="179"/>
      <c r="DE351" s="179"/>
      <c r="DF351" s="179"/>
      <c r="DG351" s="179"/>
      <c r="DH351" s="179"/>
      <c r="DI351" s="179"/>
      <c r="DJ351" s="179"/>
      <c r="DK351" s="179"/>
      <c r="DL351" s="179"/>
      <c r="DM351" s="179"/>
      <c r="DN351" s="179"/>
      <c r="DO351" s="179"/>
      <c r="DP351" s="179"/>
      <c r="DQ351" s="179"/>
      <c r="DR351" s="179"/>
      <c r="DS351" s="179"/>
      <c r="DT351" s="179"/>
      <c r="DU351" s="179"/>
      <c r="DV351" s="179"/>
      <c r="DW351" s="179"/>
      <c r="DX351" s="179"/>
      <c r="DY351" s="179"/>
      <c r="DZ351" s="179"/>
      <c r="EA351" s="179"/>
      <c r="EB351" s="179"/>
      <c r="EC351" s="179"/>
      <c r="ED351" s="179"/>
      <c r="EE351" s="179"/>
      <c r="EF351" s="179"/>
      <c r="EG351" s="179"/>
      <c r="EH351" s="179"/>
      <c r="EI351" s="179"/>
      <c r="EJ351" s="179"/>
      <c r="EK351" s="179"/>
      <c r="EL351" s="179"/>
      <c r="EM351" s="179"/>
      <c r="EN351" s="179"/>
      <c r="EO351" s="179"/>
      <c r="EP351" s="179"/>
      <c r="EQ351" s="179"/>
      <c r="ER351" s="179"/>
      <c r="ES351" s="179"/>
      <c r="ET351" s="179"/>
      <c r="EU351" s="179"/>
      <c r="EV351" s="179"/>
      <c r="EW351" s="179"/>
      <c r="EX351" s="179"/>
      <c r="EY351" s="179"/>
      <c r="EZ351" s="179"/>
      <c r="FA351" s="179"/>
      <c r="FB351" s="179"/>
      <c r="FC351" s="179"/>
      <c r="FD351" s="179"/>
      <c r="FE351" s="179"/>
      <c r="FF351" s="179"/>
      <c r="FG351" s="179"/>
      <c r="FH351" s="179"/>
      <c r="FI351" s="179"/>
      <c r="FJ351" s="179"/>
      <c r="FK351" s="179"/>
      <c r="FL351" s="179"/>
      <c r="FM351" s="179"/>
      <c r="FN351" s="179"/>
    </row>
    <row r="352" spans="1:170" s="140" customFormat="1" ht="10.3" x14ac:dyDescent="0.25">
      <c r="A352" s="132" t="s">
        <v>5</v>
      </c>
      <c r="B352" s="132" t="s">
        <v>485</v>
      </c>
      <c r="C352" s="132" t="s">
        <v>486</v>
      </c>
      <c r="D352" s="134">
        <v>2.1506849315068495</v>
      </c>
      <c r="E352" s="133">
        <v>5.5198510000000001</v>
      </c>
      <c r="F352" s="133">
        <v>6</v>
      </c>
      <c r="G352" s="134">
        <v>21.97</v>
      </c>
      <c r="H352" s="133">
        <v>0</v>
      </c>
      <c r="I352" s="133" t="s">
        <v>939</v>
      </c>
      <c r="J352" s="318" t="s">
        <v>955</v>
      </c>
      <c r="K352" s="318" t="s">
        <v>1322</v>
      </c>
      <c r="L352" s="312"/>
      <c r="M352" s="312" t="s">
        <v>1509</v>
      </c>
      <c r="N352" s="135">
        <v>90</v>
      </c>
      <c r="O352" s="135">
        <v>70</v>
      </c>
      <c r="P352" s="135">
        <v>130</v>
      </c>
      <c r="Q352" s="136">
        <v>106</v>
      </c>
      <c r="R352" s="137">
        <v>45231</v>
      </c>
      <c r="S352" s="138">
        <v>43319</v>
      </c>
      <c r="T352" s="138">
        <v>43319</v>
      </c>
      <c r="U352" s="181">
        <f ca="1">[1]!cb_clause_conversion_2_relativeswapsharemonth(B352)</f>
        <v>9</v>
      </c>
      <c r="V352" s="139"/>
      <c r="W352" s="139"/>
      <c r="X352" s="139"/>
      <c r="Y352" s="139"/>
      <c r="Z352" s="139"/>
      <c r="AA352" s="139"/>
      <c r="AB352" s="139"/>
      <c r="AV352" s="141"/>
      <c r="AW352" s="141"/>
      <c r="AX352" s="141"/>
      <c r="AY352" s="141"/>
      <c r="AZ352" s="141"/>
      <c r="BA352" s="141"/>
      <c r="BB352" s="141"/>
      <c r="BC352" s="141"/>
      <c r="BD352" s="141"/>
      <c r="BE352" s="141"/>
      <c r="BF352" s="141"/>
      <c r="BG352" s="141"/>
      <c r="BH352" s="141"/>
      <c r="BI352" s="141"/>
      <c r="BJ352" s="141"/>
      <c r="BK352" s="141"/>
      <c r="BL352" s="141"/>
      <c r="BM352" s="141"/>
      <c r="BN352" s="141"/>
      <c r="BO352" s="141"/>
      <c r="BP352" s="141"/>
      <c r="BQ352" s="141"/>
      <c r="BR352" s="141"/>
      <c r="BS352" s="141"/>
      <c r="BT352" s="141"/>
      <c r="BU352" s="141"/>
      <c r="BV352" s="141"/>
      <c r="BW352" s="141"/>
      <c r="BX352" s="141"/>
      <c r="BY352" s="141"/>
      <c r="BZ352" s="141"/>
      <c r="CA352" s="141"/>
      <c r="CB352" s="141"/>
      <c r="CC352" s="141"/>
      <c r="CD352" s="141"/>
      <c r="CE352" s="141"/>
      <c r="CF352" s="141"/>
      <c r="CG352" s="141"/>
      <c r="CH352" s="141"/>
      <c r="CI352" s="141"/>
      <c r="CJ352" s="141"/>
      <c r="CK352" s="141"/>
      <c r="CL352" s="141"/>
      <c r="CM352" s="141"/>
      <c r="CN352" s="141"/>
      <c r="CO352" s="141"/>
      <c r="CP352" s="141"/>
      <c r="CQ352" s="141"/>
      <c r="CR352" s="141"/>
      <c r="CS352" s="141"/>
      <c r="CT352" s="141"/>
      <c r="CU352" s="141"/>
      <c r="CV352" s="141"/>
      <c r="CW352" s="141"/>
      <c r="CX352" s="141"/>
      <c r="CY352" s="141"/>
      <c r="CZ352" s="141"/>
      <c r="DA352" s="141"/>
      <c r="DB352" s="141"/>
      <c r="DC352" s="141"/>
      <c r="DD352" s="141"/>
      <c r="DE352" s="141"/>
      <c r="DF352" s="141"/>
      <c r="DG352" s="141"/>
      <c r="DH352" s="141"/>
      <c r="DI352" s="141"/>
      <c r="DJ352" s="141"/>
      <c r="DK352" s="141"/>
      <c r="DL352" s="141"/>
      <c r="DM352" s="141"/>
      <c r="DN352" s="141"/>
      <c r="DO352" s="141"/>
      <c r="DP352" s="141"/>
      <c r="DQ352" s="141"/>
      <c r="DR352" s="141"/>
      <c r="DS352" s="141"/>
      <c r="DT352" s="141"/>
      <c r="DU352" s="141"/>
      <c r="DV352" s="141"/>
      <c r="DW352" s="141"/>
      <c r="DX352" s="141"/>
      <c r="DY352" s="141"/>
      <c r="DZ352" s="141"/>
      <c r="EA352" s="141"/>
      <c r="EB352" s="141"/>
      <c r="EC352" s="141"/>
      <c r="ED352" s="141"/>
      <c r="EE352" s="141"/>
      <c r="EF352" s="141"/>
      <c r="EG352" s="141"/>
      <c r="EH352" s="141"/>
      <c r="EI352" s="141"/>
      <c r="EJ352" s="141"/>
      <c r="EK352" s="141"/>
      <c r="EL352" s="141"/>
      <c r="EM352" s="141"/>
      <c r="EN352" s="141"/>
      <c r="EO352" s="141"/>
      <c r="EP352" s="141"/>
      <c r="EQ352" s="141"/>
      <c r="ER352" s="141"/>
      <c r="ES352" s="141"/>
      <c r="ET352" s="141"/>
      <c r="EU352" s="141"/>
      <c r="EV352" s="141"/>
      <c r="EW352" s="141"/>
      <c r="EX352" s="141"/>
      <c r="EY352" s="141"/>
      <c r="EZ352" s="141"/>
      <c r="FA352" s="141"/>
      <c r="FB352" s="141"/>
      <c r="FC352" s="141"/>
      <c r="FD352" s="141"/>
      <c r="FE352" s="141"/>
      <c r="FF352" s="141"/>
      <c r="FG352" s="141"/>
      <c r="FH352" s="141"/>
      <c r="FI352" s="141"/>
      <c r="FJ352" s="141"/>
      <c r="FK352" s="141"/>
      <c r="FL352" s="141"/>
      <c r="FM352" s="141"/>
      <c r="FN352" s="141"/>
    </row>
    <row r="353" spans="1:170" s="178" customFormat="1" ht="10.3" x14ac:dyDescent="0.25">
      <c r="A353" s="170" t="s">
        <v>0</v>
      </c>
      <c r="B353" s="170" t="s">
        <v>487</v>
      </c>
      <c r="C353" s="170" t="s">
        <v>488</v>
      </c>
      <c r="D353" s="172">
        <v>2.1369863013698631</v>
      </c>
      <c r="E353" s="171">
        <v>18.855732</v>
      </c>
      <c r="F353" s="171">
        <v>30</v>
      </c>
      <c r="G353" s="172">
        <v>8.44</v>
      </c>
      <c r="H353" s="171">
        <v>0</v>
      </c>
      <c r="I353" s="171" t="s">
        <v>939</v>
      </c>
      <c r="J353" s="317" t="s">
        <v>958</v>
      </c>
      <c r="K353" s="317" t="s">
        <v>1274</v>
      </c>
      <c r="L353" s="314"/>
      <c r="M353" s="314" t="s">
        <v>1108</v>
      </c>
      <c r="N353" s="173">
        <v>80</v>
      </c>
      <c r="O353" s="173">
        <v>70</v>
      </c>
      <c r="P353" s="173">
        <v>130</v>
      </c>
      <c r="Q353" s="174">
        <v>106</v>
      </c>
      <c r="R353" s="180">
        <v>45226</v>
      </c>
      <c r="S353" s="175">
        <v>43223</v>
      </c>
      <c r="T353" s="175">
        <v>43223</v>
      </c>
      <c r="U353" s="176">
        <f ca="1">[1]!cb_clause_conversion_2_relativeswapsharemonth(B353)</f>
        <v>6</v>
      </c>
      <c r="V353" s="177"/>
      <c r="W353" s="177"/>
      <c r="X353" s="177"/>
      <c r="Y353" s="177"/>
      <c r="Z353" s="177"/>
      <c r="AA353" s="177"/>
      <c r="AB353" s="177"/>
      <c r="AV353" s="179"/>
      <c r="AW353" s="179"/>
      <c r="AX353" s="179"/>
      <c r="AY353" s="179"/>
      <c r="AZ353" s="179"/>
      <c r="BA353" s="179"/>
      <c r="BB353" s="179"/>
      <c r="BC353" s="179"/>
      <c r="BD353" s="179"/>
      <c r="BE353" s="179"/>
      <c r="BF353" s="179"/>
      <c r="BG353" s="179"/>
      <c r="BH353" s="179"/>
      <c r="BI353" s="179"/>
      <c r="BJ353" s="179"/>
      <c r="BK353" s="179"/>
      <c r="BL353" s="179"/>
      <c r="BM353" s="179"/>
      <c r="BN353" s="179"/>
      <c r="BO353" s="179"/>
      <c r="BP353" s="179"/>
      <c r="BQ353" s="179"/>
      <c r="BR353" s="179"/>
      <c r="BS353" s="179"/>
      <c r="BT353" s="179"/>
      <c r="BU353" s="179"/>
      <c r="BV353" s="179"/>
      <c r="BW353" s="179"/>
      <c r="BX353" s="179"/>
      <c r="BY353" s="179"/>
      <c r="BZ353" s="179"/>
      <c r="CA353" s="179"/>
      <c r="CB353" s="179"/>
      <c r="CC353" s="179"/>
      <c r="CD353" s="179"/>
      <c r="CE353" s="179"/>
      <c r="CF353" s="179"/>
      <c r="CG353" s="179"/>
      <c r="CH353" s="179"/>
      <c r="CI353" s="179"/>
      <c r="CJ353" s="179"/>
      <c r="CK353" s="179"/>
      <c r="CL353" s="179"/>
      <c r="CM353" s="179"/>
      <c r="CN353" s="179"/>
      <c r="CO353" s="179"/>
      <c r="CP353" s="179"/>
      <c r="CQ353" s="179"/>
      <c r="CR353" s="179"/>
      <c r="CS353" s="179"/>
      <c r="CT353" s="179"/>
      <c r="CU353" s="179"/>
      <c r="CV353" s="179"/>
      <c r="CW353" s="179"/>
      <c r="CX353" s="179"/>
      <c r="CY353" s="179"/>
      <c r="CZ353" s="179"/>
      <c r="DA353" s="179"/>
      <c r="DB353" s="179"/>
      <c r="DC353" s="179"/>
      <c r="DD353" s="179"/>
      <c r="DE353" s="179"/>
      <c r="DF353" s="179"/>
      <c r="DG353" s="179"/>
      <c r="DH353" s="179"/>
      <c r="DI353" s="179"/>
      <c r="DJ353" s="179"/>
      <c r="DK353" s="179"/>
      <c r="DL353" s="179"/>
      <c r="DM353" s="179"/>
      <c r="DN353" s="179"/>
      <c r="DO353" s="179"/>
      <c r="DP353" s="179"/>
      <c r="DQ353" s="179"/>
      <c r="DR353" s="179"/>
      <c r="DS353" s="179"/>
      <c r="DT353" s="179"/>
      <c r="DU353" s="179"/>
      <c r="DV353" s="179"/>
      <c r="DW353" s="179"/>
      <c r="DX353" s="179"/>
      <c r="DY353" s="179"/>
      <c r="DZ353" s="179"/>
      <c r="EA353" s="179"/>
      <c r="EB353" s="179"/>
      <c r="EC353" s="179"/>
      <c r="ED353" s="179"/>
      <c r="EE353" s="179"/>
      <c r="EF353" s="179"/>
      <c r="EG353" s="179"/>
      <c r="EH353" s="179"/>
      <c r="EI353" s="179"/>
      <c r="EJ353" s="179"/>
      <c r="EK353" s="179"/>
      <c r="EL353" s="179"/>
      <c r="EM353" s="179"/>
      <c r="EN353" s="179"/>
      <c r="EO353" s="179"/>
      <c r="EP353" s="179"/>
      <c r="EQ353" s="179"/>
      <c r="ER353" s="179"/>
      <c r="ES353" s="179"/>
      <c r="ET353" s="179"/>
      <c r="EU353" s="179"/>
      <c r="EV353" s="179"/>
      <c r="EW353" s="179"/>
      <c r="EX353" s="179"/>
      <c r="EY353" s="179"/>
      <c r="EZ353" s="179"/>
      <c r="FA353" s="179"/>
      <c r="FB353" s="179"/>
      <c r="FC353" s="179"/>
      <c r="FD353" s="179"/>
      <c r="FE353" s="179"/>
      <c r="FF353" s="179"/>
      <c r="FG353" s="179"/>
      <c r="FH353" s="179"/>
      <c r="FI353" s="179"/>
      <c r="FJ353" s="179"/>
      <c r="FK353" s="179"/>
      <c r="FL353" s="179"/>
      <c r="FM353" s="179"/>
      <c r="FN353" s="179"/>
    </row>
    <row r="354" spans="1:170" s="140" customFormat="1" ht="10.3" x14ac:dyDescent="0.25">
      <c r="A354" s="132" t="s">
        <v>5</v>
      </c>
      <c r="B354" s="132" t="s">
        <v>489</v>
      </c>
      <c r="C354" s="132" t="s">
        <v>490</v>
      </c>
      <c r="D354" s="134">
        <v>1.8849315068493151</v>
      </c>
      <c r="E354" s="133">
        <v>1.1611849999999999</v>
      </c>
      <c r="F354" s="133">
        <v>3.5</v>
      </c>
      <c r="G354" s="134">
        <v>8.0500000000000007</v>
      </c>
      <c r="H354" s="133">
        <v>0</v>
      </c>
      <c r="I354" s="133" t="s">
        <v>1049</v>
      </c>
      <c r="J354" s="318" t="s">
        <v>955</v>
      </c>
      <c r="K354" s="318" t="s">
        <v>1463</v>
      </c>
      <c r="L354" s="313"/>
      <c r="M354" s="313" t="s">
        <v>1108</v>
      </c>
      <c r="N354" s="135">
        <v>85</v>
      </c>
      <c r="O354" s="135">
        <v>70</v>
      </c>
      <c r="P354" s="135">
        <v>130</v>
      </c>
      <c r="Q354" s="136">
        <v>106</v>
      </c>
      <c r="R354" s="137">
        <v>45134</v>
      </c>
      <c r="S354" s="138">
        <v>43507</v>
      </c>
      <c r="T354" s="138">
        <v>43507</v>
      </c>
      <c r="U354" s="181">
        <f ca="1">[1]!cb_clause_conversion_2_relativeswapsharemonth(B354)</f>
        <v>6</v>
      </c>
      <c r="V354" s="139"/>
      <c r="W354" s="139"/>
      <c r="X354" s="139"/>
      <c r="Y354" s="139"/>
      <c r="Z354" s="139"/>
      <c r="AA354" s="139"/>
      <c r="AB354" s="139"/>
      <c r="AV354" s="141"/>
      <c r="AW354" s="141"/>
      <c r="AX354" s="141"/>
      <c r="AY354" s="141"/>
      <c r="AZ354" s="141"/>
      <c r="BA354" s="141"/>
      <c r="BB354" s="141"/>
      <c r="BC354" s="141"/>
      <c r="BD354" s="141"/>
      <c r="BE354" s="141"/>
      <c r="BF354" s="141"/>
      <c r="BG354" s="141"/>
      <c r="BH354" s="141"/>
      <c r="BI354" s="141"/>
      <c r="BJ354" s="141"/>
      <c r="BK354" s="141"/>
      <c r="BL354" s="141"/>
      <c r="BM354" s="141"/>
      <c r="BN354" s="141"/>
      <c r="BO354" s="141"/>
      <c r="BP354" s="141"/>
      <c r="BQ354" s="141"/>
      <c r="BR354" s="141"/>
      <c r="BS354" s="141"/>
      <c r="BT354" s="141"/>
      <c r="BU354" s="141"/>
      <c r="BV354" s="141"/>
      <c r="BW354" s="141"/>
      <c r="BX354" s="141"/>
      <c r="BY354" s="141"/>
      <c r="BZ354" s="141"/>
      <c r="CA354" s="141"/>
      <c r="CB354" s="141"/>
      <c r="CC354" s="141"/>
      <c r="CD354" s="141"/>
      <c r="CE354" s="141"/>
      <c r="CF354" s="141"/>
      <c r="CG354" s="141"/>
      <c r="CH354" s="141"/>
      <c r="CI354" s="141"/>
      <c r="CJ354" s="141"/>
      <c r="CK354" s="141"/>
      <c r="CL354" s="141"/>
      <c r="CM354" s="141"/>
      <c r="CN354" s="141"/>
      <c r="CO354" s="141"/>
      <c r="CP354" s="141"/>
      <c r="CQ354" s="141"/>
      <c r="CR354" s="141"/>
      <c r="CS354" s="141"/>
      <c r="CT354" s="141"/>
      <c r="CU354" s="141"/>
      <c r="CV354" s="141"/>
      <c r="CW354" s="141"/>
      <c r="CX354" s="141"/>
      <c r="CY354" s="141"/>
      <c r="CZ354" s="141"/>
      <c r="DA354" s="141"/>
      <c r="DB354" s="141"/>
      <c r="DC354" s="141"/>
      <c r="DD354" s="141"/>
      <c r="DE354" s="141"/>
      <c r="DF354" s="141"/>
      <c r="DG354" s="141"/>
      <c r="DH354" s="141"/>
      <c r="DI354" s="141"/>
      <c r="DJ354" s="141"/>
      <c r="DK354" s="141"/>
      <c r="DL354" s="141"/>
      <c r="DM354" s="141"/>
      <c r="DN354" s="141"/>
      <c r="DO354" s="141"/>
      <c r="DP354" s="141"/>
      <c r="DQ354" s="141"/>
      <c r="DR354" s="141"/>
      <c r="DS354" s="141"/>
      <c r="DT354" s="141"/>
      <c r="DU354" s="141"/>
      <c r="DV354" s="141"/>
      <c r="DW354" s="141"/>
      <c r="DX354" s="141"/>
      <c r="DY354" s="141"/>
      <c r="DZ354" s="141"/>
      <c r="EA354" s="141"/>
      <c r="EB354" s="141"/>
      <c r="EC354" s="141"/>
      <c r="ED354" s="141"/>
      <c r="EE354" s="141"/>
      <c r="EF354" s="141"/>
      <c r="EG354" s="141"/>
      <c r="EH354" s="141"/>
      <c r="EI354" s="141"/>
      <c r="EJ354" s="141"/>
      <c r="EK354" s="141"/>
      <c r="EL354" s="141"/>
      <c r="EM354" s="141"/>
      <c r="EN354" s="141"/>
      <c r="EO354" s="141"/>
      <c r="EP354" s="141"/>
      <c r="EQ354" s="141"/>
      <c r="ER354" s="141"/>
      <c r="ES354" s="141"/>
      <c r="ET354" s="141"/>
      <c r="EU354" s="141"/>
      <c r="EV354" s="141"/>
      <c r="EW354" s="141"/>
      <c r="EX354" s="141"/>
      <c r="EY354" s="141"/>
      <c r="EZ354" s="141"/>
      <c r="FA354" s="141"/>
      <c r="FB354" s="141"/>
      <c r="FC354" s="141"/>
      <c r="FD354" s="141"/>
      <c r="FE354" s="141"/>
      <c r="FF354" s="141"/>
      <c r="FG354" s="141"/>
      <c r="FH354" s="141"/>
      <c r="FI354" s="141"/>
      <c r="FJ354" s="141"/>
      <c r="FK354" s="141"/>
      <c r="FL354" s="141"/>
      <c r="FM354" s="141"/>
      <c r="FN354" s="141"/>
    </row>
    <row r="355" spans="1:170" s="178" customFormat="1" ht="10.3" x14ac:dyDescent="0.25">
      <c r="A355" s="170" t="s">
        <v>0</v>
      </c>
      <c r="B355" s="170" t="s">
        <v>866</v>
      </c>
      <c r="C355" s="170" t="s">
        <v>867</v>
      </c>
      <c r="D355" s="172">
        <v>1.8301369863013699</v>
      </c>
      <c r="E355" s="171">
        <v>69.901809999999998</v>
      </c>
      <c r="F355" s="171">
        <v>70</v>
      </c>
      <c r="G355" s="172">
        <v>18.45</v>
      </c>
      <c r="H355" s="171">
        <v>77</v>
      </c>
      <c r="I355" s="171" t="s">
        <v>953</v>
      </c>
      <c r="J355" s="317" t="s">
        <v>1366</v>
      </c>
      <c r="K355" s="317" t="s">
        <v>978</v>
      </c>
      <c r="L355" s="314"/>
      <c r="M355" s="314" t="s">
        <v>1367</v>
      </c>
      <c r="N355" s="173">
        <v>80</v>
      </c>
      <c r="O355" s="173"/>
      <c r="P355" s="173">
        <v>130</v>
      </c>
      <c r="Q355" s="174">
        <v>105</v>
      </c>
      <c r="R355" s="180">
        <v>45114</v>
      </c>
      <c r="S355" s="175">
        <v>43108</v>
      </c>
      <c r="T355" s="175">
        <v>43108</v>
      </c>
      <c r="U355" s="176">
        <f ca="1">[1]!cb_clause_conversion_2_relativeswapsharemonth(B355)</f>
        <v>6</v>
      </c>
      <c r="V355" s="177"/>
      <c r="W355" s="177"/>
      <c r="X355" s="177"/>
      <c r="Y355" s="177"/>
      <c r="Z355" s="177"/>
      <c r="AA355" s="177"/>
      <c r="AB355" s="177"/>
      <c r="AV355" s="179"/>
      <c r="AW355" s="179"/>
      <c r="AX355" s="179"/>
      <c r="AY355" s="179"/>
      <c r="AZ355" s="179"/>
      <c r="BA355" s="179"/>
      <c r="BB355" s="179"/>
      <c r="BC355" s="179"/>
      <c r="BD355" s="179"/>
      <c r="BE355" s="179"/>
      <c r="BF355" s="179"/>
      <c r="BG355" s="179"/>
      <c r="BH355" s="179"/>
      <c r="BI355" s="179"/>
      <c r="BJ355" s="179"/>
      <c r="BK355" s="179"/>
      <c r="BL355" s="179"/>
      <c r="BM355" s="179"/>
      <c r="BN355" s="179"/>
      <c r="BO355" s="179"/>
      <c r="BP355" s="179"/>
      <c r="BQ355" s="179"/>
      <c r="BR355" s="179"/>
      <c r="BS355" s="179"/>
      <c r="BT355" s="179"/>
      <c r="BU355" s="179"/>
      <c r="BV355" s="179"/>
      <c r="BW355" s="179"/>
      <c r="BX355" s="179"/>
      <c r="BY355" s="179"/>
      <c r="BZ355" s="179"/>
      <c r="CA355" s="179"/>
      <c r="CB355" s="179"/>
      <c r="CC355" s="179"/>
      <c r="CD355" s="179"/>
      <c r="CE355" s="179"/>
      <c r="CF355" s="179"/>
      <c r="CG355" s="179"/>
      <c r="CH355" s="179"/>
      <c r="CI355" s="179"/>
      <c r="CJ355" s="179"/>
      <c r="CK355" s="179"/>
      <c r="CL355" s="179"/>
      <c r="CM355" s="179"/>
      <c r="CN355" s="179"/>
      <c r="CO355" s="179"/>
      <c r="CP355" s="179"/>
      <c r="CQ355" s="179"/>
      <c r="CR355" s="179"/>
      <c r="CS355" s="179"/>
      <c r="CT355" s="179"/>
      <c r="CU355" s="179"/>
      <c r="CV355" s="179"/>
      <c r="CW355" s="179"/>
      <c r="CX355" s="179"/>
      <c r="CY355" s="179"/>
      <c r="CZ355" s="179"/>
      <c r="DA355" s="179"/>
      <c r="DB355" s="179"/>
      <c r="DC355" s="179"/>
      <c r="DD355" s="179"/>
      <c r="DE355" s="179"/>
      <c r="DF355" s="179"/>
      <c r="DG355" s="179"/>
      <c r="DH355" s="179"/>
      <c r="DI355" s="179"/>
      <c r="DJ355" s="179"/>
      <c r="DK355" s="179"/>
      <c r="DL355" s="179"/>
      <c r="DM355" s="179"/>
      <c r="DN355" s="179"/>
      <c r="DO355" s="179"/>
      <c r="DP355" s="179"/>
      <c r="DQ355" s="179"/>
      <c r="DR355" s="179"/>
      <c r="DS355" s="179"/>
      <c r="DT355" s="179"/>
      <c r="DU355" s="179"/>
      <c r="DV355" s="179"/>
      <c r="DW355" s="179"/>
      <c r="DX355" s="179"/>
      <c r="DY355" s="179"/>
      <c r="DZ355" s="179"/>
      <c r="EA355" s="179"/>
      <c r="EB355" s="179"/>
      <c r="EC355" s="179"/>
      <c r="ED355" s="179"/>
      <c r="EE355" s="179"/>
      <c r="EF355" s="179"/>
      <c r="EG355" s="179"/>
      <c r="EH355" s="179"/>
      <c r="EI355" s="179"/>
      <c r="EJ355" s="179"/>
      <c r="EK355" s="179"/>
      <c r="EL355" s="179"/>
      <c r="EM355" s="179"/>
      <c r="EN355" s="179"/>
      <c r="EO355" s="179"/>
      <c r="EP355" s="179"/>
      <c r="EQ355" s="179"/>
      <c r="ER355" s="179"/>
      <c r="ES355" s="179"/>
      <c r="ET355" s="179"/>
      <c r="EU355" s="179"/>
      <c r="EV355" s="179"/>
      <c r="EW355" s="179"/>
      <c r="EX355" s="179"/>
      <c r="EY355" s="179"/>
      <c r="EZ355" s="179"/>
      <c r="FA355" s="179"/>
      <c r="FB355" s="179"/>
      <c r="FC355" s="179"/>
      <c r="FD355" s="179"/>
      <c r="FE355" s="179"/>
      <c r="FF355" s="179"/>
      <c r="FG355" s="179"/>
      <c r="FH355" s="179"/>
      <c r="FI355" s="179"/>
      <c r="FJ355" s="179"/>
      <c r="FK355" s="179"/>
      <c r="FL355" s="179"/>
      <c r="FM355" s="179"/>
      <c r="FN355" s="179"/>
    </row>
    <row r="356" spans="1:170" s="140" customFormat="1" ht="10.3" x14ac:dyDescent="0.25">
      <c r="A356" s="132" t="s">
        <v>5</v>
      </c>
      <c r="B356" s="132" t="s">
        <v>491</v>
      </c>
      <c r="C356" s="132" t="s">
        <v>492</v>
      </c>
      <c r="D356" s="134">
        <v>1.7506849315068493</v>
      </c>
      <c r="E356" s="133">
        <v>7.7953400000000004</v>
      </c>
      <c r="F356" s="133">
        <v>7.8</v>
      </c>
      <c r="G356" s="134">
        <v>6.97</v>
      </c>
      <c r="H356" s="133">
        <v>0</v>
      </c>
      <c r="I356" s="133" t="s">
        <v>1031</v>
      </c>
      <c r="J356" s="318" t="s">
        <v>942</v>
      </c>
      <c r="K356" s="318" t="s">
        <v>1068</v>
      </c>
      <c r="L356" s="312"/>
      <c r="M356" s="312" t="s">
        <v>1135</v>
      </c>
      <c r="N356" s="135">
        <v>90</v>
      </c>
      <c r="O356" s="135">
        <v>70</v>
      </c>
      <c r="P356" s="135">
        <v>130</v>
      </c>
      <c r="Q356" s="136">
        <v>108</v>
      </c>
      <c r="R356" s="137">
        <v>45085</v>
      </c>
      <c r="S356" s="138">
        <v>43084</v>
      </c>
      <c r="T356" s="138">
        <v>43084</v>
      </c>
      <c r="U356" s="181">
        <f ca="1">[1]!cb_clause_conversion_2_relativeswapsharemonth(B356)</f>
        <v>6</v>
      </c>
      <c r="V356" s="139"/>
      <c r="W356" s="139"/>
      <c r="X356" s="139"/>
      <c r="Y356" s="139"/>
      <c r="Z356" s="139"/>
      <c r="AA356" s="139"/>
      <c r="AB356" s="139"/>
      <c r="AV356" s="141"/>
      <c r="AW356" s="141"/>
      <c r="AX356" s="141"/>
      <c r="AY356" s="141"/>
      <c r="AZ356" s="141"/>
      <c r="BA356" s="141"/>
      <c r="BB356" s="141"/>
      <c r="BC356" s="141"/>
      <c r="BD356" s="141"/>
      <c r="BE356" s="141"/>
      <c r="BF356" s="141"/>
      <c r="BG356" s="141"/>
      <c r="BH356" s="141"/>
      <c r="BI356" s="141"/>
      <c r="BJ356" s="141"/>
      <c r="BK356" s="141"/>
      <c r="BL356" s="141"/>
      <c r="BM356" s="141"/>
      <c r="BN356" s="141"/>
      <c r="BO356" s="141"/>
      <c r="BP356" s="141"/>
      <c r="BQ356" s="141"/>
      <c r="BR356" s="141"/>
      <c r="BS356" s="141"/>
      <c r="BT356" s="141"/>
      <c r="BU356" s="141"/>
      <c r="BV356" s="141"/>
      <c r="BW356" s="141"/>
      <c r="BX356" s="141"/>
      <c r="BY356" s="141"/>
      <c r="BZ356" s="141"/>
      <c r="CA356" s="141"/>
      <c r="CB356" s="141"/>
      <c r="CC356" s="141"/>
      <c r="CD356" s="141"/>
      <c r="CE356" s="141"/>
      <c r="CF356" s="141"/>
      <c r="CG356" s="141"/>
      <c r="CH356" s="141"/>
      <c r="CI356" s="141"/>
      <c r="CJ356" s="141"/>
      <c r="CK356" s="141"/>
      <c r="CL356" s="141"/>
      <c r="CM356" s="141"/>
      <c r="CN356" s="141"/>
      <c r="CO356" s="141"/>
      <c r="CP356" s="141"/>
      <c r="CQ356" s="141"/>
      <c r="CR356" s="141"/>
      <c r="CS356" s="141"/>
      <c r="CT356" s="141"/>
      <c r="CU356" s="141"/>
      <c r="CV356" s="141"/>
      <c r="CW356" s="141"/>
      <c r="CX356" s="141"/>
      <c r="CY356" s="141"/>
      <c r="CZ356" s="141"/>
      <c r="DA356" s="141"/>
      <c r="DB356" s="141"/>
      <c r="DC356" s="141"/>
      <c r="DD356" s="141"/>
      <c r="DE356" s="141"/>
      <c r="DF356" s="141"/>
      <c r="DG356" s="141"/>
      <c r="DH356" s="141"/>
      <c r="DI356" s="141"/>
      <c r="DJ356" s="141"/>
      <c r="DK356" s="141"/>
      <c r="DL356" s="141"/>
      <c r="DM356" s="141"/>
      <c r="DN356" s="141"/>
      <c r="DO356" s="141"/>
      <c r="DP356" s="141"/>
      <c r="DQ356" s="141"/>
      <c r="DR356" s="141"/>
      <c r="DS356" s="141"/>
      <c r="DT356" s="141"/>
      <c r="DU356" s="141"/>
      <c r="DV356" s="141"/>
      <c r="DW356" s="141"/>
      <c r="DX356" s="141"/>
      <c r="DY356" s="141"/>
      <c r="DZ356" s="141"/>
      <c r="EA356" s="141"/>
      <c r="EB356" s="141"/>
      <c r="EC356" s="141"/>
      <c r="ED356" s="141"/>
      <c r="EE356" s="141"/>
      <c r="EF356" s="141"/>
      <c r="EG356" s="141"/>
      <c r="EH356" s="141"/>
      <c r="EI356" s="141"/>
      <c r="EJ356" s="141"/>
      <c r="EK356" s="141"/>
      <c r="EL356" s="141"/>
      <c r="EM356" s="141"/>
      <c r="EN356" s="141"/>
      <c r="EO356" s="141"/>
      <c r="EP356" s="141"/>
      <c r="EQ356" s="141"/>
      <c r="ER356" s="141"/>
      <c r="ES356" s="141"/>
      <c r="ET356" s="141"/>
      <c r="EU356" s="141"/>
      <c r="EV356" s="141"/>
      <c r="EW356" s="141"/>
      <c r="EX356" s="141"/>
      <c r="EY356" s="141"/>
      <c r="EZ356" s="141"/>
      <c r="FA356" s="141"/>
      <c r="FB356" s="141"/>
      <c r="FC356" s="141"/>
      <c r="FD356" s="141"/>
      <c r="FE356" s="141"/>
      <c r="FF356" s="141"/>
      <c r="FG356" s="141"/>
      <c r="FH356" s="141"/>
      <c r="FI356" s="141"/>
      <c r="FJ356" s="141"/>
      <c r="FK356" s="141"/>
      <c r="FL356" s="141"/>
      <c r="FM356" s="141"/>
      <c r="FN356" s="141"/>
    </row>
    <row r="357" spans="1:170" s="178" customFormat="1" ht="10.3" x14ac:dyDescent="0.25">
      <c r="A357" s="170" t="s">
        <v>5</v>
      </c>
      <c r="B357" s="170" t="s">
        <v>493</v>
      </c>
      <c r="C357" s="170" t="s">
        <v>494</v>
      </c>
      <c r="D357" s="172">
        <v>1.7342465753424658</v>
      </c>
      <c r="E357" s="171">
        <v>1.313788</v>
      </c>
      <c r="F357" s="171">
        <v>8.1</v>
      </c>
      <c r="G357" s="172">
        <v>7.24</v>
      </c>
      <c r="H357" s="171">
        <v>0</v>
      </c>
      <c r="I357" s="171" t="s">
        <v>983</v>
      </c>
      <c r="J357" s="317" t="s">
        <v>1082</v>
      </c>
      <c r="K357" s="317" t="s">
        <v>1497</v>
      </c>
      <c r="L357" s="314"/>
      <c r="M357" s="314" t="s">
        <v>945</v>
      </c>
      <c r="N357" s="173">
        <v>85</v>
      </c>
      <c r="O357" s="173">
        <v>70</v>
      </c>
      <c r="P357" s="173">
        <v>130</v>
      </c>
      <c r="Q357" s="174">
        <v>110</v>
      </c>
      <c r="R357" s="180">
        <v>45079</v>
      </c>
      <c r="S357" s="175">
        <v>43077</v>
      </c>
      <c r="T357" s="175">
        <v>43077</v>
      </c>
      <c r="U357" s="176">
        <f ca="1">[1]!cb_clause_conversion_2_relativeswapsharemonth(B357)</f>
        <v>6</v>
      </c>
      <c r="V357" s="177"/>
      <c r="W357" s="177"/>
      <c r="X357" s="177"/>
      <c r="Y357" s="177"/>
      <c r="Z357" s="177"/>
      <c r="AA357" s="177"/>
      <c r="AB357" s="177"/>
      <c r="AV357" s="179"/>
      <c r="AW357" s="179"/>
      <c r="AX357" s="179"/>
      <c r="AY357" s="179"/>
      <c r="AZ357" s="179"/>
      <c r="BA357" s="179"/>
      <c r="BB357" s="179"/>
      <c r="BC357" s="179"/>
      <c r="BD357" s="179"/>
      <c r="BE357" s="179"/>
      <c r="BF357" s="179"/>
      <c r="BG357" s="179"/>
      <c r="BH357" s="179"/>
      <c r="BI357" s="179"/>
      <c r="BJ357" s="179"/>
      <c r="BK357" s="179"/>
      <c r="BL357" s="179"/>
      <c r="BM357" s="179"/>
      <c r="BN357" s="179"/>
      <c r="BO357" s="179"/>
      <c r="BP357" s="179"/>
      <c r="BQ357" s="179"/>
      <c r="BR357" s="179"/>
      <c r="BS357" s="179"/>
      <c r="BT357" s="179"/>
      <c r="BU357" s="179"/>
      <c r="BV357" s="179"/>
      <c r="BW357" s="179"/>
      <c r="BX357" s="179"/>
      <c r="BY357" s="179"/>
      <c r="BZ357" s="179"/>
      <c r="CA357" s="179"/>
      <c r="CB357" s="179"/>
      <c r="CC357" s="179"/>
      <c r="CD357" s="179"/>
      <c r="CE357" s="179"/>
      <c r="CF357" s="179"/>
      <c r="CG357" s="179"/>
      <c r="CH357" s="179"/>
      <c r="CI357" s="179"/>
      <c r="CJ357" s="179"/>
      <c r="CK357" s="179"/>
      <c r="CL357" s="179"/>
      <c r="CM357" s="179"/>
      <c r="CN357" s="179"/>
      <c r="CO357" s="179"/>
      <c r="CP357" s="179"/>
      <c r="CQ357" s="179"/>
      <c r="CR357" s="179"/>
      <c r="CS357" s="179"/>
      <c r="CT357" s="179"/>
      <c r="CU357" s="179"/>
      <c r="CV357" s="179"/>
      <c r="CW357" s="179"/>
      <c r="CX357" s="179"/>
      <c r="CY357" s="179"/>
      <c r="CZ357" s="179"/>
      <c r="DA357" s="179"/>
      <c r="DB357" s="179"/>
      <c r="DC357" s="179"/>
      <c r="DD357" s="179"/>
      <c r="DE357" s="179"/>
      <c r="DF357" s="179"/>
      <c r="DG357" s="179"/>
      <c r="DH357" s="179"/>
      <c r="DI357" s="179"/>
      <c r="DJ357" s="179"/>
      <c r="DK357" s="179"/>
      <c r="DL357" s="179"/>
      <c r="DM357" s="179"/>
      <c r="DN357" s="179"/>
      <c r="DO357" s="179"/>
      <c r="DP357" s="179"/>
      <c r="DQ357" s="179"/>
      <c r="DR357" s="179"/>
      <c r="DS357" s="179"/>
      <c r="DT357" s="179"/>
      <c r="DU357" s="179"/>
      <c r="DV357" s="179"/>
      <c r="DW357" s="179"/>
      <c r="DX357" s="179"/>
      <c r="DY357" s="179"/>
      <c r="DZ357" s="179"/>
      <c r="EA357" s="179"/>
      <c r="EB357" s="179"/>
      <c r="EC357" s="179"/>
      <c r="ED357" s="179"/>
      <c r="EE357" s="179"/>
      <c r="EF357" s="179"/>
      <c r="EG357" s="179"/>
      <c r="EH357" s="179"/>
      <c r="EI357" s="179"/>
      <c r="EJ357" s="179"/>
      <c r="EK357" s="179"/>
      <c r="EL357" s="179"/>
      <c r="EM357" s="179"/>
      <c r="EN357" s="179"/>
      <c r="EO357" s="179"/>
      <c r="EP357" s="179"/>
      <c r="EQ357" s="179"/>
      <c r="ER357" s="179"/>
      <c r="ES357" s="179"/>
      <c r="ET357" s="179"/>
      <c r="EU357" s="179"/>
      <c r="EV357" s="179"/>
      <c r="EW357" s="179"/>
      <c r="EX357" s="179"/>
      <c r="EY357" s="179"/>
      <c r="EZ357" s="179"/>
      <c r="FA357" s="179"/>
      <c r="FB357" s="179"/>
      <c r="FC357" s="179"/>
      <c r="FD357" s="179"/>
      <c r="FE357" s="179"/>
      <c r="FF357" s="179"/>
      <c r="FG357" s="179"/>
      <c r="FH357" s="179"/>
      <c r="FI357" s="179"/>
      <c r="FJ357" s="179"/>
      <c r="FK357" s="179"/>
      <c r="FL357" s="179"/>
      <c r="FM357" s="179"/>
      <c r="FN357" s="179"/>
    </row>
    <row r="358" spans="1:170" s="140" customFormat="1" ht="10.3" x14ac:dyDescent="0.25">
      <c r="A358" s="132" t="s">
        <v>396</v>
      </c>
      <c r="B358" s="132" t="s">
        <v>495</v>
      </c>
      <c r="C358" s="132" t="s">
        <v>496</v>
      </c>
      <c r="D358" s="134">
        <v>1.6273972602739726</v>
      </c>
      <c r="E358" s="133">
        <v>23.765876009999999</v>
      </c>
      <c r="F358" s="133">
        <v>35</v>
      </c>
      <c r="G358" s="134">
        <v>7.13</v>
      </c>
      <c r="H358" s="133">
        <v>117</v>
      </c>
      <c r="I358" s="133" t="s">
        <v>941</v>
      </c>
      <c r="J358" s="318" t="s">
        <v>936</v>
      </c>
      <c r="K358" s="318" t="s">
        <v>1055</v>
      </c>
      <c r="L358" s="312"/>
      <c r="M358" s="312" t="s">
        <v>1111</v>
      </c>
      <c r="N358" s="135">
        <v>80</v>
      </c>
      <c r="O358" s="135">
        <v>70</v>
      </c>
      <c r="P358" s="135">
        <v>130</v>
      </c>
      <c r="Q358" s="136">
        <v>106.9</v>
      </c>
      <c r="R358" s="137">
        <v>45040</v>
      </c>
      <c r="S358" s="138">
        <v>43580</v>
      </c>
      <c r="T358" s="138">
        <v>43580</v>
      </c>
      <c r="U358" s="181">
        <f ca="1">[1]!cb_clause_conversion_2_relativeswapsharemonth(B358)</f>
        <v>12</v>
      </c>
      <c r="V358" s="139"/>
      <c r="W358" s="139"/>
      <c r="X358" s="139"/>
      <c r="Y358" s="139"/>
      <c r="Z358" s="139"/>
      <c r="AA358" s="139"/>
      <c r="AB358" s="139"/>
      <c r="AV358" s="141"/>
      <c r="AW358" s="141"/>
      <c r="AX358" s="141"/>
      <c r="AY358" s="141"/>
      <c r="AZ358" s="141"/>
      <c r="BA358" s="141"/>
      <c r="BB358" s="141"/>
      <c r="BC358" s="141"/>
      <c r="BD358" s="141"/>
      <c r="BE358" s="141"/>
      <c r="BF358" s="141"/>
      <c r="BG358" s="141"/>
      <c r="BH358" s="141"/>
      <c r="BI358" s="141"/>
      <c r="BJ358" s="141"/>
      <c r="BK358" s="141"/>
      <c r="BL358" s="141"/>
      <c r="BM358" s="141"/>
      <c r="BN358" s="141"/>
      <c r="BO358" s="141"/>
      <c r="BP358" s="141"/>
      <c r="BQ358" s="141"/>
      <c r="BR358" s="141"/>
      <c r="BS358" s="141"/>
      <c r="BT358" s="141"/>
      <c r="BU358" s="141"/>
      <c r="BV358" s="141"/>
      <c r="BW358" s="141"/>
      <c r="BX358" s="141"/>
      <c r="BY358" s="141"/>
      <c r="BZ358" s="141"/>
      <c r="CA358" s="141"/>
      <c r="CB358" s="141"/>
      <c r="CC358" s="141"/>
      <c r="CD358" s="141"/>
      <c r="CE358" s="141"/>
      <c r="CF358" s="141"/>
      <c r="CG358" s="141"/>
      <c r="CH358" s="141"/>
      <c r="CI358" s="141"/>
      <c r="CJ358" s="141"/>
      <c r="CK358" s="141"/>
      <c r="CL358" s="141"/>
      <c r="CM358" s="141"/>
      <c r="CN358" s="141"/>
      <c r="CO358" s="141"/>
      <c r="CP358" s="141"/>
      <c r="CQ358" s="141"/>
      <c r="CR358" s="141"/>
      <c r="CS358" s="141"/>
      <c r="CT358" s="141"/>
      <c r="CU358" s="141"/>
      <c r="CV358" s="141"/>
      <c r="CW358" s="141"/>
      <c r="CX358" s="141"/>
      <c r="CY358" s="141"/>
      <c r="CZ358" s="141"/>
      <c r="DA358" s="141"/>
      <c r="DB358" s="141"/>
      <c r="DC358" s="141"/>
      <c r="DD358" s="141"/>
      <c r="DE358" s="141"/>
      <c r="DF358" s="141"/>
      <c r="DG358" s="141"/>
      <c r="DH358" s="141"/>
      <c r="DI358" s="141"/>
      <c r="DJ358" s="141"/>
      <c r="DK358" s="141"/>
      <c r="DL358" s="141"/>
      <c r="DM358" s="141"/>
      <c r="DN358" s="141"/>
      <c r="DO358" s="141"/>
      <c r="DP358" s="141"/>
      <c r="DQ358" s="141"/>
      <c r="DR358" s="141"/>
      <c r="DS358" s="141"/>
      <c r="DT358" s="141"/>
      <c r="DU358" s="141"/>
      <c r="DV358" s="141"/>
      <c r="DW358" s="141"/>
      <c r="DX358" s="141"/>
      <c r="DY358" s="141"/>
      <c r="DZ358" s="141"/>
      <c r="EA358" s="141"/>
      <c r="EB358" s="141"/>
      <c r="EC358" s="141"/>
      <c r="ED358" s="141"/>
      <c r="EE358" s="141"/>
      <c r="EF358" s="141"/>
      <c r="EG358" s="141"/>
      <c r="EH358" s="141"/>
      <c r="EI358" s="141"/>
      <c r="EJ358" s="141"/>
      <c r="EK358" s="141"/>
      <c r="EL358" s="141"/>
      <c r="EM358" s="141"/>
      <c r="EN358" s="141"/>
      <c r="EO358" s="141"/>
      <c r="EP358" s="141"/>
      <c r="EQ358" s="141"/>
      <c r="ER358" s="141"/>
      <c r="ES358" s="141"/>
      <c r="ET358" s="141"/>
      <c r="EU358" s="141"/>
      <c r="EV358" s="141"/>
      <c r="EW358" s="141"/>
      <c r="EX358" s="141"/>
      <c r="EY358" s="141"/>
      <c r="EZ358" s="141"/>
      <c r="FA358" s="141"/>
      <c r="FB358" s="141"/>
      <c r="FC358" s="141"/>
      <c r="FD358" s="141"/>
      <c r="FE358" s="141"/>
      <c r="FF358" s="141"/>
      <c r="FG358" s="141"/>
      <c r="FH358" s="141"/>
      <c r="FI358" s="141"/>
      <c r="FJ358" s="141"/>
      <c r="FK358" s="141"/>
      <c r="FL358" s="141"/>
      <c r="FM358" s="141"/>
      <c r="FN358" s="141"/>
    </row>
    <row r="359" spans="1:170" s="178" customFormat="1" ht="10.3" x14ac:dyDescent="0.25">
      <c r="A359" s="170" t="s">
        <v>5</v>
      </c>
      <c r="B359" s="170" t="s">
        <v>497</v>
      </c>
      <c r="C359" s="170" t="s">
        <v>498</v>
      </c>
      <c r="D359" s="172">
        <v>1.6082191780821917</v>
      </c>
      <c r="E359" s="171">
        <v>3.3700950000000001</v>
      </c>
      <c r="F359" s="171">
        <v>3.4</v>
      </c>
      <c r="G359" s="172">
        <v>12.52</v>
      </c>
      <c r="H359" s="171">
        <v>0</v>
      </c>
      <c r="I359" s="171" t="s">
        <v>973</v>
      </c>
      <c r="J359" s="317" t="s">
        <v>942</v>
      </c>
      <c r="K359" s="317" t="s">
        <v>1142</v>
      </c>
      <c r="L359" s="311"/>
      <c r="M359" s="311" t="s">
        <v>995</v>
      </c>
      <c r="N359" s="173">
        <v>90</v>
      </c>
      <c r="O359" s="173">
        <v>70</v>
      </c>
      <c r="P359" s="173">
        <v>130</v>
      </c>
      <c r="Q359" s="174">
        <v>108</v>
      </c>
      <c r="R359" s="180">
        <v>45033</v>
      </c>
      <c r="S359" s="175">
        <v>43031</v>
      </c>
      <c r="T359" s="175">
        <v>43031</v>
      </c>
      <c r="U359" s="176">
        <f ca="1">[1]!cb_clause_conversion_2_relativeswapsharemonth(B359)</f>
        <v>6</v>
      </c>
      <c r="V359" s="177"/>
      <c r="W359" s="177"/>
      <c r="X359" s="177"/>
      <c r="Y359" s="177"/>
      <c r="Z359" s="177"/>
      <c r="AA359" s="177"/>
      <c r="AB359" s="177"/>
      <c r="AV359" s="179"/>
      <c r="AW359" s="179"/>
      <c r="AX359" s="179"/>
      <c r="AY359" s="179"/>
      <c r="AZ359" s="179"/>
      <c r="BA359" s="179"/>
      <c r="BB359" s="179"/>
      <c r="BC359" s="179"/>
      <c r="BD359" s="179"/>
      <c r="BE359" s="179"/>
      <c r="BF359" s="179"/>
      <c r="BG359" s="179"/>
      <c r="BH359" s="179"/>
      <c r="BI359" s="179"/>
      <c r="BJ359" s="179"/>
      <c r="BK359" s="179"/>
      <c r="BL359" s="179"/>
      <c r="BM359" s="179"/>
      <c r="BN359" s="179"/>
      <c r="BO359" s="179"/>
      <c r="BP359" s="179"/>
      <c r="BQ359" s="179"/>
      <c r="BR359" s="179"/>
      <c r="BS359" s="179"/>
      <c r="BT359" s="179"/>
      <c r="BU359" s="179"/>
      <c r="BV359" s="179"/>
      <c r="BW359" s="179"/>
      <c r="BX359" s="179"/>
      <c r="BY359" s="179"/>
      <c r="BZ359" s="179"/>
      <c r="CA359" s="179"/>
      <c r="CB359" s="179"/>
      <c r="CC359" s="179"/>
      <c r="CD359" s="179"/>
      <c r="CE359" s="179"/>
      <c r="CF359" s="179"/>
      <c r="CG359" s="179"/>
      <c r="CH359" s="179"/>
      <c r="CI359" s="179"/>
      <c r="CJ359" s="179"/>
      <c r="CK359" s="179"/>
      <c r="CL359" s="179"/>
      <c r="CM359" s="179"/>
      <c r="CN359" s="179"/>
      <c r="CO359" s="179"/>
      <c r="CP359" s="179"/>
      <c r="CQ359" s="179"/>
      <c r="CR359" s="179"/>
      <c r="CS359" s="179"/>
      <c r="CT359" s="179"/>
      <c r="CU359" s="179"/>
      <c r="CV359" s="179"/>
      <c r="CW359" s="179"/>
      <c r="CX359" s="179"/>
      <c r="CY359" s="179"/>
      <c r="CZ359" s="179"/>
      <c r="DA359" s="179"/>
      <c r="DB359" s="179"/>
      <c r="DC359" s="179"/>
      <c r="DD359" s="179"/>
      <c r="DE359" s="179"/>
      <c r="DF359" s="179"/>
      <c r="DG359" s="179"/>
      <c r="DH359" s="179"/>
      <c r="DI359" s="179"/>
      <c r="DJ359" s="179"/>
      <c r="DK359" s="179"/>
      <c r="DL359" s="179"/>
      <c r="DM359" s="179"/>
      <c r="DN359" s="179"/>
      <c r="DO359" s="179"/>
      <c r="DP359" s="179"/>
      <c r="DQ359" s="179"/>
      <c r="DR359" s="179"/>
      <c r="DS359" s="179"/>
      <c r="DT359" s="179"/>
      <c r="DU359" s="179"/>
      <c r="DV359" s="179"/>
      <c r="DW359" s="179"/>
      <c r="DX359" s="179"/>
      <c r="DY359" s="179"/>
      <c r="DZ359" s="179"/>
      <c r="EA359" s="179"/>
      <c r="EB359" s="179"/>
      <c r="EC359" s="179"/>
      <c r="ED359" s="179"/>
      <c r="EE359" s="179"/>
      <c r="EF359" s="179"/>
      <c r="EG359" s="179"/>
      <c r="EH359" s="179"/>
      <c r="EI359" s="179"/>
      <c r="EJ359" s="179"/>
      <c r="EK359" s="179"/>
      <c r="EL359" s="179"/>
      <c r="EM359" s="179"/>
      <c r="EN359" s="179"/>
      <c r="EO359" s="179"/>
      <c r="EP359" s="179"/>
      <c r="EQ359" s="179"/>
      <c r="ER359" s="179"/>
      <c r="ES359" s="179"/>
      <c r="ET359" s="179"/>
      <c r="EU359" s="179"/>
      <c r="EV359" s="179"/>
      <c r="EW359" s="179"/>
      <c r="EX359" s="179"/>
      <c r="EY359" s="179"/>
      <c r="EZ359" s="179"/>
      <c r="FA359" s="179"/>
      <c r="FB359" s="179"/>
      <c r="FC359" s="179"/>
      <c r="FD359" s="179"/>
      <c r="FE359" s="179"/>
      <c r="FF359" s="179"/>
      <c r="FG359" s="179"/>
      <c r="FH359" s="179"/>
      <c r="FI359" s="179"/>
      <c r="FJ359" s="179"/>
      <c r="FK359" s="179"/>
      <c r="FL359" s="179"/>
      <c r="FM359" s="179"/>
      <c r="FN359" s="179"/>
    </row>
    <row r="360" spans="1:170" s="140" customFormat="1" ht="10.3" x14ac:dyDescent="0.25">
      <c r="A360" s="132" t="s">
        <v>0</v>
      </c>
      <c r="B360" s="132" t="s">
        <v>499</v>
      </c>
      <c r="C360" s="132" t="s">
        <v>500</v>
      </c>
      <c r="D360" s="134">
        <v>1.5424657534246575</v>
      </c>
      <c r="E360" s="133">
        <v>0</v>
      </c>
      <c r="F360" s="133">
        <v>7.2</v>
      </c>
      <c r="G360" s="134">
        <v>9.86</v>
      </c>
      <c r="H360" s="133">
        <v>0</v>
      </c>
      <c r="I360" s="133" t="s">
        <v>939</v>
      </c>
      <c r="J360" s="318" t="s">
        <v>970</v>
      </c>
      <c r="K360" s="318" t="s">
        <v>1422</v>
      </c>
      <c r="L360" s="313"/>
      <c r="M360" s="313" t="s">
        <v>1423</v>
      </c>
      <c r="N360" s="135">
        <v>80</v>
      </c>
      <c r="O360" s="135">
        <v>70</v>
      </c>
      <c r="P360" s="135">
        <v>130</v>
      </c>
      <c r="Q360" s="136">
        <v>105</v>
      </c>
      <c r="R360" s="137">
        <v>45009</v>
      </c>
      <c r="S360" s="138">
        <v>43017</v>
      </c>
      <c r="T360" s="138">
        <v>43017</v>
      </c>
      <c r="U360" s="181">
        <f ca="1">[1]!cb_clause_conversion_2_relativeswapsharemonth(B360)</f>
        <v>6</v>
      </c>
      <c r="V360" s="139"/>
      <c r="W360" s="139"/>
      <c r="X360" s="139"/>
      <c r="Y360" s="139"/>
      <c r="Z360" s="139"/>
      <c r="AA360" s="139"/>
      <c r="AB360" s="139"/>
      <c r="AV360" s="141"/>
      <c r="AW360" s="141"/>
      <c r="AX360" s="141"/>
      <c r="AY360" s="141"/>
      <c r="AZ360" s="141"/>
      <c r="BA360" s="141"/>
      <c r="BB360" s="141"/>
      <c r="BC360" s="141"/>
      <c r="BD360" s="141"/>
      <c r="BE360" s="141"/>
      <c r="BF360" s="141"/>
      <c r="BG360" s="141"/>
      <c r="BH360" s="141"/>
      <c r="BI360" s="141"/>
      <c r="BJ360" s="141"/>
      <c r="BK360" s="141"/>
      <c r="BL360" s="141"/>
      <c r="BM360" s="141"/>
      <c r="BN360" s="141"/>
      <c r="BO360" s="141"/>
      <c r="BP360" s="141"/>
      <c r="BQ360" s="141"/>
      <c r="BR360" s="141"/>
      <c r="BS360" s="141"/>
      <c r="BT360" s="141"/>
      <c r="BU360" s="141"/>
      <c r="BV360" s="141"/>
      <c r="BW360" s="141"/>
      <c r="BX360" s="141"/>
      <c r="BY360" s="141"/>
      <c r="BZ360" s="141"/>
      <c r="CA360" s="141"/>
      <c r="CB360" s="141"/>
      <c r="CC360" s="141"/>
      <c r="CD360" s="141"/>
      <c r="CE360" s="141"/>
      <c r="CF360" s="141"/>
      <c r="CG360" s="141"/>
      <c r="CH360" s="141"/>
      <c r="CI360" s="141"/>
      <c r="CJ360" s="141"/>
      <c r="CK360" s="141"/>
      <c r="CL360" s="141"/>
      <c r="CM360" s="141"/>
      <c r="CN360" s="141"/>
      <c r="CO360" s="141"/>
      <c r="CP360" s="141"/>
      <c r="CQ360" s="141"/>
      <c r="CR360" s="141"/>
      <c r="CS360" s="141"/>
      <c r="CT360" s="141"/>
      <c r="CU360" s="141"/>
      <c r="CV360" s="141"/>
      <c r="CW360" s="141"/>
      <c r="CX360" s="141"/>
      <c r="CY360" s="141"/>
      <c r="CZ360" s="141"/>
      <c r="DA360" s="141"/>
      <c r="DB360" s="141"/>
      <c r="DC360" s="141"/>
      <c r="DD360" s="141"/>
      <c r="DE360" s="141"/>
      <c r="DF360" s="141"/>
      <c r="DG360" s="141"/>
      <c r="DH360" s="141"/>
      <c r="DI360" s="141"/>
      <c r="DJ360" s="141"/>
      <c r="DK360" s="141"/>
      <c r="DL360" s="141"/>
      <c r="DM360" s="141"/>
      <c r="DN360" s="141"/>
      <c r="DO360" s="141"/>
      <c r="DP360" s="141"/>
      <c r="DQ360" s="141"/>
      <c r="DR360" s="141"/>
      <c r="DS360" s="141"/>
      <c r="DT360" s="141"/>
      <c r="DU360" s="141"/>
      <c r="DV360" s="141"/>
      <c r="DW360" s="141"/>
      <c r="DX360" s="141"/>
      <c r="DY360" s="141"/>
      <c r="DZ360" s="141"/>
      <c r="EA360" s="141"/>
      <c r="EB360" s="141"/>
      <c r="EC360" s="141"/>
      <c r="ED360" s="141"/>
      <c r="EE360" s="141"/>
      <c r="EF360" s="141"/>
      <c r="EG360" s="141"/>
      <c r="EH360" s="141"/>
      <c r="EI360" s="141"/>
      <c r="EJ360" s="141"/>
      <c r="EK360" s="141"/>
      <c r="EL360" s="141"/>
      <c r="EM360" s="141"/>
      <c r="EN360" s="141"/>
      <c r="EO360" s="141"/>
      <c r="EP360" s="141"/>
      <c r="EQ360" s="141"/>
      <c r="ER360" s="141"/>
      <c r="ES360" s="141"/>
      <c r="ET360" s="141"/>
      <c r="EU360" s="141"/>
      <c r="EV360" s="141"/>
      <c r="EW360" s="141"/>
      <c r="EX360" s="141"/>
      <c r="EY360" s="141"/>
      <c r="EZ360" s="141"/>
      <c r="FA360" s="141"/>
      <c r="FB360" s="141"/>
      <c r="FC360" s="141"/>
      <c r="FD360" s="141"/>
      <c r="FE360" s="141"/>
      <c r="FF360" s="141"/>
      <c r="FG360" s="141"/>
      <c r="FH360" s="141"/>
      <c r="FI360" s="141"/>
      <c r="FJ360" s="141"/>
      <c r="FK360" s="141"/>
      <c r="FL360" s="141"/>
      <c r="FM360" s="141"/>
      <c r="FN360" s="141"/>
    </row>
    <row r="361" spans="1:170" s="178" customFormat="1" ht="10.3" x14ac:dyDescent="0.25">
      <c r="A361" s="170" t="s">
        <v>0</v>
      </c>
      <c r="B361" s="170" t="s">
        <v>864</v>
      </c>
      <c r="C361" s="170" t="s">
        <v>865</v>
      </c>
      <c r="D361" s="172">
        <v>1.5232876712328767</v>
      </c>
      <c r="E361" s="171">
        <v>241.9888</v>
      </c>
      <c r="F361" s="171">
        <v>300</v>
      </c>
      <c r="G361" s="172">
        <v>3.55</v>
      </c>
      <c r="H361" s="171">
        <v>72</v>
      </c>
      <c r="I361" s="171" t="s">
        <v>941</v>
      </c>
      <c r="J361" s="317" t="s">
        <v>1775</v>
      </c>
      <c r="K361" s="317" t="s">
        <v>1323</v>
      </c>
      <c r="L361" s="311"/>
      <c r="M361" s="311" t="s">
        <v>1324</v>
      </c>
      <c r="N361" s="173">
        <v>80</v>
      </c>
      <c r="O361" s="173"/>
      <c r="P361" s="173">
        <v>130</v>
      </c>
      <c r="Q361" s="174">
        <v>105</v>
      </c>
      <c r="R361" s="180">
        <v>45002</v>
      </c>
      <c r="S361" s="175">
        <v>42996</v>
      </c>
      <c r="T361" s="175">
        <v>42996</v>
      </c>
      <c r="U361" s="176">
        <f ca="1">[1]!cb_clause_conversion_2_relativeswapsharemonth(B361)</f>
        <v>6</v>
      </c>
      <c r="V361" s="177"/>
      <c r="W361" s="177"/>
      <c r="X361" s="177"/>
      <c r="Y361" s="177"/>
      <c r="Z361" s="177"/>
      <c r="AA361" s="177"/>
      <c r="AB361" s="177"/>
      <c r="AV361" s="179"/>
      <c r="AW361" s="179"/>
      <c r="AX361" s="179"/>
      <c r="AY361" s="179"/>
      <c r="AZ361" s="179"/>
      <c r="BA361" s="179"/>
      <c r="BB361" s="179"/>
      <c r="BC361" s="179"/>
      <c r="BD361" s="179"/>
      <c r="BE361" s="179"/>
      <c r="BF361" s="179"/>
      <c r="BG361" s="179"/>
      <c r="BH361" s="179"/>
      <c r="BI361" s="179"/>
      <c r="BJ361" s="179"/>
      <c r="BK361" s="179"/>
      <c r="BL361" s="179"/>
      <c r="BM361" s="179"/>
      <c r="BN361" s="179"/>
      <c r="BO361" s="179"/>
      <c r="BP361" s="179"/>
      <c r="BQ361" s="179"/>
      <c r="BR361" s="179"/>
      <c r="BS361" s="179"/>
      <c r="BT361" s="179"/>
      <c r="BU361" s="179"/>
      <c r="BV361" s="179"/>
      <c r="BW361" s="179"/>
      <c r="BX361" s="179"/>
      <c r="BY361" s="179"/>
      <c r="BZ361" s="179"/>
      <c r="CA361" s="179"/>
      <c r="CB361" s="179"/>
      <c r="CC361" s="179"/>
      <c r="CD361" s="179"/>
      <c r="CE361" s="179"/>
      <c r="CF361" s="179"/>
      <c r="CG361" s="179"/>
      <c r="CH361" s="179"/>
      <c r="CI361" s="179"/>
      <c r="CJ361" s="179"/>
      <c r="CK361" s="179"/>
      <c r="CL361" s="179"/>
      <c r="CM361" s="179"/>
      <c r="CN361" s="179"/>
      <c r="CO361" s="179"/>
      <c r="CP361" s="179"/>
      <c r="CQ361" s="179"/>
      <c r="CR361" s="179"/>
      <c r="CS361" s="179"/>
      <c r="CT361" s="179"/>
      <c r="CU361" s="179"/>
      <c r="CV361" s="179"/>
      <c r="CW361" s="179"/>
      <c r="CX361" s="179"/>
      <c r="CY361" s="179"/>
      <c r="CZ361" s="179"/>
      <c r="DA361" s="179"/>
      <c r="DB361" s="179"/>
      <c r="DC361" s="179"/>
      <c r="DD361" s="179"/>
      <c r="DE361" s="179"/>
      <c r="DF361" s="179"/>
      <c r="DG361" s="179"/>
      <c r="DH361" s="179"/>
      <c r="DI361" s="179"/>
      <c r="DJ361" s="179"/>
      <c r="DK361" s="179"/>
      <c r="DL361" s="179"/>
      <c r="DM361" s="179"/>
      <c r="DN361" s="179"/>
      <c r="DO361" s="179"/>
      <c r="DP361" s="179"/>
      <c r="DQ361" s="179"/>
      <c r="DR361" s="179"/>
      <c r="DS361" s="179"/>
      <c r="DT361" s="179"/>
      <c r="DU361" s="179"/>
      <c r="DV361" s="179"/>
      <c r="DW361" s="179"/>
      <c r="DX361" s="179"/>
      <c r="DY361" s="179"/>
      <c r="DZ361" s="179"/>
      <c r="EA361" s="179"/>
      <c r="EB361" s="179"/>
      <c r="EC361" s="179"/>
      <c r="ED361" s="179"/>
      <c r="EE361" s="179"/>
      <c r="EF361" s="179"/>
      <c r="EG361" s="179"/>
      <c r="EH361" s="179"/>
      <c r="EI361" s="179"/>
      <c r="EJ361" s="179"/>
      <c r="EK361" s="179"/>
      <c r="EL361" s="179"/>
      <c r="EM361" s="179"/>
      <c r="EN361" s="179"/>
      <c r="EO361" s="179"/>
      <c r="EP361" s="179"/>
      <c r="EQ361" s="179"/>
      <c r="ER361" s="179"/>
      <c r="ES361" s="179"/>
      <c r="ET361" s="179"/>
      <c r="EU361" s="179"/>
      <c r="EV361" s="179"/>
      <c r="EW361" s="179"/>
      <c r="EX361" s="179"/>
      <c r="EY361" s="179"/>
      <c r="EZ361" s="179"/>
      <c r="FA361" s="179"/>
      <c r="FB361" s="179"/>
      <c r="FC361" s="179"/>
      <c r="FD361" s="179"/>
      <c r="FE361" s="179"/>
      <c r="FF361" s="179"/>
      <c r="FG361" s="179"/>
      <c r="FH361" s="179"/>
      <c r="FI361" s="179"/>
      <c r="FJ361" s="179"/>
      <c r="FK361" s="179"/>
      <c r="FL361" s="179"/>
      <c r="FM361" s="179"/>
      <c r="FN361" s="179"/>
    </row>
    <row r="362" spans="1:170" s="140" customFormat="1" ht="10.3" x14ac:dyDescent="0.25">
      <c r="A362" s="132" t="s">
        <v>396</v>
      </c>
      <c r="B362" s="132" t="s">
        <v>501</v>
      </c>
      <c r="C362" s="132" t="s">
        <v>502</v>
      </c>
      <c r="D362" s="134">
        <v>1.4027397260273973</v>
      </c>
      <c r="E362" s="133">
        <v>200</v>
      </c>
      <c r="F362" s="133">
        <v>200</v>
      </c>
      <c r="G362" s="134">
        <v>8.52</v>
      </c>
      <c r="H362" s="133">
        <v>69</v>
      </c>
      <c r="I362" s="133" t="s">
        <v>941</v>
      </c>
      <c r="J362" s="318" t="s">
        <v>1789</v>
      </c>
      <c r="K362" s="318" t="s">
        <v>1143</v>
      </c>
      <c r="L362" s="312"/>
      <c r="M362" s="312" t="s">
        <v>1382</v>
      </c>
      <c r="N362" s="135">
        <v>80</v>
      </c>
      <c r="O362" s="135">
        <v>70</v>
      </c>
      <c r="P362" s="135">
        <v>130</v>
      </c>
      <c r="Q362" s="136">
        <v>106.4</v>
      </c>
      <c r="R362" s="137">
        <v>44958</v>
      </c>
      <c r="S362" s="138">
        <v>43507</v>
      </c>
      <c r="T362" s="138">
        <v>43507</v>
      </c>
      <c r="U362" s="181">
        <f ca="1">[1]!cb_clause_conversion_2_relativeswapsharemonth(B362)</f>
        <v>12</v>
      </c>
      <c r="V362" s="139"/>
      <c r="W362" s="139"/>
      <c r="X362" s="139"/>
      <c r="Y362" s="139"/>
      <c r="Z362" s="139"/>
      <c r="AA362" s="139"/>
      <c r="AB362" s="139"/>
      <c r="AV362" s="141"/>
      <c r="AW362" s="141"/>
      <c r="AX362" s="141"/>
      <c r="AY362" s="141"/>
      <c r="AZ362" s="141"/>
      <c r="BA362" s="141"/>
      <c r="BB362" s="141"/>
      <c r="BC362" s="141"/>
      <c r="BD362" s="141"/>
      <c r="BE362" s="141"/>
      <c r="BF362" s="141"/>
      <c r="BG362" s="141"/>
      <c r="BH362" s="141"/>
      <c r="BI362" s="141"/>
      <c r="BJ362" s="141"/>
      <c r="BK362" s="141"/>
      <c r="BL362" s="141"/>
      <c r="BM362" s="141"/>
      <c r="BN362" s="141"/>
      <c r="BO362" s="141"/>
      <c r="BP362" s="141"/>
      <c r="BQ362" s="141"/>
      <c r="BR362" s="141"/>
      <c r="BS362" s="141"/>
      <c r="BT362" s="141"/>
      <c r="BU362" s="141"/>
      <c r="BV362" s="141"/>
      <c r="BW362" s="141"/>
      <c r="BX362" s="141"/>
      <c r="BY362" s="141"/>
      <c r="BZ362" s="141"/>
      <c r="CA362" s="141"/>
      <c r="CB362" s="141"/>
      <c r="CC362" s="141"/>
      <c r="CD362" s="141"/>
      <c r="CE362" s="141"/>
      <c r="CF362" s="141"/>
      <c r="CG362" s="141"/>
      <c r="CH362" s="141"/>
      <c r="CI362" s="141"/>
      <c r="CJ362" s="141"/>
      <c r="CK362" s="141"/>
      <c r="CL362" s="141"/>
      <c r="CM362" s="141"/>
      <c r="CN362" s="141"/>
      <c r="CO362" s="141"/>
      <c r="CP362" s="141"/>
      <c r="CQ362" s="141"/>
      <c r="CR362" s="141"/>
      <c r="CS362" s="141"/>
      <c r="CT362" s="141"/>
      <c r="CU362" s="141"/>
      <c r="CV362" s="141"/>
      <c r="CW362" s="141"/>
      <c r="CX362" s="141"/>
      <c r="CY362" s="141"/>
      <c r="CZ362" s="141"/>
      <c r="DA362" s="141"/>
      <c r="DB362" s="141"/>
      <c r="DC362" s="141"/>
      <c r="DD362" s="141"/>
      <c r="DE362" s="141"/>
      <c r="DF362" s="141"/>
      <c r="DG362" s="141"/>
      <c r="DH362" s="141"/>
      <c r="DI362" s="141"/>
      <c r="DJ362" s="141"/>
      <c r="DK362" s="141"/>
      <c r="DL362" s="141"/>
      <c r="DM362" s="141"/>
      <c r="DN362" s="141"/>
      <c r="DO362" s="141"/>
      <c r="DP362" s="141"/>
      <c r="DQ362" s="141"/>
      <c r="DR362" s="141"/>
      <c r="DS362" s="141"/>
      <c r="DT362" s="141"/>
      <c r="DU362" s="141"/>
      <c r="DV362" s="141"/>
      <c r="DW362" s="141"/>
      <c r="DX362" s="141"/>
      <c r="DY362" s="141"/>
      <c r="DZ362" s="141"/>
      <c r="EA362" s="141"/>
      <c r="EB362" s="141"/>
      <c r="EC362" s="141"/>
      <c r="ED362" s="141"/>
      <c r="EE362" s="141"/>
      <c r="EF362" s="141"/>
      <c r="EG362" s="141"/>
      <c r="EH362" s="141"/>
      <c r="EI362" s="141"/>
      <c r="EJ362" s="141"/>
      <c r="EK362" s="141"/>
      <c r="EL362" s="141"/>
      <c r="EM362" s="141"/>
      <c r="EN362" s="141"/>
      <c r="EO362" s="141"/>
      <c r="EP362" s="141"/>
      <c r="EQ362" s="141"/>
      <c r="ER362" s="141"/>
      <c r="ES362" s="141"/>
      <c r="ET362" s="141"/>
      <c r="EU362" s="141"/>
      <c r="EV362" s="141"/>
      <c r="EW362" s="141"/>
      <c r="EX362" s="141"/>
      <c r="EY362" s="141"/>
      <c r="EZ362" s="141"/>
      <c r="FA362" s="141"/>
      <c r="FB362" s="141"/>
      <c r="FC362" s="141"/>
      <c r="FD362" s="141"/>
      <c r="FE362" s="141"/>
      <c r="FF362" s="141"/>
      <c r="FG362" s="141"/>
      <c r="FH362" s="141"/>
      <c r="FI362" s="141"/>
      <c r="FJ362" s="141"/>
      <c r="FK362" s="141"/>
      <c r="FL362" s="141"/>
      <c r="FM362" s="141"/>
      <c r="FN362" s="141"/>
    </row>
    <row r="363" spans="1:170" s="178" customFormat="1" ht="10.3" x14ac:dyDescent="0.25">
      <c r="A363" s="170" t="s">
        <v>5</v>
      </c>
      <c r="B363" s="170" t="s">
        <v>503</v>
      </c>
      <c r="C363" s="170" t="s">
        <v>504</v>
      </c>
      <c r="D363" s="172">
        <v>1.2904109589041095</v>
      </c>
      <c r="E363" s="171">
        <v>9.0870180000000005</v>
      </c>
      <c r="F363" s="171">
        <v>12</v>
      </c>
      <c r="G363" s="172">
        <v>8.4499999999999993</v>
      </c>
      <c r="H363" s="171">
        <v>0</v>
      </c>
      <c r="I363" s="171" t="s">
        <v>935</v>
      </c>
      <c r="J363" s="317" t="s">
        <v>951</v>
      </c>
      <c r="K363" s="317" t="s">
        <v>1243</v>
      </c>
      <c r="L363" s="311"/>
      <c r="M363" s="311" t="s">
        <v>1510</v>
      </c>
      <c r="N363" s="173">
        <v>85</v>
      </c>
      <c r="O363" s="173">
        <v>70</v>
      </c>
      <c r="P363" s="173">
        <v>130</v>
      </c>
      <c r="Q363" s="174">
        <v>106</v>
      </c>
      <c r="R363" s="180">
        <v>44917</v>
      </c>
      <c r="S363" s="175">
        <v>43279</v>
      </c>
      <c r="T363" s="175">
        <v>43279</v>
      </c>
      <c r="U363" s="176">
        <f ca="1">[1]!cb_clause_conversion_2_relativeswapsharemonth(B363)</f>
        <v>6</v>
      </c>
      <c r="V363" s="177"/>
      <c r="W363" s="177"/>
      <c r="X363" s="177"/>
      <c r="Y363" s="177"/>
      <c r="Z363" s="177"/>
      <c r="AA363" s="177"/>
      <c r="AB363" s="177"/>
      <c r="AV363" s="179"/>
      <c r="AW363" s="179"/>
      <c r="AX363" s="179"/>
      <c r="AY363" s="179"/>
      <c r="AZ363" s="179"/>
      <c r="BA363" s="179"/>
      <c r="BB363" s="179"/>
      <c r="BC363" s="179"/>
      <c r="BD363" s="179"/>
      <c r="BE363" s="179"/>
      <c r="BF363" s="179"/>
      <c r="BG363" s="179"/>
      <c r="BH363" s="179"/>
      <c r="BI363" s="179"/>
      <c r="BJ363" s="179"/>
      <c r="BK363" s="179"/>
      <c r="BL363" s="179"/>
      <c r="BM363" s="179"/>
      <c r="BN363" s="179"/>
      <c r="BO363" s="179"/>
      <c r="BP363" s="179"/>
      <c r="BQ363" s="179"/>
      <c r="BR363" s="179"/>
      <c r="BS363" s="179"/>
      <c r="BT363" s="179"/>
      <c r="BU363" s="179"/>
      <c r="BV363" s="179"/>
      <c r="BW363" s="179"/>
      <c r="BX363" s="179"/>
      <c r="BY363" s="179"/>
      <c r="BZ363" s="179"/>
      <c r="CA363" s="179"/>
      <c r="CB363" s="179"/>
      <c r="CC363" s="179"/>
      <c r="CD363" s="179"/>
      <c r="CE363" s="179"/>
      <c r="CF363" s="179"/>
      <c r="CG363" s="179"/>
      <c r="CH363" s="179"/>
      <c r="CI363" s="179"/>
      <c r="CJ363" s="179"/>
      <c r="CK363" s="179"/>
      <c r="CL363" s="179"/>
      <c r="CM363" s="179"/>
      <c r="CN363" s="179"/>
      <c r="CO363" s="179"/>
      <c r="CP363" s="179"/>
      <c r="CQ363" s="179"/>
      <c r="CR363" s="179"/>
      <c r="CS363" s="179"/>
      <c r="CT363" s="179"/>
      <c r="CU363" s="179"/>
      <c r="CV363" s="179"/>
      <c r="CW363" s="179"/>
      <c r="CX363" s="179"/>
      <c r="CY363" s="179"/>
      <c r="CZ363" s="179"/>
      <c r="DA363" s="179"/>
      <c r="DB363" s="179"/>
      <c r="DC363" s="179"/>
      <c r="DD363" s="179"/>
      <c r="DE363" s="179"/>
      <c r="DF363" s="179"/>
      <c r="DG363" s="179"/>
      <c r="DH363" s="179"/>
      <c r="DI363" s="179"/>
      <c r="DJ363" s="179"/>
      <c r="DK363" s="179"/>
      <c r="DL363" s="179"/>
      <c r="DM363" s="179"/>
      <c r="DN363" s="179"/>
      <c r="DO363" s="179"/>
      <c r="DP363" s="179"/>
      <c r="DQ363" s="179"/>
      <c r="DR363" s="179"/>
      <c r="DS363" s="179"/>
      <c r="DT363" s="179"/>
      <c r="DU363" s="179"/>
      <c r="DV363" s="179"/>
      <c r="DW363" s="179"/>
      <c r="DX363" s="179"/>
      <c r="DY363" s="179"/>
      <c r="DZ363" s="179"/>
      <c r="EA363" s="179"/>
      <c r="EB363" s="179"/>
      <c r="EC363" s="179"/>
      <c r="ED363" s="179"/>
      <c r="EE363" s="179"/>
      <c r="EF363" s="179"/>
      <c r="EG363" s="179"/>
      <c r="EH363" s="179"/>
      <c r="EI363" s="179"/>
      <c r="EJ363" s="179"/>
      <c r="EK363" s="179"/>
      <c r="EL363" s="179"/>
      <c r="EM363" s="179"/>
      <c r="EN363" s="179"/>
      <c r="EO363" s="179"/>
      <c r="EP363" s="179"/>
      <c r="EQ363" s="179"/>
      <c r="ER363" s="179"/>
      <c r="ES363" s="179"/>
      <c r="ET363" s="179"/>
      <c r="EU363" s="179"/>
      <c r="EV363" s="179"/>
      <c r="EW363" s="179"/>
      <c r="EX363" s="179"/>
      <c r="EY363" s="179"/>
      <c r="EZ363" s="179"/>
      <c r="FA363" s="179"/>
      <c r="FB363" s="179"/>
      <c r="FC363" s="179"/>
      <c r="FD363" s="179"/>
      <c r="FE363" s="179"/>
      <c r="FF363" s="179"/>
      <c r="FG363" s="179"/>
      <c r="FH363" s="179"/>
      <c r="FI363" s="179"/>
      <c r="FJ363" s="179"/>
      <c r="FK363" s="179"/>
      <c r="FL363" s="179"/>
      <c r="FM363" s="179"/>
      <c r="FN363" s="179"/>
    </row>
    <row r="364" spans="1:170" s="140" customFormat="1" ht="10.3" x14ac:dyDescent="0.25">
      <c r="A364" s="132" t="s">
        <v>396</v>
      </c>
      <c r="B364" s="132" t="s">
        <v>505</v>
      </c>
      <c r="C364" s="132" t="s">
        <v>506</v>
      </c>
      <c r="D364" s="134">
        <v>1.2219178082191782</v>
      </c>
      <c r="E364" s="133">
        <v>21</v>
      </c>
      <c r="F364" s="133">
        <v>21</v>
      </c>
      <c r="G364" s="134">
        <v>74.17</v>
      </c>
      <c r="H364" s="133">
        <v>71</v>
      </c>
      <c r="I364" s="133" t="s">
        <v>941</v>
      </c>
      <c r="J364" s="318" t="s">
        <v>946</v>
      </c>
      <c r="K364" s="318" t="s">
        <v>1551</v>
      </c>
      <c r="L364" s="312"/>
      <c r="M364" s="312" t="s">
        <v>1090</v>
      </c>
      <c r="N364" s="135">
        <v>90</v>
      </c>
      <c r="O364" s="135">
        <v>70</v>
      </c>
      <c r="P364" s="135">
        <v>130</v>
      </c>
      <c r="Q364" s="136">
        <v>106.5</v>
      </c>
      <c r="R364" s="137">
        <v>44892</v>
      </c>
      <c r="S364" s="138">
        <v>44162</v>
      </c>
      <c r="T364" s="138">
        <v>44162</v>
      </c>
      <c r="U364" s="181">
        <f ca="1">[1]!cb_clause_conversion_2_relativeswapsharemonth(B364)</f>
        <v>12</v>
      </c>
      <c r="V364" s="139"/>
      <c r="W364" s="139"/>
      <c r="X364" s="139"/>
      <c r="Y364" s="139"/>
      <c r="Z364" s="139"/>
      <c r="AA364" s="139"/>
      <c r="AB364" s="139"/>
      <c r="AV364" s="141"/>
      <c r="AW364" s="141"/>
      <c r="AX364" s="141"/>
      <c r="AY364" s="141"/>
      <c r="AZ364" s="141"/>
      <c r="BA364" s="141"/>
      <c r="BB364" s="141"/>
      <c r="BC364" s="141"/>
      <c r="BD364" s="141"/>
      <c r="BE364" s="141"/>
      <c r="BF364" s="141"/>
      <c r="BG364" s="141"/>
      <c r="BH364" s="141"/>
      <c r="BI364" s="141"/>
      <c r="BJ364" s="141"/>
      <c r="BK364" s="141"/>
      <c r="BL364" s="141"/>
      <c r="BM364" s="141"/>
      <c r="BN364" s="141"/>
      <c r="BO364" s="141"/>
      <c r="BP364" s="141"/>
      <c r="BQ364" s="141"/>
      <c r="BR364" s="141"/>
      <c r="BS364" s="141"/>
      <c r="BT364" s="141"/>
      <c r="BU364" s="141"/>
      <c r="BV364" s="141"/>
      <c r="BW364" s="141"/>
      <c r="BX364" s="141"/>
      <c r="BY364" s="141"/>
      <c r="BZ364" s="141"/>
      <c r="CA364" s="141"/>
      <c r="CB364" s="141"/>
      <c r="CC364" s="141"/>
      <c r="CD364" s="141"/>
      <c r="CE364" s="141"/>
      <c r="CF364" s="141"/>
      <c r="CG364" s="141"/>
      <c r="CH364" s="141"/>
      <c r="CI364" s="141"/>
      <c r="CJ364" s="141"/>
      <c r="CK364" s="141"/>
      <c r="CL364" s="141"/>
      <c r="CM364" s="141"/>
      <c r="CN364" s="141"/>
      <c r="CO364" s="141"/>
      <c r="CP364" s="141"/>
      <c r="CQ364" s="141"/>
      <c r="CR364" s="141"/>
      <c r="CS364" s="141"/>
      <c r="CT364" s="141"/>
      <c r="CU364" s="141"/>
      <c r="CV364" s="141"/>
      <c r="CW364" s="141"/>
      <c r="CX364" s="141"/>
      <c r="CY364" s="141"/>
      <c r="CZ364" s="141"/>
      <c r="DA364" s="141"/>
      <c r="DB364" s="141"/>
      <c r="DC364" s="141"/>
      <c r="DD364" s="141"/>
      <c r="DE364" s="141"/>
      <c r="DF364" s="141"/>
      <c r="DG364" s="141"/>
      <c r="DH364" s="141"/>
      <c r="DI364" s="141"/>
      <c r="DJ364" s="141"/>
      <c r="DK364" s="141"/>
      <c r="DL364" s="141"/>
      <c r="DM364" s="141"/>
      <c r="DN364" s="141"/>
      <c r="DO364" s="141"/>
      <c r="DP364" s="141"/>
      <c r="DQ364" s="141"/>
      <c r="DR364" s="141"/>
      <c r="DS364" s="141"/>
      <c r="DT364" s="141"/>
      <c r="DU364" s="141"/>
      <c r="DV364" s="141"/>
      <c r="DW364" s="141"/>
      <c r="DX364" s="141"/>
      <c r="DY364" s="141"/>
      <c r="DZ364" s="141"/>
      <c r="EA364" s="141"/>
      <c r="EB364" s="141"/>
      <c r="EC364" s="141"/>
      <c r="ED364" s="141"/>
      <c r="EE364" s="141"/>
      <c r="EF364" s="141"/>
      <c r="EG364" s="141"/>
      <c r="EH364" s="141"/>
      <c r="EI364" s="141"/>
      <c r="EJ364" s="141"/>
      <c r="EK364" s="141"/>
      <c r="EL364" s="141"/>
      <c r="EM364" s="141"/>
      <c r="EN364" s="141"/>
      <c r="EO364" s="141"/>
      <c r="EP364" s="141"/>
      <c r="EQ364" s="141"/>
      <c r="ER364" s="141"/>
      <c r="ES364" s="141"/>
      <c r="ET364" s="141"/>
      <c r="EU364" s="141"/>
      <c r="EV364" s="141"/>
      <c r="EW364" s="141"/>
      <c r="EX364" s="141"/>
      <c r="EY364" s="141"/>
      <c r="EZ364" s="141"/>
      <c r="FA364" s="141"/>
      <c r="FB364" s="141"/>
      <c r="FC364" s="141"/>
      <c r="FD364" s="141"/>
      <c r="FE364" s="141"/>
      <c r="FF364" s="141"/>
      <c r="FG364" s="141"/>
      <c r="FH364" s="141"/>
      <c r="FI364" s="141"/>
      <c r="FJ364" s="141"/>
      <c r="FK364" s="141"/>
      <c r="FL364" s="141"/>
      <c r="FM364" s="141"/>
      <c r="FN364" s="141"/>
    </row>
    <row r="365" spans="1:170" s="178" customFormat="1" ht="10.3" x14ac:dyDescent="0.25">
      <c r="A365" s="170" t="s">
        <v>0</v>
      </c>
      <c r="B365" s="170" t="s">
        <v>507</v>
      </c>
      <c r="C365" s="170" t="s">
        <v>508</v>
      </c>
      <c r="D365" s="172">
        <v>1.1835616438356165</v>
      </c>
      <c r="E365" s="171">
        <v>6.30715</v>
      </c>
      <c r="F365" s="171">
        <v>8.4</v>
      </c>
      <c r="G365" s="172">
        <v>23.4</v>
      </c>
      <c r="H365" s="171">
        <v>0</v>
      </c>
      <c r="I365" s="171" t="s">
        <v>939</v>
      </c>
      <c r="J365" s="317" t="s">
        <v>1082</v>
      </c>
      <c r="K365" s="317" t="s">
        <v>1341</v>
      </c>
      <c r="L365" s="314"/>
      <c r="M365" s="314" t="s">
        <v>940</v>
      </c>
      <c r="N365" s="173">
        <v>80</v>
      </c>
      <c r="O365" s="173">
        <v>50</v>
      </c>
      <c r="P365" s="173">
        <v>125</v>
      </c>
      <c r="Q365" s="174">
        <v>106</v>
      </c>
      <c r="R365" s="180">
        <v>44878</v>
      </c>
      <c r="S365" s="175">
        <v>43237</v>
      </c>
      <c r="T365" s="175">
        <v>43237</v>
      </c>
      <c r="U365" s="176">
        <f ca="1">[1]!cb_clause_conversion_2_relativeswapsharemonth(B365)</f>
        <v>6</v>
      </c>
      <c r="V365" s="177"/>
      <c r="W365" s="177"/>
      <c r="X365" s="177"/>
      <c r="Y365" s="177"/>
      <c r="Z365" s="177"/>
      <c r="AA365" s="177"/>
      <c r="AB365" s="177"/>
      <c r="AV365" s="179"/>
      <c r="AW365" s="179"/>
      <c r="AX365" s="179"/>
      <c r="AY365" s="179"/>
      <c r="AZ365" s="179"/>
      <c r="BA365" s="179"/>
      <c r="BB365" s="179"/>
      <c r="BC365" s="179"/>
      <c r="BD365" s="179"/>
      <c r="BE365" s="179"/>
      <c r="BF365" s="179"/>
      <c r="BG365" s="179"/>
      <c r="BH365" s="179"/>
      <c r="BI365" s="179"/>
      <c r="BJ365" s="179"/>
      <c r="BK365" s="179"/>
      <c r="BL365" s="179"/>
      <c r="BM365" s="179"/>
      <c r="BN365" s="179"/>
      <c r="BO365" s="179"/>
      <c r="BP365" s="179"/>
      <c r="BQ365" s="179"/>
      <c r="BR365" s="179"/>
      <c r="BS365" s="179"/>
      <c r="BT365" s="179"/>
      <c r="BU365" s="179"/>
      <c r="BV365" s="179"/>
      <c r="BW365" s="179"/>
      <c r="BX365" s="179"/>
      <c r="BY365" s="179"/>
      <c r="BZ365" s="179"/>
      <c r="CA365" s="179"/>
      <c r="CB365" s="179"/>
      <c r="CC365" s="179"/>
      <c r="CD365" s="179"/>
      <c r="CE365" s="179"/>
      <c r="CF365" s="179"/>
      <c r="CG365" s="179"/>
      <c r="CH365" s="179"/>
      <c r="CI365" s="179"/>
      <c r="CJ365" s="179"/>
      <c r="CK365" s="179"/>
      <c r="CL365" s="179"/>
      <c r="CM365" s="179"/>
      <c r="CN365" s="179"/>
      <c r="CO365" s="179"/>
      <c r="CP365" s="179"/>
      <c r="CQ365" s="179"/>
      <c r="CR365" s="179"/>
      <c r="CS365" s="179"/>
      <c r="CT365" s="179"/>
      <c r="CU365" s="179"/>
      <c r="CV365" s="179"/>
      <c r="CW365" s="179"/>
      <c r="CX365" s="179"/>
      <c r="CY365" s="179"/>
      <c r="CZ365" s="179"/>
      <c r="DA365" s="179"/>
      <c r="DB365" s="179"/>
      <c r="DC365" s="179"/>
      <c r="DD365" s="179"/>
      <c r="DE365" s="179"/>
      <c r="DF365" s="179"/>
      <c r="DG365" s="179"/>
      <c r="DH365" s="179"/>
      <c r="DI365" s="179"/>
      <c r="DJ365" s="179"/>
      <c r="DK365" s="179"/>
      <c r="DL365" s="179"/>
      <c r="DM365" s="179"/>
      <c r="DN365" s="179"/>
      <c r="DO365" s="179"/>
      <c r="DP365" s="179"/>
      <c r="DQ365" s="179"/>
      <c r="DR365" s="179"/>
      <c r="DS365" s="179"/>
      <c r="DT365" s="179"/>
      <c r="DU365" s="179"/>
      <c r="DV365" s="179"/>
      <c r="DW365" s="179"/>
      <c r="DX365" s="179"/>
      <c r="DY365" s="179"/>
      <c r="DZ365" s="179"/>
      <c r="EA365" s="179"/>
      <c r="EB365" s="179"/>
      <c r="EC365" s="179"/>
      <c r="ED365" s="179"/>
      <c r="EE365" s="179"/>
      <c r="EF365" s="179"/>
      <c r="EG365" s="179"/>
      <c r="EH365" s="179"/>
      <c r="EI365" s="179"/>
      <c r="EJ365" s="179"/>
      <c r="EK365" s="179"/>
      <c r="EL365" s="179"/>
      <c r="EM365" s="179"/>
      <c r="EN365" s="179"/>
      <c r="EO365" s="179"/>
      <c r="EP365" s="179"/>
      <c r="EQ365" s="179"/>
      <c r="ER365" s="179"/>
      <c r="ES365" s="179"/>
      <c r="ET365" s="179"/>
      <c r="EU365" s="179"/>
      <c r="EV365" s="179"/>
      <c r="EW365" s="179"/>
      <c r="EX365" s="179"/>
      <c r="EY365" s="179"/>
      <c r="EZ365" s="179"/>
      <c r="FA365" s="179"/>
      <c r="FB365" s="179"/>
      <c r="FC365" s="179"/>
      <c r="FD365" s="179"/>
      <c r="FE365" s="179"/>
      <c r="FF365" s="179"/>
      <c r="FG365" s="179"/>
      <c r="FH365" s="179"/>
      <c r="FI365" s="179"/>
      <c r="FJ365" s="179"/>
      <c r="FK365" s="179"/>
      <c r="FL365" s="179"/>
      <c r="FM365" s="179"/>
      <c r="FN365" s="179"/>
    </row>
    <row r="366" spans="1:170" s="140" customFormat="1" ht="10.3" x14ac:dyDescent="0.25">
      <c r="A366" s="132" t="s">
        <v>396</v>
      </c>
      <c r="B366" s="132" t="s">
        <v>509</v>
      </c>
      <c r="C366" s="132" t="s">
        <v>510</v>
      </c>
      <c r="D366" s="134">
        <v>0.94246575342465755</v>
      </c>
      <c r="E366" s="133">
        <v>24</v>
      </c>
      <c r="F366" s="133">
        <v>24</v>
      </c>
      <c r="G366" s="134">
        <v>23.72</v>
      </c>
      <c r="H366" s="133">
        <v>67</v>
      </c>
      <c r="I366" s="133" t="s">
        <v>953</v>
      </c>
      <c r="J366" s="318" t="s">
        <v>955</v>
      </c>
      <c r="K366" s="318" t="s">
        <v>1391</v>
      </c>
      <c r="L366" s="312"/>
      <c r="M366" s="312" t="s">
        <v>984</v>
      </c>
      <c r="N366" s="135">
        <v>85</v>
      </c>
      <c r="O366" s="135">
        <v>70</v>
      </c>
      <c r="P366" s="135">
        <v>130</v>
      </c>
      <c r="Q366" s="136">
        <v>104</v>
      </c>
      <c r="R366" s="137">
        <v>44790</v>
      </c>
      <c r="S366" s="138">
        <v>43329</v>
      </c>
      <c r="T366" s="138">
        <v>43329</v>
      </c>
      <c r="U366" s="181">
        <f ca="1">[1]!cb_clause_conversion_2_relativeswapsharemonth(B366)</f>
        <v>12</v>
      </c>
      <c r="V366" s="139"/>
      <c r="W366" s="139"/>
      <c r="X366" s="139"/>
      <c r="Y366" s="139"/>
      <c r="Z366" s="139"/>
      <c r="AA366" s="139"/>
      <c r="AB366" s="139"/>
      <c r="AV366" s="141"/>
      <c r="AW366" s="141"/>
      <c r="AX366" s="141"/>
      <c r="AY366" s="141"/>
      <c r="AZ366" s="141"/>
      <c r="BA366" s="141"/>
      <c r="BB366" s="141"/>
      <c r="BC366" s="141"/>
      <c r="BD366" s="141"/>
      <c r="BE366" s="141"/>
      <c r="BF366" s="141"/>
      <c r="BG366" s="141"/>
      <c r="BH366" s="141"/>
      <c r="BI366" s="141"/>
      <c r="BJ366" s="141"/>
      <c r="BK366" s="141"/>
      <c r="BL366" s="141"/>
      <c r="BM366" s="141"/>
      <c r="BN366" s="141"/>
      <c r="BO366" s="141"/>
      <c r="BP366" s="141"/>
      <c r="BQ366" s="141"/>
      <c r="BR366" s="141"/>
      <c r="BS366" s="141"/>
      <c r="BT366" s="141"/>
      <c r="BU366" s="141"/>
      <c r="BV366" s="141"/>
      <c r="BW366" s="141"/>
      <c r="BX366" s="141"/>
      <c r="BY366" s="141"/>
      <c r="BZ366" s="141"/>
      <c r="CA366" s="141"/>
      <c r="CB366" s="141"/>
      <c r="CC366" s="141"/>
      <c r="CD366" s="141"/>
      <c r="CE366" s="141"/>
      <c r="CF366" s="141"/>
      <c r="CG366" s="141"/>
      <c r="CH366" s="141"/>
      <c r="CI366" s="141"/>
      <c r="CJ366" s="141"/>
      <c r="CK366" s="141"/>
      <c r="CL366" s="141"/>
      <c r="CM366" s="141"/>
      <c r="CN366" s="141"/>
      <c r="CO366" s="141"/>
      <c r="CP366" s="141"/>
      <c r="CQ366" s="141"/>
      <c r="CR366" s="141"/>
      <c r="CS366" s="141"/>
      <c r="CT366" s="141"/>
      <c r="CU366" s="141"/>
      <c r="CV366" s="141"/>
      <c r="CW366" s="141"/>
      <c r="CX366" s="141"/>
      <c r="CY366" s="141"/>
      <c r="CZ366" s="141"/>
      <c r="DA366" s="141"/>
      <c r="DB366" s="141"/>
      <c r="DC366" s="141"/>
      <c r="DD366" s="141"/>
      <c r="DE366" s="141"/>
      <c r="DF366" s="141"/>
      <c r="DG366" s="141"/>
      <c r="DH366" s="141"/>
      <c r="DI366" s="141"/>
      <c r="DJ366" s="141"/>
      <c r="DK366" s="141"/>
      <c r="DL366" s="141"/>
      <c r="DM366" s="141"/>
      <c r="DN366" s="141"/>
      <c r="DO366" s="141"/>
      <c r="DP366" s="141"/>
      <c r="DQ366" s="141"/>
      <c r="DR366" s="141"/>
      <c r="DS366" s="141"/>
      <c r="DT366" s="141"/>
      <c r="DU366" s="141"/>
      <c r="DV366" s="141"/>
      <c r="DW366" s="141"/>
      <c r="DX366" s="141"/>
      <c r="DY366" s="141"/>
      <c r="DZ366" s="141"/>
      <c r="EA366" s="141"/>
      <c r="EB366" s="141"/>
      <c r="EC366" s="141"/>
      <c r="ED366" s="141"/>
      <c r="EE366" s="141"/>
      <c r="EF366" s="141"/>
      <c r="EG366" s="141"/>
      <c r="EH366" s="141"/>
      <c r="EI366" s="141"/>
      <c r="EJ366" s="141"/>
      <c r="EK366" s="141"/>
      <c r="EL366" s="141"/>
      <c r="EM366" s="141"/>
      <c r="EN366" s="141"/>
      <c r="EO366" s="141"/>
      <c r="EP366" s="141"/>
      <c r="EQ366" s="141"/>
      <c r="ER366" s="141"/>
      <c r="ES366" s="141"/>
      <c r="ET366" s="141"/>
      <c r="EU366" s="141"/>
      <c r="EV366" s="141"/>
      <c r="EW366" s="141"/>
      <c r="EX366" s="141"/>
      <c r="EY366" s="141"/>
      <c r="EZ366" s="141"/>
      <c r="FA366" s="141"/>
      <c r="FB366" s="141"/>
      <c r="FC366" s="141"/>
      <c r="FD366" s="141"/>
      <c r="FE366" s="141"/>
      <c r="FF366" s="141"/>
      <c r="FG366" s="141"/>
      <c r="FH366" s="141"/>
      <c r="FI366" s="141"/>
      <c r="FJ366" s="141"/>
      <c r="FK366" s="141"/>
      <c r="FL366" s="141"/>
      <c r="FM366" s="141"/>
      <c r="FN366" s="141"/>
    </row>
    <row r="367" spans="1:170" s="178" customFormat="1" ht="10.3" x14ac:dyDescent="0.25">
      <c r="A367" s="170" t="s">
        <v>5</v>
      </c>
      <c r="B367" s="170" t="s">
        <v>511</v>
      </c>
      <c r="C367" s="170" t="s">
        <v>512</v>
      </c>
      <c r="D367" s="172">
        <v>0.8904109589041096</v>
      </c>
      <c r="E367" s="171">
        <v>11.533046000000001</v>
      </c>
      <c r="F367" s="171">
        <v>12</v>
      </c>
      <c r="G367" s="172">
        <v>2.3199999999999998</v>
      </c>
      <c r="H367" s="171">
        <v>0</v>
      </c>
      <c r="I367" s="171" t="s">
        <v>1790</v>
      </c>
      <c r="J367" s="317" t="s">
        <v>951</v>
      </c>
      <c r="K367" s="317" t="s">
        <v>1131</v>
      </c>
      <c r="L367" s="311"/>
      <c r="M367" s="311" t="s">
        <v>1048</v>
      </c>
      <c r="N367" s="173">
        <v>80</v>
      </c>
      <c r="O367" s="173">
        <v>70</v>
      </c>
      <c r="P367" s="173">
        <v>130</v>
      </c>
      <c r="Q367" s="174">
        <v>108</v>
      </c>
      <c r="R367" s="180">
        <v>44771</v>
      </c>
      <c r="S367" s="175">
        <v>42772</v>
      </c>
      <c r="T367" s="175">
        <v>42772</v>
      </c>
      <c r="U367" s="176">
        <f ca="1">[1]!cb_clause_conversion_2_relativeswapsharemonth(B367)</f>
        <v>6</v>
      </c>
      <c r="V367" s="177"/>
      <c r="W367" s="177"/>
      <c r="X367" s="177"/>
      <c r="Y367" s="177"/>
      <c r="Z367" s="177"/>
      <c r="AA367" s="177"/>
      <c r="AB367" s="177"/>
      <c r="AV367" s="179"/>
      <c r="AW367" s="179"/>
      <c r="AX367" s="179"/>
      <c r="AY367" s="179"/>
      <c r="AZ367" s="179"/>
      <c r="BA367" s="179"/>
      <c r="BB367" s="179"/>
      <c r="BC367" s="179"/>
      <c r="BD367" s="179"/>
      <c r="BE367" s="179"/>
      <c r="BF367" s="179"/>
      <c r="BG367" s="179"/>
      <c r="BH367" s="179"/>
      <c r="BI367" s="179"/>
      <c r="BJ367" s="179"/>
      <c r="BK367" s="179"/>
      <c r="BL367" s="179"/>
      <c r="BM367" s="179"/>
      <c r="BN367" s="179"/>
      <c r="BO367" s="179"/>
      <c r="BP367" s="179"/>
      <c r="BQ367" s="179"/>
      <c r="BR367" s="179"/>
      <c r="BS367" s="179"/>
      <c r="BT367" s="179"/>
      <c r="BU367" s="179"/>
      <c r="BV367" s="179"/>
      <c r="BW367" s="179"/>
      <c r="BX367" s="179"/>
      <c r="BY367" s="179"/>
      <c r="BZ367" s="179"/>
      <c r="CA367" s="179"/>
      <c r="CB367" s="179"/>
      <c r="CC367" s="179"/>
      <c r="CD367" s="179"/>
      <c r="CE367" s="179"/>
      <c r="CF367" s="179"/>
      <c r="CG367" s="179"/>
      <c r="CH367" s="179"/>
      <c r="CI367" s="179"/>
      <c r="CJ367" s="179"/>
      <c r="CK367" s="179"/>
      <c r="CL367" s="179"/>
      <c r="CM367" s="179"/>
      <c r="CN367" s="179"/>
      <c r="CO367" s="179"/>
      <c r="CP367" s="179"/>
      <c r="CQ367" s="179"/>
      <c r="CR367" s="179"/>
      <c r="CS367" s="179"/>
      <c r="CT367" s="179"/>
      <c r="CU367" s="179"/>
      <c r="CV367" s="179"/>
      <c r="CW367" s="179"/>
      <c r="CX367" s="179"/>
      <c r="CY367" s="179"/>
      <c r="CZ367" s="179"/>
      <c r="DA367" s="179"/>
      <c r="DB367" s="179"/>
      <c r="DC367" s="179"/>
      <c r="DD367" s="179"/>
      <c r="DE367" s="179"/>
      <c r="DF367" s="179"/>
      <c r="DG367" s="179"/>
      <c r="DH367" s="179"/>
      <c r="DI367" s="179"/>
      <c r="DJ367" s="179"/>
      <c r="DK367" s="179"/>
      <c r="DL367" s="179"/>
      <c r="DM367" s="179"/>
      <c r="DN367" s="179"/>
      <c r="DO367" s="179"/>
      <c r="DP367" s="179"/>
      <c r="DQ367" s="179"/>
      <c r="DR367" s="179"/>
      <c r="DS367" s="179"/>
      <c r="DT367" s="179"/>
      <c r="DU367" s="179"/>
      <c r="DV367" s="179"/>
      <c r="DW367" s="179"/>
      <c r="DX367" s="179"/>
      <c r="DY367" s="179"/>
      <c r="DZ367" s="179"/>
      <c r="EA367" s="179"/>
      <c r="EB367" s="179"/>
      <c r="EC367" s="179"/>
      <c r="ED367" s="179"/>
      <c r="EE367" s="179"/>
      <c r="EF367" s="179"/>
      <c r="EG367" s="179"/>
      <c r="EH367" s="179"/>
      <c r="EI367" s="179"/>
      <c r="EJ367" s="179"/>
      <c r="EK367" s="179"/>
      <c r="EL367" s="179"/>
      <c r="EM367" s="179"/>
      <c r="EN367" s="179"/>
      <c r="EO367" s="179"/>
      <c r="EP367" s="179"/>
      <c r="EQ367" s="179"/>
      <c r="ER367" s="179"/>
      <c r="ES367" s="179"/>
      <c r="ET367" s="179"/>
      <c r="EU367" s="179"/>
      <c r="EV367" s="179"/>
      <c r="EW367" s="179"/>
      <c r="EX367" s="179"/>
      <c r="EY367" s="179"/>
      <c r="EZ367" s="179"/>
      <c r="FA367" s="179"/>
      <c r="FB367" s="179"/>
      <c r="FC367" s="179"/>
      <c r="FD367" s="179"/>
      <c r="FE367" s="179"/>
      <c r="FF367" s="179"/>
      <c r="FG367" s="179"/>
      <c r="FH367" s="179"/>
      <c r="FI367" s="179"/>
      <c r="FJ367" s="179"/>
      <c r="FK367" s="179"/>
      <c r="FL367" s="179"/>
      <c r="FM367" s="179"/>
      <c r="FN367" s="179"/>
    </row>
    <row r="368" spans="1:170" s="140" customFormat="1" ht="10.3" x14ac:dyDescent="0.25">
      <c r="A368" s="132" t="s">
        <v>396</v>
      </c>
      <c r="B368" s="132" t="s">
        <v>513</v>
      </c>
      <c r="C368" s="132" t="s">
        <v>514</v>
      </c>
      <c r="D368" s="134">
        <v>0.84657534246575339</v>
      </c>
      <c r="E368" s="133">
        <v>100</v>
      </c>
      <c r="F368" s="133">
        <v>100</v>
      </c>
      <c r="G368" s="134">
        <v>8.11</v>
      </c>
      <c r="H368" s="133">
        <v>69</v>
      </c>
      <c r="I368" s="133" t="s">
        <v>941</v>
      </c>
      <c r="J368" s="318" t="s">
        <v>1789</v>
      </c>
      <c r="K368" s="318" t="s">
        <v>1143</v>
      </c>
      <c r="L368" s="312"/>
      <c r="M368" s="312" t="s">
        <v>1318</v>
      </c>
      <c r="N368" s="135">
        <v>80</v>
      </c>
      <c r="O368" s="135">
        <v>70</v>
      </c>
      <c r="P368" s="135">
        <v>130</v>
      </c>
      <c r="Q368" s="136">
        <v>106</v>
      </c>
      <c r="R368" s="137">
        <v>44755</v>
      </c>
      <c r="S368" s="138">
        <v>43299</v>
      </c>
      <c r="T368" s="138">
        <v>43299</v>
      </c>
      <c r="U368" s="181">
        <f ca="1">[1]!cb_clause_conversion_2_relativeswapsharemonth(B368)</f>
        <v>12</v>
      </c>
      <c r="V368" s="139"/>
      <c r="W368" s="139"/>
      <c r="X368" s="139"/>
      <c r="Y368" s="139"/>
      <c r="Z368" s="139"/>
      <c r="AA368" s="139"/>
      <c r="AB368" s="139"/>
      <c r="AV368" s="141"/>
      <c r="AW368" s="141"/>
      <c r="AX368" s="141"/>
      <c r="AY368" s="141"/>
      <c r="AZ368" s="141"/>
      <c r="BA368" s="141"/>
      <c r="BB368" s="141"/>
      <c r="BC368" s="141"/>
      <c r="BD368" s="141"/>
      <c r="BE368" s="141"/>
      <c r="BF368" s="141"/>
      <c r="BG368" s="141"/>
      <c r="BH368" s="141"/>
      <c r="BI368" s="141"/>
      <c r="BJ368" s="141"/>
      <c r="BK368" s="141"/>
      <c r="BL368" s="141"/>
      <c r="BM368" s="141"/>
      <c r="BN368" s="141"/>
      <c r="BO368" s="141"/>
      <c r="BP368" s="141"/>
      <c r="BQ368" s="141"/>
      <c r="BR368" s="141"/>
      <c r="BS368" s="141"/>
      <c r="BT368" s="141"/>
      <c r="BU368" s="141"/>
      <c r="BV368" s="141"/>
      <c r="BW368" s="141"/>
      <c r="BX368" s="141"/>
      <c r="BY368" s="141"/>
      <c r="BZ368" s="141"/>
      <c r="CA368" s="141"/>
      <c r="CB368" s="141"/>
      <c r="CC368" s="141"/>
      <c r="CD368" s="141"/>
      <c r="CE368" s="141"/>
      <c r="CF368" s="141"/>
      <c r="CG368" s="141"/>
      <c r="CH368" s="141"/>
      <c r="CI368" s="141"/>
      <c r="CJ368" s="141"/>
      <c r="CK368" s="141"/>
      <c r="CL368" s="141"/>
      <c r="CM368" s="141"/>
      <c r="CN368" s="141"/>
      <c r="CO368" s="141"/>
      <c r="CP368" s="141"/>
      <c r="CQ368" s="141"/>
      <c r="CR368" s="141"/>
      <c r="CS368" s="141"/>
      <c r="CT368" s="141"/>
      <c r="CU368" s="141"/>
      <c r="CV368" s="141"/>
      <c r="CW368" s="141"/>
      <c r="CX368" s="141"/>
      <c r="CY368" s="141"/>
      <c r="CZ368" s="141"/>
      <c r="DA368" s="141"/>
      <c r="DB368" s="141"/>
      <c r="DC368" s="141"/>
      <c r="DD368" s="141"/>
      <c r="DE368" s="141"/>
      <c r="DF368" s="141"/>
      <c r="DG368" s="141"/>
      <c r="DH368" s="141"/>
      <c r="DI368" s="141"/>
      <c r="DJ368" s="141"/>
      <c r="DK368" s="141"/>
      <c r="DL368" s="141"/>
      <c r="DM368" s="141"/>
      <c r="DN368" s="141"/>
      <c r="DO368" s="141"/>
      <c r="DP368" s="141"/>
      <c r="DQ368" s="141"/>
      <c r="DR368" s="141"/>
      <c r="DS368" s="141"/>
      <c r="DT368" s="141"/>
      <c r="DU368" s="141"/>
      <c r="DV368" s="141"/>
      <c r="DW368" s="141"/>
      <c r="DX368" s="141"/>
      <c r="DY368" s="141"/>
      <c r="DZ368" s="141"/>
      <c r="EA368" s="141"/>
      <c r="EB368" s="141"/>
      <c r="EC368" s="141"/>
      <c r="ED368" s="141"/>
      <c r="EE368" s="141"/>
      <c r="EF368" s="141"/>
      <c r="EG368" s="141"/>
      <c r="EH368" s="141"/>
      <c r="EI368" s="141"/>
      <c r="EJ368" s="141"/>
      <c r="EK368" s="141"/>
      <c r="EL368" s="141"/>
      <c r="EM368" s="141"/>
      <c r="EN368" s="141"/>
      <c r="EO368" s="141"/>
      <c r="EP368" s="141"/>
      <c r="EQ368" s="141"/>
      <c r="ER368" s="141"/>
      <c r="ES368" s="141"/>
      <c r="ET368" s="141"/>
      <c r="EU368" s="141"/>
      <c r="EV368" s="141"/>
      <c r="EW368" s="141"/>
      <c r="EX368" s="141"/>
      <c r="EY368" s="141"/>
      <c r="EZ368" s="141"/>
      <c r="FA368" s="141"/>
      <c r="FB368" s="141"/>
      <c r="FC368" s="141"/>
      <c r="FD368" s="141"/>
      <c r="FE368" s="141"/>
      <c r="FF368" s="141"/>
      <c r="FG368" s="141"/>
      <c r="FH368" s="141"/>
      <c r="FI368" s="141"/>
      <c r="FJ368" s="141"/>
      <c r="FK368" s="141"/>
      <c r="FL368" s="141"/>
      <c r="FM368" s="141"/>
      <c r="FN368" s="141"/>
    </row>
    <row r="369" spans="1:170" s="178" customFormat="1" ht="10.3" x14ac:dyDescent="0.25">
      <c r="A369" s="170" t="s">
        <v>5</v>
      </c>
      <c r="B369" s="170" t="s">
        <v>515</v>
      </c>
      <c r="C369" s="170" t="s">
        <v>516</v>
      </c>
      <c r="D369" s="172">
        <v>0.75068493150684934</v>
      </c>
      <c r="E369" s="171">
        <v>11.109448</v>
      </c>
      <c r="F369" s="171">
        <v>11.1</v>
      </c>
      <c r="G369" s="172">
        <v>2.99</v>
      </c>
      <c r="H369" s="171">
        <v>34</v>
      </c>
      <c r="I369" s="171" t="s">
        <v>957</v>
      </c>
      <c r="J369" s="317" t="s">
        <v>968</v>
      </c>
      <c r="K369" s="317" t="s">
        <v>1008</v>
      </c>
      <c r="L369" s="311" t="s">
        <v>1578</v>
      </c>
      <c r="M369" s="311" t="s">
        <v>943</v>
      </c>
      <c r="N369" s="173">
        <v>90</v>
      </c>
      <c r="O369" s="173">
        <v>70</v>
      </c>
      <c r="P369" s="173">
        <v>130</v>
      </c>
      <c r="Q369" s="174">
        <v>110</v>
      </c>
      <c r="R369" s="180">
        <v>44720</v>
      </c>
      <c r="S369" s="175">
        <v>42720</v>
      </c>
      <c r="T369" s="175">
        <v>42720</v>
      </c>
      <c r="U369" s="176">
        <f ca="1">[1]!cb_clause_conversion_2_relativeswapsharemonth(B369)</f>
        <v>6</v>
      </c>
      <c r="V369" s="177"/>
      <c r="W369" s="177"/>
      <c r="X369" s="177"/>
      <c r="Y369" s="177"/>
      <c r="Z369" s="177"/>
      <c r="AA369" s="177"/>
      <c r="AB369" s="177"/>
      <c r="AV369" s="179"/>
      <c r="AW369" s="179"/>
      <c r="AX369" s="179"/>
      <c r="AY369" s="179"/>
      <c r="AZ369" s="179"/>
      <c r="BA369" s="179"/>
      <c r="BB369" s="179"/>
      <c r="BC369" s="179"/>
      <c r="BD369" s="179"/>
      <c r="BE369" s="179"/>
      <c r="BF369" s="179"/>
      <c r="BG369" s="179"/>
      <c r="BH369" s="179"/>
      <c r="BI369" s="179"/>
      <c r="BJ369" s="179"/>
      <c r="BK369" s="179"/>
      <c r="BL369" s="179"/>
      <c r="BM369" s="179"/>
      <c r="BN369" s="179"/>
      <c r="BO369" s="179"/>
      <c r="BP369" s="179"/>
      <c r="BQ369" s="179"/>
      <c r="BR369" s="179"/>
      <c r="BS369" s="179"/>
      <c r="BT369" s="179"/>
      <c r="BU369" s="179"/>
      <c r="BV369" s="179"/>
      <c r="BW369" s="179"/>
      <c r="BX369" s="179"/>
      <c r="BY369" s="179"/>
      <c r="BZ369" s="179"/>
      <c r="CA369" s="179"/>
      <c r="CB369" s="179"/>
      <c r="CC369" s="179"/>
      <c r="CD369" s="179"/>
      <c r="CE369" s="179"/>
      <c r="CF369" s="179"/>
      <c r="CG369" s="179"/>
      <c r="CH369" s="179"/>
      <c r="CI369" s="179"/>
      <c r="CJ369" s="179"/>
      <c r="CK369" s="179"/>
      <c r="CL369" s="179"/>
      <c r="CM369" s="179"/>
      <c r="CN369" s="179"/>
      <c r="CO369" s="179"/>
      <c r="CP369" s="179"/>
      <c r="CQ369" s="179"/>
      <c r="CR369" s="179"/>
      <c r="CS369" s="179"/>
      <c r="CT369" s="179"/>
      <c r="CU369" s="179"/>
      <c r="CV369" s="179"/>
      <c r="CW369" s="179"/>
      <c r="CX369" s="179"/>
      <c r="CY369" s="179"/>
      <c r="CZ369" s="179"/>
      <c r="DA369" s="179"/>
      <c r="DB369" s="179"/>
      <c r="DC369" s="179"/>
      <c r="DD369" s="179"/>
      <c r="DE369" s="179"/>
      <c r="DF369" s="179"/>
      <c r="DG369" s="179"/>
      <c r="DH369" s="179"/>
      <c r="DI369" s="179"/>
      <c r="DJ369" s="179"/>
      <c r="DK369" s="179"/>
      <c r="DL369" s="179"/>
      <c r="DM369" s="179"/>
      <c r="DN369" s="179"/>
      <c r="DO369" s="179"/>
      <c r="DP369" s="179"/>
      <c r="DQ369" s="179"/>
      <c r="DR369" s="179"/>
      <c r="DS369" s="179"/>
      <c r="DT369" s="179"/>
      <c r="DU369" s="179"/>
      <c r="DV369" s="179"/>
      <c r="DW369" s="179"/>
      <c r="DX369" s="179"/>
      <c r="DY369" s="179"/>
      <c r="DZ369" s="179"/>
      <c r="EA369" s="179"/>
      <c r="EB369" s="179"/>
      <c r="EC369" s="179"/>
      <c r="ED369" s="179"/>
      <c r="EE369" s="179"/>
      <c r="EF369" s="179"/>
      <c r="EG369" s="179"/>
      <c r="EH369" s="179"/>
      <c r="EI369" s="179"/>
      <c r="EJ369" s="179"/>
      <c r="EK369" s="179"/>
      <c r="EL369" s="179"/>
      <c r="EM369" s="179"/>
      <c r="EN369" s="179"/>
      <c r="EO369" s="179"/>
      <c r="EP369" s="179"/>
      <c r="EQ369" s="179"/>
      <c r="ER369" s="179"/>
      <c r="ES369" s="179"/>
      <c r="ET369" s="179"/>
      <c r="EU369" s="179"/>
      <c r="EV369" s="179"/>
      <c r="EW369" s="179"/>
      <c r="EX369" s="179"/>
      <c r="EY369" s="179"/>
      <c r="EZ369" s="179"/>
      <c r="FA369" s="179"/>
      <c r="FB369" s="179"/>
      <c r="FC369" s="179"/>
      <c r="FD369" s="179"/>
      <c r="FE369" s="179"/>
      <c r="FF369" s="179"/>
      <c r="FG369" s="179"/>
      <c r="FH369" s="179"/>
      <c r="FI369" s="179"/>
      <c r="FJ369" s="179"/>
      <c r="FK369" s="179"/>
      <c r="FL369" s="179"/>
      <c r="FM369" s="179"/>
      <c r="FN369" s="179"/>
    </row>
    <row r="370" spans="1:170" s="140" customFormat="1" ht="10.3" x14ac:dyDescent="0.25">
      <c r="A370" s="132" t="s">
        <v>396</v>
      </c>
      <c r="B370" s="132" t="s">
        <v>517</v>
      </c>
      <c r="C370" s="132" t="s">
        <v>518</v>
      </c>
      <c r="D370" s="134">
        <v>0.62739726027397258</v>
      </c>
      <c r="E370" s="133">
        <v>24.99999</v>
      </c>
      <c r="F370" s="133">
        <v>25</v>
      </c>
      <c r="G370" s="134">
        <v>8.64</v>
      </c>
      <c r="H370" s="133">
        <v>70</v>
      </c>
      <c r="I370" s="133" t="s">
        <v>953</v>
      </c>
      <c r="J370" s="318" t="s">
        <v>955</v>
      </c>
      <c r="K370" s="318" t="s">
        <v>1549</v>
      </c>
      <c r="L370" s="313"/>
      <c r="M370" s="313" t="s">
        <v>1550</v>
      </c>
      <c r="N370" s="135">
        <v>90</v>
      </c>
      <c r="O370" s="135">
        <v>70</v>
      </c>
      <c r="P370" s="135">
        <v>130</v>
      </c>
      <c r="Q370" s="136">
        <v>107.7</v>
      </c>
      <c r="R370" s="137">
        <v>44675</v>
      </c>
      <c r="S370" s="138">
        <v>43216</v>
      </c>
      <c r="T370" s="138">
        <v>43216</v>
      </c>
      <c r="U370" s="181">
        <f ca="1">[1]!cb_clause_conversion_2_relativeswapsharemonth(B370)</f>
        <v>12</v>
      </c>
      <c r="V370" s="139"/>
      <c r="W370" s="139"/>
      <c r="X370" s="139"/>
      <c r="Y370" s="139"/>
      <c r="Z370" s="139"/>
      <c r="AA370" s="139"/>
      <c r="AB370" s="139"/>
      <c r="AV370" s="141"/>
      <c r="AW370" s="141"/>
      <c r="AX370" s="141"/>
      <c r="AY370" s="141"/>
      <c r="AZ370" s="141"/>
      <c r="BA370" s="141"/>
      <c r="BB370" s="141"/>
      <c r="BC370" s="141"/>
      <c r="BD370" s="141"/>
      <c r="BE370" s="141"/>
      <c r="BF370" s="141"/>
      <c r="BG370" s="141"/>
      <c r="BH370" s="141"/>
      <c r="BI370" s="141"/>
      <c r="BJ370" s="141"/>
      <c r="BK370" s="141"/>
      <c r="BL370" s="141"/>
      <c r="BM370" s="141"/>
      <c r="BN370" s="141"/>
      <c r="BO370" s="141"/>
      <c r="BP370" s="141"/>
      <c r="BQ370" s="141"/>
      <c r="BR370" s="141"/>
      <c r="BS370" s="141"/>
      <c r="BT370" s="141"/>
      <c r="BU370" s="141"/>
      <c r="BV370" s="141"/>
      <c r="BW370" s="141"/>
      <c r="BX370" s="141"/>
      <c r="BY370" s="141"/>
      <c r="BZ370" s="141"/>
      <c r="CA370" s="141"/>
      <c r="CB370" s="141"/>
      <c r="CC370" s="141"/>
      <c r="CD370" s="141"/>
      <c r="CE370" s="141"/>
      <c r="CF370" s="141"/>
      <c r="CG370" s="141"/>
      <c r="CH370" s="141"/>
      <c r="CI370" s="141"/>
      <c r="CJ370" s="141"/>
      <c r="CK370" s="141"/>
      <c r="CL370" s="141"/>
      <c r="CM370" s="141"/>
      <c r="CN370" s="141"/>
      <c r="CO370" s="141"/>
      <c r="CP370" s="141"/>
      <c r="CQ370" s="141"/>
      <c r="CR370" s="141"/>
      <c r="CS370" s="141"/>
      <c r="CT370" s="141"/>
      <c r="CU370" s="141"/>
      <c r="CV370" s="141"/>
      <c r="CW370" s="141"/>
      <c r="CX370" s="141"/>
      <c r="CY370" s="141"/>
      <c r="CZ370" s="141"/>
      <c r="DA370" s="141"/>
      <c r="DB370" s="141"/>
      <c r="DC370" s="141"/>
      <c r="DD370" s="141"/>
      <c r="DE370" s="141"/>
      <c r="DF370" s="141"/>
      <c r="DG370" s="141"/>
      <c r="DH370" s="141"/>
      <c r="DI370" s="141"/>
      <c r="DJ370" s="141"/>
      <c r="DK370" s="141"/>
      <c r="DL370" s="141"/>
      <c r="DM370" s="141"/>
      <c r="DN370" s="141"/>
      <c r="DO370" s="141"/>
      <c r="DP370" s="141"/>
      <c r="DQ370" s="141"/>
      <c r="DR370" s="141"/>
      <c r="DS370" s="141"/>
      <c r="DT370" s="141"/>
      <c r="DU370" s="141"/>
      <c r="DV370" s="141"/>
      <c r="DW370" s="141"/>
      <c r="DX370" s="141"/>
      <c r="DY370" s="141"/>
      <c r="DZ370" s="141"/>
      <c r="EA370" s="141"/>
      <c r="EB370" s="141"/>
      <c r="EC370" s="141"/>
      <c r="ED370" s="141"/>
      <c r="EE370" s="141"/>
      <c r="EF370" s="141"/>
      <c r="EG370" s="141"/>
      <c r="EH370" s="141"/>
      <c r="EI370" s="141"/>
      <c r="EJ370" s="141"/>
      <c r="EK370" s="141"/>
      <c r="EL370" s="141"/>
      <c r="EM370" s="141"/>
      <c r="EN370" s="141"/>
      <c r="EO370" s="141"/>
      <c r="EP370" s="141"/>
      <c r="EQ370" s="141"/>
      <c r="ER370" s="141"/>
      <c r="ES370" s="141"/>
      <c r="ET370" s="141"/>
      <c r="EU370" s="141"/>
      <c r="EV370" s="141"/>
      <c r="EW370" s="141"/>
      <c r="EX370" s="141"/>
      <c r="EY370" s="141"/>
      <c r="EZ370" s="141"/>
      <c r="FA370" s="141"/>
      <c r="FB370" s="141"/>
      <c r="FC370" s="141"/>
      <c r="FD370" s="141"/>
      <c r="FE370" s="141"/>
      <c r="FF370" s="141"/>
      <c r="FG370" s="141"/>
      <c r="FH370" s="141"/>
      <c r="FI370" s="141"/>
      <c r="FJ370" s="141"/>
      <c r="FK370" s="141"/>
      <c r="FL370" s="141"/>
      <c r="FM370" s="141"/>
      <c r="FN370" s="141"/>
    </row>
    <row r="371" spans="1:170" s="178" customFormat="1" ht="10.3" x14ac:dyDescent="0.25">
      <c r="A371" s="170" t="s">
        <v>5</v>
      </c>
      <c r="B371" s="170" t="s">
        <v>519</v>
      </c>
      <c r="C371" s="170" t="s">
        <v>520</v>
      </c>
      <c r="D371" s="172">
        <v>0.61917808219178083</v>
      </c>
      <c r="E371" s="171">
        <v>0</v>
      </c>
      <c r="F371" s="171">
        <v>8.4</v>
      </c>
      <c r="G371" s="172">
        <v>4.38</v>
      </c>
      <c r="H371" s="171">
        <v>0</v>
      </c>
      <c r="I371" s="171" t="s">
        <v>1329</v>
      </c>
      <c r="J371" s="317" t="s">
        <v>974</v>
      </c>
      <c r="K371" s="317" t="s">
        <v>1507</v>
      </c>
      <c r="L371" s="311"/>
      <c r="M371" s="311" t="s">
        <v>1508</v>
      </c>
      <c r="N371" s="173">
        <v>90</v>
      </c>
      <c r="O371" s="173">
        <v>70</v>
      </c>
      <c r="P371" s="173">
        <v>130</v>
      </c>
      <c r="Q371" s="174">
        <v>103</v>
      </c>
      <c r="R371" s="180">
        <v>44672</v>
      </c>
      <c r="S371" s="175">
        <v>42671</v>
      </c>
      <c r="T371" s="175">
        <v>42671</v>
      </c>
      <c r="U371" s="176">
        <f ca="1">[1]!cb_clause_conversion_2_relativeswapsharemonth(B371)</f>
        <v>6</v>
      </c>
      <c r="V371" s="177"/>
      <c r="W371" s="177"/>
      <c r="X371" s="177"/>
      <c r="Y371" s="177"/>
      <c r="Z371" s="177"/>
      <c r="AA371" s="177"/>
      <c r="AB371" s="177"/>
      <c r="AV371" s="179"/>
      <c r="AW371" s="179"/>
      <c r="AX371" s="179"/>
      <c r="AY371" s="179"/>
      <c r="AZ371" s="179"/>
      <c r="BA371" s="179"/>
      <c r="BB371" s="179"/>
      <c r="BC371" s="179"/>
      <c r="BD371" s="179"/>
      <c r="BE371" s="179"/>
      <c r="BF371" s="179"/>
      <c r="BG371" s="179"/>
      <c r="BH371" s="179"/>
      <c r="BI371" s="179"/>
      <c r="BJ371" s="179"/>
      <c r="BK371" s="179"/>
      <c r="BL371" s="179"/>
      <c r="BM371" s="179"/>
      <c r="BN371" s="179"/>
      <c r="BO371" s="179"/>
      <c r="BP371" s="179"/>
      <c r="BQ371" s="179"/>
      <c r="BR371" s="179"/>
      <c r="BS371" s="179"/>
      <c r="BT371" s="179"/>
      <c r="BU371" s="179"/>
      <c r="BV371" s="179"/>
      <c r="BW371" s="179"/>
      <c r="BX371" s="179"/>
      <c r="BY371" s="179"/>
      <c r="BZ371" s="179"/>
      <c r="CA371" s="179"/>
      <c r="CB371" s="179"/>
      <c r="CC371" s="179"/>
      <c r="CD371" s="179"/>
      <c r="CE371" s="179"/>
      <c r="CF371" s="179"/>
      <c r="CG371" s="179"/>
      <c r="CH371" s="179"/>
      <c r="CI371" s="179"/>
      <c r="CJ371" s="179"/>
      <c r="CK371" s="179"/>
      <c r="CL371" s="179"/>
      <c r="CM371" s="179"/>
      <c r="CN371" s="179"/>
      <c r="CO371" s="179"/>
      <c r="CP371" s="179"/>
      <c r="CQ371" s="179"/>
      <c r="CR371" s="179"/>
      <c r="CS371" s="179"/>
      <c r="CT371" s="179"/>
      <c r="CU371" s="179"/>
      <c r="CV371" s="179"/>
      <c r="CW371" s="179"/>
      <c r="CX371" s="179"/>
      <c r="CY371" s="179"/>
      <c r="CZ371" s="179"/>
      <c r="DA371" s="179"/>
      <c r="DB371" s="179"/>
      <c r="DC371" s="179"/>
      <c r="DD371" s="179"/>
      <c r="DE371" s="179"/>
      <c r="DF371" s="179"/>
      <c r="DG371" s="179"/>
      <c r="DH371" s="179"/>
      <c r="DI371" s="179"/>
      <c r="DJ371" s="179"/>
      <c r="DK371" s="179"/>
      <c r="DL371" s="179"/>
      <c r="DM371" s="179"/>
      <c r="DN371" s="179"/>
      <c r="DO371" s="179"/>
      <c r="DP371" s="179"/>
      <c r="DQ371" s="179"/>
      <c r="DR371" s="179"/>
      <c r="DS371" s="179"/>
      <c r="DT371" s="179"/>
      <c r="DU371" s="179"/>
      <c r="DV371" s="179"/>
      <c r="DW371" s="179"/>
      <c r="DX371" s="179"/>
      <c r="DY371" s="179"/>
      <c r="DZ371" s="179"/>
      <c r="EA371" s="179"/>
      <c r="EB371" s="179"/>
      <c r="EC371" s="179"/>
      <c r="ED371" s="179"/>
      <c r="EE371" s="179"/>
      <c r="EF371" s="179"/>
      <c r="EG371" s="179"/>
      <c r="EH371" s="179"/>
      <c r="EI371" s="179"/>
      <c r="EJ371" s="179"/>
      <c r="EK371" s="179"/>
      <c r="EL371" s="179"/>
      <c r="EM371" s="179"/>
      <c r="EN371" s="179"/>
      <c r="EO371" s="179"/>
      <c r="EP371" s="179"/>
      <c r="EQ371" s="179"/>
      <c r="ER371" s="179"/>
      <c r="ES371" s="179"/>
      <c r="ET371" s="179"/>
      <c r="EU371" s="179"/>
      <c r="EV371" s="179"/>
      <c r="EW371" s="179"/>
      <c r="EX371" s="179"/>
      <c r="EY371" s="179"/>
      <c r="EZ371" s="179"/>
      <c r="FA371" s="179"/>
      <c r="FB371" s="179"/>
      <c r="FC371" s="179"/>
      <c r="FD371" s="179"/>
      <c r="FE371" s="179"/>
      <c r="FF371" s="179"/>
      <c r="FG371" s="179"/>
      <c r="FH371" s="179"/>
      <c r="FI371" s="179"/>
      <c r="FJ371" s="179"/>
      <c r="FK371" s="179"/>
      <c r="FL371" s="179"/>
      <c r="FM371" s="179"/>
      <c r="FN371" s="179"/>
    </row>
    <row r="372" spans="1:170" s="140" customFormat="1" ht="10.3" x14ac:dyDescent="0.25">
      <c r="A372" s="132" t="s">
        <v>396</v>
      </c>
      <c r="B372" s="132" t="s">
        <v>521</v>
      </c>
      <c r="C372" s="132" t="s">
        <v>522</v>
      </c>
      <c r="D372" s="134">
        <v>0.61095890410958908</v>
      </c>
      <c r="E372" s="133">
        <v>12.142496299999999</v>
      </c>
      <c r="F372" s="133">
        <v>20</v>
      </c>
      <c r="G372" s="134">
        <v>5.69</v>
      </c>
      <c r="H372" s="133">
        <v>0</v>
      </c>
      <c r="I372" s="133" t="s">
        <v>935</v>
      </c>
      <c r="J372" s="318" t="s">
        <v>968</v>
      </c>
      <c r="K372" s="318" t="s">
        <v>1396</v>
      </c>
      <c r="L372" s="312"/>
      <c r="M372" s="312" t="s">
        <v>947</v>
      </c>
      <c r="N372" s="135">
        <v>85</v>
      </c>
      <c r="O372" s="135">
        <v>60</v>
      </c>
      <c r="P372" s="135">
        <v>130</v>
      </c>
      <c r="Q372" s="136">
        <v>108</v>
      </c>
      <c r="R372" s="137">
        <v>44669</v>
      </c>
      <c r="S372" s="138">
        <v>43943</v>
      </c>
      <c r="T372" s="138">
        <v>43943</v>
      </c>
      <c r="U372" s="181">
        <f ca="1">[1]!cb_clause_conversion_2_relativeswapsharemonth(B372)</f>
        <v>12</v>
      </c>
      <c r="V372" s="139"/>
      <c r="W372" s="139"/>
      <c r="X372" s="139"/>
      <c r="Y372" s="139"/>
      <c r="Z372" s="139"/>
      <c r="AA372" s="139"/>
      <c r="AB372" s="139"/>
      <c r="AV372" s="141"/>
      <c r="AW372" s="141"/>
      <c r="AX372" s="141"/>
      <c r="AY372" s="141"/>
      <c r="AZ372" s="141"/>
      <c r="BA372" s="141"/>
      <c r="BB372" s="141"/>
      <c r="BC372" s="141"/>
      <c r="BD372" s="141"/>
      <c r="BE372" s="141"/>
      <c r="BF372" s="141"/>
      <c r="BG372" s="141"/>
      <c r="BH372" s="141"/>
      <c r="BI372" s="141"/>
      <c r="BJ372" s="141"/>
      <c r="BK372" s="141"/>
      <c r="BL372" s="141"/>
      <c r="BM372" s="141"/>
      <c r="BN372" s="141"/>
      <c r="BO372" s="141"/>
      <c r="BP372" s="141"/>
      <c r="BQ372" s="141"/>
      <c r="BR372" s="141"/>
      <c r="BS372" s="141"/>
      <c r="BT372" s="141"/>
      <c r="BU372" s="141"/>
      <c r="BV372" s="141"/>
      <c r="BW372" s="141"/>
      <c r="BX372" s="141"/>
      <c r="BY372" s="141"/>
      <c r="BZ372" s="141"/>
      <c r="CA372" s="141"/>
      <c r="CB372" s="141"/>
      <c r="CC372" s="141"/>
      <c r="CD372" s="141"/>
      <c r="CE372" s="141"/>
      <c r="CF372" s="141"/>
      <c r="CG372" s="141"/>
      <c r="CH372" s="141"/>
      <c r="CI372" s="141"/>
      <c r="CJ372" s="141"/>
      <c r="CK372" s="141"/>
      <c r="CL372" s="141"/>
      <c r="CM372" s="141"/>
      <c r="CN372" s="141"/>
      <c r="CO372" s="141"/>
      <c r="CP372" s="141"/>
      <c r="CQ372" s="141"/>
      <c r="CR372" s="141"/>
      <c r="CS372" s="141"/>
      <c r="CT372" s="141"/>
      <c r="CU372" s="141"/>
      <c r="CV372" s="141"/>
      <c r="CW372" s="141"/>
      <c r="CX372" s="141"/>
      <c r="CY372" s="141"/>
      <c r="CZ372" s="141"/>
      <c r="DA372" s="141"/>
      <c r="DB372" s="141"/>
      <c r="DC372" s="141"/>
      <c r="DD372" s="141"/>
      <c r="DE372" s="141"/>
      <c r="DF372" s="141"/>
      <c r="DG372" s="141"/>
      <c r="DH372" s="141"/>
      <c r="DI372" s="141"/>
      <c r="DJ372" s="141"/>
      <c r="DK372" s="141"/>
      <c r="DL372" s="141"/>
      <c r="DM372" s="141"/>
      <c r="DN372" s="141"/>
      <c r="DO372" s="141"/>
      <c r="DP372" s="141"/>
      <c r="DQ372" s="141"/>
      <c r="DR372" s="141"/>
      <c r="DS372" s="141"/>
      <c r="DT372" s="141"/>
      <c r="DU372" s="141"/>
      <c r="DV372" s="141"/>
      <c r="DW372" s="141"/>
      <c r="DX372" s="141"/>
      <c r="DY372" s="141"/>
      <c r="DZ372" s="141"/>
      <c r="EA372" s="141"/>
      <c r="EB372" s="141"/>
      <c r="EC372" s="141"/>
      <c r="ED372" s="141"/>
      <c r="EE372" s="141"/>
      <c r="EF372" s="141"/>
      <c r="EG372" s="141"/>
      <c r="EH372" s="141"/>
      <c r="EI372" s="141"/>
      <c r="EJ372" s="141"/>
      <c r="EK372" s="141"/>
      <c r="EL372" s="141"/>
      <c r="EM372" s="141"/>
      <c r="EN372" s="141"/>
      <c r="EO372" s="141"/>
      <c r="EP372" s="141"/>
      <c r="EQ372" s="141"/>
      <c r="ER372" s="141"/>
      <c r="ES372" s="141"/>
      <c r="ET372" s="141"/>
      <c r="EU372" s="141"/>
      <c r="EV372" s="141"/>
      <c r="EW372" s="141"/>
      <c r="EX372" s="141"/>
      <c r="EY372" s="141"/>
      <c r="EZ372" s="141"/>
      <c r="FA372" s="141"/>
      <c r="FB372" s="141"/>
      <c r="FC372" s="141"/>
      <c r="FD372" s="141"/>
      <c r="FE372" s="141"/>
      <c r="FF372" s="141"/>
      <c r="FG372" s="141"/>
      <c r="FH372" s="141"/>
      <c r="FI372" s="141"/>
      <c r="FJ372" s="141"/>
      <c r="FK372" s="141"/>
      <c r="FL372" s="141"/>
      <c r="FM372" s="141"/>
      <c r="FN372" s="141"/>
    </row>
    <row r="373" spans="1:170" s="178" customFormat="1" ht="10.3" x14ac:dyDescent="0.25">
      <c r="A373" s="170" t="s">
        <v>396</v>
      </c>
      <c r="B373" s="170" t="s">
        <v>523</v>
      </c>
      <c r="C373" s="170" t="s">
        <v>524</v>
      </c>
      <c r="D373" s="172">
        <v>0.54794520547945202</v>
      </c>
      <c r="E373" s="171">
        <v>1.5</v>
      </c>
      <c r="F373" s="171">
        <v>1.5</v>
      </c>
      <c r="G373" s="172">
        <v>7.28</v>
      </c>
      <c r="H373" s="171">
        <v>0</v>
      </c>
      <c r="I373" s="171" t="s">
        <v>939</v>
      </c>
      <c r="J373" s="317" t="s">
        <v>955</v>
      </c>
      <c r="K373" s="317" t="s">
        <v>1158</v>
      </c>
      <c r="L373" s="311"/>
      <c r="M373" s="311" t="s">
        <v>1398</v>
      </c>
      <c r="N373" s="173">
        <v>85</v>
      </c>
      <c r="O373" s="173">
        <v>70</v>
      </c>
      <c r="P373" s="173">
        <v>120</v>
      </c>
      <c r="Q373" s="174"/>
      <c r="R373" s="180">
        <v>44646</v>
      </c>
      <c r="S373" s="175">
        <v>43917</v>
      </c>
      <c r="T373" s="175">
        <v>43917</v>
      </c>
      <c r="U373" s="176">
        <f ca="1">[1]!cb_clause_conversion_2_relativeswapsharemonth(B373)</f>
        <v>12</v>
      </c>
      <c r="V373" s="177"/>
      <c r="W373" s="177"/>
      <c r="X373" s="177"/>
      <c r="Y373" s="177"/>
      <c r="Z373" s="177"/>
      <c r="AA373" s="177"/>
      <c r="AB373" s="177"/>
      <c r="AV373" s="179"/>
      <c r="AW373" s="179"/>
      <c r="AX373" s="179"/>
      <c r="AY373" s="179"/>
      <c r="AZ373" s="179"/>
      <c r="BA373" s="179"/>
      <c r="BB373" s="179"/>
      <c r="BC373" s="179"/>
      <c r="BD373" s="179"/>
      <c r="BE373" s="179"/>
      <c r="BF373" s="179"/>
      <c r="BG373" s="179"/>
      <c r="BH373" s="179"/>
      <c r="BI373" s="179"/>
      <c r="BJ373" s="179"/>
      <c r="BK373" s="179"/>
      <c r="BL373" s="179"/>
      <c r="BM373" s="179"/>
      <c r="BN373" s="179"/>
      <c r="BO373" s="179"/>
      <c r="BP373" s="179"/>
      <c r="BQ373" s="179"/>
      <c r="BR373" s="179"/>
      <c r="BS373" s="179"/>
      <c r="BT373" s="179"/>
      <c r="BU373" s="179"/>
      <c r="BV373" s="179"/>
      <c r="BW373" s="179"/>
      <c r="BX373" s="179"/>
      <c r="BY373" s="179"/>
      <c r="BZ373" s="179"/>
      <c r="CA373" s="179"/>
      <c r="CB373" s="179"/>
      <c r="CC373" s="179"/>
      <c r="CD373" s="179"/>
      <c r="CE373" s="179"/>
      <c r="CF373" s="179"/>
      <c r="CG373" s="179"/>
      <c r="CH373" s="179"/>
      <c r="CI373" s="179"/>
      <c r="CJ373" s="179"/>
      <c r="CK373" s="179"/>
      <c r="CL373" s="179"/>
      <c r="CM373" s="179"/>
      <c r="CN373" s="179"/>
      <c r="CO373" s="179"/>
      <c r="CP373" s="179"/>
      <c r="CQ373" s="179"/>
      <c r="CR373" s="179"/>
      <c r="CS373" s="179"/>
      <c r="CT373" s="179"/>
      <c r="CU373" s="179"/>
      <c r="CV373" s="179"/>
      <c r="CW373" s="179"/>
      <c r="CX373" s="179"/>
      <c r="CY373" s="179"/>
      <c r="CZ373" s="179"/>
      <c r="DA373" s="179"/>
      <c r="DB373" s="179"/>
      <c r="DC373" s="179"/>
      <c r="DD373" s="179"/>
      <c r="DE373" s="179"/>
      <c r="DF373" s="179"/>
      <c r="DG373" s="179"/>
      <c r="DH373" s="179"/>
      <c r="DI373" s="179"/>
      <c r="DJ373" s="179"/>
      <c r="DK373" s="179"/>
      <c r="DL373" s="179"/>
      <c r="DM373" s="179"/>
      <c r="DN373" s="179"/>
      <c r="DO373" s="179"/>
      <c r="DP373" s="179"/>
      <c r="DQ373" s="179"/>
      <c r="DR373" s="179"/>
      <c r="DS373" s="179"/>
      <c r="DT373" s="179"/>
      <c r="DU373" s="179"/>
      <c r="DV373" s="179"/>
      <c r="DW373" s="179"/>
      <c r="DX373" s="179"/>
      <c r="DY373" s="179"/>
      <c r="DZ373" s="179"/>
      <c r="EA373" s="179"/>
      <c r="EB373" s="179"/>
      <c r="EC373" s="179"/>
      <c r="ED373" s="179"/>
      <c r="EE373" s="179"/>
      <c r="EF373" s="179"/>
      <c r="EG373" s="179"/>
      <c r="EH373" s="179"/>
      <c r="EI373" s="179"/>
      <c r="EJ373" s="179"/>
      <c r="EK373" s="179"/>
      <c r="EL373" s="179"/>
      <c r="EM373" s="179"/>
      <c r="EN373" s="179"/>
      <c r="EO373" s="179"/>
      <c r="EP373" s="179"/>
      <c r="EQ373" s="179"/>
      <c r="ER373" s="179"/>
      <c r="ES373" s="179"/>
      <c r="ET373" s="179"/>
      <c r="EU373" s="179"/>
      <c r="EV373" s="179"/>
      <c r="EW373" s="179"/>
      <c r="EX373" s="179"/>
      <c r="EY373" s="179"/>
      <c r="EZ373" s="179"/>
      <c r="FA373" s="179"/>
      <c r="FB373" s="179"/>
      <c r="FC373" s="179"/>
      <c r="FD373" s="179"/>
      <c r="FE373" s="179"/>
      <c r="FF373" s="179"/>
      <c r="FG373" s="179"/>
      <c r="FH373" s="179"/>
      <c r="FI373" s="179"/>
      <c r="FJ373" s="179"/>
      <c r="FK373" s="179"/>
      <c r="FL373" s="179"/>
      <c r="FM373" s="179"/>
      <c r="FN373" s="179"/>
    </row>
    <row r="374" spans="1:170" s="140" customFormat="1" ht="10.3" x14ac:dyDescent="0.25">
      <c r="A374" s="132" t="s">
        <v>0</v>
      </c>
      <c r="B374" s="132" t="s">
        <v>525</v>
      </c>
      <c r="C374" s="132" t="s">
        <v>526</v>
      </c>
      <c r="D374" s="134">
        <v>0.37534246575342467</v>
      </c>
      <c r="E374" s="133">
        <v>25.487220000000001</v>
      </c>
      <c r="F374" s="133">
        <v>41.1</v>
      </c>
      <c r="G374" s="134">
        <v>13.97</v>
      </c>
      <c r="H374" s="133">
        <v>85</v>
      </c>
      <c r="I374" s="133" t="s">
        <v>953</v>
      </c>
      <c r="J374" s="318" t="s">
        <v>955</v>
      </c>
      <c r="K374" s="318" t="s">
        <v>1421</v>
      </c>
      <c r="L374" s="313"/>
      <c r="M374" s="313" t="s">
        <v>1307</v>
      </c>
      <c r="N374" s="135">
        <v>90</v>
      </c>
      <c r="O374" s="135">
        <v>70</v>
      </c>
      <c r="P374" s="135">
        <v>130</v>
      </c>
      <c r="Q374" s="136">
        <v>106</v>
      </c>
      <c r="R374" s="137">
        <v>44583</v>
      </c>
      <c r="S374" s="138">
        <v>42573</v>
      </c>
      <c r="T374" s="138">
        <v>42573</v>
      </c>
      <c r="U374" s="139"/>
      <c r="V374" s="139"/>
      <c r="W374" s="139"/>
      <c r="X374" s="139"/>
      <c r="Y374" s="139"/>
      <c r="Z374" s="139"/>
      <c r="AA374" s="139"/>
      <c r="AB374" s="139"/>
      <c r="AV374" s="141"/>
      <c r="AW374" s="141"/>
      <c r="AX374" s="141"/>
      <c r="AY374" s="141"/>
      <c r="AZ374" s="141"/>
      <c r="BA374" s="141"/>
      <c r="BB374" s="141"/>
      <c r="BC374" s="141"/>
      <c r="BD374" s="141"/>
      <c r="BE374" s="141"/>
      <c r="BF374" s="141"/>
      <c r="BG374" s="141"/>
      <c r="BH374" s="141"/>
      <c r="BI374" s="141"/>
      <c r="BJ374" s="141"/>
      <c r="BK374" s="141"/>
      <c r="BL374" s="141"/>
      <c r="BM374" s="141"/>
      <c r="BN374" s="141"/>
      <c r="BO374" s="141"/>
      <c r="BP374" s="141"/>
      <c r="BQ374" s="141"/>
      <c r="BR374" s="141"/>
      <c r="BS374" s="141"/>
      <c r="BT374" s="141"/>
      <c r="BU374" s="141"/>
      <c r="BV374" s="141"/>
      <c r="BW374" s="141"/>
      <c r="BX374" s="141"/>
      <c r="BY374" s="141"/>
      <c r="BZ374" s="141"/>
      <c r="CA374" s="141"/>
      <c r="CB374" s="141"/>
      <c r="CC374" s="141"/>
      <c r="CD374" s="141"/>
      <c r="CE374" s="141"/>
      <c r="CF374" s="141"/>
      <c r="CG374" s="141"/>
      <c r="CH374" s="141"/>
      <c r="CI374" s="141"/>
      <c r="CJ374" s="141"/>
      <c r="CK374" s="141"/>
      <c r="CL374" s="141"/>
      <c r="CM374" s="141"/>
      <c r="CN374" s="141"/>
      <c r="CO374" s="141"/>
      <c r="CP374" s="141"/>
      <c r="CQ374" s="141"/>
      <c r="CR374" s="141"/>
      <c r="CS374" s="141"/>
      <c r="CT374" s="141"/>
      <c r="CU374" s="141"/>
      <c r="CV374" s="141"/>
      <c r="CW374" s="141"/>
      <c r="CX374" s="141"/>
      <c r="CY374" s="141"/>
      <c r="CZ374" s="141"/>
      <c r="DA374" s="141"/>
      <c r="DB374" s="141"/>
      <c r="DC374" s="141"/>
      <c r="DD374" s="141"/>
      <c r="DE374" s="141"/>
      <c r="DF374" s="141"/>
      <c r="DG374" s="141"/>
      <c r="DH374" s="141"/>
      <c r="DI374" s="141"/>
      <c r="DJ374" s="141"/>
      <c r="DK374" s="141"/>
      <c r="DL374" s="141"/>
      <c r="DM374" s="141"/>
      <c r="DN374" s="141"/>
      <c r="DO374" s="141"/>
      <c r="DP374" s="141"/>
      <c r="DQ374" s="141"/>
      <c r="DR374" s="141"/>
      <c r="DS374" s="141"/>
      <c r="DT374" s="141"/>
      <c r="DU374" s="141"/>
      <c r="DV374" s="141"/>
      <c r="DW374" s="141"/>
      <c r="DX374" s="141"/>
      <c r="DY374" s="141"/>
      <c r="DZ374" s="141"/>
      <c r="EA374" s="141"/>
      <c r="EB374" s="141"/>
      <c r="EC374" s="141"/>
      <c r="ED374" s="141"/>
      <c r="EE374" s="141"/>
      <c r="EF374" s="141"/>
      <c r="EG374" s="141"/>
      <c r="EH374" s="141"/>
      <c r="EI374" s="141"/>
      <c r="EJ374" s="141"/>
      <c r="EK374" s="141"/>
      <c r="EL374" s="141"/>
      <c r="EM374" s="141"/>
      <c r="EN374" s="141"/>
      <c r="EO374" s="141"/>
      <c r="EP374" s="141"/>
      <c r="EQ374" s="141"/>
      <c r="ER374" s="141"/>
      <c r="ES374" s="141"/>
      <c r="ET374" s="141"/>
      <c r="EU374" s="141"/>
      <c r="EV374" s="141"/>
      <c r="EW374" s="141"/>
      <c r="EX374" s="141"/>
      <c r="EY374" s="141"/>
      <c r="EZ374" s="141"/>
      <c r="FA374" s="141"/>
      <c r="FB374" s="141"/>
      <c r="FC374" s="141"/>
      <c r="FD374" s="141"/>
      <c r="FE374" s="141"/>
      <c r="FF374" s="141"/>
      <c r="FG374" s="141"/>
      <c r="FH374" s="141"/>
      <c r="FI374" s="141"/>
      <c r="FJ374" s="141"/>
      <c r="FK374" s="141"/>
      <c r="FL374" s="141"/>
      <c r="FM374" s="141"/>
      <c r="FN374" s="141"/>
    </row>
    <row r="375" spans="1:170" s="178" customFormat="1" ht="10.3" x14ac:dyDescent="0.25">
      <c r="A375" s="170" t="s">
        <v>0</v>
      </c>
      <c r="B375" s="170" t="s">
        <v>527</v>
      </c>
      <c r="C375" s="170" t="s">
        <v>528</v>
      </c>
      <c r="D375" s="172">
        <v>0.35616438356164382</v>
      </c>
      <c r="E375" s="171">
        <v>14.991669999999999</v>
      </c>
      <c r="F375" s="171">
        <v>15</v>
      </c>
      <c r="G375" s="172">
        <v>17.829999999999998</v>
      </c>
      <c r="H375" s="171">
        <v>50</v>
      </c>
      <c r="I375" s="171" t="s">
        <v>935</v>
      </c>
      <c r="J375" s="317" t="s">
        <v>936</v>
      </c>
      <c r="K375" s="317" t="s">
        <v>937</v>
      </c>
      <c r="L375" s="311"/>
      <c r="M375" s="311" t="s">
        <v>938</v>
      </c>
      <c r="N375" s="173">
        <v>85</v>
      </c>
      <c r="O375" s="173">
        <v>70</v>
      </c>
      <c r="P375" s="173">
        <v>130</v>
      </c>
      <c r="Q375" s="174">
        <v>108</v>
      </c>
      <c r="R375" s="180">
        <v>44576</v>
      </c>
      <c r="S375" s="175">
        <v>42572</v>
      </c>
      <c r="T375" s="175">
        <v>42572</v>
      </c>
      <c r="U375" s="176">
        <f ca="1">[1]!cb_clause_conversion_2_relativeswapsharemonth(B375)</f>
        <v>6</v>
      </c>
      <c r="V375" s="177"/>
      <c r="W375" s="177"/>
      <c r="X375" s="177"/>
      <c r="Y375" s="177"/>
      <c r="Z375" s="177"/>
      <c r="AA375" s="177"/>
      <c r="AB375" s="177"/>
      <c r="AV375" s="179"/>
      <c r="AW375" s="179"/>
      <c r="AX375" s="179"/>
      <c r="AY375" s="179"/>
      <c r="AZ375" s="179"/>
      <c r="BA375" s="179"/>
      <c r="BB375" s="179"/>
      <c r="BC375" s="179"/>
      <c r="BD375" s="179"/>
      <c r="BE375" s="179"/>
      <c r="BF375" s="179"/>
      <c r="BG375" s="179"/>
      <c r="BH375" s="179"/>
      <c r="BI375" s="179"/>
      <c r="BJ375" s="179"/>
      <c r="BK375" s="179"/>
      <c r="BL375" s="179"/>
      <c r="BM375" s="179"/>
      <c r="BN375" s="179"/>
      <c r="BO375" s="179"/>
      <c r="BP375" s="179"/>
      <c r="BQ375" s="179"/>
      <c r="BR375" s="179"/>
      <c r="BS375" s="179"/>
      <c r="BT375" s="179"/>
      <c r="BU375" s="179"/>
      <c r="BV375" s="179"/>
      <c r="BW375" s="179"/>
      <c r="BX375" s="179"/>
      <c r="BY375" s="179"/>
      <c r="BZ375" s="179"/>
      <c r="CA375" s="179"/>
      <c r="CB375" s="179"/>
      <c r="CC375" s="179"/>
      <c r="CD375" s="179"/>
      <c r="CE375" s="179"/>
      <c r="CF375" s="179"/>
      <c r="CG375" s="179"/>
      <c r="CH375" s="179"/>
      <c r="CI375" s="179"/>
      <c r="CJ375" s="179"/>
      <c r="CK375" s="179"/>
      <c r="CL375" s="179"/>
      <c r="CM375" s="179"/>
      <c r="CN375" s="179"/>
      <c r="CO375" s="179"/>
      <c r="CP375" s="179"/>
      <c r="CQ375" s="179"/>
      <c r="CR375" s="179"/>
      <c r="CS375" s="179"/>
      <c r="CT375" s="179"/>
      <c r="CU375" s="179"/>
      <c r="CV375" s="179"/>
      <c r="CW375" s="179"/>
      <c r="CX375" s="179"/>
      <c r="CY375" s="179"/>
      <c r="CZ375" s="179"/>
      <c r="DA375" s="179"/>
      <c r="DB375" s="179"/>
      <c r="DC375" s="179"/>
      <c r="DD375" s="179"/>
      <c r="DE375" s="179"/>
      <c r="DF375" s="179"/>
      <c r="DG375" s="179"/>
      <c r="DH375" s="179"/>
      <c r="DI375" s="179"/>
      <c r="DJ375" s="179"/>
      <c r="DK375" s="179"/>
      <c r="DL375" s="179"/>
      <c r="DM375" s="179"/>
      <c r="DN375" s="179"/>
      <c r="DO375" s="179"/>
      <c r="DP375" s="179"/>
      <c r="DQ375" s="179"/>
      <c r="DR375" s="179"/>
      <c r="DS375" s="179"/>
      <c r="DT375" s="179"/>
      <c r="DU375" s="179"/>
      <c r="DV375" s="179"/>
      <c r="DW375" s="179"/>
      <c r="DX375" s="179"/>
      <c r="DY375" s="179"/>
      <c r="DZ375" s="179"/>
      <c r="EA375" s="179"/>
      <c r="EB375" s="179"/>
      <c r="EC375" s="179"/>
      <c r="ED375" s="179"/>
      <c r="EE375" s="179"/>
      <c r="EF375" s="179"/>
      <c r="EG375" s="179"/>
      <c r="EH375" s="179"/>
      <c r="EI375" s="179"/>
      <c r="EJ375" s="179"/>
      <c r="EK375" s="179"/>
      <c r="EL375" s="179"/>
      <c r="EM375" s="179"/>
      <c r="EN375" s="179"/>
      <c r="EO375" s="179"/>
      <c r="EP375" s="179"/>
      <c r="EQ375" s="179"/>
      <c r="ER375" s="179"/>
      <c r="ES375" s="179"/>
      <c r="ET375" s="179"/>
      <c r="EU375" s="179"/>
      <c r="EV375" s="179"/>
      <c r="EW375" s="179"/>
      <c r="EX375" s="179"/>
      <c r="EY375" s="179"/>
      <c r="EZ375" s="179"/>
      <c r="FA375" s="179"/>
      <c r="FB375" s="179"/>
      <c r="FC375" s="179"/>
      <c r="FD375" s="179"/>
      <c r="FE375" s="179"/>
      <c r="FF375" s="179"/>
      <c r="FG375" s="179"/>
      <c r="FH375" s="179"/>
      <c r="FI375" s="179"/>
      <c r="FJ375" s="179"/>
      <c r="FK375" s="179"/>
      <c r="FL375" s="179"/>
      <c r="FM375" s="179"/>
      <c r="FN375" s="179"/>
    </row>
    <row r="376" spans="1:170" s="140" customFormat="1" ht="10.3" x14ac:dyDescent="0.25">
      <c r="A376" s="132" t="s">
        <v>0</v>
      </c>
      <c r="B376" s="132" t="s">
        <v>529</v>
      </c>
      <c r="C376" s="132" t="s">
        <v>530</v>
      </c>
      <c r="D376" s="134">
        <v>0.32876712328767121</v>
      </c>
      <c r="E376" s="133">
        <v>11.21237</v>
      </c>
      <c r="F376" s="133">
        <v>28</v>
      </c>
      <c r="G376" s="134">
        <v>6.72</v>
      </c>
      <c r="H376" s="133">
        <v>83</v>
      </c>
      <c r="I376" s="133" t="s">
        <v>953</v>
      </c>
      <c r="J376" s="318" t="s">
        <v>1082</v>
      </c>
      <c r="K376" s="318" t="s">
        <v>1403</v>
      </c>
      <c r="L376" s="313"/>
      <c r="M376" s="313" t="s">
        <v>1047</v>
      </c>
      <c r="N376" s="135">
        <v>90</v>
      </c>
      <c r="O376" s="135">
        <v>70</v>
      </c>
      <c r="P376" s="135">
        <v>130</v>
      </c>
      <c r="Q376" s="136">
        <v>108</v>
      </c>
      <c r="R376" s="137">
        <v>44566</v>
      </c>
      <c r="S376" s="138">
        <v>42556</v>
      </c>
      <c r="T376" s="138">
        <v>42556</v>
      </c>
      <c r="U376" s="181">
        <f ca="1">[1]!cb_clause_conversion_2_relativeswapsharemonth(B376)</f>
        <v>6</v>
      </c>
      <c r="V376" s="139"/>
      <c r="W376" s="139"/>
      <c r="X376" s="139"/>
      <c r="Y376" s="139"/>
      <c r="Z376" s="139"/>
      <c r="AA376" s="139"/>
      <c r="AB376" s="139"/>
      <c r="AV376" s="141"/>
      <c r="AW376" s="141"/>
      <c r="AX376" s="141"/>
      <c r="AY376" s="141"/>
      <c r="AZ376" s="141"/>
      <c r="BA376" s="141"/>
      <c r="BB376" s="141"/>
      <c r="BC376" s="141"/>
      <c r="BD376" s="141"/>
      <c r="BE376" s="141"/>
      <c r="BF376" s="141"/>
      <c r="BG376" s="141"/>
      <c r="BH376" s="141"/>
      <c r="BI376" s="141"/>
      <c r="BJ376" s="141"/>
      <c r="BK376" s="141"/>
      <c r="BL376" s="141"/>
      <c r="BM376" s="141"/>
      <c r="BN376" s="141"/>
      <c r="BO376" s="141"/>
      <c r="BP376" s="141"/>
      <c r="BQ376" s="141"/>
      <c r="BR376" s="141"/>
      <c r="BS376" s="141"/>
      <c r="BT376" s="141"/>
      <c r="BU376" s="141"/>
      <c r="BV376" s="141"/>
      <c r="BW376" s="141"/>
      <c r="BX376" s="141"/>
      <c r="BY376" s="141"/>
      <c r="BZ376" s="141"/>
      <c r="CA376" s="141"/>
      <c r="CB376" s="141"/>
      <c r="CC376" s="141"/>
      <c r="CD376" s="141"/>
      <c r="CE376" s="141"/>
      <c r="CF376" s="141"/>
      <c r="CG376" s="141"/>
      <c r="CH376" s="141"/>
      <c r="CI376" s="141"/>
      <c r="CJ376" s="141"/>
      <c r="CK376" s="141"/>
      <c r="CL376" s="141"/>
      <c r="CM376" s="141"/>
      <c r="CN376" s="141"/>
      <c r="CO376" s="141"/>
      <c r="CP376" s="141"/>
      <c r="CQ376" s="141"/>
      <c r="CR376" s="141"/>
      <c r="CS376" s="141"/>
      <c r="CT376" s="141"/>
      <c r="CU376" s="141"/>
      <c r="CV376" s="141"/>
      <c r="CW376" s="141"/>
      <c r="CX376" s="141"/>
      <c r="CY376" s="141"/>
      <c r="CZ376" s="141"/>
      <c r="DA376" s="141"/>
      <c r="DB376" s="141"/>
      <c r="DC376" s="141"/>
      <c r="DD376" s="141"/>
      <c r="DE376" s="141"/>
      <c r="DF376" s="141"/>
      <c r="DG376" s="141"/>
      <c r="DH376" s="141"/>
      <c r="DI376" s="141"/>
      <c r="DJ376" s="141"/>
      <c r="DK376" s="141"/>
      <c r="DL376" s="141"/>
      <c r="DM376" s="141"/>
      <c r="DN376" s="141"/>
      <c r="DO376" s="141"/>
      <c r="DP376" s="141"/>
      <c r="DQ376" s="141"/>
      <c r="DR376" s="141"/>
      <c r="DS376" s="141"/>
      <c r="DT376" s="141"/>
      <c r="DU376" s="141"/>
      <c r="DV376" s="141"/>
      <c r="DW376" s="141"/>
      <c r="DX376" s="141"/>
      <c r="DY376" s="141"/>
      <c r="DZ376" s="141"/>
      <c r="EA376" s="141"/>
      <c r="EB376" s="141"/>
      <c r="EC376" s="141"/>
      <c r="ED376" s="141"/>
      <c r="EE376" s="141"/>
      <c r="EF376" s="141"/>
      <c r="EG376" s="141"/>
      <c r="EH376" s="141"/>
      <c r="EI376" s="141"/>
      <c r="EJ376" s="141"/>
      <c r="EK376" s="141"/>
      <c r="EL376" s="141"/>
      <c r="EM376" s="141"/>
      <c r="EN376" s="141"/>
      <c r="EO376" s="141"/>
      <c r="EP376" s="141"/>
      <c r="EQ376" s="141"/>
      <c r="ER376" s="141"/>
      <c r="ES376" s="141"/>
      <c r="ET376" s="141"/>
      <c r="EU376" s="141"/>
      <c r="EV376" s="141"/>
      <c r="EW376" s="141"/>
      <c r="EX376" s="141"/>
      <c r="EY376" s="141"/>
      <c r="EZ376" s="141"/>
      <c r="FA376" s="141"/>
      <c r="FB376" s="141"/>
      <c r="FC376" s="141"/>
      <c r="FD376" s="141"/>
      <c r="FE376" s="141"/>
      <c r="FF376" s="141"/>
      <c r="FG376" s="141"/>
      <c r="FH376" s="141"/>
      <c r="FI376" s="141"/>
      <c r="FJ376" s="141"/>
      <c r="FK376" s="141"/>
      <c r="FL376" s="141"/>
      <c r="FM376" s="141"/>
      <c r="FN376" s="141"/>
    </row>
    <row r="377" spans="1:170" s="178" customFormat="1" ht="10.3" x14ac:dyDescent="0.25">
      <c r="A377" s="170" t="s">
        <v>396</v>
      </c>
      <c r="B377" s="170" t="s">
        <v>531</v>
      </c>
      <c r="C377" s="170" t="s">
        <v>532</v>
      </c>
      <c r="D377" s="172">
        <v>0.16164383561643836</v>
      </c>
      <c r="E377" s="171">
        <v>44.773299999999999</v>
      </c>
      <c r="F377" s="171">
        <v>50</v>
      </c>
      <c r="G377" s="172">
        <v>5.0199999999999996</v>
      </c>
      <c r="H377" s="171">
        <v>69</v>
      </c>
      <c r="I377" s="171" t="s">
        <v>941</v>
      </c>
      <c r="J377" s="317" t="s">
        <v>951</v>
      </c>
      <c r="K377" s="317" t="s">
        <v>1167</v>
      </c>
      <c r="L377" s="311"/>
      <c r="M377" s="311" t="s">
        <v>1546</v>
      </c>
      <c r="N377" s="173">
        <v>90</v>
      </c>
      <c r="O377" s="173">
        <v>70</v>
      </c>
      <c r="P377" s="173">
        <v>130</v>
      </c>
      <c r="Q377" s="174">
        <v>104</v>
      </c>
      <c r="R377" s="180">
        <v>44505</v>
      </c>
      <c r="S377" s="175">
        <v>42681</v>
      </c>
      <c r="T377" s="175">
        <v>42679</v>
      </c>
      <c r="U377" s="176">
        <f ca="1">[1]!cb_clause_conversion_2_relativeswapsharemonth(B377)</f>
        <v>12</v>
      </c>
      <c r="V377" s="177"/>
      <c r="W377" s="177"/>
      <c r="X377" s="177"/>
      <c r="Y377" s="177"/>
      <c r="Z377" s="177"/>
      <c r="AA377" s="177"/>
      <c r="AB377" s="177"/>
      <c r="AV377" s="179"/>
      <c r="AW377" s="179"/>
      <c r="AX377" s="179"/>
      <c r="AY377" s="179"/>
      <c r="AZ377" s="179"/>
      <c r="BA377" s="179"/>
      <c r="BB377" s="179"/>
      <c r="BC377" s="179"/>
      <c r="BD377" s="179"/>
      <c r="BE377" s="179"/>
      <c r="BF377" s="179"/>
      <c r="BG377" s="179"/>
      <c r="BH377" s="179"/>
      <c r="BI377" s="179"/>
      <c r="BJ377" s="179"/>
      <c r="BK377" s="179"/>
      <c r="BL377" s="179"/>
      <c r="BM377" s="179"/>
      <c r="BN377" s="179"/>
      <c r="BO377" s="179"/>
      <c r="BP377" s="179"/>
      <c r="BQ377" s="179"/>
      <c r="BR377" s="179"/>
      <c r="BS377" s="179"/>
      <c r="BT377" s="179"/>
      <c r="BU377" s="179"/>
      <c r="BV377" s="179"/>
      <c r="BW377" s="179"/>
      <c r="BX377" s="179"/>
      <c r="BY377" s="179"/>
      <c r="BZ377" s="179"/>
      <c r="CA377" s="179"/>
      <c r="CB377" s="179"/>
      <c r="CC377" s="179"/>
      <c r="CD377" s="179"/>
      <c r="CE377" s="179"/>
      <c r="CF377" s="179"/>
      <c r="CG377" s="179"/>
      <c r="CH377" s="179"/>
      <c r="CI377" s="179"/>
      <c r="CJ377" s="179"/>
      <c r="CK377" s="179"/>
      <c r="CL377" s="179"/>
      <c r="CM377" s="179"/>
      <c r="CN377" s="179"/>
      <c r="CO377" s="179"/>
      <c r="CP377" s="179"/>
      <c r="CQ377" s="179"/>
      <c r="CR377" s="179"/>
      <c r="CS377" s="179"/>
      <c r="CT377" s="179"/>
      <c r="CU377" s="179"/>
      <c r="CV377" s="179"/>
      <c r="CW377" s="179"/>
      <c r="CX377" s="179"/>
      <c r="CY377" s="179"/>
      <c r="CZ377" s="179"/>
      <c r="DA377" s="179"/>
      <c r="DB377" s="179"/>
      <c r="DC377" s="179"/>
      <c r="DD377" s="179"/>
      <c r="DE377" s="179"/>
      <c r="DF377" s="179"/>
      <c r="DG377" s="179"/>
      <c r="DH377" s="179"/>
      <c r="DI377" s="179"/>
      <c r="DJ377" s="179"/>
      <c r="DK377" s="179"/>
      <c r="DL377" s="179"/>
      <c r="DM377" s="179"/>
      <c r="DN377" s="179"/>
      <c r="DO377" s="179"/>
      <c r="DP377" s="179"/>
      <c r="DQ377" s="179"/>
      <c r="DR377" s="179"/>
      <c r="DS377" s="179"/>
      <c r="DT377" s="179"/>
      <c r="DU377" s="179"/>
      <c r="DV377" s="179"/>
      <c r="DW377" s="179"/>
      <c r="DX377" s="179"/>
      <c r="DY377" s="179"/>
      <c r="DZ377" s="179"/>
      <c r="EA377" s="179"/>
      <c r="EB377" s="179"/>
      <c r="EC377" s="179"/>
      <c r="ED377" s="179"/>
      <c r="EE377" s="179"/>
      <c r="EF377" s="179"/>
      <c r="EG377" s="179"/>
      <c r="EH377" s="179"/>
      <c r="EI377" s="179"/>
      <c r="EJ377" s="179"/>
      <c r="EK377" s="179"/>
      <c r="EL377" s="179"/>
      <c r="EM377" s="179"/>
      <c r="EN377" s="179"/>
      <c r="EO377" s="179"/>
      <c r="EP377" s="179"/>
      <c r="EQ377" s="179"/>
      <c r="ER377" s="179"/>
      <c r="ES377" s="179"/>
      <c r="ET377" s="179"/>
      <c r="EU377" s="179"/>
      <c r="EV377" s="179"/>
      <c r="EW377" s="179"/>
      <c r="EX377" s="179"/>
      <c r="EY377" s="179"/>
      <c r="EZ377" s="179"/>
      <c r="FA377" s="179"/>
      <c r="FB377" s="179"/>
      <c r="FC377" s="179"/>
      <c r="FD377" s="179"/>
      <c r="FE377" s="179"/>
      <c r="FF377" s="179"/>
      <c r="FG377" s="179"/>
      <c r="FH377" s="179"/>
      <c r="FI377" s="179"/>
      <c r="FJ377" s="179"/>
      <c r="FK377" s="179"/>
      <c r="FL377" s="179"/>
      <c r="FM377" s="179"/>
      <c r="FN377" s="179"/>
    </row>
    <row r="378" spans="1:170" s="140" customFormat="1" ht="10.3" x14ac:dyDescent="0.25">
      <c r="A378" s="132" t="s">
        <v>396</v>
      </c>
      <c r="B378" s="132" t="s">
        <v>533</v>
      </c>
      <c r="C378" s="132" t="s">
        <v>534</v>
      </c>
      <c r="D378" s="134">
        <v>0.14794520547945206</v>
      </c>
      <c r="E378" s="133">
        <v>49.967359999999999</v>
      </c>
      <c r="F378" s="133">
        <v>50</v>
      </c>
      <c r="G378" s="134">
        <v>13.4</v>
      </c>
      <c r="H378" s="133">
        <v>70</v>
      </c>
      <c r="I378" s="133" t="s">
        <v>953</v>
      </c>
      <c r="J378" s="318" t="s">
        <v>958</v>
      </c>
      <c r="K378" s="318" t="s">
        <v>1547</v>
      </c>
      <c r="L378" s="313"/>
      <c r="M378" s="313" t="s">
        <v>1548</v>
      </c>
      <c r="N378" s="135">
        <v>80</v>
      </c>
      <c r="O378" s="135">
        <v>80</v>
      </c>
      <c r="P378" s="135">
        <v>130</v>
      </c>
      <c r="Q378" s="136">
        <v>106</v>
      </c>
      <c r="R378" s="137">
        <v>44500</v>
      </c>
      <c r="S378" s="138">
        <v>43039</v>
      </c>
      <c r="T378" s="138">
        <v>43039</v>
      </c>
      <c r="U378" s="181">
        <f ca="1">[1]!cb_clause_conversion_2_relativeswapsharemonth(B378)</f>
        <v>12</v>
      </c>
      <c r="V378" s="139"/>
      <c r="W378" s="139"/>
      <c r="X378" s="139"/>
      <c r="Y378" s="139"/>
      <c r="Z378" s="139"/>
      <c r="AA378" s="139"/>
      <c r="AB378" s="139"/>
      <c r="AV378" s="141"/>
      <c r="AW378" s="141"/>
      <c r="AX378" s="141"/>
      <c r="AY378" s="141"/>
      <c r="AZ378" s="141"/>
      <c r="BA378" s="141"/>
      <c r="BB378" s="141"/>
      <c r="BC378" s="141"/>
      <c r="BD378" s="141"/>
      <c r="BE378" s="141"/>
      <c r="BF378" s="141"/>
      <c r="BG378" s="141"/>
      <c r="BH378" s="141"/>
      <c r="BI378" s="141"/>
      <c r="BJ378" s="141"/>
      <c r="BK378" s="141"/>
      <c r="BL378" s="141"/>
      <c r="BM378" s="141"/>
      <c r="BN378" s="141"/>
      <c r="BO378" s="141"/>
      <c r="BP378" s="141"/>
      <c r="BQ378" s="141"/>
      <c r="BR378" s="141"/>
      <c r="BS378" s="141"/>
      <c r="BT378" s="141"/>
      <c r="BU378" s="141"/>
      <c r="BV378" s="141"/>
      <c r="BW378" s="141"/>
      <c r="BX378" s="141"/>
      <c r="BY378" s="141"/>
      <c r="BZ378" s="141"/>
      <c r="CA378" s="141"/>
      <c r="CB378" s="141"/>
      <c r="CC378" s="141"/>
      <c r="CD378" s="141"/>
      <c r="CE378" s="141"/>
      <c r="CF378" s="141"/>
      <c r="CG378" s="141"/>
      <c r="CH378" s="141"/>
      <c r="CI378" s="141"/>
      <c r="CJ378" s="141"/>
      <c r="CK378" s="141"/>
      <c r="CL378" s="141"/>
      <c r="CM378" s="141"/>
      <c r="CN378" s="141"/>
      <c r="CO378" s="141"/>
      <c r="CP378" s="141"/>
      <c r="CQ378" s="141"/>
      <c r="CR378" s="141"/>
      <c r="CS378" s="141"/>
      <c r="CT378" s="141"/>
      <c r="CU378" s="141"/>
      <c r="CV378" s="141"/>
      <c r="CW378" s="141"/>
      <c r="CX378" s="141"/>
      <c r="CY378" s="141"/>
      <c r="CZ378" s="141"/>
      <c r="DA378" s="141"/>
      <c r="DB378" s="141"/>
      <c r="DC378" s="141"/>
      <c r="DD378" s="141"/>
      <c r="DE378" s="141"/>
      <c r="DF378" s="141"/>
      <c r="DG378" s="141"/>
      <c r="DH378" s="141"/>
      <c r="DI378" s="141"/>
      <c r="DJ378" s="141"/>
      <c r="DK378" s="141"/>
      <c r="DL378" s="141"/>
      <c r="DM378" s="141"/>
      <c r="DN378" s="141"/>
      <c r="DO378" s="141"/>
      <c r="DP378" s="141"/>
      <c r="DQ378" s="141"/>
      <c r="DR378" s="141"/>
      <c r="DS378" s="141"/>
      <c r="DT378" s="141"/>
      <c r="DU378" s="141"/>
      <c r="DV378" s="141"/>
      <c r="DW378" s="141"/>
      <c r="DX378" s="141"/>
      <c r="DY378" s="141"/>
      <c r="DZ378" s="141"/>
      <c r="EA378" s="141"/>
      <c r="EB378" s="141"/>
      <c r="EC378" s="141"/>
      <c r="ED378" s="141"/>
      <c r="EE378" s="141"/>
      <c r="EF378" s="141"/>
      <c r="EG378" s="141"/>
      <c r="EH378" s="141"/>
      <c r="EI378" s="141"/>
      <c r="EJ378" s="141"/>
      <c r="EK378" s="141"/>
      <c r="EL378" s="141"/>
      <c r="EM378" s="141"/>
      <c r="EN378" s="141"/>
      <c r="EO378" s="141"/>
      <c r="EP378" s="141"/>
      <c r="EQ378" s="141"/>
      <c r="ER378" s="141"/>
      <c r="ES378" s="141"/>
      <c r="ET378" s="141"/>
      <c r="EU378" s="141"/>
      <c r="EV378" s="141"/>
      <c r="EW378" s="141"/>
      <c r="EX378" s="141"/>
      <c r="EY378" s="141"/>
      <c r="EZ378" s="141"/>
      <c r="FA378" s="141"/>
      <c r="FB378" s="141"/>
      <c r="FC378" s="141"/>
      <c r="FD378" s="141"/>
      <c r="FE378" s="141"/>
      <c r="FF378" s="141"/>
      <c r="FG378" s="141"/>
      <c r="FH378" s="141"/>
      <c r="FI378" s="141"/>
      <c r="FJ378" s="141"/>
      <c r="FK378" s="141"/>
      <c r="FL378" s="141"/>
      <c r="FM378" s="141"/>
      <c r="FN378" s="141"/>
    </row>
    <row r="379" spans="1:170" s="178" customFormat="1" ht="10.3" x14ac:dyDescent="0.25">
      <c r="A379" s="170" t="s">
        <v>396</v>
      </c>
      <c r="B379" s="170" t="s">
        <v>535</v>
      </c>
      <c r="C379" s="170" t="s">
        <v>536</v>
      </c>
      <c r="D379" s="172"/>
      <c r="E379" s="171">
        <v>0</v>
      </c>
      <c r="F379" s="171">
        <v>25</v>
      </c>
      <c r="G379" s="172">
        <v>14.46</v>
      </c>
      <c r="H379" s="171">
        <v>0</v>
      </c>
      <c r="I379" s="171" t="s">
        <v>935</v>
      </c>
      <c r="J379" s="317" t="s">
        <v>936</v>
      </c>
      <c r="K379" s="317" t="s">
        <v>1389</v>
      </c>
      <c r="L379" s="311"/>
      <c r="M379" s="311" t="s">
        <v>1390</v>
      </c>
      <c r="N379" s="173">
        <v>85</v>
      </c>
      <c r="O379" s="173">
        <v>70</v>
      </c>
      <c r="P379" s="173">
        <v>120</v>
      </c>
      <c r="Q379" s="174">
        <v>112</v>
      </c>
      <c r="R379" s="180">
        <v>44370</v>
      </c>
      <c r="S379" s="175">
        <v>42909</v>
      </c>
      <c r="T379" s="175">
        <v>42909</v>
      </c>
      <c r="U379" s="176">
        <f ca="1">[1]!cb_clause_conversion_2_relativeswapsharemonth(B379)</f>
        <v>12</v>
      </c>
      <c r="V379" s="177"/>
      <c r="W379" s="177"/>
      <c r="X379" s="177"/>
      <c r="Y379" s="177"/>
      <c r="Z379" s="177"/>
      <c r="AA379" s="177"/>
      <c r="AB379" s="177"/>
      <c r="AV379" s="179"/>
      <c r="AW379" s="179"/>
      <c r="AX379" s="179"/>
      <c r="AY379" s="179"/>
      <c r="AZ379" s="179"/>
      <c r="BA379" s="179"/>
      <c r="BB379" s="179"/>
      <c r="BC379" s="179"/>
      <c r="BD379" s="179"/>
      <c r="BE379" s="179"/>
      <c r="BF379" s="179"/>
      <c r="BG379" s="179"/>
      <c r="BH379" s="179"/>
      <c r="BI379" s="179"/>
      <c r="BJ379" s="179"/>
      <c r="BK379" s="179"/>
      <c r="BL379" s="179"/>
      <c r="BM379" s="179"/>
      <c r="BN379" s="179"/>
      <c r="BO379" s="179"/>
      <c r="BP379" s="179"/>
      <c r="BQ379" s="179"/>
      <c r="BR379" s="179"/>
      <c r="BS379" s="179"/>
      <c r="BT379" s="179"/>
      <c r="BU379" s="179"/>
      <c r="BV379" s="179"/>
      <c r="BW379" s="179"/>
      <c r="BX379" s="179"/>
      <c r="BY379" s="179"/>
      <c r="BZ379" s="179"/>
      <c r="CA379" s="179"/>
      <c r="CB379" s="179"/>
      <c r="CC379" s="179"/>
      <c r="CD379" s="179"/>
      <c r="CE379" s="179"/>
      <c r="CF379" s="179"/>
      <c r="CG379" s="179"/>
      <c r="CH379" s="179"/>
      <c r="CI379" s="179"/>
      <c r="CJ379" s="179"/>
      <c r="CK379" s="179"/>
      <c r="CL379" s="179"/>
      <c r="CM379" s="179"/>
      <c r="CN379" s="179"/>
      <c r="CO379" s="179"/>
      <c r="CP379" s="179"/>
      <c r="CQ379" s="179"/>
      <c r="CR379" s="179"/>
      <c r="CS379" s="179"/>
      <c r="CT379" s="179"/>
      <c r="CU379" s="179"/>
      <c r="CV379" s="179"/>
      <c r="CW379" s="179"/>
      <c r="CX379" s="179"/>
      <c r="CY379" s="179"/>
      <c r="CZ379" s="179"/>
      <c r="DA379" s="179"/>
      <c r="DB379" s="179"/>
      <c r="DC379" s="179"/>
      <c r="DD379" s="179"/>
      <c r="DE379" s="179"/>
      <c r="DF379" s="179"/>
      <c r="DG379" s="179"/>
      <c r="DH379" s="179"/>
      <c r="DI379" s="179"/>
      <c r="DJ379" s="179"/>
      <c r="DK379" s="179"/>
      <c r="DL379" s="179"/>
      <c r="DM379" s="179"/>
      <c r="DN379" s="179"/>
      <c r="DO379" s="179"/>
      <c r="DP379" s="179"/>
      <c r="DQ379" s="179"/>
      <c r="DR379" s="179"/>
      <c r="DS379" s="179"/>
      <c r="DT379" s="179"/>
      <c r="DU379" s="179"/>
      <c r="DV379" s="179"/>
      <c r="DW379" s="179"/>
      <c r="DX379" s="179"/>
      <c r="DY379" s="179"/>
      <c r="DZ379" s="179"/>
      <c r="EA379" s="179"/>
      <c r="EB379" s="179"/>
      <c r="EC379" s="179"/>
      <c r="ED379" s="179"/>
      <c r="EE379" s="179"/>
      <c r="EF379" s="179"/>
      <c r="EG379" s="179"/>
      <c r="EH379" s="179"/>
      <c r="EI379" s="179"/>
      <c r="EJ379" s="179"/>
      <c r="EK379" s="179"/>
      <c r="EL379" s="179"/>
      <c r="EM379" s="179"/>
      <c r="EN379" s="179"/>
      <c r="EO379" s="179"/>
      <c r="EP379" s="179"/>
      <c r="EQ379" s="179"/>
      <c r="ER379" s="179"/>
      <c r="ES379" s="179"/>
      <c r="ET379" s="179"/>
      <c r="EU379" s="179"/>
      <c r="EV379" s="179"/>
      <c r="EW379" s="179"/>
      <c r="EX379" s="179"/>
      <c r="EY379" s="179"/>
      <c r="EZ379" s="179"/>
      <c r="FA379" s="179"/>
      <c r="FB379" s="179"/>
      <c r="FC379" s="179"/>
      <c r="FD379" s="179"/>
      <c r="FE379" s="179"/>
      <c r="FF379" s="179"/>
      <c r="FG379" s="179"/>
      <c r="FH379" s="179"/>
      <c r="FI379" s="179"/>
      <c r="FJ379" s="179"/>
      <c r="FK379" s="179"/>
      <c r="FL379" s="179"/>
      <c r="FM379" s="179"/>
      <c r="FN379" s="179"/>
    </row>
    <row r="380" spans="1:170" s="140" customFormat="1" ht="10.3" x14ac:dyDescent="0.25">
      <c r="A380" s="132" t="s">
        <v>0</v>
      </c>
      <c r="B380" s="132" t="s">
        <v>537</v>
      </c>
      <c r="C380" s="132" t="s">
        <v>538</v>
      </c>
      <c r="D380" s="134"/>
      <c r="E380" s="133">
        <v>0</v>
      </c>
      <c r="F380" s="133">
        <v>24</v>
      </c>
      <c r="G380" s="134">
        <v>21.56</v>
      </c>
      <c r="H380" s="133">
        <v>0</v>
      </c>
      <c r="I380" s="133" t="s">
        <v>953</v>
      </c>
      <c r="J380" s="318" t="s">
        <v>944</v>
      </c>
      <c r="K380" s="318" t="s">
        <v>1402</v>
      </c>
      <c r="L380" s="313" t="s">
        <v>1579</v>
      </c>
      <c r="M380" s="313" t="s">
        <v>945</v>
      </c>
      <c r="N380" s="135">
        <v>90</v>
      </c>
      <c r="O380" s="135">
        <v>70</v>
      </c>
      <c r="P380" s="135">
        <v>130</v>
      </c>
      <c r="Q380" s="136">
        <v>107</v>
      </c>
      <c r="R380" s="137">
        <v>44359</v>
      </c>
      <c r="S380" s="138">
        <v>42352</v>
      </c>
      <c r="T380" s="138">
        <v>42352</v>
      </c>
      <c r="U380" s="181">
        <f ca="1">[1]!cb_clause_conversion_2_relativeswapsharemonth(B380)</f>
        <v>6</v>
      </c>
      <c r="V380" s="139"/>
      <c r="W380" s="139"/>
      <c r="X380" s="139"/>
      <c r="Y380" s="139"/>
      <c r="Z380" s="139"/>
      <c r="AA380" s="139"/>
      <c r="AB380" s="139"/>
      <c r="AV380" s="141"/>
      <c r="AW380" s="141"/>
      <c r="AX380" s="141"/>
      <c r="AY380" s="141"/>
      <c r="AZ380" s="141"/>
      <c r="BA380" s="141"/>
      <c r="BB380" s="141"/>
      <c r="BC380" s="141"/>
      <c r="BD380" s="141"/>
      <c r="BE380" s="141"/>
      <c r="BF380" s="141"/>
      <c r="BG380" s="141"/>
      <c r="BH380" s="141"/>
      <c r="BI380" s="141"/>
      <c r="BJ380" s="141"/>
      <c r="BK380" s="141"/>
      <c r="BL380" s="141"/>
      <c r="BM380" s="141"/>
      <c r="BN380" s="141"/>
      <c r="BO380" s="141"/>
      <c r="BP380" s="141"/>
      <c r="BQ380" s="141"/>
      <c r="BR380" s="141"/>
      <c r="BS380" s="141"/>
      <c r="BT380" s="141"/>
      <c r="BU380" s="141"/>
      <c r="BV380" s="141"/>
      <c r="BW380" s="141"/>
      <c r="BX380" s="141"/>
      <c r="BY380" s="141"/>
      <c r="BZ380" s="141"/>
      <c r="CA380" s="141"/>
      <c r="CB380" s="141"/>
      <c r="CC380" s="141"/>
      <c r="CD380" s="141"/>
      <c r="CE380" s="141"/>
      <c r="CF380" s="141"/>
      <c r="CG380" s="141"/>
      <c r="CH380" s="141"/>
      <c r="CI380" s="141"/>
      <c r="CJ380" s="141"/>
      <c r="CK380" s="141"/>
      <c r="CL380" s="141"/>
      <c r="CM380" s="141"/>
      <c r="CN380" s="141"/>
      <c r="CO380" s="141"/>
      <c r="CP380" s="141"/>
      <c r="CQ380" s="141"/>
      <c r="CR380" s="141"/>
      <c r="CS380" s="141"/>
      <c r="CT380" s="141"/>
      <c r="CU380" s="141"/>
      <c r="CV380" s="141"/>
      <c r="CW380" s="141"/>
      <c r="CX380" s="141"/>
      <c r="CY380" s="141"/>
      <c r="CZ380" s="141"/>
      <c r="DA380" s="141"/>
      <c r="DB380" s="141"/>
      <c r="DC380" s="141"/>
      <c r="DD380" s="141"/>
      <c r="DE380" s="141"/>
      <c r="DF380" s="141"/>
      <c r="DG380" s="141"/>
      <c r="DH380" s="141"/>
      <c r="DI380" s="141"/>
      <c r="DJ380" s="141"/>
      <c r="DK380" s="141"/>
      <c r="DL380" s="141"/>
      <c r="DM380" s="141"/>
      <c r="DN380" s="141"/>
      <c r="DO380" s="141"/>
      <c r="DP380" s="141"/>
      <c r="DQ380" s="141"/>
      <c r="DR380" s="141"/>
      <c r="DS380" s="141"/>
      <c r="DT380" s="141"/>
      <c r="DU380" s="141"/>
      <c r="DV380" s="141"/>
      <c r="DW380" s="141"/>
      <c r="DX380" s="141"/>
      <c r="DY380" s="141"/>
      <c r="DZ380" s="141"/>
      <c r="EA380" s="141"/>
      <c r="EB380" s="141"/>
      <c r="EC380" s="141"/>
      <c r="ED380" s="141"/>
      <c r="EE380" s="141"/>
      <c r="EF380" s="141"/>
      <c r="EG380" s="141"/>
      <c r="EH380" s="141"/>
      <c r="EI380" s="141"/>
      <c r="EJ380" s="141"/>
      <c r="EK380" s="141"/>
      <c r="EL380" s="141"/>
      <c r="EM380" s="141"/>
      <c r="EN380" s="141"/>
      <c r="EO380" s="141"/>
      <c r="EP380" s="141"/>
      <c r="EQ380" s="141"/>
      <c r="ER380" s="141"/>
      <c r="ES380" s="141"/>
      <c r="ET380" s="141"/>
      <c r="EU380" s="141"/>
      <c r="EV380" s="141"/>
      <c r="EW380" s="141"/>
      <c r="EX380" s="141"/>
      <c r="EY380" s="141"/>
      <c r="EZ380" s="141"/>
      <c r="FA380" s="141"/>
      <c r="FB380" s="141"/>
      <c r="FC380" s="141"/>
      <c r="FD380" s="141"/>
      <c r="FE380" s="141"/>
      <c r="FF380" s="141"/>
      <c r="FG380" s="141"/>
      <c r="FH380" s="141"/>
      <c r="FI380" s="141"/>
      <c r="FJ380" s="141"/>
      <c r="FK380" s="141"/>
      <c r="FL380" s="141"/>
      <c r="FM380" s="141"/>
      <c r="FN380" s="141"/>
    </row>
    <row r="381" spans="1:170" s="178" customFormat="1" ht="10.3" x14ac:dyDescent="0.25">
      <c r="A381" s="170" t="s">
        <v>5</v>
      </c>
      <c r="B381" s="170" t="s">
        <v>1285</v>
      </c>
      <c r="C381" s="170" t="s">
        <v>1286</v>
      </c>
      <c r="D381" s="172"/>
      <c r="E381" s="171"/>
      <c r="F381" s="171">
        <v>33</v>
      </c>
      <c r="G381" s="172">
        <v>28.01</v>
      </c>
      <c r="H381" s="171">
        <v>0</v>
      </c>
      <c r="I381" s="171" t="s">
        <v>957</v>
      </c>
      <c r="J381" s="317" t="s">
        <v>948</v>
      </c>
      <c r="K381" s="317" t="s">
        <v>1360</v>
      </c>
      <c r="L381" s="311"/>
      <c r="M381" s="311" t="s">
        <v>979</v>
      </c>
      <c r="N381" s="173">
        <v>85</v>
      </c>
      <c r="O381" s="173">
        <v>70</v>
      </c>
      <c r="P381" s="173">
        <v>130</v>
      </c>
      <c r="Q381" s="174">
        <v>120</v>
      </c>
      <c r="R381" s="241">
        <v>0</v>
      </c>
      <c r="S381" s="175">
        <v>44405</v>
      </c>
      <c r="T381" s="175">
        <v>44405</v>
      </c>
      <c r="U381" s="176">
        <f ca="1">[1]!cb_clause_conversion_2_relativeswapsharemonth(B381)</f>
        <v>6</v>
      </c>
      <c r="V381" s="177"/>
      <c r="W381" s="177"/>
      <c r="X381" s="177"/>
      <c r="Y381" s="177"/>
      <c r="Z381" s="177"/>
      <c r="AA381" s="177"/>
      <c r="AB381" s="177"/>
      <c r="AV381" s="179"/>
      <c r="AW381" s="179"/>
      <c r="AX381" s="179"/>
      <c r="AY381" s="179"/>
      <c r="AZ381" s="179"/>
      <c r="BA381" s="179"/>
      <c r="BB381" s="179"/>
      <c r="BC381" s="179"/>
      <c r="BD381" s="179"/>
      <c r="BE381" s="179"/>
      <c r="BF381" s="179"/>
      <c r="BG381" s="179"/>
      <c r="BH381" s="179"/>
      <c r="BI381" s="179"/>
      <c r="BJ381" s="179"/>
      <c r="BK381" s="179"/>
      <c r="BL381" s="179"/>
      <c r="BM381" s="179"/>
      <c r="BN381" s="179"/>
      <c r="BO381" s="179"/>
      <c r="BP381" s="179"/>
      <c r="BQ381" s="179"/>
      <c r="BR381" s="179"/>
      <c r="BS381" s="179"/>
      <c r="BT381" s="179"/>
      <c r="BU381" s="179"/>
      <c r="BV381" s="179"/>
      <c r="BW381" s="179"/>
      <c r="BX381" s="179"/>
      <c r="BY381" s="179"/>
      <c r="BZ381" s="179"/>
      <c r="CA381" s="179"/>
      <c r="CB381" s="179"/>
      <c r="CC381" s="179"/>
      <c r="CD381" s="179"/>
      <c r="CE381" s="179"/>
      <c r="CF381" s="179"/>
      <c r="CG381" s="179"/>
      <c r="CH381" s="179"/>
      <c r="CI381" s="179"/>
      <c r="CJ381" s="179"/>
      <c r="CK381" s="179"/>
      <c r="CL381" s="179"/>
      <c r="CM381" s="179"/>
      <c r="CN381" s="179"/>
      <c r="CO381" s="179"/>
      <c r="CP381" s="179"/>
      <c r="CQ381" s="179"/>
      <c r="CR381" s="179"/>
      <c r="CS381" s="179"/>
      <c r="CT381" s="179"/>
      <c r="CU381" s="179"/>
      <c r="CV381" s="179"/>
      <c r="CW381" s="179"/>
      <c r="CX381" s="179"/>
      <c r="CY381" s="179"/>
      <c r="CZ381" s="179"/>
      <c r="DA381" s="179"/>
      <c r="DB381" s="179"/>
      <c r="DC381" s="179"/>
      <c r="DD381" s="179"/>
      <c r="DE381" s="179"/>
      <c r="DF381" s="179"/>
      <c r="DG381" s="179"/>
      <c r="DH381" s="179"/>
      <c r="DI381" s="179"/>
      <c r="DJ381" s="179"/>
      <c r="DK381" s="179"/>
      <c r="DL381" s="179"/>
      <c r="DM381" s="179"/>
      <c r="DN381" s="179"/>
      <c r="DO381" s="179"/>
      <c r="DP381" s="179"/>
      <c r="DQ381" s="179"/>
      <c r="DR381" s="179"/>
      <c r="DS381" s="179"/>
      <c r="DT381" s="179"/>
      <c r="DU381" s="179"/>
      <c r="DV381" s="179"/>
      <c r="DW381" s="179"/>
      <c r="DX381" s="179"/>
      <c r="DY381" s="179"/>
      <c r="DZ381" s="179"/>
      <c r="EA381" s="179"/>
      <c r="EB381" s="179"/>
      <c r="EC381" s="179"/>
      <c r="ED381" s="179"/>
      <c r="EE381" s="179"/>
      <c r="EF381" s="179"/>
      <c r="EG381" s="179"/>
      <c r="EH381" s="179"/>
      <c r="EI381" s="179"/>
      <c r="EJ381" s="179"/>
      <c r="EK381" s="179"/>
      <c r="EL381" s="179"/>
      <c r="EM381" s="179"/>
      <c r="EN381" s="179"/>
      <c r="EO381" s="179"/>
      <c r="EP381" s="179"/>
      <c r="EQ381" s="179"/>
      <c r="ER381" s="179"/>
      <c r="ES381" s="179"/>
      <c r="ET381" s="179"/>
      <c r="EU381" s="179"/>
      <c r="EV381" s="179"/>
      <c r="EW381" s="179"/>
      <c r="EX381" s="179"/>
      <c r="EY381" s="179"/>
      <c r="EZ381" s="179"/>
      <c r="FA381" s="179"/>
      <c r="FB381" s="179"/>
      <c r="FC381" s="179"/>
      <c r="FD381" s="179"/>
      <c r="FE381" s="179"/>
      <c r="FF381" s="179"/>
      <c r="FG381" s="179"/>
      <c r="FH381" s="179"/>
      <c r="FI381" s="179"/>
      <c r="FJ381" s="179"/>
      <c r="FK381" s="179"/>
      <c r="FL381" s="179"/>
      <c r="FM381" s="179"/>
      <c r="FN381" s="179"/>
    </row>
    <row r="382" spans="1:170" s="149" customFormat="1" x14ac:dyDescent="0.25">
      <c r="A382" s="142"/>
      <c r="B382" s="142"/>
      <c r="C382" s="142"/>
      <c r="D382" s="144"/>
      <c r="E382" s="143"/>
      <c r="F382" s="143"/>
      <c r="G382" s="144"/>
      <c r="H382" s="143"/>
      <c r="I382" s="143"/>
      <c r="J382" s="319"/>
      <c r="K382" s="319"/>
      <c r="L382" s="315"/>
      <c r="M382" s="315"/>
      <c r="N382" s="145"/>
      <c r="O382" s="145"/>
      <c r="P382" s="145"/>
      <c r="Q382" s="146"/>
      <c r="R382" s="147"/>
      <c r="S382" s="148"/>
      <c r="T382" s="148"/>
      <c r="U382" s="148"/>
      <c r="V382" s="148"/>
      <c r="W382" s="148"/>
      <c r="X382" s="148"/>
      <c r="Y382" s="148"/>
      <c r="Z382" s="148"/>
      <c r="AA382" s="148"/>
      <c r="AB382" s="148"/>
      <c r="AV382" s="150"/>
      <c r="AW382" s="150"/>
      <c r="AX382" s="150"/>
      <c r="AY382" s="150"/>
      <c r="AZ382" s="150"/>
      <c r="BA382" s="150"/>
      <c r="BB382" s="150"/>
      <c r="BC382" s="150"/>
      <c r="BD382" s="150"/>
      <c r="BE382" s="150"/>
      <c r="BF382" s="150"/>
      <c r="BG382" s="150"/>
      <c r="BH382" s="150"/>
      <c r="BI382" s="150"/>
      <c r="BJ382" s="150"/>
      <c r="BK382" s="150"/>
      <c r="BL382" s="150"/>
      <c r="BM382" s="150"/>
      <c r="BN382" s="150"/>
      <c r="BO382" s="150"/>
      <c r="BP382" s="150"/>
      <c r="BQ382" s="150"/>
      <c r="BR382" s="150"/>
      <c r="BS382" s="150"/>
      <c r="BT382" s="150"/>
      <c r="BU382" s="150"/>
      <c r="BV382" s="150"/>
      <c r="BW382" s="150"/>
      <c r="BX382" s="150"/>
      <c r="BY382" s="150"/>
      <c r="BZ382" s="150"/>
      <c r="CA382" s="150"/>
      <c r="CB382" s="150"/>
      <c r="CC382" s="150"/>
      <c r="CD382" s="150"/>
      <c r="CE382" s="150"/>
      <c r="CF382" s="150"/>
      <c r="CG382" s="150"/>
      <c r="CH382" s="150"/>
      <c r="CI382" s="150"/>
      <c r="CJ382" s="150"/>
      <c r="CK382" s="150"/>
      <c r="CL382" s="150"/>
      <c r="CM382" s="150"/>
      <c r="CN382" s="150"/>
      <c r="CO382" s="150"/>
      <c r="CP382" s="150"/>
      <c r="CQ382" s="150"/>
      <c r="CR382" s="150"/>
      <c r="CS382" s="150"/>
      <c r="CT382" s="150"/>
      <c r="CU382" s="150"/>
      <c r="CV382" s="150"/>
      <c r="CW382" s="150"/>
      <c r="CX382" s="150"/>
      <c r="CY382" s="150"/>
      <c r="CZ382" s="150"/>
      <c r="DA382" s="150"/>
      <c r="DB382" s="150"/>
      <c r="DC382" s="150"/>
      <c r="DD382" s="150"/>
      <c r="DE382" s="150"/>
      <c r="DF382" s="150"/>
      <c r="DG382" s="150"/>
      <c r="DH382" s="150"/>
      <c r="DI382" s="150"/>
      <c r="DJ382" s="150"/>
      <c r="DK382" s="150"/>
      <c r="DL382" s="150"/>
      <c r="DM382" s="150"/>
      <c r="DN382" s="150"/>
      <c r="DO382" s="150"/>
      <c r="DP382" s="150"/>
      <c r="DQ382" s="150"/>
      <c r="DR382" s="150"/>
      <c r="DS382" s="150"/>
      <c r="DT382" s="150"/>
      <c r="DU382" s="150"/>
      <c r="DV382" s="150"/>
      <c r="DW382" s="150"/>
      <c r="DX382" s="150"/>
      <c r="DY382" s="150"/>
      <c r="DZ382" s="150"/>
      <c r="EA382" s="150"/>
      <c r="EB382" s="150"/>
      <c r="EC382" s="150"/>
      <c r="ED382" s="150"/>
      <c r="EE382" s="150"/>
      <c r="EF382" s="150"/>
      <c r="EG382" s="150"/>
      <c r="EH382" s="150"/>
      <c r="EI382" s="150"/>
      <c r="EJ382" s="150"/>
      <c r="EK382" s="150"/>
      <c r="EL382" s="150"/>
      <c r="EM382" s="150"/>
      <c r="EN382" s="150"/>
      <c r="EO382" s="150"/>
      <c r="EP382" s="150"/>
      <c r="EQ382" s="150"/>
      <c r="ER382" s="150"/>
      <c r="ES382" s="150"/>
      <c r="ET382" s="150"/>
      <c r="EU382" s="150"/>
      <c r="EV382" s="150"/>
      <c r="EW382" s="150"/>
      <c r="EX382" s="150"/>
      <c r="EY382" s="150"/>
      <c r="EZ382" s="150"/>
      <c r="FA382" s="150"/>
      <c r="FB382" s="150"/>
      <c r="FC382" s="150"/>
      <c r="FD382" s="150"/>
      <c r="FE382" s="150"/>
      <c r="FF382" s="150"/>
      <c r="FG382" s="150"/>
      <c r="FH382" s="150"/>
      <c r="FI382" s="150"/>
      <c r="FJ382" s="150"/>
      <c r="FK382" s="150"/>
      <c r="FL382" s="150"/>
      <c r="FM382" s="150"/>
      <c r="FN382" s="150"/>
    </row>
    <row r="383" spans="1:170" s="149" customFormat="1" x14ac:dyDescent="0.25">
      <c r="A383" s="142"/>
      <c r="B383" s="142"/>
      <c r="C383" s="142"/>
      <c r="D383" s="144"/>
      <c r="E383" s="143"/>
      <c r="F383" s="143"/>
      <c r="G383" s="144"/>
      <c r="H383" s="143"/>
      <c r="I383" s="143"/>
      <c r="J383" s="319"/>
      <c r="K383" s="319"/>
      <c r="L383" s="315"/>
      <c r="M383" s="315"/>
      <c r="N383" s="145"/>
      <c r="O383" s="145"/>
      <c r="P383" s="145"/>
      <c r="Q383" s="146"/>
      <c r="R383" s="147"/>
      <c r="S383" s="148"/>
      <c r="T383" s="148"/>
      <c r="U383" s="148"/>
      <c r="V383" s="148"/>
      <c r="W383" s="148"/>
      <c r="X383" s="148"/>
      <c r="Y383" s="148"/>
      <c r="Z383" s="148"/>
      <c r="AA383" s="148"/>
      <c r="AB383" s="148"/>
      <c r="AV383" s="150"/>
      <c r="AW383" s="150"/>
      <c r="AX383" s="150"/>
      <c r="AY383" s="150"/>
      <c r="AZ383" s="150"/>
      <c r="BA383" s="150"/>
      <c r="BB383" s="150"/>
      <c r="BC383" s="150"/>
      <c r="BD383" s="150"/>
      <c r="BE383" s="150"/>
      <c r="BF383" s="150"/>
      <c r="BG383" s="150"/>
      <c r="BH383" s="150"/>
      <c r="BI383" s="150"/>
      <c r="BJ383" s="150"/>
      <c r="BK383" s="150"/>
      <c r="BL383" s="150"/>
      <c r="BM383" s="150"/>
      <c r="BN383" s="150"/>
      <c r="BO383" s="150"/>
      <c r="BP383" s="150"/>
      <c r="BQ383" s="150"/>
      <c r="BR383" s="150"/>
      <c r="BS383" s="150"/>
      <c r="BT383" s="150"/>
      <c r="BU383" s="150"/>
      <c r="BV383" s="150"/>
      <c r="BW383" s="150"/>
      <c r="BX383" s="150"/>
      <c r="BY383" s="150"/>
      <c r="BZ383" s="150"/>
      <c r="CA383" s="150"/>
      <c r="CB383" s="150"/>
      <c r="CC383" s="150"/>
      <c r="CD383" s="150"/>
      <c r="CE383" s="150"/>
      <c r="CF383" s="150"/>
      <c r="CG383" s="150"/>
      <c r="CH383" s="150"/>
      <c r="CI383" s="150"/>
      <c r="CJ383" s="150"/>
      <c r="CK383" s="150"/>
      <c r="CL383" s="150"/>
      <c r="CM383" s="150"/>
      <c r="CN383" s="150"/>
      <c r="CO383" s="150"/>
      <c r="CP383" s="150"/>
      <c r="CQ383" s="150"/>
      <c r="CR383" s="150"/>
      <c r="CS383" s="150"/>
      <c r="CT383" s="150"/>
      <c r="CU383" s="150"/>
      <c r="CV383" s="150"/>
      <c r="CW383" s="150"/>
      <c r="CX383" s="150"/>
      <c r="CY383" s="150"/>
      <c r="CZ383" s="150"/>
      <c r="DA383" s="150"/>
      <c r="DB383" s="150"/>
      <c r="DC383" s="150"/>
      <c r="DD383" s="150"/>
      <c r="DE383" s="150"/>
      <c r="DF383" s="150"/>
      <c r="DG383" s="150"/>
      <c r="DH383" s="150"/>
      <c r="DI383" s="150"/>
      <c r="DJ383" s="150"/>
      <c r="DK383" s="150"/>
      <c r="DL383" s="150"/>
      <c r="DM383" s="150"/>
      <c r="DN383" s="150"/>
      <c r="DO383" s="150"/>
      <c r="DP383" s="150"/>
      <c r="DQ383" s="150"/>
      <c r="DR383" s="150"/>
      <c r="DS383" s="150"/>
      <c r="DT383" s="150"/>
      <c r="DU383" s="150"/>
      <c r="DV383" s="150"/>
      <c r="DW383" s="150"/>
      <c r="DX383" s="150"/>
      <c r="DY383" s="150"/>
      <c r="DZ383" s="150"/>
      <c r="EA383" s="150"/>
      <c r="EB383" s="150"/>
      <c r="EC383" s="150"/>
      <c r="ED383" s="150"/>
      <c r="EE383" s="150"/>
      <c r="EF383" s="150"/>
      <c r="EG383" s="150"/>
      <c r="EH383" s="150"/>
      <c r="EI383" s="150"/>
      <c r="EJ383" s="150"/>
      <c r="EK383" s="150"/>
      <c r="EL383" s="150"/>
      <c r="EM383" s="150"/>
      <c r="EN383" s="150"/>
      <c r="EO383" s="150"/>
      <c r="EP383" s="150"/>
      <c r="EQ383" s="150"/>
      <c r="ER383" s="150"/>
      <c r="ES383" s="150"/>
      <c r="ET383" s="150"/>
      <c r="EU383" s="150"/>
      <c r="EV383" s="150"/>
      <c r="EW383" s="150"/>
      <c r="EX383" s="150"/>
      <c r="EY383" s="150"/>
      <c r="EZ383" s="150"/>
      <c r="FA383" s="150"/>
      <c r="FB383" s="150"/>
      <c r="FC383" s="150"/>
      <c r="FD383" s="150"/>
      <c r="FE383" s="150"/>
      <c r="FF383" s="150"/>
      <c r="FG383" s="150"/>
      <c r="FH383" s="150"/>
      <c r="FI383" s="150"/>
      <c r="FJ383" s="150"/>
      <c r="FK383" s="150"/>
      <c r="FL383" s="150"/>
      <c r="FM383" s="150"/>
      <c r="FN383" s="150"/>
    </row>
    <row r="384" spans="1:170" s="149" customFormat="1" x14ac:dyDescent="0.25">
      <c r="A384" s="142"/>
      <c r="B384" s="142"/>
      <c r="C384" s="142"/>
      <c r="D384" s="144"/>
      <c r="E384" s="143"/>
      <c r="F384" s="143"/>
      <c r="G384" s="144"/>
      <c r="H384" s="143"/>
      <c r="I384" s="143"/>
      <c r="J384" s="319"/>
      <c r="K384" s="319"/>
      <c r="L384" s="315"/>
      <c r="M384" s="315"/>
      <c r="N384" s="145"/>
      <c r="O384" s="145"/>
      <c r="P384" s="145"/>
      <c r="Q384" s="146"/>
      <c r="R384" s="147"/>
      <c r="S384" s="148"/>
      <c r="T384" s="148"/>
      <c r="U384" s="148"/>
      <c r="V384" s="148"/>
      <c r="W384" s="148"/>
      <c r="X384" s="148"/>
      <c r="Y384" s="148"/>
      <c r="Z384" s="148"/>
      <c r="AA384" s="148"/>
      <c r="AB384" s="148"/>
      <c r="AV384" s="150"/>
      <c r="AW384" s="150"/>
      <c r="AX384" s="150"/>
      <c r="AY384" s="150"/>
      <c r="AZ384" s="150"/>
      <c r="BA384" s="150"/>
      <c r="BB384" s="150"/>
      <c r="BC384" s="150"/>
      <c r="BD384" s="150"/>
      <c r="BE384" s="150"/>
      <c r="BF384" s="150"/>
      <c r="BG384" s="150"/>
      <c r="BH384" s="150"/>
      <c r="BI384" s="150"/>
      <c r="BJ384" s="150"/>
      <c r="BK384" s="150"/>
      <c r="BL384" s="150"/>
      <c r="BM384" s="150"/>
      <c r="BN384" s="150"/>
      <c r="BO384" s="150"/>
      <c r="BP384" s="150"/>
      <c r="BQ384" s="150"/>
      <c r="BR384" s="150"/>
      <c r="BS384" s="150"/>
      <c r="BT384" s="150"/>
      <c r="BU384" s="150"/>
      <c r="BV384" s="150"/>
      <c r="BW384" s="150"/>
      <c r="BX384" s="150"/>
      <c r="BY384" s="150"/>
      <c r="BZ384" s="150"/>
      <c r="CA384" s="150"/>
      <c r="CB384" s="150"/>
      <c r="CC384" s="150"/>
      <c r="CD384" s="150"/>
      <c r="CE384" s="150"/>
      <c r="CF384" s="150"/>
      <c r="CG384" s="150"/>
      <c r="CH384" s="150"/>
      <c r="CI384" s="150"/>
      <c r="CJ384" s="150"/>
      <c r="CK384" s="150"/>
      <c r="CL384" s="150"/>
      <c r="CM384" s="150"/>
      <c r="CN384" s="150"/>
      <c r="CO384" s="150"/>
      <c r="CP384" s="150"/>
      <c r="CQ384" s="150"/>
      <c r="CR384" s="150"/>
      <c r="CS384" s="150"/>
      <c r="CT384" s="150"/>
      <c r="CU384" s="150"/>
      <c r="CV384" s="150"/>
      <c r="CW384" s="150"/>
      <c r="CX384" s="150"/>
      <c r="CY384" s="150"/>
      <c r="CZ384" s="150"/>
      <c r="DA384" s="150"/>
      <c r="DB384" s="150"/>
      <c r="DC384" s="150"/>
      <c r="DD384" s="150"/>
      <c r="DE384" s="150"/>
      <c r="DF384" s="150"/>
      <c r="DG384" s="150"/>
      <c r="DH384" s="150"/>
      <c r="DI384" s="150"/>
      <c r="DJ384" s="150"/>
      <c r="DK384" s="150"/>
      <c r="DL384" s="150"/>
      <c r="DM384" s="150"/>
      <c r="DN384" s="150"/>
      <c r="DO384" s="150"/>
      <c r="DP384" s="150"/>
      <c r="DQ384" s="150"/>
      <c r="DR384" s="150"/>
      <c r="DS384" s="150"/>
      <c r="DT384" s="150"/>
      <c r="DU384" s="150"/>
      <c r="DV384" s="150"/>
      <c r="DW384" s="150"/>
      <c r="DX384" s="150"/>
      <c r="DY384" s="150"/>
      <c r="DZ384" s="150"/>
      <c r="EA384" s="150"/>
      <c r="EB384" s="150"/>
      <c r="EC384" s="150"/>
      <c r="ED384" s="150"/>
      <c r="EE384" s="150"/>
      <c r="EF384" s="150"/>
      <c r="EG384" s="150"/>
      <c r="EH384" s="150"/>
      <c r="EI384" s="150"/>
      <c r="EJ384" s="150"/>
      <c r="EK384" s="150"/>
      <c r="EL384" s="150"/>
      <c r="EM384" s="150"/>
      <c r="EN384" s="150"/>
      <c r="EO384" s="150"/>
      <c r="EP384" s="150"/>
      <c r="EQ384" s="150"/>
      <c r="ER384" s="150"/>
      <c r="ES384" s="150"/>
      <c r="ET384" s="150"/>
      <c r="EU384" s="150"/>
      <c r="EV384" s="150"/>
      <c r="EW384" s="150"/>
      <c r="EX384" s="150"/>
      <c r="EY384" s="150"/>
      <c r="EZ384" s="150"/>
      <c r="FA384" s="150"/>
      <c r="FB384" s="150"/>
      <c r="FC384" s="150"/>
      <c r="FD384" s="150"/>
      <c r="FE384" s="150"/>
      <c r="FF384" s="150"/>
      <c r="FG384" s="150"/>
      <c r="FH384" s="150"/>
      <c r="FI384" s="150"/>
      <c r="FJ384" s="150"/>
      <c r="FK384" s="150"/>
      <c r="FL384" s="150"/>
      <c r="FM384" s="150"/>
      <c r="FN384" s="150"/>
    </row>
    <row r="385" spans="1:170" s="149" customFormat="1" x14ac:dyDescent="0.25">
      <c r="A385" s="142"/>
      <c r="B385" s="142"/>
      <c r="C385" s="142"/>
      <c r="D385" s="144"/>
      <c r="E385" s="143"/>
      <c r="F385" s="143"/>
      <c r="G385" s="144"/>
      <c r="H385" s="143"/>
      <c r="I385" s="143"/>
      <c r="J385" s="319"/>
      <c r="K385" s="319"/>
      <c r="L385" s="315"/>
      <c r="M385" s="315"/>
      <c r="N385" s="145"/>
      <c r="O385" s="145"/>
      <c r="P385" s="145"/>
      <c r="Q385" s="146"/>
      <c r="R385" s="147"/>
      <c r="S385" s="148"/>
      <c r="T385" s="148"/>
      <c r="U385" s="148"/>
      <c r="V385" s="148"/>
      <c r="W385" s="148"/>
      <c r="X385" s="148"/>
      <c r="Y385" s="148"/>
      <c r="Z385" s="148"/>
      <c r="AA385" s="148"/>
      <c r="AB385" s="148"/>
      <c r="AV385" s="150"/>
      <c r="AW385" s="150"/>
      <c r="AX385" s="150"/>
      <c r="AY385" s="150"/>
      <c r="AZ385" s="150"/>
      <c r="BA385" s="150"/>
      <c r="BB385" s="150"/>
      <c r="BC385" s="150"/>
      <c r="BD385" s="150"/>
      <c r="BE385" s="150"/>
      <c r="BF385" s="150"/>
      <c r="BG385" s="150"/>
      <c r="BH385" s="150"/>
      <c r="BI385" s="150"/>
      <c r="BJ385" s="150"/>
      <c r="BK385" s="150"/>
      <c r="BL385" s="150"/>
      <c r="BM385" s="150"/>
      <c r="BN385" s="150"/>
      <c r="BO385" s="150"/>
      <c r="BP385" s="150"/>
      <c r="BQ385" s="150"/>
      <c r="BR385" s="150"/>
      <c r="BS385" s="150"/>
      <c r="BT385" s="150"/>
      <c r="BU385" s="150"/>
      <c r="BV385" s="150"/>
      <c r="BW385" s="150"/>
      <c r="BX385" s="150"/>
      <c r="BY385" s="150"/>
      <c r="BZ385" s="150"/>
      <c r="CA385" s="150"/>
      <c r="CB385" s="150"/>
      <c r="CC385" s="150"/>
      <c r="CD385" s="150"/>
      <c r="CE385" s="150"/>
      <c r="CF385" s="150"/>
      <c r="CG385" s="150"/>
      <c r="CH385" s="150"/>
      <c r="CI385" s="150"/>
      <c r="CJ385" s="150"/>
      <c r="CK385" s="150"/>
      <c r="CL385" s="150"/>
      <c r="CM385" s="150"/>
      <c r="CN385" s="150"/>
      <c r="CO385" s="150"/>
      <c r="CP385" s="150"/>
      <c r="CQ385" s="150"/>
      <c r="CR385" s="150"/>
      <c r="CS385" s="150"/>
      <c r="CT385" s="150"/>
      <c r="CU385" s="150"/>
      <c r="CV385" s="150"/>
      <c r="CW385" s="150"/>
      <c r="CX385" s="150"/>
      <c r="CY385" s="150"/>
      <c r="CZ385" s="150"/>
      <c r="DA385" s="150"/>
      <c r="DB385" s="150"/>
      <c r="DC385" s="150"/>
      <c r="DD385" s="150"/>
      <c r="DE385" s="150"/>
      <c r="DF385" s="150"/>
      <c r="DG385" s="150"/>
      <c r="DH385" s="150"/>
      <c r="DI385" s="150"/>
      <c r="DJ385" s="150"/>
      <c r="DK385" s="150"/>
      <c r="DL385" s="150"/>
      <c r="DM385" s="150"/>
      <c r="DN385" s="150"/>
      <c r="DO385" s="150"/>
      <c r="DP385" s="150"/>
      <c r="DQ385" s="150"/>
      <c r="DR385" s="150"/>
      <c r="DS385" s="150"/>
      <c r="DT385" s="150"/>
      <c r="DU385" s="150"/>
      <c r="DV385" s="150"/>
      <c r="DW385" s="150"/>
      <c r="DX385" s="150"/>
      <c r="DY385" s="150"/>
      <c r="DZ385" s="150"/>
      <c r="EA385" s="150"/>
      <c r="EB385" s="150"/>
      <c r="EC385" s="150"/>
      <c r="ED385" s="150"/>
      <c r="EE385" s="150"/>
      <c r="EF385" s="150"/>
      <c r="EG385" s="150"/>
      <c r="EH385" s="150"/>
      <c r="EI385" s="150"/>
      <c r="EJ385" s="150"/>
      <c r="EK385" s="150"/>
      <c r="EL385" s="150"/>
      <c r="EM385" s="150"/>
      <c r="EN385" s="150"/>
      <c r="EO385" s="150"/>
      <c r="EP385" s="150"/>
      <c r="EQ385" s="150"/>
      <c r="ER385" s="150"/>
      <c r="ES385" s="150"/>
      <c r="ET385" s="150"/>
      <c r="EU385" s="150"/>
      <c r="EV385" s="150"/>
      <c r="EW385" s="150"/>
      <c r="EX385" s="150"/>
      <c r="EY385" s="150"/>
      <c r="EZ385" s="150"/>
      <c r="FA385" s="150"/>
      <c r="FB385" s="150"/>
      <c r="FC385" s="150"/>
      <c r="FD385" s="150"/>
      <c r="FE385" s="150"/>
      <c r="FF385" s="150"/>
      <c r="FG385" s="150"/>
      <c r="FH385" s="150"/>
      <c r="FI385" s="150"/>
      <c r="FJ385" s="150"/>
      <c r="FK385" s="150"/>
      <c r="FL385" s="150"/>
      <c r="FM385" s="150"/>
      <c r="FN385" s="150"/>
    </row>
    <row r="386" spans="1:170" s="149" customFormat="1" x14ac:dyDescent="0.25">
      <c r="A386" s="142"/>
      <c r="B386" s="142"/>
      <c r="C386" s="142"/>
      <c r="D386" s="144"/>
      <c r="E386" s="143"/>
      <c r="F386" s="143"/>
      <c r="G386" s="144"/>
      <c r="H386" s="143"/>
      <c r="I386" s="143"/>
      <c r="J386" s="319"/>
      <c r="K386" s="319"/>
      <c r="L386" s="315"/>
      <c r="M386" s="315"/>
      <c r="N386" s="145"/>
      <c r="O386" s="145"/>
      <c r="P386" s="145"/>
      <c r="Q386" s="146"/>
      <c r="R386" s="147"/>
      <c r="S386" s="148"/>
      <c r="T386" s="148"/>
      <c r="U386" s="148"/>
      <c r="V386" s="148"/>
      <c r="W386" s="148"/>
      <c r="X386" s="148"/>
      <c r="Y386" s="148"/>
      <c r="Z386" s="148"/>
      <c r="AA386" s="148"/>
      <c r="AB386" s="148"/>
      <c r="AV386" s="150"/>
      <c r="AW386" s="150"/>
      <c r="AX386" s="150"/>
      <c r="AY386" s="150"/>
      <c r="AZ386" s="150"/>
      <c r="BA386" s="150"/>
      <c r="BB386" s="150"/>
      <c r="BC386" s="150"/>
      <c r="BD386" s="150"/>
      <c r="BE386" s="150"/>
      <c r="BF386" s="150"/>
      <c r="BG386" s="150"/>
      <c r="BH386" s="150"/>
      <c r="BI386" s="150"/>
      <c r="BJ386" s="150"/>
      <c r="BK386" s="150"/>
      <c r="BL386" s="150"/>
      <c r="BM386" s="150"/>
      <c r="BN386" s="150"/>
      <c r="BO386" s="150"/>
      <c r="BP386" s="150"/>
      <c r="BQ386" s="150"/>
      <c r="BR386" s="150"/>
      <c r="BS386" s="150"/>
      <c r="BT386" s="150"/>
      <c r="BU386" s="150"/>
      <c r="BV386" s="150"/>
      <c r="BW386" s="150"/>
      <c r="BX386" s="150"/>
      <c r="BY386" s="150"/>
      <c r="BZ386" s="150"/>
      <c r="CA386" s="150"/>
      <c r="CB386" s="150"/>
      <c r="CC386" s="150"/>
      <c r="CD386" s="150"/>
      <c r="CE386" s="150"/>
      <c r="CF386" s="150"/>
      <c r="CG386" s="150"/>
      <c r="CH386" s="150"/>
      <c r="CI386" s="150"/>
      <c r="CJ386" s="150"/>
      <c r="CK386" s="150"/>
      <c r="CL386" s="150"/>
      <c r="CM386" s="150"/>
      <c r="CN386" s="150"/>
      <c r="CO386" s="150"/>
      <c r="CP386" s="150"/>
      <c r="CQ386" s="150"/>
      <c r="CR386" s="150"/>
      <c r="CS386" s="150"/>
      <c r="CT386" s="150"/>
      <c r="CU386" s="150"/>
      <c r="CV386" s="150"/>
      <c r="CW386" s="150"/>
      <c r="CX386" s="150"/>
      <c r="CY386" s="150"/>
      <c r="CZ386" s="150"/>
      <c r="DA386" s="150"/>
      <c r="DB386" s="150"/>
      <c r="DC386" s="150"/>
      <c r="DD386" s="150"/>
      <c r="DE386" s="150"/>
      <c r="DF386" s="150"/>
      <c r="DG386" s="150"/>
      <c r="DH386" s="150"/>
      <c r="DI386" s="150"/>
      <c r="DJ386" s="150"/>
      <c r="DK386" s="150"/>
      <c r="DL386" s="150"/>
      <c r="DM386" s="150"/>
      <c r="DN386" s="150"/>
      <c r="DO386" s="150"/>
      <c r="DP386" s="150"/>
      <c r="DQ386" s="150"/>
      <c r="DR386" s="150"/>
      <c r="DS386" s="150"/>
      <c r="DT386" s="150"/>
      <c r="DU386" s="150"/>
      <c r="DV386" s="150"/>
      <c r="DW386" s="150"/>
      <c r="DX386" s="150"/>
      <c r="DY386" s="150"/>
      <c r="DZ386" s="150"/>
      <c r="EA386" s="150"/>
      <c r="EB386" s="150"/>
      <c r="EC386" s="150"/>
      <c r="ED386" s="150"/>
      <c r="EE386" s="150"/>
      <c r="EF386" s="150"/>
      <c r="EG386" s="150"/>
      <c r="EH386" s="150"/>
      <c r="EI386" s="150"/>
      <c r="EJ386" s="150"/>
      <c r="EK386" s="150"/>
      <c r="EL386" s="150"/>
      <c r="EM386" s="150"/>
      <c r="EN386" s="150"/>
      <c r="EO386" s="150"/>
      <c r="EP386" s="150"/>
      <c r="EQ386" s="150"/>
      <c r="ER386" s="150"/>
      <c r="ES386" s="150"/>
      <c r="ET386" s="150"/>
      <c r="EU386" s="150"/>
      <c r="EV386" s="150"/>
      <c r="EW386" s="150"/>
      <c r="EX386" s="150"/>
      <c r="EY386" s="150"/>
      <c r="EZ386" s="150"/>
      <c r="FA386" s="150"/>
      <c r="FB386" s="150"/>
      <c r="FC386" s="150"/>
      <c r="FD386" s="150"/>
      <c r="FE386" s="150"/>
      <c r="FF386" s="150"/>
      <c r="FG386" s="150"/>
      <c r="FH386" s="150"/>
      <c r="FI386" s="150"/>
      <c r="FJ386" s="150"/>
      <c r="FK386" s="150"/>
      <c r="FL386" s="150"/>
      <c r="FM386" s="150"/>
      <c r="FN386" s="150"/>
    </row>
    <row r="387" spans="1:170" s="149" customFormat="1" x14ac:dyDescent="0.25">
      <c r="A387" s="142"/>
      <c r="B387" s="142"/>
      <c r="C387" s="142"/>
      <c r="D387" s="144"/>
      <c r="E387" s="143"/>
      <c r="F387" s="143"/>
      <c r="G387" s="144"/>
      <c r="H387" s="143"/>
      <c r="I387" s="143"/>
      <c r="J387" s="319"/>
      <c r="K387" s="319"/>
      <c r="L387" s="315"/>
      <c r="M387" s="315"/>
      <c r="N387" s="145"/>
      <c r="O387" s="145"/>
      <c r="P387" s="145"/>
      <c r="Q387" s="146"/>
      <c r="R387" s="147"/>
      <c r="S387" s="148"/>
      <c r="T387" s="148"/>
      <c r="U387" s="148"/>
      <c r="V387" s="148"/>
      <c r="W387" s="148"/>
      <c r="X387" s="148"/>
      <c r="Y387" s="148"/>
      <c r="Z387" s="148"/>
      <c r="AA387" s="148"/>
      <c r="AB387" s="148"/>
      <c r="AV387" s="150"/>
      <c r="AW387" s="150"/>
      <c r="AX387" s="150"/>
      <c r="AY387" s="150"/>
      <c r="AZ387" s="150"/>
      <c r="BA387" s="150"/>
      <c r="BB387" s="150"/>
      <c r="BC387" s="150"/>
      <c r="BD387" s="150"/>
      <c r="BE387" s="150"/>
      <c r="BF387" s="150"/>
      <c r="BG387" s="150"/>
      <c r="BH387" s="150"/>
      <c r="BI387" s="150"/>
      <c r="BJ387" s="150"/>
      <c r="BK387" s="150"/>
      <c r="BL387" s="150"/>
      <c r="BM387" s="150"/>
      <c r="BN387" s="150"/>
      <c r="BO387" s="150"/>
      <c r="BP387" s="150"/>
      <c r="BQ387" s="150"/>
      <c r="BR387" s="150"/>
      <c r="BS387" s="150"/>
      <c r="BT387" s="150"/>
      <c r="BU387" s="150"/>
      <c r="BV387" s="150"/>
      <c r="BW387" s="150"/>
      <c r="BX387" s="150"/>
      <c r="BY387" s="150"/>
      <c r="BZ387" s="150"/>
      <c r="CA387" s="150"/>
      <c r="CB387" s="150"/>
      <c r="CC387" s="150"/>
      <c r="CD387" s="150"/>
      <c r="CE387" s="150"/>
      <c r="CF387" s="150"/>
      <c r="CG387" s="150"/>
      <c r="CH387" s="150"/>
      <c r="CI387" s="150"/>
      <c r="CJ387" s="150"/>
      <c r="CK387" s="150"/>
      <c r="CL387" s="150"/>
      <c r="CM387" s="150"/>
      <c r="CN387" s="150"/>
      <c r="CO387" s="150"/>
      <c r="CP387" s="150"/>
      <c r="CQ387" s="150"/>
      <c r="CR387" s="150"/>
      <c r="CS387" s="150"/>
      <c r="CT387" s="150"/>
      <c r="CU387" s="150"/>
      <c r="CV387" s="150"/>
      <c r="CW387" s="150"/>
      <c r="CX387" s="150"/>
      <c r="CY387" s="150"/>
      <c r="CZ387" s="150"/>
      <c r="DA387" s="150"/>
      <c r="DB387" s="150"/>
      <c r="DC387" s="150"/>
      <c r="DD387" s="150"/>
      <c r="DE387" s="150"/>
      <c r="DF387" s="150"/>
      <c r="DG387" s="150"/>
      <c r="DH387" s="150"/>
      <c r="DI387" s="150"/>
      <c r="DJ387" s="150"/>
      <c r="DK387" s="150"/>
      <c r="DL387" s="150"/>
      <c r="DM387" s="150"/>
      <c r="DN387" s="150"/>
      <c r="DO387" s="150"/>
      <c r="DP387" s="150"/>
      <c r="DQ387" s="150"/>
      <c r="DR387" s="150"/>
      <c r="DS387" s="150"/>
      <c r="DT387" s="150"/>
      <c r="DU387" s="150"/>
      <c r="DV387" s="150"/>
      <c r="DW387" s="150"/>
      <c r="DX387" s="150"/>
      <c r="DY387" s="150"/>
      <c r="DZ387" s="150"/>
      <c r="EA387" s="150"/>
      <c r="EB387" s="150"/>
      <c r="EC387" s="150"/>
      <c r="ED387" s="150"/>
      <c r="EE387" s="150"/>
      <c r="EF387" s="150"/>
      <c r="EG387" s="150"/>
      <c r="EH387" s="150"/>
      <c r="EI387" s="150"/>
      <c r="EJ387" s="150"/>
      <c r="EK387" s="150"/>
      <c r="EL387" s="150"/>
      <c r="EM387" s="150"/>
      <c r="EN387" s="150"/>
      <c r="EO387" s="150"/>
      <c r="EP387" s="150"/>
      <c r="EQ387" s="150"/>
      <c r="ER387" s="150"/>
      <c r="ES387" s="150"/>
      <c r="ET387" s="150"/>
      <c r="EU387" s="150"/>
      <c r="EV387" s="150"/>
      <c r="EW387" s="150"/>
      <c r="EX387" s="150"/>
      <c r="EY387" s="150"/>
      <c r="EZ387" s="150"/>
      <c r="FA387" s="150"/>
      <c r="FB387" s="150"/>
      <c r="FC387" s="150"/>
      <c r="FD387" s="150"/>
      <c r="FE387" s="150"/>
      <c r="FF387" s="150"/>
      <c r="FG387" s="150"/>
      <c r="FH387" s="150"/>
      <c r="FI387" s="150"/>
      <c r="FJ387" s="150"/>
      <c r="FK387" s="150"/>
      <c r="FL387" s="150"/>
      <c r="FM387" s="150"/>
      <c r="FN387" s="150"/>
    </row>
    <row r="388" spans="1:170" s="149" customFormat="1" x14ac:dyDescent="0.25">
      <c r="A388" s="142"/>
      <c r="B388" s="142"/>
      <c r="C388" s="142"/>
      <c r="D388" s="144"/>
      <c r="E388" s="143"/>
      <c r="F388" s="143"/>
      <c r="G388" s="144"/>
      <c r="H388" s="143"/>
      <c r="I388" s="143"/>
      <c r="J388" s="319"/>
      <c r="K388" s="319"/>
      <c r="L388" s="315"/>
      <c r="M388" s="315"/>
      <c r="N388" s="145"/>
      <c r="O388" s="145"/>
      <c r="P388" s="145"/>
      <c r="Q388" s="146"/>
      <c r="R388" s="147"/>
      <c r="S388" s="148"/>
      <c r="T388" s="148"/>
      <c r="U388" s="148"/>
      <c r="V388" s="148"/>
      <c r="W388" s="148"/>
      <c r="X388" s="148"/>
      <c r="Y388" s="148"/>
      <c r="Z388" s="148"/>
      <c r="AA388" s="148"/>
      <c r="AB388" s="148"/>
      <c r="AV388" s="150"/>
      <c r="AW388" s="150"/>
      <c r="AX388" s="150"/>
      <c r="AY388" s="150"/>
      <c r="AZ388" s="150"/>
      <c r="BA388" s="150"/>
      <c r="BB388" s="150"/>
      <c r="BC388" s="150"/>
      <c r="BD388" s="150"/>
      <c r="BE388" s="150"/>
      <c r="BF388" s="150"/>
      <c r="BG388" s="150"/>
      <c r="BH388" s="150"/>
      <c r="BI388" s="150"/>
      <c r="BJ388" s="150"/>
      <c r="BK388" s="150"/>
      <c r="BL388" s="150"/>
      <c r="BM388" s="150"/>
      <c r="BN388" s="150"/>
      <c r="BO388" s="150"/>
      <c r="BP388" s="150"/>
      <c r="BQ388" s="150"/>
      <c r="BR388" s="150"/>
      <c r="BS388" s="150"/>
      <c r="BT388" s="150"/>
      <c r="BU388" s="150"/>
      <c r="BV388" s="150"/>
      <c r="BW388" s="150"/>
      <c r="BX388" s="150"/>
      <c r="BY388" s="150"/>
      <c r="BZ388" s="150"/>
      <c r="CA388" s="150"/>
      <c r="CB388" s="150"/>
      <c r="CC388" s="150"/>
      <c r="CD388" s="150"/>
      <c r="CE388" s="150"/>
      <c r="CF388" s="150"/>
      <c r="CG388" s="150"/>
      <c r="CH388" s="150"/>
      <c r="CI388" s="150"/>
      <c r="CJ388" s="150"/>
      <c r="CK388" s="150"/>
      <c r="CL388" s="150"/>
      <c r="CM388" s="150"/>
      <c r="CN388" s="150"/>
      <c r="CO388" s="150"/>
      <c r="CP388" s="150"/>
      <c r="CQ388" s="150"/>
      <c r="CR388" s="150"/>
      <c r="CS388" s="150"/>
      <c r="CT388" s="150"/>
      <c r="CU388" s="150"/>
      <c r="CV388" s="150"/>
      <c r="CW388" s="150"/>
      <c r="CX388" s="150"/>
      <c r="CY388" s="150"/>
      <c r="CZ388" s="150"/>
      <c r="DA388" s="150"/>
      <c r="DB388" s="150"/>
      <c r="DC388" s="150"/>
      <c r="DD388" s="150"/>
      <c r="DE388" s="150"/>
      <c r="DF388" s="150"/>
      <c r="DG388" s="150"/>
      <c r="DH388" s="150"/>
      <c r="DI388" s="150"/>
      <c r="DJ388" s="150"/>
      <c r="DK388" s="150"/>
      <c r="DL388" s="150"/>
      <c r="DM388" s="150"/>
      <c r="DN388" s="150"/>
      <c r="DO388" s="150"/>
      <c r="DP388" s="150"/>
      <c r="DQ388" s="150"/>
      <c r="DR388" s="150"/>
      <c r="DS388" s="150"/>
      <c r="DT388" s="150"/>
      <c r="DU388" s="150"/>
      <c r="DV388" s="150"/>
      <c r="DW388" s="150"/>
      <c r="DX388" s="150"/>
      <c r="DY388" s="150"/>
      <c r="DZ388" s="150"/>
      <c r="EA388" s="150"/>
      <c r="EB388" s="150"/>
      <c r="EC388" s="150"/>
      <c r="ED388" s="150"/>
      <c r="EE388" s="150"/>
      <c r="EF388" s="150"/>
      <c r="EG388" s="150"/>
      <c r="EH388" s="150"/>
      <c r="EI388" s="150"/>
      <c r="EJ388" s="150"/>
      <c r="EK388" s="150"/>
      <c r="EL388" s="150"/>
      <c r="EM388" s="150"/>
      <c r="EN388" s="150"/>
      <c r="EO388" s="150"/>
      <c r="EP388" s="150"/>
      <c r="EQ388" s="150"/>
      <c r="ER388" s="150"/>
      <c r="ES388" s="150"/>
      <c r="ET388" s="150"/>
      <c r="EU388" s="150"/>
      <c r="EV388" s="150"/>
      <c r="EW388" s="150"/>
      <c r="EX388" s="150"/>
      <c r="EY388" s="150"/>
      <c r="EZ388" s="150"/>
      <c r="FA388" s="150"/>
      <c r="FB388" s="150"/>
      <c r="FC388" s="150"/>
      <c r="FD388" s="150"/>
      <c r="FE388" s="150"/>
      <c r="FF388" s="150"/>
      <c r="FG388" s="150"/>
      <c r="FH388" s="150"/>
      <c r="FI388" s="150"/>
      <c r="FJ388" s="150"/>
      <c r="FK388" s="150"/>
      <c r="FL388" s="150"/>
      <c r="FM388" s="150"/>
      <c r="FN388" s="150"/>
    </row>
    <row r="389" spans="1:170" s="149" customFormat="1" x14ac:dyDescent="0.25">
      <c r="A389" s="142"/>
      <c r="B389" s="142"/>
      <c r="C389" s="142"/>
      <c r="D389" s="144"/>
      <c r="E389" s="143"/>
      <c r="F389" s="143"/>
      <c r="G389" s="144"/>
      <c r="H389" s="143"/>
      <c r="I389" s="143"/>
      <c r="J389" s="319"/>
      <c r="K389" s="319"/>
      <c r="L389" s="315"/>
      <c r="M389" s="315"/>
      <c r="N389" s="145"/>
      <c r="O389" s="145"/>
      <c r="P389" s="145"/>
      <c r="Q389" s="146"/>
      <c r="R389" s="147"/>
      <c r="S389" s="148"/>
      <c r="T389" s="148"/>
      <c r="U389" s="148"/>
      <c r="V389" s="148"/>
      <c r="W389" s="148"/>
      <c r="X389" s="148"/>
      <c r="Y389" s="148"/>
      <c r="Z389" s="148"/>
      <c r="AA389" s="148"/>
      <c r="AB389" s="148"/>
      <c r="AV389" s="150"/>
      <c r="AW389" s="150"/>
      <c r="AX389" s="150"/>
      <c r="AY389" s="150"/>
      <c r="AZ389" s="150"/>
      <c r="BA389" s="150"/>
      <c r="BB389" s="150"/>
      <c r="BC389" s="150"/>
      <c r="BD389" s="150"/>
      <c r="BE389" s="150"/>
      <c r="BF389" s="150"/>
      <c r="BG389" s="150"/>
      <c r="BH389" s="150"/>
      <c r="BI389" s="150"/>
      <c r="BJ389" s="150"/>
      <c r="BK389" s="150"/>
      <c r="BL389" s="150"/>
      <c r="BM389" s="150"/>
      <c r="BN389" s="150"/>
      <c r="BO389" s="150"/>
      <c r="BP389" s="150"/>
      <c r="BQ389" s="150"/>
      <c r="BR389" s="150"/>
      <c r="BS389" s="150"/>
      <c r="BT389" s="150"/>
      <c r="BU389" s="150"/>
      <c r="BV389" s="150"/>
      <c r="BW389" s="150"/>
      <c r="BX389" s="150"/>
      <c r="BY389" s="150"/>
      <c r="BZ389" s="150"/>
      <c r="CA389" s="150"/>
      <c r="CB389" s="150"/>
      <c r="CC389" s="150"/>
      <c r="CD389" s="150"/>
      <c r="CE389" s="150"/>
      <c r="CF389" s="150"/>
      <c r="CG389" s="150"/>
      <c r="CH389" s="150"/>
      <c r="CI389" s="150"/>
      <c r="CJ389" s="150"/>
      <c r="CK389" s="150"/>
      <c r="CL389" s="150"/>
      <c r="CM389" s="150"/>
      <c r="CN389" s="150"/>
      <c r="CO389" s="150"/>
      <c r="CP389" s="150"/>
      <c r="CQ389" s="150"/>
      <c r="CR389" s="150"/>
      <c r="CS389" s="150"/>
      <c r="CT389" s="150"/>
      <c r="CU389" s="150"/>
      <c r="CV389" s="150"/>
      <c r="CW389" s="150"/>
      <c r="CX389" s="150"/>
      <c r="CY389" s="150"/>
      <c r="CZ389" s="150"/>
      <c r="DA389" s="150"/>
      <c r="DB389" s="150"/>
      <c r="DC389" s="150"/>
      <c r="DD389" s="150"/>
      <c r="DE389" s="150"/>
      <c r="DF389" s="150"/>
      <c r="DG389" s="150"/>
      <c r="DH389" s="150"/>
      <c r="DI389" s="150"/>
      <c r="DJ389" s="150"/>
      <c r="DK389" s="150"/>
      <c r="DL389" s="150"/>
      <c r="DM389" s="150"/>
      <c r="DN389" s="150"/>
      <c r="DO389" s="150"/>
      <c r="DP389" s="150"/>
      <c r="DQ389" s="150"/>
      <c r="DR389" s="150"/>
      <c r="DS389" s="150"/>
      <c r="DT389" s="150"/>
      <c r="DU389" s="150"/>
      <c r="DV389" s="150"/>
      <c r="DW389" s="150"/>
      <c r="DX389" s="150"/>
      <c r="DY389" s="150"/>
      <c r="DZ389" s="150"/>
      <c r="EA389" s="150"/>
      <c r="EB389" s="150"/>
      <c r="EC389" s="150"/>
      <c r="ED389" s="150"/>
      <c r="EE389" s="150"/>
      <c r="EF389" s="150"/>
      <c r="EG389" s="150"/>
      <c r="EH389" s="150"/>
      <c r="EI389" s="150"/>
      <c r="EJ389" s="150"/>
      <c r="EK389" s="150"/>
      <c r="EL389" s="150"/>
      <c r="EM389" s="150"/>
      <c r="EN389" s="150"/>
      <c r="EO389" s="150"/>
      <c r="EP389" s="150"/>
      <c r="EQ389" s="150"/>
      <c r="ER389" s="150"/>
      <c r="ES389" s="150"/>
      <c r="ET389" s="150"/>
      <c r="EU389" s="150"/>
      <c r="EV389" s="150"/>
      <c r="EW389" s="150"/>
      <c r="EX389" s="150"/>
      <c r="EY389" s="150"/>
      <c r="EZ389" s="150"/>
      <c r="FA389" s="150"/>
      <c r="FB389" s="150"/>
      <c r="FC389" s="150"/>
      <c r="FD389" s="150"/>
      <c r="FE389" s="150"/>
      <c r="FF389" s="150"/>
      <c r="FG389" s="150"/>
      <c r="FH389" s="150"/>
      <c r="FI389" s="150"/>
      <c r="FJ389" s="150"/>
      <c r="FK389" s="150"/>
      <c r="FL389" s="150"/>
      <c r="FM389" s="150"/>
      <c r="FN389" s="150"/>
    </row>
    <row r="390" spans="1:170" s="149" customFormat="1" x14ac:dyDescent="0.25">
      <c r="A390" s="142"/>
      <c r="B390" s="142"/>
      <c r="C390" s="142"/>
      <c r="D390" s="144"/>
      <c r="E390" s="143"/>
      <c r="F390" s="143"/>
      <c r="G390" s="144"/>
      <c r="H390" s="143"/>
      <c r="I390" s="143"/>
      <c r="J390" s="319"/>
      <c r="K390" s="319"/>
      <c r="L390" s="315"/>
      <c r="M390" s="315"/>
      <c r="N390" s="145"/>
      <c r="O390" s="145"/>
      <c r="P390" s="145"/>
      <c r="Q390" s="146"/>
      <c r="R390" s="147"/>
      <c r="S390" s="148"/>
      <c r="T390" s="148"/>
      <c r="U390" s="148"/>
      <c r="V390" s="148"/>
      <c r="W390" s="148"/>
      <c r="X390" s="148"/>
      <c r="Y390" s="148"/>
      <c r="Z390" s="148"/>
      <c r="AA390" s="148"/>
      <c r="AB390" s="148"/>
      <c r="AV390" s="150"/>
      <c r="AW390" s="150"/>
      <c r="AX390" s="150"/>
      <c r="AY390" s="150"/>
      <c r="AZ390" s="150"/>
      <c r="BA390" s="150"/>
      <c r="BB390" s="150"/>
      <c r="BC390" s="150"/>
      <c r="BD390" s="150"/>
      <c r="BE390" s="150"/>
      <c r="BF390" s="150"/>
      <c r="BG390" s="150"/>
      <c r="BH390" s="150"/>
      <c r="BI390" s="150"/>
      <c r="BJ390" s="150"/>
      <c r="BK390" s="150"/>
      <c r="BL390" s="150"/>
      <c r="BM390" s="150"/>
      <c r="BN390" s="150"/>
      <c r="BO390" s="150"/>
      <c r="BP390" s="150"/>
      <c r="BQ390" s="150"/>
      <c r="BR390" s="150"/>
      <c r="BS390" s="150"/>
      <c r="BT390" s="150"/>
      <c r="BU390" s="150"/>
      <c r="BV390" s="150"/>
      <c r="BW390" s="150"/>
      <c r="BX390" s="150"/>
      <c r="BY390" s="150"/>
      <c r="BZ390" s="150"/>
      <c r="CA390" s="150"/>
      <c r="CB390" s="150"/>
      <c r="CC390" s="150"/>
      <c r="CD390" s="150"/>
      <c r="CE390" s="150"/>
      <c r="CF390" s="150"/>
      <c r="CG390" s="150"/>
      <c r="CH390" s="150"/>
      <c r="CI390" s="150"/>
      <c r="CJ390" s="150"/>
      <c r="CK390" s="150"/>
      <c r="CL390" s="150"/>
      <c r="CM390" s="150"/>
      <c r="CN390" s="150"/>
      <c r="CO390" s="150"/>
      <c r="CP390" s="150"/>
      <c r="CQ390" s="150"/>
      <c r="CR390" s="150"/>
      <c r="CS390" s="150"/>
      <c r="CT390" s="150"/>
      <c r="CU390" s="150"/>
      <c r="CV390" s="150"/>
      <c r="CW390" s="150"/>
      <c r="CX390" s="150"/>
      <c r="CY390" s="150"/>
      <c r="CZ390" s="150"/>
      <c r="DA390" s="150"/>
      <c r="DB390" s="150"/>
      <c r="DC390" s="150"/>
      <c r="DD390" s="150"/>
      <c r="DE390" s="150"/>
      <c r="DF390" s="150"/>
      <c r="DG390" s="150"/>
      <c r="DH390" s="150"/>
      <c r="DI390" s="150"/>
      <c r="DJ390" s="150"/>
      <c r="DK390" s="150"/>
      <c r="DL390" s="150"/>
      <c r="DM390" s="150"/>
      <c r="DN390" s="150"/>
      <c r="DO390" s="150"/>
      <c r="DP390" s="150"/>
      <c r="DQ390" s="150"/>
      <c r="DR390" s="150"/>
      <c r="DS390" s="150"/>
      <c r="DT390" s="150"/>
      <c r="DU390" s="150"/>
      <c r="DV390" s="150"/>
      <c r="DW390" s="150"/>
      <c r="DX390" s="150"/>
      <c r="DY390" s="150"/>
      <c r="DZ390" s="150"/>
      <c r="EA390" s="150"/>
      <c r="EB390" s="150"/>
      <c r="EC390" s="150"/>
      <c r="ED390" s="150"/>
      <c r="EE390" s="150"/>
      <c r="EF390" s="150"/>
      <c r="EG390" s="150"/>
      <c r="EH390" s="150"/>
      <c r="EI390" s="150"/>
      <c r="EJ390" s="150"/>
      <c r="EK390" s="150"/>
      <c r="EL390" s="150"/>
      <c r="EM390" s="150"/>
      <c r="EN390" s="150"/>
      <c r="EO390" s="150"/>
      <c r="EP390" s="150"/>
      <c r="EQ390" s="150"/>
      <c r="ER390" s="150"/>
      <c r="ES390" s="150"/>
      <c r="ET390" s="150"/>
      <c r="EU390" s="150"/>
      <c r="EV390" s="150"/>
      <c r="EW390" s="150"/>
      <c r="EX390" s="150"/>
      <c r="EY390" s="150"/>
      <c r="EZ390" s="150"/>
      <c r="FA390" s="150"/>
      <c r="FB390" s="150"/>
      <c r="FC390" s="150"/>
      <c r="FD390" s="150"/>
      <c r="FE390" s="150"/>
      <c r="FF390" s="150"/>
      <c r="FG390" s="150"/>
      <c r="FH390" s="150"/>
      <c r="FI390" s="150"/>
      <c r="FJ390" s="150"/>
      <c r="FK390" s="150"/>
      <c r="FL390" s="150"/>
      <c r="FM390" s="150"/>
      <c r="FN390" s="150"/>
    </row>
    <row r="391" spans="1:170" s="149" customFormat="1" x14ac:dyDescent="0.25">
      <c r="A391" s="142"/>
      <c r="B391" s="142"/>
      <c r="C391" s="142"/>
      <c r="D391" s="144"/>
      <c r="E391" s="143"/>
      <c r="F391" s="143"/>
      <c r="G391" s="144"/>
      <c r="H391" s="143"/>
      <c r="I391" s="143"/>
      <c r="J391" s="319"/>
      <c r="K391" s="319"/>
      <c r="L391" s="315"/>
      <c r="M391" s="315"/>
      <c r="N391" s="145"/>
      <c r="O391" s="145"/>
      <c r="P391" s="145"/>
      <c r="Q391" s="146"/>
      <c r="R391" s="147"/>
      <c r="S391" s="148"/>
      <c r="T391" s="148"/>
      <c r="U391" s="148"/>
      <c r="V391" s="148"/>
      <c r="W391" s="148"/>
      <c r="X391" s="148"/>
      <c r="Y391" s="148"/>
      <c r="Z391" s="148"/>
      <c r="AA391" s="148"/>
      <c r="AB391" s="148"/>
      <c r="AV391" s="150"/>
      <c r="AW391" s="150"/>
      <c r="AX391" s="150"/>
      <c r="AY391" s="150"/>
      <c r="AZ391" s="150"/>
      <c r="BA391" s="150"/>
      <c r="BB391" s="150"/>
      <c r="BC391" s="150"/>
      <c r="BD391" s="150"/>
      <c r="BE391" s="150"/>
      <c r="BF391" s="150"/>
      <c r="BG391" s="150"/>
      <c r="BH391" s="150"/>
      <c r="BI391" s="150"/>
      <c r="BJ391" s="150"/>
      <c r="BK391" s="150"/>
      <c r="BL391" s="150"/>
      <c r="BM391" s="150"/>
      <c r="BN391" s="150"/>
      <c r="BO391" s="150"/>
      <c r="BP391" s="150"/>
      <c r="BQ391" s="150"/>
      <c r="BR391" s="150"/>
      <c r="BS391" s="150"/>
      <c r="BT391" s="150"/>
      <c r="BU391" s="150"/>
      <c r="BV391" s="150"/>
      <c r="BW391" s="150"/>
      <c r="BX391" s="150"/>
      <c r="BY391" s="150"/>
      <c r="BZ391" s="150"/>
      <c r="CA391" s="150"/>
      <c r="CB391" s="150"/>
      <c r="CC391" s="150"/>
      <c r="CD391" s="150"/>
      <c r="CE391" s="150"/>
      <c r="CF391" s="150"/>
      <c r="CG391" s="150"/>
      <c r="CH391" s="150"/>
      <c r="CI391" s="150"/>
      <c r="CJ391" s="150"/>
      <c r="CK391" s="150"/>
      <c r="CL391" s="150"/>
      <c r="CM391" s="150"/>
      <c r="CN391" s="150"/>
      <c r="CO391" s="150"/>
      <c r="CP391" s="150"/>
      <c r="CQ391" s="150"/>
      <c r="CR391" s="150"/>
      <c r="CS391" s="150"/>
      <c r="CT391" s="150"/>
      <c r="CU391" s="150"/>
      <c r="CV391" s="150"/>
      <c r="CW391" s="150"/>
      <c r="CX391" s="150"/>
      <c r="CY391" s="150"/>
      <c r="CZ391" s="150"/>
      <c r="DA391" s="150"/>
      <c r="DB391" s="150"/>
      <c r="DC391" s="150"/>
      <c r="DD391" s="150"/>
      <c r="DE391" s="150"/>
      <c r="DF391" s="150"/>
      <c r="DG391" s="150"/>
      <c r="DH391" s="150"/>
      <c r="DI391" s="150"/>
      <c r="DJ391" s="150"/>
      <c r="DK391" s="150"/>
      <c r="DL391" s="150"/>
      <c r="DM391" s="150"/>
      <c r="DN391" s="150"/>
      <c r="DO391" s="150"/>
      <c r="DP391" s="150"/>
      <c r="DQ391" s="150"/>
      <c r="DR391" s="150"/>
      <c r="DS391" s="150"/>
      <c r="DT391" s="150"/>
      <c r="DU391" s="150"/>
      <c r="DV391" s="150"/>
      <c r="DW391" s="150"/>
      <c r="DX391" s="150"/>
      <c r="DY391" s="150"/>
      <c r="DZ391" s="150"/>
      <c r="EA391" s="150"/>
      <c r="EB391" s="150"/>
      <c r="EC391" s="150"/>
      <c r="ED391" s="150"/>
      <c r="EE391" s="150"/>
      <c r="EF391" s="150"/>
      <c r="EG391" s="150"/>
      <c r="EH391" s="150"/>
      <c r="EI391" s="150"/>
      <c r="EJ391" s="150"/>
      <c r="EK391" s="150"/>
      <c r="EL391" s="150"/>
      <c r="EM391" s="150"/>
      <c r="EN391" s="150"/>
      <c r="EO391" s="150"/>
      <c r="EP391" s="150"/>
      <c r="EQ391" s="150"/>
      <c r="ER391" s="150"/>
      <c r="ES391" s="150"/>
      <c r="ET391" s="150"/>
      <c r="EU391" s="150"/>
      <c r="EV391" s="150"/>
      <c r="EW391" s="150"/>
      <c r="EX391" s="150"/>
      <c r="EY391" s="150"/>
      <c r="EZ391" s="150"/>
      <c r="FA391" s="150"/>
      <c r="FB391" s="150"/>
      <c r="FC391" s="150"/>
      <c r="FD391" s="150"/>
      <c r="FE391" s="150"/>
      <c r="FF391" s="150"/>
      <c r="FG391" s="150"/>
      <c r="FH391" s="150"/>
      <c r="FI391" s="150"/>
      <c r="FJ391" s="150"/>
      <c r="FK391" s="150"/>
      <c r="FL391" s="150"/>
      <c r="FM391" s="150"/>
      <c r="FN391" s="150"/>
    </row>
    <row r="392" spans="1:170" s="149" customFormat="1" x14ac:dyDescent="0.25">
      <c r="A392" s="142"/>
      <c r="B392" s="142"/>
      <c r="C392" s="142"/>
      <c r="D392" s="144"/>
      <c r="E392" s="143"/>
      <c r="F392" s="143"/>
      <c r="G392" s="144"/>
      <c r="H392" s="143"/>
      <c r="I392" s="143"/>
      <c r="J392" s="319"/>
      <c r="K392" s="319"/>
      <c r="L392" s="315"/>
      <c r="M392" s="315"/>
      <c r="N392" s="145"/>
      <c r="O392" s="145"/>
      <c r="P392" s="145"/>
      <c r="Q392" s="146"/>
      <c r="R392" s="147"/>
      <c r="S392" s="148"/>
      <c r="T392" s="148"/>
      <c r="U392" s="148"/>
      <c r="V392" s="148"/>
      <c r="W392" s="148"/>
      <c r="X392" s="148"/>
      <c r="Y392" s="148"/>
      <c r="Z392" s="148"/>
      <c r="AA392" s="148"/>
      <c r="AB392" s="148"/>
      <c r="AV392" s="150"/>
      <c r="AW392" s="150"/>
      <c r="AX392" s="150"/>
      <c r="AY392" s="150"/>
      <c r="AZ392" s="150"/>
      <c r="BA392" s="150"/>
      <c r="BB392" s="150"/>
      <c r="BC392" s="150"/>
      <c r="BD392" s="150"/>
      <c r="BE392" s="150"/>
      <c r="BF392" s="150"/>
      <c r="BG392" s="150"/>
      <c r="BH392" s="150"/>
      <c r="BI392" s="150"/>
      <c r="BJ392" s="150"/>
      <c r="BK392" s="150"/>
      <c r="BL392" s="150"/>
      <c r="BM392" s="150"/>
      <c r="BN392" s="150"/>
      <c r="BO392" s="150"/>
      <c r="BP392" s="150"/>
      <c r="BQ392" s="150"/>
      <c r="BR392" s="150"/>
      <c r="BS392" s="150"/>
      <c r="BT392" s="150"/>
      <c r="BU392" s="150"/>
      <c r="BV392" s="150"/>
      <c r="BW392" s="150"/>
      <c r="BX392" s="150"/>
      <c r="BY392" s="150"/>
      <c r="BZ392" s="150"/>
      <c r="CA392" s="150"/>
      <c r="CB392" s="150"/>
      <c r="CC392" s="150"/>
      <c r="CD392" s="150"/>
      <c r="CE392" s="150"/>
      <c r="CF392" s="150"/>
      <c r="CG392" s="150"/>
      <c r="CH392" s="150"/>
      <c r="CI392" s="150"/>
      <c r="CJ392" s="150"/>
      <c r="CK392" s="150"/>
      <c r="CL392" s="150"/>
      <c r="CM392" s="150"/>
      <c r="CN392" s="150"/>
      <c r="CO392" s="150"/>
      <c r="CP392" s="150"/>
      <c r="CQ392" s="150"/>
      <c r="CR392" s="150"/>
      <c r="CS392" s="150"/>
      <c r="CT392" s="150"/>
      <c r="CU392" s="150"/>
      <c r="CV392" s="150"/>
      <c r="CW392" s="150"/>
      <c r="CX392" s="150"/>
      <c r="CY392" s="150"/>
      <c r="CZ392" s="150"/>
      <c r="DA392" s="150"/>
      <c r="DB392" s="150"/>
      <c r="DC392" s="150"/>
      <c r="DD392" s="150"/>
      <c r="DE392" s="150"/>
      <c r="DF392" s="150"/>
      <c r="DG392" s="150"/>
      <c r="DH392" s="150"/>
      <c r="DI392" s="150"/>
      <c r="DJ392" s="150"/>
      <c r="DK392" s="150"/>
      <c r="DL392" s="150"/>
      <c r="DM392" s="150"/>
      <c r="DN392" s="150"/>
      <c r="DO392" s="150"/>
      <c r="DP392" s="150"/>
      <c r="DQ392" s="150"/>
      <c r="DR392" s="150"/>
      <c r="DS392" s="150"/>
      <c r="DT392" s="150"/>
      <c r="DU392" s="150"/>
      <c r="DV392" s="150"/>
      <c r="DW392" s="150"/>
      <c r="DX392" s="150"/>
      <c r="DY392" s="150"/>
      <c r="DZ392" s="150"/>
      <c r="EA392" s="150"/>
      <c r="EB392" s="150"/>
      <c r="EC392" s="150"/>
      <c r="ED392" s="150"/>
      <c r="EE392" s="150"/>
      <c r="EF392" s="150"/>
      <c r="EG392" s="150"/>
      <c r="EH392" s="150"/>
      <c r="EI392" s="150"/>
      <c r="EJ392" s="150"/>
      <c r="EK392" s="150"/>
      <c r="EL392" s="150"/>
      <c r="EM392" s="150"/>
      <c r="EN392" s="150"/>
      <c r="EO392" s="150"/>
      <c r="EP392" s="150"/>
      <c r="EQ392" s="150"/>
      <c r="ER392" s="150"/>
      <c r="ES392" s="150"/>
      <c r="ET392" s="150"/>
      <c r="EU392" s="150"/>
      <c r="EV392" s="150"/>
      <c r="EW392" s="150"/>
      <c r="EX392" s="150"/>
      <c r="EY392" s="150"/>
      <c r="EZ392" s="150"/>
      <c r="FA392" s="150"/>
      <c r="FB392" s="150"/>
      <c r="FC392" s="150"/>
      <c r="FD392" s="150"/>
      <c r="FE392" s="150"/>
      <c r="FF392" s="150"/>
      <c r="FG392" s="150"/>
      <c r="FH392" s="150"/>
      <c r="FI392" s="150"/>
      <c r="FJ392" s="150"/>
      <c r="FK392" s="150"/>
      <c r="FL392" s="150"/>
      <c r="FM392" s="150"/>
      <c r="FN392" s="150"/>
    </row>
    <row r="393" spans="1:170" s="149" customFormat="1" x14ac:dyDescent="0.25">
      <c r="A393" s="142"/>
      <c r="B393" s="142"/>
      <c r="C393" s="142"/>
      <c r="D393" s="144"/>
      <c r="E393" s="143"/>
      <c r="F393" s="143"/>
      <c r="G393" s="144"/>
      <c r="H393" s="143"/>
      <c r="I393" s="143"/>
      <c r="J393" s="319"/>
      <c r="K393" s="319"/>
      <c r="L393" s="315"/>
      <c r="M393" s="315"/>
      <c r="N393" s="145"/>
      <c r="O393" s="145"/>
      <c r="P393" s="145"/>
      <c r="Q393" s="146"/>
      <c r="R393" s="147"/>
      <c r="S393" s="148"/>
      <c r="T393" s="148"/>
      <c r="U393" s="148"/>
      <c r="V393" s="148"/>
      <c r="W393" s="148"/>
      <c r="X393" s="148"/>
      <c r="Y393" s="148"/>
      <c r="Z393" s="148"/>
      <c r="AA393" s="148"/>
      <c r="AB393" s="148"/>
      <c r="AV393" s="150"/>
      <c r="AW393" s="150"/>
      <c r="AX393" s="150"/>
      <c r="AY393" s="150"/>
      <c r="AZ393" s="150"/>
      <c r="BA393" s="150"/>
      <c r="BB393" s="150"/>
      <c r="BC393" s="150"/>
      <c r="BD393" s="150"/>
      <c r="BE393" s="150"/>
      <c r="BF393" s="150"/>
      <c r="BG393" s="150"/>
      <c r="BH393" s="150"/>
      <c r="BI393" s="150"/>
      <c r="BJ393" s="150"/>
      <c r="BK393" s="150"/>
      <c r="BL393" s="150"/>
      <c r="BM393" s="150"/>
      <c r="BN393" s="150"/>
      <c r="BO393" s="150"/>
      <c r="BP393" s="150"/>
      <c r="BQ393" s="150"/>
      <c r="BR393" s="150"/>
      <c r="BS393" s="150"/>
      <c r="BT393" s="150"/>
      <c r="BU393" s="150"/>
      <c r="BV393" s="150"/>
      <c r="BW393" s="150"/>
      <c r="BX393" s="150"/>
      <c r="BY393" s="150"/>
      <c r="BZ393" s="150"/>
      <c r="CA393" s="150"/>
      <c r="CB393" s="150"/>
      <c r="CC393" s="150"/>
      <c r="CD393" s="150"/>
      <c r="CE393" s="150"/>
      <c r="CF393" s="150"/>
      <c r="CG393" s="150"/>
      <c r="CH393" s="150"/>
      <c r="CI393" s="150"/>
      <c r="CJ393" s="150"/>
      <c r="CK393" s="150"/>
      <c r="CL393" s="150"/>
      <c r="CM393" s="150"/>
      <c r="CN393" s="150"/>
      <c r="CO393" s="150"/>
      <c r="CP393" s="150"/>
      <c r="CQ393" s="150"/>
      <c r="CR393" s="150"/>
      <c r="CS393" s="150"/>
      <c r="CT393" s="150"/>
      <c r="CU393" s="150"/>
      <c r="CV393" s="150"/>
      <c r="CW393" s="150"/>
      <c r="CX393" s="150"/>
      <c r="CY393" s="150"/>
      <c r="CZ393" s="150"/>
      <c r="DA393" s="150"/>
      <c r="DB393" s="150"/>
      <c r="DC393" s="150"/>
      <c r="DD393" s="150"/>
      <c r="DE393" s="150"/>
      <c r="DF393" s="150"/>
      <c r="DG393" s="150"/>
      <c r="DH393" s="150"/>
      <c r="DI393" s="150"/>
      <c r="DJ393" s="150"/>
      <c r="DK393" s="150"/>
      <c r="DL393" s="150"/>
      <c r="DM393" s="150"/>
      <c r="DN393" s="150"/>
      <c r="DO393" s="150"/>
      <c r="DP393" s="150"/>
      <c r="DQ393" s="150"/>
      <c r="DR393" s="150"/>
      <c r="DS393" s="150"/>
      <c r="DT393" s="150"/>
      <c r="DU393" s="150"/>
      <c r="DV393" s="150"/>
      <c r="DW393" s="150"/>
      <c r="DX393" s="150"/>
      <c r="DY393" s="150"/>
      <c r="DZ393" s="150"/>
      <c r="EA393" s="150"/>
      <c r="EB393" s="150"/>
      <c r="EC393" s="150"/>
      <c r="ED393" s="150"/>
      <c r="EE393" s="150"/>
      <c r="EF393" s="150"/>
      <c r="EG393" s="150"/>
      <c r="EH393" s="150"/>
      <c r="EI393" s="150"/>
      <c r="EJ393" s="150"/>
      <c r="EK393" s="150"/>
      <c r="EL393" s="150"/>
      <c r="EM393" s="150"/>
      <c r="EN393" s="150"/>
      <c r="EO393" s="150"/>
      <c r="EP393" s="150"/>
      <c r="EQ393" s="150"/>
      <c r="ER393" s="150"/>
      <c r="ES393" s="150"/>
      <c r="ET393" s="150"/>
      <c r="EU393" s="150"/>
      <c r="EV393" s="150"/>
      <c r="EW393" s="150"/>
      <c r="EX393" s="150"/>
      <c r="EY393" s="150"/>
      <c r="EZ393" s="150"/>
      <c r="FA393" s="150"/>
      <c r="FB393" s="150"/>
      <c r="FC393" s="150"/>
      <c r="FD393" s="150"/>
      <c r="FE393" s="150"/>
      <c r="FF393" s="150"/>
      <c r="FG393" s="150"/>
      <c r="FH393" s="150"/>
      <c r="FI393" s="150"/>
      <c r="FJ393" s="150"/>
      <c r="FK393" s="150"/>
      <c r="FL393" s="150"/>
      <c r="FM393" s="150"/>
      <c r="FN393" s="150"/>
    </row>
    <row r="394" spans="1:170" s="149" customFormat="1" x14ac:dyDescent="0.25">
      <c r="A394" s="142"/>
      <c r="B394" s="142"/>
      <c r="C394" s="142"/>
      <c r="D394" s="144"/>
      <c r="E394" s="143"/>
      <c r="F394" s="143"/>
      <c r="G394" s="144"/>
      <c r="H394" s="143"/>
      <c r="I394" s="143"/>
      <c r="J394" s="319"/>
      <c r="K394" s="319"/>
      <c r="L394" s="315"/>
      <c r="M394" s="315"/>
      <c r="N394" s="145"/>
      <c r="O394" s="145"/>
      <c r="P394" s="145"/>
      <c r="Q394" s="146"/>
      <c r="R394" s="147"/>
      <c r="S394" s="148"/>
      <c r="T394" s="148"/>
      <c r="U394" s="148"/>
      <c r="V394" s="148"/>
      <c r="W394" s="148"/>
      <c r="X394" s="148"/>
      <c r="Y394" s="148"/>
      <c r="Z394" s="148"/>
      <c r="AA394" s="148"/>
      <c r="AB394" s="148"/>
      <c r="AV394" s="150"/>
      <c r="AW394" s="150"/>
      <c r="AX394" s="150"/>
      <c r="AY394" s="150"/>
      <c r="AZ394" s="150"/>
      <c r="BA394" s="150"/>
      <c r="BB394" s="150"/>
      <c r="BC394" s="150"/>
      <c r="BD394" s="150"/>
      <c r="BE394" s="150"/>
      <c r="BF394" s="150"/>
      <c r="BG394" s="150"/>
      <c r="BH394" s="150"/>
      <c r="BI394" s="150"/>
      <c r="BJ394" s="150"/>
      <c r="BK394" s="150"/>
      <c r="BL394" s="150"/>
      <c r="BM394" s="150"/>
      <c r="BN394" s="150"/>
      <c r="BO394" s="150"/>
      <c r="BP394" s="150"/>
      <c r="BQ394" s="150"/>
      <c r="BR394" s="150"/>
      <c r="BS394" s="150"/>
      <c r="BT394" s="150"/>
      <c r="BU394" s="150"/>
      <c r="BV394" s="150"/>
      <c r="BW394" s="150"/>
      <c r="BX394" s="150"/>
      <c r="BY394" s="150"/>
      <c r="BZ394" s="150"/>
      <c r="CA394" s="150"/>
      <c r="CB394" s="150"/>
      <c r="CC394" s="150"/>
      <c r="CD394" s="150"/>
      <c r="CE394" s="150"/>
      <c r="CF394" s="150"/>
      <c r="CG394" s="150"/>
      <c r="CH394" s="150"/>
      <c r="CI394" s="150"/>
      <c r="CJ394" s="150"/>
      <c r="CK394" s="150"/>
      <c r="CL394" s="150"/>
      <c r="CM394" s="150"/>
      <c r="CN394" s="150"/>
      <c r="CO394" s="150"/>
      <c r="CP394" s="150"/>
      <c r="CQ394" s="150"/>
      <c r="CR394" s="150"/>
      <c r="CS394" s="150"/>
      <c r="CT394" s="150"/>
      <c r="CU394" s="150"/>
      <c r="CV394" s="150"/>
      <c r="CW394" s="150"/>
      <c r="CX394" s="150"/>
      <c r="CY394" s="150"/>
      <c r="CZ394" s="150"/>
      <c r="DA394" s="150"/>
      <c r="DB394" s="150"/>
      <c r="DC394" s="150"/>
      <c r="DD394" s="150"/>
      <c r="DE394" s="150"/>
      <c r="DF394" s="150"/>
      <c r="DG394" s="150"/>
      <c r="DH394" s="150"/>
      <c r="DI394" s="150"/>
      <c r="DJ394" s="150"/>
      <c r="DK394" s="150"/>
      <c r="DL394" s="150"/>
      <c r="DM394" s="150"/>
      <c r="DN394" s="150"/>
      <c r="DO394" s="150"/>
      <c r="DP394" s="150"/>
      <c r="DQ394" s="150"/>
      <c r="DR394" s="150"/>
      <c r="DS394" s="150"/>
      <c r="DT394" s="150"/>
      <c r="DU394" s="150"/>
      <c r="DV394" s="150"/>
      <c r="DW394" s="150"/>
      <c r="DX394" s="150"/>
      <c r="DY394" s="150"/>
      <c r="DZ394" s="150"/>
      <c r="EA394" s="150"/>
      <c r="EB394" s="150"/>
      <c r="EC394" s="150"/>
      <c r="ED394" s="150"/>
      <c r="EE394" s="150"/>
      <c r="EF394" s="150"/>
      <c r="EG394" s="150"/>
      <c r="EH394" s="150"/>
      <c r="EI394" s="150"/>
      <c r="EJ394" s="150"/>
      <c r="EK394" s="150"/>
      <c r="EL394" s="150"/>
      <c r="EM394" s="150"/>
      <c r="EN394" s="150"/>
      <c r="EO394" s="150"/>
      <c r="EP394" s="150"/>
      <c r="EQ394" s="150"/>
      <c r="ER394" s="150"/>
      <c r="ES394" s="150"/>
      <c r="ET394" s="150"/>
      <c r="EU394" s="150"/>
      <c r="EV394" s="150"/>
      <c r="EW394" s="150"/>
      <c r="EX394" s="150"/>
      <c r="EY394" s="150"/>
      <c r="EZ394" s="150"/>
      <c r="FA394" s="150"/>
      <c r="FB394" s="150"/>
      <c r="FC394" s="150"/>
      <c r="FD394" s="150"/>
      <c r="FE394" s="150"/>
      <c r="FF394" s="150"/>
      <c r="FG394" s="150"/>
      <c r="FH394" s="150"/>
      <c r="FI394" s="150"/>
      <c r="FJ394" s="150"/>
      <c r="FK394" s="150"/>
      <c r="FL394" s="150"/>
      <c r="FM394" s="150"/>
      <c r="FN394" s="150"/>
    </row>
    <row r="395" spans="1:170" s="149" customFormat="1" x14ac:dyDescent="0.25">
      <c r="A395" s="142"/>
      <c r="B395" s="142"/>
      <c r="C395" s="142"/>
      <c r="D395" s="144"/>
      <c r="E395" s="143"/>
      <c r="F395" s="143"/>
      <c r="G395" s="144"/>
      <c r="H395" s="143"/>
      <c r="I395" s="143"/>
      <c r="J395" s="319"/>
      <c r="K395" s="319"/>
      <c r="L395" s="315"/>
      <c r="M395" s="315"/>
      <c r="N395" s="145"/>
      <c r="O395" s="145"/>
      <c r="P395" s="145"/>
      <c r="Q395" s="146"/>
      <c r="R395" s="147"/>
      <c r="S395" s="148"/>
      <c r="T395" s="148"/>
      <c r="U395" s="148"/>
      <c r="V395" s="148"/>
      <c r="W395" s="148"/>
      <c r="X395" s="148"/>
      <c r="Y395" s="148"/>
      <c r="Z395" s="148"/>
      <c r="AA395" s="148"/>
      <c r="AB395" s="148"/>
      <c r="AV395" s="150"/>
      <c r="AW395" s="150"/>
      <c r="AX395" s="150"/>
      <c r="AY395" s="150"/>
      <c r="AZ395" s="150"/>
      <c r="BA395" s="150"/>
      <c r="BB395" s="150"/>
      <c r="BC395" s="150"/>
      <c r="BD395" s="150"/>
      <c r="BE395" s="150"/>
      <c r="BF395" s="150"/>
      <c r="BG395" s="150"/>
      <c r="BH395" s="150"/>
      <c r="BI395" s="150"/>
      <c r="BJ395" s="150"/>
      <c r="BK395" s="150"/>
      <c r="BL395" s="150"/>
      <c r="BM395" s="150"/>
      <c r="BN395" s="150"/>
      <c r="BO395" s="150"/>
      <c r="BP395" s="150"/>
      <c r="BQ395" s="150"/>
      <c r="BR395" s="150"/>
      <c r="BS395" s="150"/>
      <c r="BT395" s="150"/>
      <c r="BU395" s="150"/>
      <c r="BV395" s="150"/>
      <c r="BW395" s="150"/>
      <c r="BX395" s="150"/>
      <c r="BY395" s="150"/>
      <c r="BZ395" s="150"/>
      <c r="CA395" s="150"/>
      <c r="CB395" s="150"/>
      <c r="CC395" s="150"/>
      <c r="CD395" s="150"/>
      <c r="CE395" s="150"/>
      <c r="CF395" s="150"/>
      <c r="CG395" s="150"/>
      <c r="CH395" s="150"/>
      <c r="CI395" s="150"/>
      <c r="CJ395" s="150"/>
      <c r="CK395" s="150"/>
      <c r="CL395" s="150"/>
      <c r="CM395" s="150"/>
      <c r="CN395" s="150"/>
      <c r="CO395" s="150"/>
      <c r="CP395" s="150"/>
      <c r="CQ395" s="150"/>
      <c r="CR395" s="150"/>
      <c r="CS395" s="150"/>
      <c r="CT395" s="150"/>
      <c r="CU395" s="150"/>
      <c r="CV395" s="150"/>
      <c r="CW395" s="150"/>
      <c r="CX395" s="150"/>
      <c r="CY395" s="150"/>
      <c r="CZ395" s="150"/>
      <c r="DA395" s="150"/>
      <c r="DB395" s="150"/>
      <c r="DC395" s="150"/>
      <c r="DD395" s="150"/>
      <c r="DE395" s="150"/>
      <c r="DF395" s="150"/>
      <c r="DG395" s="150"/>
      <c r="DH395" s="150"/>
      <c r="DI395" s="150"/>
      <c r="DJ395" s="150"/>
      <c r="DK395" s="150"/>
      <c r="DL395" s="150"/>
      <c r="DM395" s="150"/>
      <c r="DN395" s="150"/>
      <c r="DO395" s="150"/>
      <c r="DP395" s="150"/>
      <c r="DQ395" s="150"/>
      <c r="DR395" s="150"/>
      <c r="DS395" s="150"/>
      <c r="DT395" s="150"/>
      <c r="DU395" s="150"/>
      <c r="DV395" s="150"/>
      <c r="DW395" s="150"/>
      <c r="DX395" s="150"/>
      <c r="DY395" s="150"/>
      <c r="DZ395" s="150"/>
      <c r="EA395" s="150"/>
      <c r="EB395" s="150"/>
      <c r="EC395" s="150"/>
      <c r="ED395" s="150"/>
      <c r="EE395" s="150"/>
      <c r="EF395" s="150"/>
      <c r="EG395" s="150"/>
      <c r="EH395" s="150"/>
      <c r="EI395" s="150"/>
      <c r="EJ395" s="150"/>
      <c r="EK395" s="150"/>
      <c r="EL395" s="150"/>
      <c r="EM395" s="150"/>
      <c r="EN395" s="150"/>
      <c r="EO395" s="150"/>
      <c r="EP395" s="150"/>
      <c r="EQ395" s="150"/>
      <c r="ER395" s="150"/>
      <c r="ES395" s="150"/>
      <c r="ET395" s="150"/>
      <c r="EU395" s="150"/>
      <c r="EV395" s="150"/>
      <c r="EW395" s="150"/>
      <c r="EX395" s="150"/>
      <c r="EY395" s="150"/>
      <c r="EZ395" s="150"/>
      <c r="FA395" s="150"/>
      <c r="FB395" s="150"/>
      <c r="FC395" s="150"/>
      <c r="FD395" s="150"/>
      <c r="FE395" s="150"/>
      <c r="FF395" s="150"/>
      <c r="FG395" s="150"/>
      <c r="FH395" s="150"/>
      <c r="FI395" s="150"/>
      <c r="FJ395" s="150"/>
      <c r="FK395" s="150"/>
      <c r="FL395" s="150"/>
      <c r="FM395" s="150"/>
      <c r="FN395" s="150"/>
    </row>
    <row r="396" spans="1:170" s="149" customFormat="1" x14ac:dyDescent="0.25">
      <c r="A396" s="142"/>
      <c r="B396" s="142"/>
      <c r="C396" s="142"/>
      <c r="D396" s="144"/>
      <c r="E396" s="143"/>
      <c r="F396" s="143"/>
      <c r="G396" s="144"/>
      <c r="H396" s="143"/>
      <c r="I396" s="143"/>
      <c r="J396" s="319"/>
      <c r="K396" s="319"/>
      <c r="L396" s="315"/>
      <c r="M396" s="315"/>
      <c r="N396" s="145"/>
      <c r="O396" s="145"/>
      <c r="P396" s="145"/>
      <c r="Q396" s="146"/>
      <c r="R396" s="147"/>
      <c r="S396" s="148"/>
      <c r="T396" s="148"/>
      <c r="U396" s="148"/>
      <c r="V396" s="148"/>
      <c r="W396" s="148"/>
      <c r="X396" s="148"/>
      <c r="Y396" s="148"/>
      <c r="Z396" s="148"/>
      <c r="AA396" s="148"/>
      <c r="AB396" s="148"/>
      <c r="AV396" s="150"/>
      <c r="AW396" s="150"/>
      <c r="AX396" s="150"/>
      <c r="AY396" s="150"/>
      <c r="AZ396" s="150"/>
      <c r="BA396" s="150"/>
      <c r="BB396" s="150"/>
      <c r="BC396" s="150"/>
      <c r="BD396" s="150"/>
      <c r="BE396" s="150"/>
      <c r="BF396" s="150"/>
      <c r="BG396" s="150"/>
      <c r="BH396" s="150"/>
      <c r="BI396" s="150"/>
      <c r="BJ396" s="150"/>
      <c r="BK396" s="150"/>
      <c r="BL396" s="150"/>
      <c r="BM396" s="150"/>
      <c r="BN396" s="150"/>
      <c r="BO396" s="150"/>
      <c r="BP396" s="150"/>
      <c r="BQ396" s="150"/>
      <c r="BR396" s="150"/>
      <c r="BS396" s="150"/>
      <c r="BT396" s="150"/>
      <c r="BU396" s="150"/>
      <c r="BV396" s="150"/>
      <c r="BW396" s="150"/>
      <c r="BX396" s="150"/>
      <c r="BY396" s="150"/>
      <c r="BZ396" s="150"/>
      <c r="CA396" s="150"/>
      <c r="CB396" s="150"/>
      <c r="CC396" s="150"/>
      <c r="CD396" s="150"/>
      <c r="CE396" s="150"/>
      <c r="CF396" s="150"/>
      <c r="CG396" s="150"/>
      <c r="CH396" s="150"/>
      <c r="CI396" s="150"/>
      <c r="CJ396" s="150"/>
      <c r="CK396" s="150"/>
      <c r="CL396" s="150"/>
      <c r="CM396" s="150"/>
      <c r="CN396" s="150"/>
      <c r="CO396" s="150"/>
      <c r="CP396" s="150"/>
      <c r="CQ396" s="150"/>
      <c r="CR396" s="150"/>
      <c r="CS396" s="150"/>
      <c r="CT396" s="150"/>
      <c r="CU396" s="150"/>
      <c r="CV396" s="150"/>
      <c r="CW396" s="150"/>
      <c r="CX396" s="150"/>
      <c r="CY396" s="150"/>
      <c r="CZ396" s="150"/>
      <c r="DA396" s="150"/>
      <c r="DB396" s="150"/>
      <c r="DC396" s="150"/>
      <c r="DD396" s="150"/>
      <c r="DE396" s="150"/>
      <c r="DF396" s="150"/>
      <c r="DG396" s="150"/>
      <c r="DH396" s="150"/>
      <c r="DI396" s="150"/>
      <c r="DJ396" s="150"/>
      <c r="DK396" s="150"/>
      <c r="DL396" s="150"/>
      <c r="DM396" s="150"/>
      <c r="DN396" s="150"/>
      <c r="DO396" s="150"/>
      <c r="DP396" s="150"/>
      <c r="DQ396" s="150"/>
      <c r="DR396" s="150"/>
      <c r="DS396" s="150"/>
      <c r="DT396" s="150"/>
      <c r="DU396" s="150"/>
      <c r="DV396" s="150"/>
      <c r="DW396" s="150"/>
      <c r="DX396" s="150"/>
      <c r="DY396" s="150"/>
      <c r="DZ396" s="150"/>
      <c r="EA396" s="150"/>
      <c r="EB396" s="150"/>
      <c r="EC396" s="150"/>
      <c r="ED396" s="150"/>
      <c r="EE396" s="150"/>
      <c r="EF396" s="150"/>
      <c r="EG396" s="150"/>
      <c r="EH396" s="150"/>
      <c r="EI396" s="150"/>
      <c r="EJ396" s="150"/>
      <c r="EK396" s="150"/>
      <c r="EL396" s="150"/>
      <c r="EM396" s="150"/>
      <c r="EN396" s="150"/>
      <c r="EO396" s="150"/>
      <c r="EP396" s="150"/>
      <c r="EQ396" s="150"/>
      <c r="ER396" s="150"/>
      <c r="ES396" s="150"/>
      <c r="ET396" s="150"/>
      <c r="EU396" s="150"/>
      <c r="EV396" s="150"/>
      <c r="EW396" s="150"/>
      <c r="EX396" s="150"/>
      <c r="EY396" s="150"/>
      <c r="EZ396" s="150"/>
      <c r="FA396" s="150"/>
      <c r="FB396" s="150"/>
      <c r="FC396" s="150"/>
      <c r="FD396" s="150"/>
      <c r="FE396" s="150"/>
      <c r="FF396" s="150"/>
      <c r="FG396" s="150"/>
      <c r="FH396" s="150"/>
      <c r="FI396" s="150"/>
      <c r="FJ396" s="150"/>
      <c r="FK396" s="150"/>
      <c r="FL396" s="150"/>
      <c r="FM396" s="150"/>
      <c r="FN396" s="150"/>
    </row>
    <row r="397" spans="1:170" s="149" customFormat="1" x14ac:dyDescent="0.25">
      <c r="A397" s="142"/>
      <c r="B397" s="142"/>
      <c r="C397" s="142"/>
      <c r="D397" s="144"/>
      <c r="E397" s="143"/>
      <c r="F397" s="143"/>
      <c r="G397" s="144"/>
      <c r="H397" s="143"/>
      <c r="I397" s="143"/>
      <c r="J397" s="319"/>
      <c r="K397" s="319"/>
      <c r="L397" s="315"/>
      <c r="M397" s="315"/>
      <c r="N397" s="145"/>
      <c r="O397" s="145"/>
      <c r="P397" s="145"/>
      <c r="Q397" s="146"/>
      <c r="R397" s="147"/>
      <c r="S397" s="148"/>
      <c r="T397" s="148"/>
      <c r="U397" s="148"/>
      <c r="V397" s="148"/>
      <c r="W397" s="148"/>
      <c r="X397" s="148"/>
      <c r="Y397" s="148"/>
      <c r="Z397" s="148"/>
      <c r="AA397" s="148"/>
      <c r="AB397" s="148"/>
      <c r="AV397" s="150"/>
      <c r="AW397" s="150"/>
      <c r="AX397" s="150"/>
      <c r="AY397" s="150"/>
      <c r="AZ397" s="150"/>
      <c r="BA397" s="150"/>
      <c r="BB397" s="150"/>
      <c r="BC397" s="150"/>
      <c r="BD397" s="150"/>
      <c r="BE397" s="150"/>
      <c r="BF397" s="150"/>
      <c r="BG397" s="150"/>
      <c r="BH397" s="150"/>
      <c r="BI397" s="150"/>
      <c r="BJ397" s="150"/>
      <c r="BK397" s="150"/>
      <c r="BL397" s="150"/>
      <c r="BM397" s="150"/>
      <c r="BN397" s="150"/>
      <c r="BO397" s="150"/>
      <c r="BP397" s="150"/>
      <c r="BQ397" s="150"/>
      <c r="BR397" s="150"/>
      <c r="BS397" s="150"/>
      <c r="BT397" s="150"/>
      <c r="BU397" s="150"/>
      <c r="BV397" s="150"/>
      <c r="BW397" s="150"/>
      <c r="BX397" s="150"/>
      <c r="BY397" s="150"/>
      <c r="BZ397" s="150"/>
      <c r="CA397" s="150"/>
      <c r="CB397" s="150"/>
      <c r="CC397" s="150"/>
      <c r="CD397" s="150"/>
      <c r="CE397" s="150"/>
      <c r="CF397" s="150"/>
      <c r="CG397" s="150"/>
      <c r="CH397" s="150"/>
      <c r="CI397" s="150"/>
      <c r="CJ397" s="150"/>
      <c r="CK397" s="150"/>
      <c r="CL397" s="150"/>
      <c r="CM397" s="150"/>
      <c r="CN397" s="150"/>
      <c r="CO397" s="150"/>
      <c r="CP397" s="150"/>
      <c r="CQ397" s="150"/>
      <c r="CR397" s="150"/>
      <c r="CS397" s="150"/>
      <c r="CT397" s="150"/>
      <c r="CU397" s="150"/>
      <c r="CV397" s="150"/>
      <c r="CW397" s="150"/>
      <c r="CX397" s="150"/>
      <c r="CY397" s="150"/>
      <c r="CZ397" s="150"/>
      <c r="DA397" s="150"/>
      <c r="DB397" s="150"/>
      <c r="DC397" s="150"/>
      <c r="DD397" s="150"/>
      <c r="DE397" s="150"/>
      <c r="DF397" s="150"/>
      <c r="DG397" s="150"/>
      <c r="DH397" s="150"/>
      <c r="DI397" s="150"/>
      <c r="DJ397" s="150"/>
      <c r="DK397" s="150"/>
      <c r="DL397" s="150"/>
      <c r="DM397" s="150"/>
      <c r="DN397" s="150"/>
      <c r="DO397" s="150"/>
      <c r="DP397" s="150"/>
      <c r="DQ397" s="150"/>
      <c r="DR397" s="150"/>
      <c r="DS397" s="150"/>
      <c r="DT397" s="150"/>
      <c r="DU397" s="150"/>
      <c r="DV397" s="150"/>
      <c r="DW397" s="150"/>
      <c r="DX397" s="150"/>
      <c r="DY397" s="150"/>
      <c r="DZ397" s="150"/>
      <c r="EA397" s="150"/>
      <c r="EB397" s="150"/>
      <c r="EC397" s="150"/>
      <c r="ED397" s="150"/>
      <c r="EE397" s="150"/>
      <c r="EF397" s="150"/>
      <c r="EG397" s="150"/>
      <c r="EH397" s="150"/>
      <c r="EI397" s="150"/>
      <c r="EJ397" s="150"/>
      <c r="EK397" s="150"/>
      <c r="EL397" s="150"/>
      <c r="EM397" s="150"/>
      <c r="EN397" s="150"/>
      <c r="EO397" s="150"/>
      <c r="EP397" s="150"/>
      <c r="EQ397" s="150"/>
      <c r="ER397" s="150"/>
      <c r="ES397" s="150"/>
      <c r="ET397" s="150"/>
      <c r="EU397" s="150"/>
      <c r="EV397" s="150"/>
      <c r="EW397" s="150"/>
      <c r="EX397" s="150"/>
      <c r="EY397" s="150"/>
      <c r="EZ397" s="150"/>
      <c r="FA397" s="150"/>
      <c r="FB397" s="150"/>
      <c r="FC397" s="150"/>
      <c r="FD397" s="150"/>
      <c r="FE397" s="150"/>
      <c r="FF397" s="150"/>
      <c r="FG397" s="150"/>
      <c r="FH397" s="150"/>
      <c r="FI397" s="150"/>
      <c r="FJ397" s="150"/>
      <c r="FK397" s="150"/>
      <c r="FL397" s="150"/>
      <c r="FM397" s="150"/>
      <c r="FN397" s="150"/>
    </row>
    <row r="398" spans="1:170" s="149" customFormat="1" x14ac:dyDescent="0.25">
      <c r="A398" s="142"/>
      <c r="B398" s="142"/>
      <c r="C398" s="142"/>
      <c r="D398" s="144"/>
      <c r="E398" s="143"/>
      <c r="F398" s="143"/>
      <c r="G398" s="144"/>
      <c r="H398" s="143"/>
      <c r="I398" s="143"/>
      <c r="J398" s="319"/>
      <c r="K398" s="319"/>
      <c r="L398" s="315"/>
      <c r="M398" s="315"/>
      <c r="N398" s="145"/>
      <c r="O398" s="145"/>
      <c r="P398" s="145"/>
      <c r="Q398" s="146"/>
      <c r="R398" s="147"/>
      <c r="S398" s="148"/>
      <c r="T398" s="148"/>
      <c r="U398" s="148"/>
      <c r="V398" s="148"/>
      <c r="W398" s="148"/>
      <c r="X398" s="148"/>
      <c r="Y398" s="148"/>
      <c r="Z398" s="148"/>
      <c r="AA398" s="148"/>
      <c r="AB398" s="148"/>
      <c r="AV398" s="150"/>
      <c r="AW398" s="150"/>
      <c r="AX398" s="150"/>
      <c r="AY398" s="150"/>
      <c r="AZ398" s="150"/>
      <c r="BA398" s="150"/>
      <c r="BB398" s="150"/>
      <c r="BC398" s="150"/>
      <c r="BD398" s="150"/>
      <c r="BE398" s="150"/>
      <c r="BF398" s="150"/>
      <c r="BG398" s="150"/>
      <c r="BH398" s="150"/>
      <c r="BI398" s="150"/>
      <c r="BJ398" s="150"/>
      <c r="BK398" s="150"/>
      <c r="BL398" s="150"/>
      <c r="BM398" s="150"/>
      <c r="BN398" s="150"/>
      <c r="BO398" s="150"/>
      <c r="BP398" s="150"/>
      <c r="BQ398" s="150"/>
      <c r="BR398" s="150"/>
      <c r="BS398" s="150"/>
      <c r="BT398" s="150"/>
      <c r="BU398" s="150"/>
      <c r="BV398" s="150"/>
      <c r="BW398" s="150"/>
      <c r="BX398" s="150"/>
      <c r="BY398" s="150"/>
      <c r="BZ398" s="150"/>
      <c r="CA398" s="150"/>
      <c r="CB398" s="150"/>
      <c r="CC398" s="150"/>
      <c r="CD398" s="150"/>
      <c r="CE398" s="150"/>
      <c r="CF398" s="150"/>
      <c r="CG398" s="150"/>
      <c r="CH398" s="150"/>
      <c r="CI398" s="150"/>
      <c r="CJ398" s="150"/>
      <c r="CK398" s="150"/>
      <c r="CL398" s="150"/>
      <c r="CM398" s="150"/>
      <c r="CN398" s="150"/>
      <c r="CO398" s="150"/>
      <c r="CP398" s="150"/>
      <c r="CQ398" s="150"/>
      <c r="CR398" s="150"/>
      <c r="CS398" s="150"/>
      <c r="CT398" s="150"/>
      <c r="CU398" s="150"/>
      <c r="CV398" s="150"/>
      <c r="CW398" s="150"/>
      <c r="CX398" s="150"/>
      <c r="CY398" s="150"/>
      <c r="CZ398" s="150"/>
      <c r="DA398" s="150"/>
      <c r="DB398" s="150"/>
      <c r="DC398" s="150"/>
      <c r="DD398" s="150"/>
      <c r="DE398" s="150"/>
      <c r="DF398" s="150"/>
      <c r="DG398" s="150"/>
      <c r="DH398" s="150"/>
      <c r="DI398" s="150"/>
      <c r="DJ398" s="150"/>
      <c r="DK398" s="150"/>
      <c r="DL398" s="150"/>
      <c r="DM398" s="150"/>
      <c r="DN398" s="150"/>
      <c r="DO398" s="150"/>
      <c r="DP398" s="150"/>
      <c r="DQ398" s="150"/>
      <c r="DR398" s="150"/>
      <c r="DS398" s="150"/>
      <c r="DT398" s="150"/>
      <c r="DU398" s="150"/>
      <c r="DV398" s="150"/>
      <c r="DW398" s="150"/>
      <c r="DX398" s="150"/>
      <c r="DY398" s="150"/>
      <c r="DZ398" s="150"/>
      <c r="EA398" s="150"/>
      <c r="EB398" s="150"/>
      <c r="EC398" s="150"/>
      <c r="ED398" s="150"/>
      <c r="EE398" s="150"/>
      <c r="EF398" s="150"/>
      <c r="EG398" s="150"/>
      <c r="EH398" s="150"/>
      <c r="EI398" s="150"/>
      <c r="EJ398" s="150"/>
      <c r="EK398" s="150"/>
      <c r="EL398" s="150"/>
      <c r="EM398" s="150"/>
      <c r="EN398" s="150"/>
      <c r="EO398" s="150"/>
      <c r="EP398" s="150"/>
      <c r="EQ398" s="150"/>
      <c r="ER398" s="150"/>
      <c r="ES398" s="150"/>
      <c r="ET398" s="150"/>
      <c r="EU398" s="150"/>
      <c r="EV398" s="150"/>
      <c r="EW398" s="150"/>
      <c r="EX398" s="150"/>
      <c r="EY398" s="150"/>
      <c r="EZ398" s="150"/>
      <c r="FA398" s="150"/>
      <c r="FB398" s="150"/>
      <c r="FC398" s="150"/>
      <c r="FD398" s="150"/>
      <c r="FE398" s="150"/>
      <c r="FF398" s="150"/>
      <c r="FG398" s="150"/>
      <c r="FH398" s="150"/>
      <c r="FI398" s="150"/>
      <c r="FJ398" s="150"/>
      <c r="FK398" s="150"/>
      <c r="FL398" s="150"/>
      <c r="FM398" s="150"/>
      <c r="FN398" s="150"/>
    </row>
    <row r="399" spans="1:170" s="149" customFormat="1" x14ac:dyDescent="0.25">
      <c r="A399" s="142"/>
      <c r="B399" s="142"/>
      <c r="C399" s="142"/>
      <c r="D399" s="144"/>
      <c r="E399" s="143"/>
      <c r="F399" s="143"/>
      <c r="G399" s="144"/>
      <c r="H399" s="143"/>
      <c r="I399" s="143"/>
      <c r="J399" s="319"/>
      <c r="K399" s="319"/>
      <c r="L399" s="315"/>
      <c r="M399" s="315"/>
      <c r="N399" s="145"/>
      <c r="O399" s="145"/>
      <c r="P399" s="145"/>
      <c r="Q399" s="146"/>
      <c r="R399" s="147"/>
      <c r="S399" s="148"/>
      <c r="T399" s="148"/>
      <c r="U399" s="148"/>
      <c r="V399" s="148"/>
      <c r="W399" s="148"/>
      <c r="X399" s="148"/>
      <c r="Y399" s="148"/>
      <c r="Z399" s="148"/>
      <c r="AA399" s="148"/>
      <c r="AB399" s="148"/>
      <c r="AV399" s="150"/>
      <c r="AW399" s="150"/>
      <c r="AX399" s="150"/>
      <c r="AY399" s="150"/>
      <c r="AZ399" s="150"/>
      <c r="BA399" s="150"/>
      <c r="BB399" s="150"/>
      <c r="BC399" s="150"/>
      <c r="BD399" s="150"/>
      <c r="BE399" s="150"/>
      <c r="BF399" s="150"/>
      <c r="BG399" s="150"/>
      <c r="BH399" s="150"/>
      <c r="BI399" s="150"/>
      <c r="BJ399" s="150"/>
      <c r="BK399" s="150"/>
      <c r="BL399" s="150"/>
      <c r="BM399" s="150"/>
      <c r="BN399" s="150"/>
      <c r="BO399" s="150"/>
      <c r="BP399" s="150"/>
      <c r="BQ399" s="150"/>
      <c r="BR399" s="150"/>
      <c r="BS399" s="150"/>
      <c r="BT399" s="150"/>
      <c r="BU399" s="150"/>
      <c r="BV399" s="150"/>
      <c r="BW399" s="150"/>
      <c r="BX399" s="150"/>
      <c r="BY399" s="150"/>
      <c r="BZ399" s="150"/>
      <c r="CA399" s="150"/>
      <c r="CB399" s="150"/>
      <c r="CC399" s="150"/>
      <c r="CD399" s="150"/>
      <c r="CE399" s="150"/>
      <c r="CF399" s="150"/>
      <c r="CG399" s="150"/>
      <c r="CH399" s="150"/>
      <c r="CI399" s="150"/>
      <c r="CJ399" s="150"/>
      <c r="CK399" s="150"/>
      <c r="CL399" s="150"/>
      <c r="CM399" s="150"/>
      <c r="CN399" s="150"/>
      <c r="CO399" s="150"/>
      <c r="CP399" s="150"/>
      <c r="CQ399" s="150"/>
      <c r="CR399" s="150"/>
      <c r="CS399" s="150"/>
      <c r="CT399" s="150"/>
      <c r="CU399" s="150"/>
      <c r="CV399" s="150"/>
      <c r="CW399" s="150"/>
      <c r="CX399" s="150"/>
      <c r="CY399" s="150"/>
      <c r="CZ399" s="150"/>
      <c r="DA399" s="150"/>
      <c r="DB399" s="150"/>
      <c r="DC399" s="150"/>
      <c r="DD399" s="150"/>
      <c r="DE399" s="150"/>
      <c r="DF399" s="150"/>
      <c r="DG399" s="150"/>
      <c r="DH399" s="150"/>
      <c r="DI399" s="150"/>
      <c r="DJ399" s="150"/>
      <c r="DK399" s="150"/>
      <c r="DL399" s="150"/>
      <c r="DM399" s="150"/>
      <c r="DN399" s="150"/>
      <c r="DO399" s="150"/>
      <c r="DP399" s="150"/>
      <c r="DQ399" s="150"/>
      <c r="DR399" s="150"/>
      <c r="DS399" s="150"/>
      <c r="DT399" s="150"/>
      <c r="DU399" s="150"/>
      <c r="DV399" s="150"/>
      <c r="DW399" s="150"/>
      <c r="DX399" s="150"/>
      <c r="DY399" s="150"/>
      <c r="DZ399" s="150"/>
      <c r="EA399" s="150"/>
      <c r="EB399" s="150"/>
      <c r="EC399" s="150"/>
      <c r="ED399" s="150"/>
      <c r="EE399" s="150"/>
      <c r="EF399" s="150"/>
      <c r="EG399" s="150"/>
      <c r="EH399" s="150"/>
      <c r="EI399" s="150"/>
      <c r="EJ399" s="150"/>
      <c r="EK399" s="150"/>
      <c r="EL399" s="150"/>
      <c r="EM399" s="150"/>
      <c r="EN399" s="150"/>
      <c r="EO399" s="150"/>
      <c r="EP399" s="150"/>
      <c r="EQ399" s="150"/>
      <c r="ER399" s="150"/>
      <c r="ES399" s="150"/>
      <c r="ET399" s="150"/>
      <c r="EU399" s="150"/>
      <c r="EV399" s="150"/>
      <c r="EW399" s="150"/>
      <c r="EX399" s="150"/>
      <c r="EY399" s="150"/>
      <c r="EZ399" s="150"/>
      <c r="FA399" s="150"/>
      <c r="FB399" s="150"/>
      <c r="FC399" s="150"/>
      <c r="FD399" s="150"/>
      <c r="FE399" s="150"/>
      <c r="FF399" s="150"/>
      <c r="FG399" s="150"/>
      <c r="FH399" s="150"/>
      <c r="FI399" s="150"/>
      <c r="FJ399" s="150"/>
      <c r="FK399" s="150"/>
      <c r="FL399" s="150"/>
      <c r="FM399" s="150"/>
      <c r="FN399" s="150"/>
    </row>
    <row r="400" spans="1:170" s="149" customFormat="1" x14ac:dyDescent="0.25">
      <c r="A400" s="142"/>
      <c r="B400" s="142"/>
      <c r="C400" s="142"/>
      <c r="D400" s="144"/>
      <c r="E400" s="143"/>
      <c r="F400" s="143"/>
      <c r="G400" s="144"/>
      <c r="H400" s="143"/>
      <c r="I400" s="143"/>
      <c r="J400" s="319"/>
      <c r="K400" s="319"/>
      <c r="L400" s="315"/>
      <c r="M400" s="315"/>
      <c r="N400" s="145"/>
      <c r="O400" s="145"/>
      <c r="P400" s="145"/>
      <c r="Q400" s="146"/>
      <c r="R400" s="147"/>
      <c r="S400" s="148"/>
      <c r="T400" s="148"/>
      <c r="U400" s="148"/>
      <c r="V400" s="148"/>
      <c r="W400" s="148"/>
      <c r="X400" s="148"/>
      <c r="Y400" s="148"/>
      <c r="Z400" s="148"/>
      <c r="AA400" s="148"/>
      <c r="AB400" s="148"/>
      <c r="AV400" s="150"/>
      <c r="AW400" s="150"/>
      <c r="AX400" s="150"/>
      <c r="AY400" s="150"/>
      <c r="AZ400" s="150"/>
      <c r="BA400" s="150"/>
      <c r="BB400" s="150"/>
      <c r="BC400" s="150"/>
      <c r="BD400" s="150"/>
      <c r="BE400" s="150"/>
      <c r="BF400" s="150"/>
      <c r="BG400" s="150"/>
      <c r="BH400" s="150"/>
      <c r="BI400" s="150"/>
      <c r="BJ400" s="150"/>
      <c r="BK400" s="150"/>
      <c r="BL400" s="150"/>
      <c r="BM400" s="150"/>
      <c r="BN400" s="150"/>
      <c r="BO400" s="150"/>
      <c r="BP400" s="150"/>
      <c r="BQ400" s="150"/>
      <c r="BR400" s="150"/>
      <c r="BS400" s="150"/>
      <c r="BT400" s="150"/>
      <c r="BU400" s="150"/>
      <c r="BV400" s="150"/>
      <c r="BW400" s="150"/>
      <c r="BX400" s="150"/>
      <c r="BY400" s="150"/>
      <c r="BZ400" s="150"/>
      <c r="CA400" s="150"/>
      <c r="CB400" s="150"/>
      <c r="CC400" s="150"/>
      <c r="CD400" s="150"/>
      <c r="CE400" s="150"/>
      <c r="CF400" s="150"/>
      <c r="CG400" s="150"/>
      <c r="CH400" s="150"/>
      <c r="CI400" s="150"/>
      <c r="CJ400" s="150"/>
      <c r="CK400" s="150"/>
      <c r="CL400" s="150"/>
      <c r="CM400" s="150"/>
      <c r="CN400" s="150"/>
      <c r="CO400" s="150"/>
      <c r="CP400" s="150"/>
      <c r="CQ400" s="150"/>
      <c r="CR400" s="150"/>
      <c r="CS400" s="150"/>
      <c r="CT400" s="150"/>
      <c r="CU400" s="150"/>
      <c r="CV400" s="150"/>
      <c r="CW400" s="150"/>
      <c r="CX400" s="150"/>
      <c r="CY400" s="150"/>
      <c r="CZ400" s="150"/>
      <c r="DA400" s="150"/>
      <c r="DB400" s="150"/>
      <c r="DC400" s="150"/>
      <c r="DD400" s="150"/>
      <c r="DE400" s="150"/>
      <c r="DF400" s="150"/>
      <c r="DG400" s="150"/>
      <c r="DH400" s="150"/>
      <c r="DI400" s="150"/>
      <c r="DJ400" s="150"/>
      <c r="DK400" s="150"/>
      <c r="DL400" s="150"/>
      <c r="DM400" s="150"/>
      <c r="DN400" s="150"/>
      <c r="DO400" s="150"/>
      <c r="DP400" s="150"/>
      <c r="DQ400" s="150"/>
      <c r="DR400" s="150"/>
      <c r="DS400" s="150"/>
      <c r="DT400" s="150"/>
      <c r="DU400" s="150"/>
      <c r="DV400" s="150"/>
      <c r="DW400" s="150"/>
      <c r="DX400" s="150"/>
      <c r="DY400" s="150"/>
      <c r="DZ400" s="150"/>
      <c r="EA400" s="150"/>
      <c r="EB400" s="150"/>
      <c r="EC400" s="150"/>
      <c r="ED400" s="150"/>
      <c r="EE400" s="150"/>
      <c r="EF400" s="150"/>
      <c r="EG400" s="150"/>
      <c r="EH400" s="150"/>
      <c r="EI400" s="150"/>
      <c r="EJ400" s="150"/>
      <c r="EK400" s="150"/>
      <c r="EL400" s="150"/>
      <c r="EM400" s="150"/>
      <c r="EN400" s="150"/>
      <c r="EO400" s="150"/>
      <c r="EP400" s="150"/>
      <c r="EQ400" s="150"/>
      <c r="ER400" s="150"/>
      <c r="ES400" s="150"/>
      <c r="ET400" s="150"/>
      <c r="EU400" s="150"/>
      <c r="EV400" s="150"/>
      <c r="EW400" s="150"/>
      <c r="EX400" s="150"/>
      <c r="EY400" s="150"/>
      <c r="EZ400" s="150"/>
      <c r="FA400" s="150"/>
      <c r="FB400" s="150"/>
      <c r="FC400" s="150"/>
      <c r="FD400" s="150"/>
      <c r="FE400" s="150"/>
      <c r="FF400" s="150"/>
      <c r="FG400" s="150"/>
      <c r="FH400" s="150"/>
      <c r="FI400" s="150"/>
      <c r="FJ400" s="150"/>
      <c r="FK400" s="150"/>
      <c r="FL400" s="150"/>
      <c r="FM400" s="150"/>
      <c r="FN400" s="150"/>
    </row>
    <row r="401" spans="1:170" s="149" customFormat="1" x14ac:dyDescent="0.25">
      <c r="A401" s="142"/>
      <c r="B401" s="142"/>
      <c r="C401" s="142"/>
      <c r="D401" s="144"/>
      <c r="E401" s="143"/>
      <c r="F401" s="143"/>
      <c r="G401" s="144"/>
      <c r="H401" s="143"/>
      <c r="I401" s="143"/>
      <c r="J401" s="319"/>
      <c r="K401" s="319"/>
      <c r="L401" s="315"/>
      <c r="M401" s="315"/>
      <c r="N401" s="145"/>
      <c r="O401" s="145"/>
      <c r="P401" s="145"/>
      <c r="Q401" s="146"/>
      <c r="R401" s="147"/>
      <c r="S401" s="148"/>
      <c r="T401" s="148"/>
      <c r="U401" s="148"/>
      <c r="V401" s="148"/>
      <c r="W401" s="148"/>
      <c r="X401" s="148"/>
      <c r="Y401" s="148"/>
      <c r="Z401" s="148"/>
      <c r="AA401" s="148"/>
      <c r="AB401" s="148"/>
      <c r="AV401" s="150"/>
      <c r="AW401" s="150"/>
      <c r="AX401" s="150"/>
      <c r="AY401" s="150"/>
      <c r="AZ401" s="150"/>
      <c r="BA401" s="150"/>
      <c r="BB401" s="150"/>
      <c r="BC401" s="150"/>
      <c r="BD401" s="150"/>
      <c r="BE401" s="150"/>
      <c r="BF401" s="150"/>
      <c r="BG401" s="150"/>
      <c r="BH401" s="150"/>
      <c r="BI401" s="150"/>
      <c r="BJ401" s="150"/>
      <c r="BK401" s="150"/>
      <c r="BL401" s="150"/>
      <c r="BM401" s="150"/>
      <c r="BN401" s="150"/>
      <c r="BO401" s="150"/>
      <c r="BP401" s="150"/>
      <c r="BQ401" s="150"/>
      <c r="BR401" s="150"/>
      <c r="BS401" s="150"/>
      <c r="BT401" s="150"/>
      <c r="BU401" s="150"/>
      <c r="BV401" s="150"/>
      <c r="BW401" s="150"/>
      <c r="BX401" s="150"/>
      <c r="BY401" s="150"/>
      <c r="BZ401" s="150"/>
      <c r="CA401" s="150"/>
      <c r="CB401" s="150"/>
      <c r="CC401" s="150"/>
      <c r="CD401" s="150"/>
      <c r="CE401" s="150"/>
      <c r="CF401" s="150"/>
      <c r="CG401" s="150"/>
      <c r="CH401" s="150"/>
      <c r="CI401" s="150"/>
      <c r="CJ401" s="150"/>
      <c r="CK401" s="150"/>
      <c r="CL401" s="150"/>
      <c r="CM401" s="150"/>
      <c r="CN401" s="150"/>
      <c r="CO401" s="150"/>
      <c r="CP401" s="150"/>
      <c r="CQ401" s="150"/>
      <c r="CR401" s="150"/>
      <c r="CS401" s="150"/>
      <c r="CT401" s="150"/>
      <c r="CU401" s="150"/>
      <c r="CV401" s="150"/>
      <c r="CW401" s="150"/>
      <c r="CX401" s="150"/>
      <c r="CY401" s="150"/>
      <c r="CZ401" s="150"/>
      <c r="DA401" s="150"/>
      <c r="DB401" s="150"/>
      <c r="DC401" s="150"/>
      <c r="DD401" s="150"/>
      <c r="DE401" s="150"/>
      <c r="DF401" s="150"/>
      <c r="DG401" s="150"/>
      <c r="DH401" s="150"/>
      <c r="DI401" s="150"/>
      <c r="DJ401" s="150"/>
      <c r="DK401" s="150"/>
      <c r="DL401" s="150"/>
      <c r="DM401" s="150"/>
      <c r="DN401" s="150"/>
      <c r="DO401" s="150"/>
      <c r="DP401" s="150"/>
      <c r="DQ401" s="150"/>
      <c r="DR401" s="150"/>
      <c r="DS401" s="150"/>
      <c r="DT401" s="150"/>
      <c r="DU401" s="150"/>
      <c r="DV401" s="150"/>
      <c r="DW401" s="150"/>
      <c r="DX401" s="150"/>
      <c r="DY401" s="150"/>
      <c r="DZ401" s="150"/>
      <c r="EA401" s="150"/>
      <c r="EB401" s="150"/>
      <c r="EC401" s="150"/>
      <c r="ED401" s="150"/>
      <c r="EE401" s="150"/>
      <c r="EF401" s="150"/>
      <c r="EG401" s="150"/>
      <c r="EH401" s="150"/>
      <c r="EI401" s="150"/>
      <c r="EJ401" s="150"/>
      <c r="EK401" s="150"/>
      <c r="EL401" s="150"/>
      <c r="EM401" s="150"/>
      <c r="EN401" s="150"/>
      <c r="EO401" s="150"/>
      <c r="EP401" s="150"/>
      <c r="EQ401" s="150"/>
      <c r="ER401" s="150"/>
      <c r="ES401" s="150"/>
      <c r="ET401" s="150"/>
      <c r="EU401" s="150"/>
      <c r="EV401" s="150"/>
      <c r="EW401" s="150"/>
      <c r="EX401" s="150"/>
      <c r="EY401" s="150"/>
      <c r="EZ401" s="150"/>
      <c r="FA401" s="150"/>
      <c r="FB401" s="150"/>
      <c r="FC401" s="150"/>
      <c r="FD401" s="150"/>
      <c r="FE401" s="150"/>
      <c r="FF401" s="150"/>
      <c r="FG401" s="150"/>
      <c r="FH401" s="150"/>
      <c r="FI401" s="150"/>
      <c r="FJ401" s="150"/>
      <c r="FK401" s="150"/>
      <c r="FL401" s="150"/>
      <c r="FM401" s="150"/>
      <c r="FN401" s="150"/>
    </row>
    <row r="402" spans="1:170" s="149" customFormat="1" x14ac:dyDescent="0.25">
      <c r="A402" s="142"/>
      <c r="B402" s="142"/>
      <c r="C402" s="142"/>
      <c r="D402" s="144"/>
      <c r="E402" s="143"/>
      <c r="F402" s="143"/>
      <c r="G402" s="144"/>
      <c r="H402" s="143"/>
      <c r="I402" s="143"/>
      <c r="J402" s="319"/>
      <c r="K402" s="319"/>
      <c r="L402" s="315"/>
      <c r="M402" s="315"/>
      <c r="N402" s="145"/>
      <c r="O402" s="145"/>
      <c r="P402" s="145"/>
      <c r="Q402" s="146"/>
      <c r="R402" s="147"/>
      <c r="S402" s="148"/>
      <c r="T402" s="148"/>
      <c r="U402" s="148"/>
      <c r="V402" s="148"/>
      <c r="W402" s="148"/>
      <c r="X402" s="148"/>
      <c r="Y402" s="148"/>
      <c r="Z402" s="148"/>
      <c r="AA402" s="148"/>
      <c r="AB402" s="148"/>
      <c r="AV402" s="150"/>
      <c r="AW402" s="150"/>
      <c r="AX402" s="150"/>
      <c r="AY402" s="150"/>
      <c r="AZ402" s="150"/>
      <c r="BA402" s="150"/>
      <c r="BB402" s="150"/>
      <c r="BC402" s="150"/>
      <c r="BD402" s="150"/>
      <c r="BE402" s="150"/>
      <c r="BF402" s="150"/>
      <c r="BG402" s="150"/>
      <c r="BH402" s="150"/>
      <c r="BI402" s="150"/>
      <c r="BJ402" s="150"/>
      <c r="BK402" s="150"/>
      <c r="BL402" s="150"/>
      <c r="BM402" s="150"/>
      <c r="BN402" s="150"/>
      <c r="BO402" s="150"/>
      <c r="BP402" s="150"/>
      <c r="BQ402" s="150"/>
      <c r="BR402" s="150"/>
      <c r="BS402" s="150"/>
      <c r="BT402" s="150"/>
      <c r="BU402" s="150"/>
      <c r="BV402" s="150"/>
      <c r="BW402" s="150"/>
      <c r="BX402" s="150"/>
      <c r="BY402" s="150"/>
      <c r="BZ402" s="150"/>
      <c r="CA402" s="150"/>
      <c r="CB402" s="150"/>
      <c r="CC402" s="150"/>
      <c r="CD402" s="150"/>
      <c r="CE402" s="150"/>
      <c r="CF402" s="150"/>
      <c r="CG402" s="150"/>
      <c r="CH402" s="150"/>
      <c r="CI402" s="150"/>
      <c r="CJ402" s="150"/>
      <c r="CK402" s="150"/>
      <c r="CL402" s="150"/>
      <c r="CM402" s="150"/>
      <c r="CN402" s="150"/>
      <c r="CO402" s="150"/>
      <c r="CP402" s="150"/>
      <c r="CQ402" s="150"/>
      <c r="CR402" s="150"/>
      <c r="CS402" s="150"/>
      <c r="CT402" s="150"/>
      <c r="CU402" s="150"/>
      <c r="CV402" s="150"/>
      <c r="CW402" s="150"/>
      <c r="CX402" s="150"/>
      <c r="CY402" s="150"/>
      <c r="CZ402" s="150"/>
      <c r="DA402" s="150"/>
      <c r="DB402" s="150"/>
      <c r="DC402" s="150"/>
      <c r="DD402" s="150"/>
      <c r="DE402" s="150"/>
      <c r="DF402" s="150"/>
      <c r="DG402" s="150"/>
      <c r="DH402" s="150"/>
      <c r="DI402" s="150"/>
      <c r="DJ402" s="150"/>
      <c r="DK402" s="150"/>
      <c r="DL402" s="150"/>
      <c r="DM402" s="150"/>
      <c r="DN402" s="150"/>
      <c r="DO402" s="150"/>
      <c r="DP402" s="150"/>
      <c r="DQ402" s="150"/>
      <c r="DR402" s="150"/>
      <c r="DS402" s="150"/>
      <c r="DT402" s="150"/>
      <c r="DU402" s="150"/>
      <c r="DV402" s="150"/>
      <c r="DW402" s="150"/>
      <c r="DX402" s="150"/>
      <c r="DY402" s="150"/>
      <c r="DZ402" s="150"/>
      <c r="EA402" s="150"/>
      <c r="EB402" s="150"/>
      <c r="EC402" s="150"/>
      <c r="ED402" s="150"/>
      <c r="EE402" s="150"/>
      <c r="EF402" s="150"/>
      <c r="EG402" s="150"/>
      <c r="EH402" s="150"/>
      <c r="EI402" s="150"/>
      <c r="EJ402" s="150"/>
      <c r="EK402" s="150"/>
      <c r="EL402" s="150"/>
      <c r="EM402" s="150"/>
      <c r="EN402" s="150"/>
      <c r="EO402" s="150"/>
      <c r="EP402" s="150"/>
      <c r="EQ402" s="150"/>
      <c r="ER402" s="150"/>
      <c r="ES402" s="150"/>
      <c r="ET402" s="150"/>
      <c r="EU402" s="150"/>
      <c r="EV402" s="150"/>
      <c r="EW402" s="150"/>
      <c r="EX402" s="150"/>
      <c r="EY402" s="150"/>
      <c r="EZ402" s="150"/>
      <c r="FA402" s="150"/>
      <c r="FB402" s="150"/>
      <c r="FC402" s="150"/>
      <c r="FD402" s="150"/>
      <c r="FE402" s="150"/>
      <c r="FF402" s="150"/>
      <c r="FG402" s="150"/>
      <c r="FH402" s="150"/>
      <c r="FI402" s="150"/>
      <c r="FJ402" s="150"/>
      <c r="FK402" s="150"/>
      <c r="FL402" s="150"/>
      <c r="FM402" s="150"/>
      <c r="FN402" s="150"/>
    </row>
    <row r="403" spans="1:170" s="149" customFormat="1" x14ac:dyDescent="0.25">
      <c r="A403" s="142"/>
      <c r="B403" s="142"/>
      <c r="C403" s="142"/>
      <c r="D403" s="144"/>
      <c r="E403" s="143"/>
      <c r="F403" s="143"/>
      <c r="G403" s="144"/>
      <c r="H403" s="143"/>
      <c r="I403" s="143"/>
      <c r="J403" s="319"/>
      <c r="K403" s="319"/>
      <c r="L403" s="315"/>
      <c r="M403" s="315"/>
      <c r="N403" s="145"/>
      <c r="O403" s="145"/>
      <c r="P403" s="145"/>
      <c r="Q403" s="146"/>
      <c r="R403" s="147"/>
      <c r="S403" s="148"/>
      <c r="T403" s="148"/>
      <c r="U403" s="148"/>
      <c r="V403" s="148"/>
      <c r="W403" s="148"/>
      <c r="X403" s="148"/>
      <c r="Y403" s="148"/>
      <c r="Z403" s="148"/>
      <c r="AA403" s="148"/>
      <c r="AB403" s="148"/>
      <c r="AV403" s="150"/>
      <c r="AW403" s="150"/>
      <c r="AX403" s="150"/>
      <c r="AY403" s="150"/>
      <c r="AZ403" s="150"/>
      <c r="BA403" s="150"/>
      <c r="BB403" s="150"/>
      <c r="BC403" s="150"/>
      <c r="BD403" s="150"/>
      <c r="BE403" s="150"/>
      <c r="BF403" s="150"/>
      <c r="BG403" s="150"/>
      <c r="BH403" s="150"/>
      <c r="BI403" s="150"/>
      <c r="BJ403" s="150"/>
      <c r="BK403" s="150"/>
      <c r="BL403" s="150"/>
      <c r="BM403" s="150"/>
      <c r="BN403" s="150"/>
      <c r="BO403" s="150"/>
      <c r="BP403" s="150"/>
      <c r="BQ403" s="150"/>
      <c r="BR403" s="150"/>
      <c r="BS403" s="150"/>
      <c r="BT403" s="150"/>
      <c r="BU403" s="150"/>
      <c r="BV403" s="150"/>
      <c r="BW403" s="150"/>
      <c r="BX403" s="150"/>
      <c r="BY403" s="150"/>
      <c r="BZ403" s="150"/>
      <c r="CA403" s="150"/>
      <c r="CB403" s="150"/>
      <c r="CC403" s="150"/>
      <c r="CD403" s="150"/>
      <c r="CE403" s="150"/>
      <c r="CF403" s="150"/>
      <c r="CG403" s="150"/>
      <c r="CH403" s="150"/>
      <c r="CI403" s="150"/>
      <c r="CJ403" s="150"/>
      <c r="CK403" s="150"/>
      <c r="CL403" s="150"/>
      <c r="CM403" s="150"/>
      <c r="CN403" s="150"/>
      <c r="CO403" s="150"/>
      <c r="CP403" s="150"/>
      <c r="CQ403" s="150"/>
      <c r="CR403" s="150"/>
      <c r="CS403" s="150"/>
      <c r="CT403" s="150"/>
      <c r="CU403" s="150"/>
      <c r="CV403" s="150"/>
      <c r="CW403" s="150"/>
      <c r="CX403" s="150"/>
      <c r="CY403" s="150"/>
      <c r="CZ403" s="150"/>
      <c r="DA403" s="150"/>
      <c r="DB403" s="150"/>
      <c r="DC403" s="150"/>
      <c r="DD403" s="150"/>
      <c r="DE403" s="150"/>
      <c r="DF403" s="150"/>
      <c r="DG403" s="150"/>
      <c r="DH403" s="150"/>
      <c r="DI403" s="150"/>
      <c r="DJ403" s="150"/>
      <c r="DK403" s="150"/>
      <c r="DL403" s="150"/>
      <c r="DM403" s="150"/>
      <c r="DN403" s="150"/>
      <c r="DO403" s="150"/>
      <c r="DP403" s="150"/>
      <c r="DQ403" s="150"/>
      <c r="DR403" s="150"/>
      <c r="DS403" s="150"/>
      <c r="DT403" s="150"/>
      <c r="DU403" s="150"/>
      <c r="DV403" s="150"/>
      <c r="DW403" s="150"/>
      <c r="DX403" s="150"/>
      <c r="DY403" s="150"/>
      <c r="DZ403" s="150"/>
      <c r="EA403" s="150"/>
      <c r="EB403" s="150"/>
      <c r="EC403" s="150"/>
      <c r="ED403" s="150"/>
      <c r="EE403" s="150"/>
      <c r="EF403" s="150"/>
      <c r="EG403" s="150"/>
      <c r="EH403" s="150"/>
      <c r="EI403" s="150"/>
      <c r="EJ403" s="150"/>
      <c r="EK403" s="150"/>
      <c r="EL403" s="150"/>
      <c r="EM403" s="150"/>
      <c r="EN403" s="150"/>
      <c r="EO403" s="150"/>
      <c r="EP403" s="150"/>
      <c r="EQ403" s="150"/>
      <c r="ER403" s="150"/>
      <c r="ES403" s="150"/>
      <c r="ET403" s="150"/>
      <c r="EU403" s="150"/>
      <c r="EV403" s="150"/>
      <c r="EW403" s="150"/>
      <c r="EX403" s="150"/>
      <c r="EY403" s="150"/>
      <c r="EZ403" s="150"/>
      <c r="FA403" s="150"/>
      <c r="FB403" s="150"/>
      <c r="FC403" s="150"/>
      <c r="FD403" s="150"/>
      <c r="FE403" s="150"/>
      <c r="FF403" s="150"/>
      <c r="FG403" s="150"/>
      <c r="FH403" s="150"/>
      <c r="FI403" s="150"/>
      <c r="FJ403" s="150"/>
      <c r="FK403" s="150"/>
      <c r="FL403" s="150"/>
      <c r="FM403" s="150"/>
      <c r="FN403" s="150"/>
    </row>
    <row r="404" spans="1:170" s="149" customFormat="1" x14ac:dyDescent="0.25">
      <c r="A404" s="142"/>
      <c r="B404" s="142"/>
      <c r="C404" s="142"/>
      <c r="D404" s="144"/>
      <c r="E404" s="143"/>
      <c r="F404" s="143"/>
      <c r="G404" s="144"/>
      <c r="H404" s="143"/>
      <c r="I404" s="143"/>
      <c r="J404" s="319"/>
      <c r="K404" s="319"/>
      <c r="L404" s="315"/>
      <c r="M404" s="315"/>
      <c r="N404" s="145"/>
      <c r="O404" s="145"/>
      <c r="P404" s="145"/>
      <c r="Q404" s="146"/>
      <c r="R404" s="147"/>
      <c r="S404" s="148"/>
      <c r="T404" s="148"/>
      <c r="U404" s="148"/>
      <c r="V404" s="148"/>
      <c r="W404" s="148"/>
      <c r="X404" s="148"/>
      <c r="Y404" s="148"/>
      <c r="Z404" s="148"/>
      <c r="AA404" s="148"/>
      <c r="AB404" s="148"/>
      <c r="AV404" s="150"/>
      <c r="AW404" s="150"/>
      <c r="AX404" s="150"/>
      <c r="AY404" s="150"/>
      <c r="AZ404" s="150"/>
      <c r="BA404" s="150"/>
      <c r="BB404" s="150"/>
      <c r="BC404" s="150"/>
      <c r="BD404" s="150"/>
      <c r="BE404" s="150"/>
      <c r="BF404" s="150"/>
      <c r="BG404" s="150"/>
      <c r="BH404" s="150"/>
      <c r="BI404" s="150"/>
      <c r="BJ404" s="150"/>
      <c r="BK404" s="150"/>
      <c r="BL404" s="150"/>
      <c r="BM404" s="150"/>
      <c r="BN404" s="150"/>
      <c r="BO404" s="150"/>
      <c r="BP404" s="150"/>
      <c r="BQ404" s="150"/>
      <c r="BR404" s="150"/>
      <c r="BS404" s="150"/>
      <c r="BT404" s="150"/>
      <c r="BU404" s="150"/>
      <c r="BV404" s="150"/>
      <c r="BW404" s="150"/>
      <c r="BX404" s="150"/>
      <c r="BY404" s="150"/>
      <c r="BZ404" s="150"/>
      <c r="CA404" s="150"/>
      <c r="CB404" s="150"/>
      <c r="CC404" s="150"/>
      <c r="CD404" s="150"/>
      <c r="CE404" s="150"/>
      <c r="CF404" s="150"/>
      <c r="CG404" s="150"/>
      <c r="CH404" s="150"/>
      <c r="CI404" s="150"/>
      <c r="CJ404" s="150"/>
      <c r="CK404" s="150"/>
      <c r="CL404" s="150"/>
      <c r="CM404" s="150"/>
      <c r="CN404" s="150"/>
      <c r="CO404" s="150"/>
      <c r="CP404" s="150"/>
      <c r="CQ404" s="150"/>
      <c r="CR404" s="150"/>
      <c r="CS404" s="150"/>
      <c r="CT404" s="150"/>
      <c r="CU404" s="150"/>
      <c r="CV404" s="150"/>
      <c r="CW404" s="150"/>
      <c r="CX404" s="150"/>
      <c r="CY404" s="150"/>
      <c r="CZ404" s="150"/>
      <c r="DA404" s="150"/>
      <c r="DB404" s="150"/>
      <c r="DC404" s="150"/>
      <c r="DD404" s="150"/>
      <c r="DE404" s="150"/>
      <c r="DF404" s="150"/>
      <c r="DG404" s="150"/>
      <c r="DH404" s="150"/>
      <c r="DI404" s="150"/>
      <c r="DJ404" s="150"/>
      <c r="DK404" s="150"/>
      <c r="DL404" s="150"/>
      <c r="DM404" s="150"/>
      <c r="DN404" s="150"/>
      <c r="DO404" s="150"/>
      <c r="DP404" s="150"/>
      <c r="DQ404" s="150"/>
      <c r="DR404" s="150"/>
      <c r="DS404" s="150"/>
      <c r="DT404" s="150"/>
      <c r="DU404" s="150"/>
      <c r="DV404" s="150"/>
      <c r="DW404" s="150"/>
      <c r="DX404" s="150"/>
      <c r="DY404" s="150"/>
      <c r="DZ404" s="150"/>
      <c r="EA404" s="150"/>
      <c r="EB404" s="150"/>
      <c r="EC404" s="150"/>
      <c r="ED404" s="150"/>
      <c r="EE404" s="150"/>
      <c r="EF404" s="150"/>
      <c r="EG404" s="150"/>
      <c r="EH404" s="150"/>
      <c r="EI404" s="150"/>
      <c r="EJ404" s="150"/>
      <c r="EK404" s="150"/>
      <c r="EL404" s="150"/>
      <c r="EM404" s="150"/>
      <c r="EN404" s="150"/>
      <c r="EO404" s="150"/>
      <c r="EP404" s="150"/>
      <c r="EQ404" s="150"/>
      <c r="ER404" s="150"/>
      <c r="ES404" s="150"/>
      <c r="ET404" s="150"/>
      <c r="EU404" s="150"/>
      <c r="EV404" s="150"/>
      <c r="EW404" s="150"/>
      <c r="EX404" s="150"/>
      <c r="EY404" s="150"/>
      <c r="EZ404" s="150"/>
      <c r="FA404" s="150"/>
      <c r="FB404" s="150"/>
      <c r="FC404" s="150"/>
      <c r="FD404" s="150"/>
      <c r="FE404" s="150"/>
      <c r="FF404" s="150"/>
      <c r="FG404" s="150"/>
      <c r="FH404" s="150"/>
      <c r="FI404" s="150"/>
      <c r="FJ404" s="150"/>
      <c r="FK404" s="150"/>
      <c r="FL404" s="150"/>
      <c r="FM404" s="150"/>
      <c r="FN404" s="150"/>
    </row>
    <row r="405" spans="1:170" s="149" customFormat="1" x14ac:dyDescent="0.25">
      <c r="A405" s="142"/>
      <c r="B405" s="142"/>
      <c r="C405" s="142"/>
      <c r="D405" s="144"/>
      <c r="E405" s="143"/>
      <c r="F405" s="143"/>
      <c r="G405" s="144"/>
      <c r="H405" s="143"/>
      <c r="I405" s="143"/>
      <c r="J405" s="319"/>
      <c r="K405" s="319"/>
      <c r="L405" s="315"/>
      <c r="M405" s="315"/>
      <c r="N405" s="145"/>
      <c r="O405" s="145"/>
      <c r="P405" s="145"/>
      <c r="Q405" s="146"/>
      <c r="R405" s="147"/>
      <c r="S405" s="148"/>
      <c r="T405" s="148"/>
      <c r="U405" s="148"/>
      <c r="V405" s="148"/>
      <c r="W405" s="148"/>
      <c r="X405" s="148"/>
      <c r="Y405" s="148"/>
      <c r="Z405" s="148"/>
      <c r="AA405" s="148"/>
      <c r="AB405" s="148"/>
      <c r="AV405" s="150"/>
      <c r="AW405" s="150"/>
      <c r="AX405" s="150"/>
      <c r="AY405" s="150"/>
      <c r="AZ405" s="150"/>
      <c r="BA405" s="150"/>
      <c r="BB405" s="150"/>
      <c r="BC405" s="150"/>
      <c r="BD405" s="150"/>
      <c r="BE405" s="150"/>
      <c r="BF405" s="150"/>
      <c r="BG405" s="150"/>
      <c r="BH405" s="150"/>
      <c r="BI405" s="150"/>
      <c r="BJ405" s="150"/>
      <c r="BK405" s="150"/>
      <c r="BL405" s="150"/>
      <c r="BM405" s="150"/>
      <c r="BN405" s="150"/>
      <c r="BO405" s="150"/>
      <c r="BP405" s="150"/>
      <c r="BQ405" s="150"/>
      <c r="BR405" s="150"/>
      <c r="BS405" s="150"/>
      <c r="BT405" s="150"/>
      <c r="BU405" s="150"/>
      <c r="BV405" s="150"/>
      <c r="BW405" s="150"/>
      <c r="BX405" s="150"/>
      <c r="BY405" s="150"/>
      <c r="BZ405" s="150"/>
      <c r="CA405" s="150"/>
      <c r="CB405" s="150"/>
      <c r="CC405" s="150"/>
      <c r="CD405" s="150"/>
      <c r="CE405" s="150"/>
      <c r="CF405" s="150"/>
      <c r="CG405" s="150"/>
      <c r="CH405" s="150"/>
      <c r="CI405" s="150"/>
      <c r="CJ405" s="150"/>
      <c r="CK405" s="150"/>
      <c r="CL405" s="150"/>
      <c r="CM405" s="150"/>
      <c r="CN405" s="150"/>
      <c r="CO405" s="150"/>
      <c r="CP405" s="150"/>
      <c r="CQ405" s="150"/>
      <c r="CR405" s="150"/>
      <c r="CS405" s="150"/>
      <c r="CT405" s="150"/>
      <c r="CU405" s="150"/>
      <c r="CV405" s="150"/>
      <c r="CW405" s="150"/>
      <c r="CX405" s="150"/>
      <c r="CY405" s="150"/>
      <c r="CZ405" s="150"/>
      <c r="DA405" s="150"/>
      <c r="DB405" s="150"/>
      <c r="DC405" s="150"/>
      <c r="DD405" s="150"/>
      <c r="DE405" s="150"/>
      <c r="DF405" s="150"/>
      <c r="DG405" s="150"/>
      <c r="DH405" s="150"/>
      <c r="DI405" s="150"/>
      <c r="DJ405" s="150"/>
      <c r="DK405" s="150"/>
      <c r="DL405" s="150"/>
      <c r="DM405" s="150"/>
      <c r="DN405" s="150"/>
      <c r="DO405" s="150"/>
      <c r="DP405" s="150"/>
      <c r="DQ405" s="150"/>
      <c r="DR405" s="150"/>
      <c r="DS405" s="150"/>
      <c r="DT405" s="150"/>
      <c r="DU405" s="150"/>
      <c r="DV405" s="150"/>
      <c r="DW405" s="150"/>
      <c r="DX405" s="150"/>
      <c r="DY405" s="150"/>
      <c r="DZ405" s="150"/>
      <c r="EA405" s="150"/>
      <c r="EB405" s="150"/>
      <c r="EC405" s="150"/>
      <c r="ED405" s="150"/>
      <c r="EE405" s="150"/>
      <c r="EF405" s="150"/>
      <c r="EG405" s="150"/>
      <c r="EH405" s="150"/>
      <c r="EI405" s="150"/>
      <c r="EJ405" s="150"/>
      <c r="EK405" s="150"/>
      <c r="EL405" s="150"/>
      <c r="EM405" s="150"/>
      <c r="EN405" s="150"/>
      <c r="EO405" s="150"/>
      <c r="EP405" s="150"/>
      <c r="EQ405" s="150"/>
      <c r="ER405" s="150"/>
      <c r="ES405" s="150"/>
      <c r="ET405" s="150"/>
      <c r="EU405" s="150"/>
      <c r="EV405" s="150"/>
      <c r="EW405" s="150"/>
      <c r="EX405" s="150"/>
      <c r="EY405" s="150"/>
      <c r="EZ405" s="150"/>
      <c r="FA405" s="150"/>
      <c r="FB405" s="150"/>
      <c r="FC405" s="150"/>
      <c r="FD405" s="150"/>
      <c r="FE405" s="150"/>
      <c r="FF405" s="150"/>
      <c r="FG405" s="150"/>
      <c r="FH405" s="150"/>
      <c r="FI405" s="150"/>
      <c r="FJ405" s="150"/>
      <c r="FK405" s="150"/>
      <c r="FL405" s="150"/>
      <c r="FM405" s="150"/>
      <c r="FN405" s="150"/>
    </row>
    <row r="406" spans="1:170" s="149" customFormat="1" x14ac:dyDescent="0.25">
      <c r="A406" s="142"/>
      <c r="B406" s="142"/>
      <c r="C406" s="142"/>
      <c r="D406" s="144"/>
      <c r="E406" s="143"/>
      <c r="F406" s="143"/>
      <c r="G406" s="144"/>
      <c r="H406" s="143"/>
      <c r="I406" s="143"/>
      <c r="J406" s="319"/>
      <c r="K406" s="319"/>
      <c r="L406" s="315"/>
      <c r="M406" s="315"/>
      <c r="N406" s="145"/>
      <c r="O406" s="145"/>
      <c r="P406" s="145"/>
      <c r="Q406" s="146"/>
      <c r="R406" s="147"/>
      <c r="S406" s="148"/>
      <c r="T406" s="148"/>
      <c r="U406" s="148"/>
      <c r="V406" s="148"/>
      <c r="W406" s="148"/>
      <c r="X406" s="148"/>
      <c r="Y406" s="148"/>
      <c r="Z406" s="148"/>
      <c r="AA406" s="148"/>
      <c r="AB406" s="148"/>
      <c r="AV406" s="150"/>
      <c r="AW406" s="150"/>
      <c r="AX406" s="150"/>
      <c r="AY406" s="150"/>
      <c r="AZ406" s="150"/>
      <c r="BA406" s="150"/>
      <c r="BB406" s="150"/>
      <c r="BC406" s="150"/>
      <c r="BD406" s="150"/>
      <c r="BE406" s="150"/>
      <c r="BF406" s="150"/>
      <c r="BG406" s="150"/>
      <c r="BH406" s="150"/>
      <c r="BI406" s="150"/>
      <c r="BJ406" s="150"/>
      <c r="BK406" s="150"/>
      <c r="BL406" s="150"/>
      <c r="BM406" s="150"/>
      <c r="BN406" s="150"/>
      <c r="BO406" s="150"/>
      <c r="BP406" s="150"/>
      <c r="BQ406" s="150"/>
      <c r="BR406" s="150"/>
      <c r="BS406" s="150"/>
      <c r="BT406" s="150"/>
      <c r="BU406" s="150"/>
      <c r="BV406" s="150"/>
      <c r="BW406" s="150"/>
      <c r="BX406" s="150"/>
      <c r="BY406" s="150"/>
      <c r="BZ406" s="150"/>
      <c r="CA406" s="150"/>
      <c r="CB406" s="150"/>
      <c r="CC406" s="150"/>
      <c r="CD406" s="150"/>
      <c r="CE406" s="150"/>
      <c r="CF406" s="150"/>
      <c r="CG406" s="150"/>
      <c r="CH406" s="150"/>
      <c r="CI406" s="150"/>
      <c r="CJ406" s="150"/>
      <c r="CK406" s="150"/>
      <c r="CL406" s="150"/>
      <c r="CM406" s="150"/>
      <c r="CN406" s="150"/>
      <c r="CO406" s="150"/>
      <c r="CP406" s="150"/>
      <c r="CQ406" s="150"/>
      <c r="CR406" s="150"/>
      <c r="CS406" s="150"/>
      <c r="CT406" s="150"/>
      <c r="CU406" s="150"/>
      <c r="CV406" s="150"/>
      <c r="CW406" s="150"/>
      <c r="CX406" s="150"/>
      <c r="CY406" s="150"/>
      <c r="CZ406" s="150"/>
      <c r="DA406" s="150"/>
      <c r="DB406" s="150"/>
      <c r="DC406" s="150"/>
      <c r="DD406" s="150"/>
      <c r="DE406" s="150"/>
      <c r="DF406" s="150"/>
      <c r="DG406" s="150"/>
      <c r="DH406" s="150"/>
      <c r="DI406" s="150"/>
      <c r="DJ406" s="150"/>
      <c r="DK406" s="150"/>
      <c r="DL406" s="150"/>
      <c r="DM406" s="150"/>
      <c r="DN406" s="150"/>
      <c r="DO406" s="150"/>
      <c r="DP406" s="150"/>
      <c r="DQ406" s="150"/>
      <c r="DR406" s="150"/>
      <c r="DS406" s="150"/>
      <c r="DT406" s="150"/>
      <c r="DU406" s="150"/>
      <c r="DV406" s="150"/>
      <c r="DW406" s="150"/>
      <c r="DX406" s="150"/>
      <c r="DY406" s="150"/>
      <c r="DZ406" s="150"/>
      <c r="EA406" s="150"/>
      <c r="EB406" s="150"/>
      <c r="EC406" s="150"/>
      <c r="ED406" s="150"/>
      <c r="EE406" s="150"/>
      <c r="EF406" s="150"/>
      <c r="EG406" s="150"/>
      <c r="EH406" s="150"/>
      <c r="EI406" s="150"/>
      <c r="EJ406" s="150"/>
      <c r="EK406" s="150"/>
      <c r="EL406" s="150"/>
      <c r="EM406" s="150"/>
      <c r="EN406" s="150"/>
      <c r="EO406" s="150"/>
      <c r="EP406" s="150"/>
      <c r="EQ406" s="150"/>
      <c r="ER406" s="150"/>
      <c r="ES406" s="150"/>
      <c r="ET406" s="150"/>
      <c r="EU406" s="150"/>
      <c r="EV406" s="150"/>
      <c r="EW406" s="150"/>
      <c r="EX406" s="150"/>
      <c r="EY406" s="150"/>
      <c r="EZ406" s="150"/>
      <c r="FA406" s="150"/>
      <c r="FB406" s="150"/>
      <c r="FC406" s="150"/>
      <c r="FD406" s="150"/>
      <c r="FE406" s="150"/>
      <c r="FF406" s="150"/>
      <c r="FG406" s="150"/>
      <c r="FH406" s="150"/>
      <c r="FI406" s="150"/>
      <c r="FJ406" s="150"/>
      <c r="FK406" s="150"/>
      <c r="FL406" s="150"/>
      <c r="FM406" s="150"/>
      <c r="FN406" s="150"/>
    </row>
    <row r="407" spans="1:170" s="149" customFormat="1" x14ac:dyDescent="0.25">
      <c r="A407" s="142"/>
      <c r="B407" s="142"/>
      <c r="C407" s="142"/>
      <c r="D407" s="144"/>
      <c r="E407" s="143"/>
      <c r="F407" s="143"/>
      <c r="G407" s="144"/>
      <c r="H407" s="143"/>
      <c r="I407" s="143"/>
      <c r="J407" s="319"/>
      <c r="K407" s="319"/>
      <c r="L407" s="315"/>
      <c r="M407" s="315"/>
      <c r="N407" s="145"/>
      <c r="O407" s="145"/>
      <c r="P407" s="145"/>
      <c r="Q407" s="146"/>
      <c r="R407" s="147"/>
      <c r="S407" s="148"/>
      <c r="T407" s="148"/>
      <c r="U407" s="148"/>
      <c r="V407" s="148"/>
      <c r="W407" s="148"/>
      <c r="X407" s="148"/>
      <c r="Y407" s="148"/>
      <c r="Z407" s="148"/>
      <c r="AA407" s="148"/>
      <c r="AB407" s="148"/>
      <c r="AV407" s="150"/>
      <c r="AW407" s="150"/>
      <c r="AX407" s="150"/>
      <c r="AY407" s="150"/>
      <c r="AZ407" s="150"/>
      <c r="BA407" s="150"/>
      <c r="BB407" s="150"/>
      <c r="BC407" s="150"/>
      <c r="BD407" s="150"/>
      <c r="BE407" s="150"/>
      <c r="BF407" s="150"/>
      <c r="BG407" s="150"/>
      <c r="BH407" s="150"/>
      <c r="BI407" s="150"/>
      <c r="BJ407" s="150"/>
      <c r="BK407" s="150"/>
      <c r="BL407" s="150"/>
      <c r="BM407" s="150"/>
      <c r="BN407" s="150"/>
      <c r="BO407" s="150"/>
      <c r="BP407" s="150"/>
      <c r="BQ407" s="150"/>
      <c r="BR407" s="150"/>
      <c r="BS407" s="150"/>
      <c r="BT407" s="150"/>
      <c r="BU407" s="150"/>
      <c r="BV407" s="150"/>
      <c r="BW407" s="150"/>
      <c r="BX407" s="150"/>
      <c r="BY407" s="150"/>
      <c r="BZ407" s="150"/>
      <c r="CA407" s="150"/>
      <c r="CB407" s="150"/>
      <c r="CC407" s="150"/>
      <c r="CD407" s="150"/>
      <c r="CE407" s="150"/>
      <c r="CF407" s="150"/>
      <c r="CG407" s="150"/>
      <c r="CH407" s="150"/>
      <c r="CI407" s="150"/>
      <c r="CJ407" s="150"/>
      <c r="CK407" s="150"/>
      <c r="CL407" s="150"/>
      <c r="CM407" s="150"/>
      <c r="CN407" s="150"/>
      <c r="CO407" s="150"/>
      <c r="CP407" s="150"/>
      <c r="CQ407" s="150"/>
      <c r="CR407" s="150"/>
      <c r="CS407" s="150"/>
      <c r="CT407" s="150"/>
      <c r="CU407" s="150"/>
      <c r="CV407" s="150"/>
      <c r="CW407" s="150"/>
      <c r="CX407" s="150"/>
      <c r="CY407" s="150"/>
      <c r="CZ407" s="150"/>
      <c r="DA407" s="150"/>
      <c r="DB407" s="150"/>
      <c r="DC407" s="150"/>
      <c r="DD407" s="150"/>
      <c r="DE407" s="150"/>
      <c r="DF407" s="150"/>
      <c r="DG407" s="150"/>
      <c r="DH407" s="150"/>
      <c r="DI407" s="150"/>
      <c r="DJ407" s="150"/>
      <c r="DK407" s="150"/>
      <c r="DL407" s="150"/>
      <c r="DM407" s="150"/>
      <c r="DN407" s="150"/>
      <c r="DO407" s="150"/>
      <c r="DP407" s="150"/>
      <c r="DQ407" s="150"/>
      <c r="DR407" s="150"/>
      <c r="DS407" s="150"/>
      <c r="DT407" s="150"/>
      <c r="DU407" s="150"/>
      <c r="DV407" s="150"/>
      <c r="DW407" s="150"/>
      <c r="DX407" s="150"/>
      <c r="DY407" s="150"/>
      <c r="DZ407" s="150"/>
      <c r="EA407" s="150"/>
      <c r="EB407" s="150"/>
      <c r="EC407" s="150"/>
      <c r="ED407" s="150"/>
      <c r="EE407" s="150"/>
      <c r="EF407" s="150"/>
      <c r="EG407" s="150"/>
      <c r="EH407" s="150"/>
      <c r="EI407" s="150"/>
      <c r="EJ407" s="150"/>
      <c r="EK407" s="150"/>
      <c r="EL407" s="150"/>
      <c r="EM407" s="150"/>
      <c r="EN407" s="150"/>
      <c r="EO407" s="150"/>
      <c r="EP407" s="150"/>
      <c r="EQ407" s="150"/>
      <c r="ER407" s="150"/>
      <c r="ES407" s="150"/>
      <c r="ET407" s="150"/>
      <c r="EU407" s="150"/>
      <c r="EV407" s="150"/>
      <c r="EW407" s="150"/>
      <c r="EX407" s="150"/>
      <c r="EY407" s="150"/>
      <c r="EZ407" s="150"/>
      <c r="FA407" s="150"/>
      <c r="FB407" s="150"/>
      <c r="FC407" s="150"/>
      <c r="FD407" s="150"/>
      <c r="FE407" s="150"/>
      <c r="FF407" s="150"/>
      <c r="FG407" s="150"/>
      <c r="FH407" s="150"/>
      <c r="FI407" s="150"/>
      <c r="FJ407" s="150"/>
      <c r="FK407" s="150"/>
      <c r="FL407" s="150"/>
      <c r="FM407" s="150"/>
      <c r="FN407" s="150"/>
    </row>
    <row r="408" spans="1:170" s="149" customFormat="1" x14ac:dyDescent="0.25">
      <c r="A408" s="142"/>
      <c r="B408" s="142"/>
      <c r="C408" s="142"/>
      <c r="D408" s="144"/>
      <c r="E408" s="143"/>
      <c r="F408" s="143"/>
      <c r="G408" s="144"/>
      <c r="H408" s="143"/>
      <c r="I408" s="143"/>
      <c r="J408" s="319"/>
      <c r="K408" s="319"/>
      <c r="L408" s="315"/>
      <c r="M408" s="315"/>
      <c r="N408" s="145"/>
      <c r="O408" s="145"/>
      <c r="P408" s="145"/>
      <c r="Q408" s="146"/>
      <c r="R408" s="147"/>
      <c r="S408" s="148"/>
      <c r="T408" s="148"/>
      <c r="U408" s="148"/>
      <c r="V408" s="148"/>
      <c r="W408" s="148"/>
      <c r="X408" s="148"/>
      <c r="Y408" s="148"/>
      <c r="Z408" s="148"/>
      <c r="AA408" s="148"/>
      <c r="AB408" s="148"/>
      <c r="AV408" s="150"/>
      <c r="AW408" s="150"/>
      <c r="AX408" s="150"/>
      <c r="AY408" s="150"/>
      <c r="AZ408" s="150"/>
      <c r="BA408" s="150"/>
      <c r="BB408" s="150"/>
      <c r="BC408" s="150"/>
      <c r="BD408" s="150"/>
      <c r="BE408" s="150"/>
      <c r="BF408" s="150"/>
      <c r="BG408" s="150"/>
      <c r="BH408" s="150"/>
      <c r="BI408" s="150"/>
      <c r="BJ408" s="150"/>
      <c r="BK408" s="150"/>
      <c r="BL408" s="150"/>
      <c r="BM408" s="150"/>
      <c r="BN408" s="150"/>
      <c r="BO408" s="150"/>
      <c r="BP408" s="150"/>
      <c r="BQ408" s="150"/>
      <c r="BR408" s="150"/>
      <c r="BS408" s="150"/>
      <c r="BT408" s="150"/>
      <c r="BU408" s="150"/>
      <c r="BV408" s="150"/>
      <c r="BW408" s="150"/>
      <c r="BX408" s="150"/>
      <c r="BY408" s="150"/>
      <c r="BZ408" s="150"/>
      <c r="CA408" s="150"/>
      <c r="CB408" s="150"/>
      <c r="CC408" s="150"/>
      <c r="CD408" s="150"/>
      <c r="CE408" s="150"/>
      <c r="CF408" s="150"/>
      <c r="CG408" s="150"/>
      <c r="CH408" s="150"/>
      <c r="CI408" s="150"/>
      <c r="CJ408" s="150"/>
      <c r="CK408" s="150"/>
      <c r="CL408" s="150"/>
      <c r="CM408" s="150"/>
      <c r="CN408" s="150"/>
      <c r="CO408" s="150"/>
      <c r="CP408" s="150"/>
      <c r="CQ408" s="150"/>
      <c r="CR408" s="150"/>
      <c r="CS408" s="150"/>
      <c r="CT408" s="150"/>
      <c r="CU408" s="150"/>
      <c r="CV408" s="150"/>
      <c r="CW408" s="150"/>
      <c r="CX408" s="150"/>
      <c r="CY408" s="150"/>
      <c r="CZ408" s="150"/>
      <c r="DA408" s="150"/>
      <c r="DB408" s="150"/>
      <c r="DC408" s="150"/>
      <c r="DD408" s="150"/>
      <c r="DE408" s="150"/>
      <c r="DF408" s="150"/>
      <c r="DG408" s="150"/>
      <c r="DH408" s="150"/>
      <c r="DI408" s="150"/>
      <c r="DJ408" s="150"/>
      <c r="DK408" s="150"/>
      <c r="DL408" s="150"/>
      <c r="DM408" s="150"/>
      <c r="DN408" s="150"/>
      <c r="DO408" s="150"/>
      <c r="DP408" s="150"/>
      <c r="DQ408" s="150"/>
      <c r="DR408" s="150"/>
      <c r="DS408" s="150"/>
      <c r="DT408" s="150"/>
      <c r="DU408" s="150"/>
      <c r="DV408" s="150"/>
      <c r="DW408" s="150"/>
      <c r="DX408" s="150"/>
      <c r="DY408" s="150"/>
      <c r="DZ408" s="150"/>
      <c r="EA408" s="150"/>
      <c r="EB408" s="150"/>
      <c r="EC408" s="150"/>
      <c r="ED408" s="150"/>
      <c r="EE408" s="150"/>
      <c r="EF408" s="150"/>
      <c r="EG408" s="150"/>
      <c r="EH408" s="150"/>
      <c r="EI408" s="150"/>
      <c r="EJ408" s="150"/>
      <c r="EK408" s="150"/>
      <c r="EL408" s="150"/>
      <c r="EM408" s="150"/>
      <c r="EN408" s="150"/>
      <c r="EO408" s="150"/>
      <c r="EP408" s="150"/>
      <c r="EQ408" s="150"/>
      <c r="ER408" s="150"/>
      <c r="ES408" s="150"/>
      <c r="ET408" s="150"/>
      <c r="EU408" s="150"/>
      <c r="EV408" s="150"/>
      <c r="EW408" s="150"/>
      <c r="EX408" s="150"/>
      <c r="EY408" s="150"/>
      <c r="EZ408" s="150"/>
      <c r="FA408" s="150"/>
      <c r="FB408" s="150"/>
      <c r="FC408" s="150"/>
      <c r="FD408" s="150"/>
      <c r="FE408" s="150"/>
      <c r="FF408" s="150"/>
      <c r="FG408" s="150"/>
      <c r="FH408" s="150"/>
      <c r="FI408" s="150"/>
      <c r="FJ408" s="150"/>
      <c r="FK408" s="150"/>
      <c r="FL408" s="150"/>
      <c r="FM408" s="150"/>
      <c r="FN408" s="150"/>
    </row>
    <row r="409" spans="1:170" s="149" customFormat="1" x14ac:dyDescent="0.25">
      <c r="A409" s="142"/>
      <c r="B409" s="142"/>
      <c r="C409" s="142"/>
      <c r="D409" s="144"/>
      <c r="E409" s="143"/>
      <c r="F409" s="143"/>
      <c r="G409" s="144"/>
      <c r="H409" s="143"/>
      <c r="I409" s="143"/>
      <c r="J409" s="319"/>
      <c r="K409" s="319"/>
      <c r="L409" s="315"/>
      <c r="M409" s="315"/>
      <c r="N409" s="145"/>
      <c r="O409" s="145"/>
      <c r="P409" s="145"/>
      <c r="Q409" s="146"/>
      <c r="R409" s="147"/>
      <c r="S409" s="148"/>
      <c r="T409" s="148"/>
      <c r="U409" s="148"/>
      <c r="V409" s="148"/>
      <c r="W409" s="148"/>
      <c r="X409" s="148"/>
      <c r="Y409" s="148"/>
      <c r="Z409" s="148"/>
      <c r="AA409" s="148"/>
      <c r="AB409" s="148"/>
      <c r="AV409" s="150"/>
      <c r="AW409" s="150"/>
      <c r="AX409" s="150"/>
      <c r="AY409" s="150"/>
      <c r="AZ409" s="150"/>
      <c r="BA409" s="150"/>
      <c r="BB409" s="150"/>
      <c r="BC409" s="150"/>
      <c r="BD409" s="150"/>
      <c r="BE409" s="150"/>
      <c r="BF409" s="150"/>
      <c r="BG409" s="150"/>
      <c r="BH409" s="150"/>
      <c r="BI409" s="150"/>
      <c r="BJ409" s="150"/>
      <c r="BK409" s="150"/>
      <c r="BL409" s="150"/>
      <c r="BM409" s="150"/>
      <c r="BN409" s="150"/>
      <c r="BO409" s="150"/>
      <c r="BP409" s="150"/>
      <c r="BQ409" s="150"/>
      <c r="BR409" s="150"/>
      <c r="BS409" s="150"/>
      <c r="BT409" s="150"/>
      <c r="BU409" s="150"/>
      <c r="BV409" s="150"/>
      <c r="BW409" s="150"/>
      <c r="BX409" s="150"/>
      <c r="BY409" s="150"/>
      <c r="BZ409" s="150"/>
      <c r="CA409" s="150"/>
      <c r="CB409" s="150"/>
      <c r="CC409" s="150"/>
      <c r="CD409" s="150"/>
      <c r="CE409" s="150"/>
      <c r="CF409" s="150"/>
      <c r="CG409" s="150"/>
      <c r="CH409" s="150"/>
      <c r="CI409" s="150"/>
      <c r="CJ409" s="150"/>
      <c r="CK409" s="150"/>
      <c r="CL409" s="150"/>
      <c r="CM409" s="150"/>
      <c r="CN409" s="150"/>
      <c r="CO409" s="150"/>
      <c r="CP409" s="150"/>
      <c r="CQ409" s="150"/>
      <c r="CR409" s="150"/>
      <c r="CS409" s="150"/>
      <c r="CT409" s="150"/>
      <c r="CU409" s="150"/>
      <c r="CV409" s="150"/>
      <c r="CW409" s="150"/>
      <c r="CX409" s="150"/>
      <c r="CY409" s="150"/>
      <c r="CZ409" s="150"/>
      <c r="DA409" s="150"/>
      <c r="DB409" s="150"/>
      <c r="DC409" s="150"/>
      <c r="DD409" s="150"/>
      <c r="DE409" s="150"/>
      <c r="DF409" s="150"/>
      <c r="DG409" s="150"/>
      <c r="DH409" s="150"/>
      <c r="DI409" s="150"/>
      <c r="DJ409" s="150"/>
      <c r="DK409" s="150"/>
      <c r="DL409" s="150"/>
      <c r="DM409" s="150"/>
      <c r="DN409" s="150"/>
      <c r="DO409" s="150"/>
      <c r="DP409" s="150"/>
      <c r="DQ409" s="150"/>
      <c r="DR409" s="150"/>
      <c r="DS409" s="150"/>
      <c r="DT409" s="150"/>
      <c r="DU409" s="150"/>
      <c r="DV409" s="150"/>
      <c r="DW409" s="150"/>
      <c r="DX409" s="150"/>
      <c r="DY409" s="150"/>
      <c r="DZ409" s="150"/>
      <c r="EA409" s="150"/>
      <c r="EB409" s="150"/>
      <c r="EC409" s="150"/>
      <c r="ED409" s="150"/>
      <c r="EE409" s="150"/>
      <c r="EF409" s="150"/>
      <c r="EG409" s="150"/>
      <c r="EH409" s="150"/>
      <c r="EI409" s="150"/>
      <c r="EJ409" s="150"/>
      <c r="EK409" s="150"/>
      <c r="EL409" s="150"/>
      <c r="EM409" s="150"/>
      <c r="EN409" s="150"/>
      <c r="EO409" s="150"/>
      <c r="EP409" s="150"/>
      <c r="EQ409" s="150"/>
      <c r="ER409" s="150"/>
      <c r="ES409" s="150"/>
      <c r="ET409" s="150"/>
      <c r="EU409" s="150"/>
      <c r="EV409" s="150"/>
      <c r="EW409" s="150"/>
      <c r="EX409" s="150"/>
      <c r="EY409" s="150"/>
      <c r="EZ409" s="150"/>
      <c r="FA409" s="150"/>
      <c r="FB409" s="150"/>
      <c r="FC409" s="150"/>
      <c r="FD409" s="150"/>
      <c r="FE409" s="150"/>
      <c r="FF409" s="150"/>
      <c r="FG409" s="150"/>
      <c r="FH409" s="150"/>
      <c r="FI409" s="150"/>
      <c r="FJ409" s="150"/>
      <c r="FK409" s="150"/>
      <c r="FL409" s="150"/>
      <c r="FM409" s="150"/>
      <c r="FN409" s="150"/>
    </row>
    <row r="410" spans="1:170" s="149" customFormat="1" x14ac:dyDescent="0.25">
      <c r="A410" s="142"/>
      <c r="B410" s="142"/>
      <c r="C410" s="142"/>
      <c r="D410" s="144"/>
      <c r="E410" s="143"/>
      <c r="F410" s="143"/>
      <c r="G410" s="144"/>
      <c r="H410" s="143"/>
      <c r="I410" s="143"/>
      <c r="J410" s="319"/>
      <c r="K410" s="319"/>
      <c r="L410" s="315"/>
      <c r="M410" s="315"/>
      <c r="N410" s="145"/>
      <c r="O410" s="145"/>
      <c r="P410" s="145"/>
      <c r="Q410" s="146"/>
      <c r="R410" s="147"/>
      <c r="S410" s="148"/>
      <c r="T410" s="148"/>
      <c r="U410" s="148"/>
      <c r="V410" s="148"/>
      <c r="W410" s="148"/>
      <c r="X410" s="148"/>
      <c r="Y410" s="148"/>
      <c r="Z410" s="148"/>
      <c r="AA410" s="148"/>
      <c r="AB410" s="148"/>
      <c r="AV410" s="150"/>
      <c r="AW410" s="150"/>
      <c r="AX410" s="150"/>
      <c r="AY410" s="150"/>
      <c r="AZ410" s="150"/>
      <c r="BA410" s="150"/>
      <c r="BB410" s="150"/>
      <c r="BC410" s="150"/>
      <c r="BD410" s="150"/>
      <c r="BE410" s="150"/>
      <c r="BF410" s="150"/>
      <c r="BG410" s="150"/>
      <c r="BH410" s="150"/>
      <c r="BI410" s="150"/>
      <c r="BJ410" s="150"/>
      <c r="BK410" s="150"/>
      <c r="BL410" s="150"/>
      <c r="BM410" s="150"/>
      <c r="BN410" s="150"/>
      <c r="BO410" s="150"/>
      <c r="BP410" s="150"/>
      <c r="BQ410" s="150"/>
      <c r="BR410" s="150"/>
      <c r="BS410" s="150"/>
      <c r="BT410" s="150"/>
      <c r="BU410" s="150"/>
      <c r="BV410" s="150"/>
      <c r="BW410" s="150"/>
      <c r="BX410" s="150"/>
      <c r="BY410" s="150"/>
      <c r="BZ410" s="150"/>
      <c r="CA410" s="150"/>
      <c r="CB410" s="150"/>
      <c r="CC410" s="150"/>
      <c r="CD410" s="150"/>
      <c r="CE410" s="150"/>
      <c r="CF410" s="150"/>
      <c r="CG410" s="150"/>
      <c r="CH410" s="150"/>
      <c r="CI410" s="150"/>
      <c r="CJ410" s="150"/>
      <c r="CK410" s="150"/>
      <c r="CL410" s="150"/>
      <c r="CM410" s="150"/>
      <c r="CN410" s="150"/>
      <c r="CO410" s="150"/>
      <c r="CP410" s="150"/>
      <c r="CQ410" s="150"/>
      <c r="CR410" s="150"/>
      <c r="CS410" s="150"/>
      <c r="CT410" s="150"/>
      <c r="CU410" s="150"/>
      <c r="CV410" s="150"/>
      <c r="CW410" s="150"/>
      <c r="CX410" s="150"/>
      <c r="CY410" s="150"/>
      <c r="CZ410" s="150"/>
      <c r="DA410" s="150"/>
      <c r="DB410" s="150"/>
      <c r="DC410" s="150"/>
      <c r="DD410" s="150"/>
      <c r="DE410" s="150"/>
      <c r="DF410" s="150"/>
      <c r="DG410" s="150"/>
      <c r="DH410" s="150"/>
      <c r="DI410" s="150"/>
      <c r="DJ410" s="150"/>
      <c r="DK410" s="150"/>
      <c r="DL410" s="150"/>
      <c r="DM410" s="150"/>
      <c r="DN410" s="150"/>
      <c r="DO410" s="150"/>
      <c r="DP410" s="150"/>
      <c r="DQ410" s="150"/>
      <c r="DR410" s="150"/>
      <c r="DS410" s="150"/>
      <c r="DT410" s="150"/>
      <c r="DU410" s="150"/>
      <c r="DV410" s="150"/>
      <c r="DW410" s="150"/>
      <c r="DX410" s="150"/>
      <c r="DY410" s="150"/>
      <c r="DZ410" s="150"/>
      <c r="EA410" s="150"/>
      <c r="EB410" s="150"/>
      <c r="EC410" s="150"/>
      <c r="ED410" s="150"/>
      <c r="EE410" s="150"/>
      <c r="EF410" s="150"/>
      <c r="EG410" s="150"/>
      <c r="EH410" s="150"/>
      <c r="EI410" s="150"/>
      <c r="EJ410" s="150"/>
      <c r="EK410" s="150"/>
      <c r="EL410" s="150"/>
      <c r="EM410" s="150"/>
      <c r="EN410" s="150"/>
      <c r="EO410" s="150"/>
      <c r="EP410" s="150"/>
      <c r="EQ410" s="150"/>
      <c r="ER410" s="150"/>
      <c r="ES410" s="150"/>
      <c r="ET410" s="150"/>
      <c r="EU410" s="150"/>
      <c r="EV410" s="150"/>
      <c r="EW410" s="150"/>
      <c r="EX410" s="150"/>
      <c r="EY410" s="150"/>
      <c r="EZ410" s="150"/>
      <c r="FA410" s="150"/>
      <c r="FB410" s="150"/>
      <c r="FC410" s="150"/>
      <c r="FD410" s="150"/>
      <c r="FE410" s="150"/>
      <c r="FF410" s="150"/>
      <c r="FG410" s="150"/>
      <c r="FH410" s="150"/>
      <c r="FI410" s="150"/>
      <c r="FJ410" s="150"/>
      <c r="FK410" s="150"/>
      <c r="FL410" s="150"/>
      <c r="FM410" s="150"/>
      <c r="FN410" s="150"/>
    </row>
    <row r="411" spans="1:170" s="149" customFormat="1" x14ac:dyDescent="0.25">
      <c r="A411" s="142"/>
      <c r="B411" s="142"/>
      <c r="C411" s="142"/>
      <c r="D411" s="144"/>
      <c r="E411" s="143"/>
      <c r="F411" s="143"/>
      <c r="G411" s="144"/>
      <c r="H411" s="143"/>
      <c r="I411" s="143"/>
      <c r="J411" s="319"/>
      <c r="K411" s="319"/>
      <c r="L411" s="315"/>
      <c r="M411" s="315"/>
      <c r="N411" s="145"/>
      <c r="O411" s="145"/>
      <c r="P411" s="145"/>
      <c r="Q411" s="146"/>
      <c r="R411" s="147"/>
      <c r="S411" s="148"/>
      <c r="T411" s="148"/>
      <c r="U411" s="148"/>
      <c r="V411" s="148"/>
      <c r="W411" s="148"/>
      <c r="X411" s="148"/>
      <c r="Y411" s="148"/>
      <c r="Z411" s="148"/>
      <c r="AA411" s="148"/>
      <c r="AB411" s="148"/>
      <c r="AV411" s="150"/>
      <c r="AW411" s="150"/>
      <c r="AX411" s="150"/>
      <c r="AY411" s="150"/>
      <c r="AZ411" s="150"/>
      <c r="BA411" s="150"/>
      <c r="BB411" s="150"/>
      <c r="BC411" s="150"/>
      <c r="BD411" s="150"/>
      <c r="BE411" s="150"/>
      <c r="BF411" s="150"/>
      <c r="BG411" s="150"/>
      <c r="BH411" s="150"/>
      <c r="BI411" s="150"/>
      <c r="BJ411" s="150"/>
      <c r="BK411" s="150"/>
      <c r="BL411" s="150"/>
      <c r="BM411" s="150"/>
      <c r="BN411" s="150"/>
      <c r="BO411" s="150"/>
      <c r="BP411" s="150"/>
      <c r="BQ411" s="150"/>
      <c r="BR411" s="150"/>
      <c r="BS411" s="150"/>
      <c r="BT411" s="150"/>
      <c r="BU411" s="150"/>
      <c r="BV411" s="150"/>
      <c r="BW411" s="150"/>
      <c r="BX411" s="150"/>
      <c r="BY411" s="150"/>
      <c r="BZ411" s="150"/>
      <c r="CA411" s="150"/>
      <c r="CB411" s="150"/>
      <c r="CC411" s="150"/>
      <c r="CD411" s="150"/>
      <c r="CE411" s="150"/>
      <c r="CF411" s="150"/>
      <c r="CG411" s="150"/>
      <c r="CH411" s="150"/>
      <c r="CI411" s="150"/>
      <c r="CJ411" s="150"/>
      <c r="CK411" s="150"/>
      <c r="CL411" s="150"/>
      <c r="CM411" s="150"/>
      <c r="CN411" s="150"/>
      <c r="CO411" s="150"/>
      <c r="CP411" s="150"/>
      <c r="CQ411" s="150"/>
      <c r="CR411" s="150"/>
      <c r="CS411" s="150"/>
      <c r="CT411" s="150"/>
      <c r="CU411" s="150"/>
      <c r="CV411" s="150"/>
      <c r="CW411" s="150"/>
      <c r="CX411" s="150"/>
      <c r="CY411" s="150"/>
      <c r="CZ411" s="150"/>
      <c r="DA411" s="150"/>
      <c r="DB411" s="150"/>
      <c r="DC411" s="150"/>
      <c r="DD411" s="150"/>
      <c r="DE411" s="150"/>
      <c r="DF411" s="150"/>
      <c r="DG411" s="150"/>
      <c r="DH411" s="150"/>
      <c r="DI411" s="150"/>
      <c r="DJ411" s="150"/>
      <c r="DK411" s="150"/>
      <c r="DL411" s="150"/>
      <c r="DM411" s="150"/>
      <c r="DN411" s="150"/>
      <c r="DO411" s="150"/>
      <c r="DP411" s="150"/>
      <c r="DQ411" s="150"/>
      <c r="DR411" s="150"/>
      <c r="DS411" s="150"/>
      <c r="DT411" s="150"/>
      <c r="DU411" s="150"/>
      <c r="DV411" s="150"/>
      <c r="DW411" s="150"/>
      <c r="DX411" s="150"/>
      <c r="DY411" s="150"/>
      <c r="DZ411" s="150"/>
      <c r="EA411" s="150"/>
      <c r="EB411" s="150"/>
      <c r="EC411" s="150"/>
      <c r="ED411" s="150"/>
      <c r="EE411" s="150"/>
      <c r="EF411" s="150"/>
      <c r="EG411" s="150"/>
      <c r="EH411" s="150"/>
      <c r="EI411" s="150"/>
      <c r="EJ411" s="150"/>
      <c r="EK411" s="150"/>
      <c r="EL411" s="150"/>
      <c r="EM411" s="150"/>
      <c r="EN411" s="150"/>
      <c r="EO411" s="150"/>
      <c r="EP411" s="150"/>
      <c r="EQ411" s="150"/>
      <c r="ER411" s="150"/>
      <c r="ES411" s="150"/>
      <c r="ET411" s="150"/>
      <c r="EU411" s="150"/>
      <c r="EV411" s="150"/>
      <c r="EW411" s="150"/>
      <c r="EX411" s="150"/>
      <c r="EY411" s="150"/>
      <c r="EZ411" s="150"/>
      <c r="FA411" s="150"/>
      <c r="FB411" s="150"/>
      <c r="FC411" s="150"/>
      <c r="FD411" s="150"/>
      <c r="FE411" s="150"/>
      <c r="FF411" s="150"/>
      <c r="FG411" s="150"/>
      <c r="FH411" s="150"/>
      <c r="FI411" s="150"/>
      <c r="FJ411" s="150"/>
      <c r="FK411" s="150"/>
      <c r="FL411" s="150"/>
      <c r="FM411" s="150"/>
      <c r="FN411" s="150"/>
    </row>
    <row r="412" spans="1:170" s="149" customFormat="1" x14ac:dyDescent="0.25">
      <c r="A412" s="142"/>
      <c r="B412" s="142"/>
      <c r="C412" s="142"/>
      <c r="D412" s="144"/>
      <c r="E412" s="143"/>
      <c r="F412" s="143"/>
      <c r="G412" s="144"/>
      <c r="H412" s="143"/>
      <c r="I412" s="143"/>
      <c r="J412" s="319"/>
      <c r="K412" s="319"/>
      <c r="L412" s="315"/>
      <c r="M412" s="315"/>
      <c r="N412" s="145"/>
      <c r="O412" s="145"/>
      <c r="P412" s="145"/>
      <c r="Q412" s="146"/>
      <c r="R412" s="147"/>
      <c r="S412" s="148"/>
      <c r="T412" s="148"/>
      <c r="U412" s="148"/>
      <c r="V412" s="148"/>
      <c r="W412" s="148"/>
      <c r="X412" s="148"/>
      <c r="Y412" s="148"/>
      <c r="Z412" s="148"/>
      <c r="AA412" s="148"/>
      <c r="AB412" s="148"/>
      <c r="AV412" s="150"/>
      <c r="AW412" s="150"/>
      <c r="AX412" s="150"/>
      <c r="AY412" s="150"/>
      <c r="AZ412" s="150"/>
      <c r="BA412" s="150"/>
      <c r="BB412" s="150"/>
      <c r="BC412" s="150"/>
      <c r="BD412" s="150"/>
      <c r="BE412" s="150"/>
      <c r="BF412" s="150"/>
      <c r="BG412" s="150"/>
      <c r="BH412" s="150"/>
      <c r="BI412" s="150"/>
      <c r="BJ412" s="150"/>
      <c r="BK412" s="150"/>
      <c r="BL412" s="150"/>
      <c r="BM412" s="150"/>
      <c r="BN412" s="150"/>
      <c r="BO412" s="150"/>
      <c r="BP412" s="150"/>
      <c r="BQ412" s="150"/>
      <c r="BR412" s="150"/>
      <c r="BS412" s="150"/>
      <c r="BT412" s="150"/>
      <c r="BU412" s="150"/>
      <c r="BV412" s="150"/>
      <c r="BW412" s="150"/>
      <c r="BX412" s="150"/>
      <c r="BY412" s="150"/>
      <c r="BZ412" s="150"/>
      <c r="CA412" s="150"/>
      <c r="CB412" s="150"/>
      <c r="CC412" s="150"/>
      <c r="CD412" s="150"/>
      <c r="CE412" s="150"/>
      <c r="CF412" s="150"/>
      <c r="CG412" s="150"/>
      <c r="CH412" s="150"/>
      <c r="CI412" s="150"/>
      <c r="CJ412" s="150"/>
      <c r="CK412" s="150"/>
      <c r="CL412" s="150"/>
      <c r="CM412" s="150"/>
      <c r="CN412" s="150"/>
      <c r="CO412" s="150"/>
      <c r="CP412" s="150"/>
      <c r="CQ412" s="150"/>
      <c r="CR412" s="150"/>
      <c r="CS412" s="150"/>
      <c r="CT412" s="150"/>
      <c r="CU412" s="150"/>
      <c r="CV412" s="150"/>
      <c r="CW412" s="150"/>
      <c r="CX412" s="150"/>
      <c r="CY412" s="150"/>
      <c r="CZ412" s="150"/>
      <c r="DA412" s="150"/>
      <c r="DB412" s="150"/>
      <c r="DC412" s="150"/>
      <c r="DD412" s="150"/>
      <c r="DE412" s="150"/>
      <c r="DF412" s="150"/>
      <c r="DG412" s="150"/>
      <c r="DH412" s="150"/>
      <c r="DI412" s="150"/>
      <c r="DJ412" s="150"/>
      <c r="DK412" s="150"/>
      <c r="DL412" s="150"/>
      <c r="DM412" s="150"/>
      <c r="DN412" s="150"/>
      <c r="DO412" s="150"/>
      <c r="DP412" s="150"/>
      <c r="DQ412" s="150"/>
      <c r="DR412" s="150"/>
      <c r="DS412" s="150"/>
      <c r="DT412" s="150"/>
      <c r="DU412" s="150"/>
      <c r="DV412" s="150"/>
      <c r="DW412" s="150"/>
      <c r="DX412" s="150"/>
      <c r="DY412" s="150"/>
      <c r="DZ412" s="150"/>
      <c r="EA412" s="150"/>
      <c r="EB412" s="150"/>
      <c r="EC412" s="150"/>
      <c r="ED412" s="150"/>
      <c r="EE412" s="150"/>
      <c r="EF412" s="150"/>
      <c r="EG412" s="150"/>
      <c r="EH412" s="150"/>
      <c r="EI412" s="150"/>
      <c r="EJ412" s="150"/>
      <c r="EK412" s="150"/>
      <c r="EL412" s="150"/>
      <c r="EM412" s="150"/>
      <c r="EN412" s="150"/>
      <c r="EO412" s="150"/>
      <c r="EP412" s="150"/>
      <c r="EQ412" s="150"/>
      <c r="ER412" s="150"/>
      <c r="ES412" s="150"/>
      <c r="ET412" s="150"/>
      <c r="EU412" s="150"/>
      <c r="EV412" s="150"/>
      <c r="EW412" s="150"/>
      <c r="EX412" s="150"/>
      <c r="EY412" s="150"/>
      <c r="EZ412" s="150"/>
      <c r="FA412" s="150"/>
      <c r="FB412" s="150"/>
      <c r="FC412" s="150"/>
      <c r="FD412" s="150"/>
      <c r="FE412" s="150"/>
      <c r="FF412" s="150"/>
      <c r="FG412" s="150"/>
      <c r="FH412" s="150"/>
      <c r="FI412" s="150"/>
      <c r="FJ412" s="150"/>
      <c r="FK412" s="150"/>
      <c r="FL412" s="150"/>
      <c r="FM412" s="150"/>
      <c r="FN412" s="150"/>
    </row>
    <row r="413" spans="1:170" s="149" customFormat="1" x14ac:dyDescent="0.25">
      <c r="A413" s="142"/>
      <c r="B413" s="142"/>
      <c r="C413" s="142"/>
      <c r="D413" s="144"/>
      <c r="E413" s="143"/>
      <c r="F413" s="143"/>
      <c r="G413" s="144"/>
      <c r="H413" s="143"/>
      <c r="I413" s="143"/>
      <c r="J413" s="319"/>
      <c r="K413" s="319"/>
      <c r="L413" s="315"/>
      <c r="M413" s="315"/>
      <c r="N413" s="145"/>
      <c r="O413" s="145"/>
      <c r="P413" s="145"/>
      <c r="Q413" s="146"/>
      <c r="R413" s="147"/>
      <c r="S413" s="148"/>
      <c r="T413" s="148"/>
      <c r="U413" s="148"/>
      <c r="V413" s="148"/>
      <c r="W413" s="148"/>
      <c r="X413" s="148"/>
      <c r="Y413" s="148"/>
      <c r="Z413" s="148"/>
      <c r="AA413" s="148"/>
      <c r="AB413" s="148"/>
      <c r="AV413" s="150"/>
      <c r="AW413" s="150"/>
      <c r="AX413" s="150"/>
      <c r="AY413" s="150"/>
      <c r="AZ413" s="150"/>
      <c r="BA413" s="150"/>
      <c r="BB413" s="150"/>
      <c r="BC413" s="150"/>
      <c r="BD413" s="150"/>
      <c r="BE413" s="150"/>
      <c r="BF413" s="150"/>
      <c r="BG413" s="150"/>
      <c r="BH413" s="150"/>
      <c r="BI413" s="150"/>
      <c r="BJ413" s="150"/>
      <c r="BK413" s="150"/>
      <c r="BL413" s="150"/>
      <c r="BM413" s="150"/>
      <c r="BN413" s="150"/>
      <c r="BO413" s="150"/>
      <c r="BP413" s="150"/>
      <c r="BQ413" s="150"/>
      <c r="BR413" s="150"/>
      <c r="BS413" s="150"/>
      <c r="BT413" s="150"/>
      <c r="BU413" s="150"/>
      <c r="BV413" s="150"/>
      <c r="BW413" s="150"/>
      <c r="BX413" s="150"/>
      <c r="BY413" s="150"/>
      <c r="BZ413" s="150"/>
      <c r="CA413" s="150"/>
      <c r="CB413" s="150"/>
      <c r="CC413" s="150"/>
      <c r="CD413" s="150"/>
      <c r="CE413" s="150"/>
      <c r="CF413" s="150"/>
      <c r="CG413" s="150"/>
      <c r="CH413" s="150"/>
      <c r="CI413" s="150"/>
      <c r="CJ413" s="150"/>
      <c r="CK413" s="150"/>
      <c r="CL413" s="150"/>
      <c r="CM413" s="150"/>
      <c r="CN413" s="150"/>
      <c r="CO413" s="150"/>
      <c r="CP413" s="150"/>
      <c r="CQ413" s="150"/>
      <c r="CR413" s="150"/>
      <c r="CS413" s="150"/>
      <c r="CT413" s="150"/>
      <c r="CU413" s="150"/>
      <c r="CV413" s="150"/>
      <c r="CW413" s="150"/>
      <c r="CX413" s="150"/>
      <c r="CY413" s="150"/>
      <c r="CZ413" s="150"/>
      <c r="DA413" s="150"/>
      <c r="DB413" s="150"/>
      <c r="DC413" s="150"/>
      <c r="DD413" s="150"/>
      <c r="DE413" s="150"/>
      <c r="DF413" s="150"/>
      <c r="DG413" s="150"/>
      <c r="DH413" s="150"/>
      <c r="DI413" s="150"/>
      <c r="DJ413" s="150"/>
      <c r="DK413" s="150"/>
      <c r="DL413" s="150"/>
      <c r="DM413" s="150"/>
      <c r="DN413" s="150"/>
      <c r="DO413" s="150"/>
      <c r="DP413" s="150"/>
      <c r="DQ413" s="150"/>
      <c r="DR413" s="150"/>
      <c r="DS413" s="150"/>
      <c r="DT413" s="150"/>
      <c r="DU413" s="150"/>
      <c r="DV413" s="150"/>
      <c r="DW413" s="150"/>
      <c r="DX413" s="150"/>
      <c r="DY413" s="150"/>
      <c r="DZ413" s="150"/>
      <c r="EA413" s="150"/>
      <c r="EB413" s="150"/>
      <c r="EC413" s="150"/>
      <c r="ED413" s="150"/>
      <c r="EE413" s="150"/>
      <c r="EF413" s="150"/>
      <c r="EG413" s="150"/>
      <c r="EH413" s="150"/>
      <c r="EI413" s="150"/>
      <c r="EJ413" s="150"/>
      <c r="EK413" s="150"/>
      <c r="EL413" s="150"/>
      <c r="EM413" s="150"/>
      <c r="EN413" s="150"/>
      <c r="EO413" s="150"/>
      <c r="EP413" s="150"/>
      <c r="EQ413" s="150"/>
      <c r="ER413" s="150"/>
      <c r="ES413" s="150"/>
      <c r="ET413" s="150"/>
      <c r="EU413" s="150"/>
      <c r="EV413" s="150"/>
      <c r="EW413" s="150"/>
      <c r="EX413" s="150"/>
      <c r="EY413" s="150"/>
      <c r="EZ413" s="150"/>
      <c r="FA413" s="150"/>
      <c r="FB413" s="150"/>
      <c r="FC413" s="150"/>
      <c r="FD413" s="150"/>
      <c r="FE413" s="150"/>
      <c r="FF413" s="150"/>
      <c r="FG413" s="150"/>
      <c r="FH413" s="150"/>
      <c r="FI413" s="150"/>
      <c r="FJ413" s="150"/>
      <c r="FK413" s="150"/>
      <c r="FL413" s="150"/>
      <c r="FM413" s="150"/>
      <c r="FN413" s="150"/>
    </row>
    <row r="414" spans="1:170" s="149" customFormat="1" x14ac:dyDescent="0.25">
      <c r="A414" s="142"/>
      <c r="B414" s="142"/>
      <c r="C414" s="142"/>
      <c r="D414" s="144"/>
      <c r="E414" s="143"/>
      <c r="F414" s="143"/>
      <c r="G414" s="144"/>
      <c r="H414" s="143"/>
      <c r="I414" s="143"/>
      <c r="J414" s="319"/>
      <c r="K414" s="319"/>
      <c r="L414" s="315"/>
      <c r="M414" s="315"/>
      <c r="N414" s="145"/>
      <c r="O414" s="145"/>
      <c r="P414" s="145"/>
      <c r="Q414" s="146"/>
      <c r="R414" s="147"/>
      <c r="S414" s="148"/>
      <c r="T414" s="148"/>
      <c r="U414" s="148"/>
      <c r="V414" s="148"/>
      <c r="W414" s="148"/>
      <c r="X414" s="148"/>
      <c r="Y414" s="148"/>
      <c r="Z414" s="148"/>
      <c r="AA414" s="148"/>
      <c r="AB414" s="148"/>
      <c r="AV414" s="150"/>
      <c r="AW414" s="150"/>
      <c r="AX414" s="150"/>
      <c r="AY414" s="150"/>
      <c r="AZ414" s="150"/>
      <c r="BA414" s="150"/>
      <c r="BB414" s="150"/>
      <c r="BC414" s="150"/>
      <c r="BD414" s="150"/>
      <c r="BE414" s="150"/>
      <c r="BF414" s="150"/>
      <c r="BG414" s="150"/>
      <c r="BH414" s="150"/>
      <c r="BI414" s="150"/>
      <c r="BJ414" s="150"/>
      <c r="BK414" s="150"/>
      <c r="BL414" s="150"/>
      <c r="BM414" s="150"/>
      <c r="BN414" s="150"/>
      <c r="BO414" s="150"/>
      <c r="BP414" s="150"/>
      <c r="BQ414" s="150"/>
      <c r="BR414" s="150"/>
      <c r="BS414" s="150"/>
      <c r="BT414" s="150"/>
      <c r="BU414" s="150"/>
      <c r="BV414" s="150"/>
      <c r="BW414" s="150"/>
      <c r="BX414" s="150"/>
      <c r="BY414" s="150"/>
      <c r="BZ414" s="150"/>
      <c r="CA414" s="150"/>
      <c r="CB414" s="150"/>
      <c r="CC414" s="150"/>
      <c r="CD414" s="150"/>
      <c r="CE414" s="150"/>
      <c r="CF414" s="150"/>
      <c r="CG414" s="150"/>
      <c r="CH414" s="150"/>
      <c r="CI414" s="150"/>
      <c r="CJ414" s="150"/>
      <c r="CK414" s="150"/>
      <c r="CL414" s="150"/>
      <c r="CM414" s="150"/>
      <c r="CN414" s="150"/>
      <c r="CO414" s="150"/>
      <c r="CP414" s="150"/>
      <c r="CQ414" s="150"/>
      <c r="CR414" s="150"/>
      <c r="CS414" s="150"/>
      <c r="CT414" s="150"/>
      <c r="CU414" s="150"/>
      <c r="CV414" s="150"/>
      <c r="CW414" s="150"/>
      <c r="CX414" s="150"/>
      <c r="CY414" s="150"/>
      <c r="CZ414" s="150"/>
      <c r="DA414" s="150"/>
      <c r="DB414" s="150"/>
      <c r="DC414" s="150"/>
      <c r="DD414" s="150"/>
      <c r="DE414" s="150"/>
      <c r="DF414" s="150"/>
      <c r="DG414" s="150"/>
      <c r="DH414" s="150"/>
      <c r="DI414" s="150"/>
      <c r="DJ414" s="150"/>
      <c r="DK414" s="150"/>
      <c r="DL414" s="150"/>
      <c r="DM414" s="150"/>
      <c r="DN414" s="150"/>
      <c r="DO414" s="150"/>
      <c r="DP414" s="150"/>
      <c r="DQ414" s="150"/>
      <c r="DR414" s="150"/>
      <c r="DS414" s="150"/>
      <c r="DT414" s="150"/>
      <c r="DU414" s="150"/>
      <c r="DV414" s="150"/>
      <c r="DW414" s="150"/>
      <c r="DX414" s="150"/>
      <c r="DY414" s="150"/>
      <c r="DZ414" s="150"/>
      <c r="EA414" s="150"/>
      <c r="EB414" s="150"/>
      <c r="EC414" s="150"/>
      <c r="ED414" s="150"/>
      <c r="EE414" s="150"/>
      <c r="EF414" s="150"/>
      <c r="EG414" s="150"/>
      <c r="EH414" s="150"/>
      <c r="EI414" s="150"/>
      <c r="EJ414" s="150"/>
      <c r="EK414" s="150"/>
      <c r="EL414" s="150"/>
      <c r="EM414" s="150"/>
      <c r="EN414" s="150"/>
      <c r="EO414" s="150"/>
      <c r="EP414" s="150"/>
      <c r="EQ414" s="150"/>
      <c r="ER414" s="150"/>
      <c r="ES414" s="150"/>
      <c r="ET414" s="150"/>
      <c r="EU414" s="150"/>
      <c r="EV414" s="150"/>
      <c r="EW414" s="150"/>
      <c r="EX414" s="150"/>
      <c r="EY414" s="150"/>
      <c r="EZ414" s="150"/>
      <c r="FA414" s="150"/>
      <c r="FB414" s="150"/>
      <c r="FC414" s="150"/>
      <c r="FD414" s="150"/>
      <c r="FE414" s="150"/>
      <c r="FF414" s="150"/>
      <c r="FG414" s="150"/>
      <c r="FH414" s="150"/>
      <c r="FI414" s="150"/>
      <c r="FJ414" s="150"/>
      <c r="FK414" s="150"/>
      <c r="FL414" s="150"/>
      <c r="FM414" s="150"/>
      <c r="FN414" s="150"/>
    </row>
    <row r="415" spans="1:170" s="149" customFormat="1" x14ac:dyDescent="0.25">
      <c r="A415" s="142"/>
      <c r="B415" s="142"/>
      <c r="C415" s="142"/>
      <c r="D415" s="144"/>
      <c r="E415" s="143"/>
      <c r="F415" s="143"/>
      <c r="G415" s="144"/>
      <c r="H415" s="143"/>
      <c r="I415" s="143"/>
      <c r="J415" s="319"/>
      <c r="K415" s="319"/>
      <c r="L415" s="315"/>
      <c r="M415" s="315"/>
      <c r="N415" s="145"/>
      <c r="O415" s="145"/>
      <c r="P415" s="145"/>
      <c r="Q415" s="146"/>
      <c r="R415" s="147"/>
      <c r="S415" s="148"/>
      <c r="T415" s="148"/>
      <c r="U415" s="148"/>
      <c r="V415" s="148"/>
      <c r="W415" s="148"/>
      <c r="X415" s="148"/>
      <c r="Y415" s="148"/>
      <c r="Z415" s="148"/>
      <c r="AA415" s="148"/>
      <c r="AB415" s="148"/>
      <c r="AV415" s="150"/>
      <c r="AW415" s="150"/>
      <c r="AX415" s="150"/>
      <c r="AY415" s="150"/>
      <c r="AZ415" s="150"/>
      <c r="BA415" s="150"/>
      <c r="BB415" s="150"/>
      <c r="BC415" s="150"/>
      <c r="BD415" s="150"/>
      <c r="BE415" s="150"/>
      <c r="BF415" s="150"/>
      <c r="BG415" s="150"/>
      <c r="BH415" s="150"/>
      <c r="BI415" s="150"/>
      <c r="BJ415" s="150"/>
      <c r="BK415" s="150"/>
      <c r="BL415" s="150"/>
      <c r="BM415" s="150"/>
      <c r="BN415" s="150"/>
      <c r="BO415" s="150"/>
      <c r="BP415" s="150"/>
      <c r="BQ415" s="150"/>
      <c r="BR415" s="150"/>
      <c r="BS415" s="150"/>
      <c r="BT415" s="150"/>
      <c r="BU415" s="150"/>
      <c r="BV415" s="150"/>
      <c r="BW415" s="150"/>
      <c r="BX415" s="150"/>
      <c r="BY415" s="150"/>
      <c r="BZ415" s="150"/>
      <c r="CA415" s="150"/>
      <c r="CB415" s="150"/>
      <c r="CC415" s="150"/>
      <c r="CD415" s="150"/>
      <c r="CE415" s="150"/>
      <c r="CF415" s="150"/>
      <c r="CG415" s="150"/>
      <c r="CH415" s="150"/>
      <c r="CI415" s="150"/>
      <c r="CJ415" s="150"/>
      <c r="CK415" s="150"/>
      <c r="CL415" s="150"/>
      <c r="CM415" s="150"/>
      <c r="CN415" s="150"/>
      <c r="CO415" s="150"/>
      <c r="CP415" s="150"/>
      <c r="CQ415" s="150"/>
      <c r="CR415" s="150"/>
      <c r="CS415" s="150"/>
      <c r="CT415" s="150"/>
      <c r="CU415" s="150"/>
      <c r="CV415" s="150"/>
      <c r="CW415" s="150"/>
      <c r="CX415" s="150"/>
      <c r="CY415" s="150"/>
      <c r="CZ415" s="150"/>
      <c r="DA415" s="150"/>
      <c r="DB415" s="150"/>
      <c r="DC415" s="150"/>
      <c r="DD415" s="150"/>
      <c r="DE415" s="150"/>
      <c r="DF415" s="150"/>
      <c r="DG415" s="150"/>
      <c r="DH415" s="150"/>
      <c r="DI415" s="150"/>
      <c r="DJ415" s="150"/>
      <c r="DK415" s="150"/>
      <c r="DL415" s="150"/>
      <c r="DM415" s="150"/>
      <c r="DN415" s="150"/>
      <c r="DO415" s="150"/>
      <c r="DP415" s="150"/>
      <c r="DQ415" s="150"/>
      <c r="DR415" s="150"/>
      <c r="DS415" s="150"/>
      <c r="DT415" s="150"/>
      <c r="DU415" s="150"/>
      <c r="DV415" s="150"/>
      <c r="DW415" s="150"/>
      <c r="DX415" s="150"/>
      <c r="DY415" s="150"/>
      <c r="DZ415" s="150"/>
      <c r="EA415" s="150"/>
      <c r="EB415" s="150"/>
      <c r="EC415" s="150"/>
      <c r="ED415" s="150"/>
      <c r="EE415" s="150"/>
      <c r="EF415" s="150"/>
      <c r="EG415" s="150"/>
      <c r="EH415" s="150"/>
      <c r="EI415" s="150"/>
      <c r="EJ415" s="150"/>
      <c r="EK415" s="150"/>
      <c r="EL415" s="150"/>
      <c r="EM415" s="150"/>
      <c r="EN415" s="150"/>
      <c r="EO415" s="150"/>
      <c r="EP415" s="150"/>
      <c r="EQ415" s="150"/>
      <c r="ER415" s="150"/>
      <c r="ES415" s="150"/>
      <c r="ET415" s="150"/>
      <c r="EU415" s="150"/>
      <c r="EV415" s="150"/>
      <c r="EW415" s="150"/>
      <c r="EX415" s="150"/>
      <c r="EY415" s="150"/>
      <c r="EZ415" s="150"/>
      <c r="FA415" s="150"/>
      <c r="FB415" s="150"/>
      <c r="FC415" s="150"/>
      <c r="FD415" s="150"/>
      <c r="FE415" s="150"/>
      <c r="FF415" s="150"/>
      <c r="FG415" s="150"/>
      <c r="FH415" s="150"/>
      <c r="FI415" s="150"/>
      <c r="FJ415" s="150"/>
      <c r="FK415" s="150"/>
      <c r="FL415" s="150"/>
      <c r="FM415" s="150"/>
      <c r="FN415" s="150"/>
    </row>
    <row r="416" spans="1:170" s="149" customFormat="1" x14ac:dyDescent="0.25">
      <c r="A416" s="142"/>
      <c r="B416" s="142"/>
      <c r="C416" s="142"/>
      <c r="D416" s="144"/>
      <c r="E416" s="143"/>
      <c r="F416" s="143"/>
      <c r="G416" s="144"/>
      <c r="H416" s="143"/>
      <c r="I416" s="143"/>
      <c r="J416" s="319"/>
      <c r="K416" s="319"/>
      <c r="L416" s="315"/>
      <c r="M416" s="315"/>
      <c r="N416" s="145"/>
      <c r="O416" s="145"/>
      <c r="P416" s="145"/>
      <c r="Q416" s="146"/>
      <c r="R416" s="147"/>
      <c r="S416" s="148"/>
      <c r="T416" s="148"/>
      <c r="U416" s="148"/>
      <c r="V416" s="148"/>
      <c r="W416" s="148"/>
      <c r="X416" s="148"/>
      <c r="Y416" s="148"/>
      <c r="Z416" s="148"/>
      <c r="AA416" s="148"/>
      <c r="AB416" s="148"/>
      <c r="AV416" s="150"/>
      <c r="AW416" s="150"/>
      <c r="AX416" s="150"/>
      <c r="AY416" s="150"/>
      <c r="AZ416" s="150"/>
      <c r="BA416" s="150"/>
      <c r="BB416" s="150"/>
      <c r="BC416" s="150"/>
      <c r="BD416" s="150"/>
      <c r="BE416" s="150"/>
      <c r="BF416" s="150"/>
      <c r="BG416" s="150"/>
      <c r="BH416" s="150"/>
      <c r="BI416" s="150"/>
      <c r="BJ416" s="150"/>
      <c r="BK416" s="150"/>
      <c r="BL416" s="150"/>
      <c r="BM416" s="150"/>
      <c r="BN416" s="150"/>
      <c r="BO416" s="150"/>
      <c r="BP416" s="150"/>
      <c r="BQ416" s="150"/>
      <c r="BR416" s="150"/>
      <c r="BS416" s="150"/>
      <c r="BT416" s="150"/>
      <c r="BU416" s="150"/>
      <c r="BV416" s="150"/>
      <c r="BW416" s="150"/>
      <c r="BX416" s="150"/>
      <c r="BY416" s="150"/>
      <c r="BZ416" s="150"/>
      <c r="CA416" s="150"/>
      <c r="CB416" s="150"/>
      <c r="CC416" s="150"/>
      <c r="CD416" s="150"/>
      <c r="CE416" s="150"/>
      <c r="CF416" s="150"/>
      <c r="CG416" s="150"/>
      <c r="CH416" s="150"/>
      <c r="CI416" s="150"/>
      <c r="CJ416" s="150"/>
      <c r="CK416" s="150"/>
      <c r="CL416" s="150"/>
      <c r="CM416" s="150"/>
      <c r="CN416" s="150"/>
      <c r="CO416" s="150"/>
      <c r="CP416" s="150"/>
      <c r="CQ416" s="150"/>
      <c r="CR416" s="150"/>
      <c r="CS416" s="150"/>
      <c r="CT416" s="150"/>
      <c r="CU416" s="150"/>
      <c r="CV416" s="150"/>
      <c r="CW416" s="150"/>
      <c r="CX416" s="150"/>
      <c r="CY416" s="150"/>
      <c r="CZ416" s="150"/>
      <c r="DA416" s="150"/>
      <c r="DB416" s="150"/>
      <c r="DC416" s="150"/>
      <c r="DD416" s="150"/>
      <c r="DE416" s="150"/>
      <c r="DF416" s="150"/>
      <c r="DG416" s="150"/>
      <c r="DH416" s="150"/>
      <c r="DI416" s="150"/>
      <c r="DJ416" s="150"/>
      <c r="DK416" s="150"/>
      <c r="DL416" s="150"/>
      <c r="DM416" s="150"/>
      <c r="DN416" s="150"/>
      <c r="DO416" s="150"/>
      <c r="DP416" s="150"/>
      <c r="DQ416" s="150"/>
      <c r="DR416" s="150"/>
      <c r="DS416" s="150"/>
      <c r="DT416" s="150"/>
      <c r="DU416" s="150"/>
      <c r="DV416" s="150"/>
      <c r="DW416" s="150"/>
      <c r="DX416" s="150"/>
      <c r="DY416" s="150"/>
      <c r="DZ416" s="150"/>
      <c r="EA416" s="150"/>
      <c r="EB416" s="150"/>
      <c r="EC416" s="150"/>
      <c r="ED416" s="150"/>
      <c r="EE416" s="150"/>
      <c r="EF416" s="150"/>
      <c r="EG416" s="150"/>
      <c r="EH416" s="150"/>
      <c r="EI416" s="150"/>
      <c r="EJ416" s="150"/>
      <c r="EK416" s="150"/>
      <c r="EL416" s="150"/>
      <c r="EM416" s="150"/>
      <c r="EN416" s="150"/>
      <c r="EO416" s="150"/>
      <c r="EP416" s="150"/>
      <c r="EQ416" s="150"/>
      <c r="ER416" s="150"/>
      <c r="ES416" s="150"/>
      <c r="ET416" s="150"/>
      <c r="EU416" s="150"/>
      <c r="EV416" s="150"/>
      <c r="EW416" s="150"/>
      <c r="EX416" s="150"/>
      <c r="EY416" s="150"/>
      <c r="EZ416" s="150"/>
      <c r="FA416" s="150"/>
      <c r="FB416" s="150"/>
      <c r="FC416" s="150"/>
      <c r="FD416" s="150"/>
      <c r="FE416" s="150"/>
      <c r="FF416" s="150"/>
      <c r="FG416" s="150"/>
      <c r="FH416" s="150"/>
      <c r="FI416" s="150"/>
      <c r="FJ416" s="150"/>
      <c r="FK416" s="150"/>
      <c r="FL416" s="150"/>
      <c r="FM416" s="150"/>
      <c r="FN416" s="150"/>
    </row>
    <row r="417" spans="1:170" s="149" customFormat="1" x14ac:dyDescent="0.25">
      <c r="A417" s="142"/>
      <c r="B417" s="142"/>
      <c r="C417" s="142"/>
      <c r="D417" s="144"/>
      <c r="E417" s="143"/>
      <c r="F417" s="143"/>
      <c r="G417" s="144"/>
      <c r="H417" s="143"/>
      <c r="I417" s="143"/>
      <c r="J417" s="319"/>
      <c r="K417" s="319"/>
      <c r="L417" s="315"/>
      <c r="M417" s="315"/>
      <c r="N417" s="145"/>
      <c r="O417" s="145"/>
      <c r="P417" s="145"/>
      <c r="Q417" s="146"/>
      <c r="R417" s="147"/>
      <c r="S417" s="148"/>
      <c r="T417" s="148"/>
      <c r="U417" s="148"/>
      <c r="V417" s="148"/>
      <c r="W417" s="148"/>
      <c r="X417" s="148"/>
      <c r="Y417" s="148"/>
      <c r="Z417" s="148"/>
      <c r="AA417" s="148"/>
      <c r="AB417" s="148"/>
      <c r="AV417" s="150"/>
      <c r="AW417" s="150"/>
      <c r="AX417" s="150"/>
      <c r="AY417" s="150"/>
      <c r="AZ417" s="150"/>
      <c r="BA417" s="150"/>
      <c r="BB417" s="150"/>
      <c r="BC417" s="150"/>
      <c r="BD417" s="150"/>
      <c r="BE417" s="150"/>
      <c r="BF417" s="150"/>
      <c r="BG417" s="150"/>
      <c r="BH417" s="150"/>
      <c r="BI417" s="150"/>
      <c r="BJ417" s="150"/>
      <c r="BK417" s="150"/>
      <c r="BL417" s="150"/>
      <c r="BM417" s="150"/>
      <c r="BN417" s="150"/>
      <c r="BO417" s="150"/>
      <c r="BP417" s="150"/>
      <c r="BQ417" s="150"/>
      <c r="BR417" s="150"/>
      <c r="BS417" s="150"/>
      <c r="BT417" s="150"/>
      <c r="BU417" s="150"/>
      <c r="BV417" s="150"/>
      <c r="BW417" s="150"/>
      <c r="BX417" s="150"/>
      <c r="BY417" s="150"/>
      <c r="BZ417" s="150"/>
      <c r="CA417" s="150"/>
      <c r="CB417" s="150"/>
      <c r="CC417" s="150"/>
      <c r="CD417" s="150"/>
      <c r="CE417" s="150"/>
      <c r="CF417" s="150"/>
      <c r="CG417" s="150"/>
      <c r="CH417" s="150"/>
      <c r="CI417" s="150"/>
      <c r="CJ417" s="150"/>
      <c r="CK417" s="150"/>
      <c r="CL417" s="150"/>
      <c r="CM417" s="150"/>
      <c r="CN417" s="150"/>
      <c r="CO417" s="150"/>
      <c r="CP417" s="150"/>
      <c r="CQ417" s="150"/>
      <c r="CR417" s="150"/>
      <c r="CS417" s="150"/>
      <c r="CT417" s="150"/>
      <c r="CU417" s="150"/>
      <c r="CV417" s="150"/>
      <c r="CW417" s="150"/>
      <c r="CX417" s="150"/>
      <c r="CY417" s="150"/>
      <c r="CZ417" s="150"/>
      <c r="DA417" s="150"/>
      <c r="DB417" s="150"/>
      <c r="DC417" s="150"/>
      <c r="DD417" s="150"/>
      <c r="DE417" s="150"/>
      <c r="DF417" s="150"/>
      <c r="DG417" s="150"/>
      <c r="DH417" s="150"/>
      <c r="DI417" s="150"/>
      <c r="DJ417" s="150"/>
      <c r="DK417" s="150"/>
      <c r="DL417" s="150"/>
      <c r="DM417" s="150"/>
      <c r="DN417" s="150"/>
      <c r="DO417" s="150"/>
      <c r="DP417" s="150"/>
      <c r="DQ417" s="150"/>
      <c r="DR417" s="150"/>
      <c r="DS417" s="150"/>
      <c r="DT417" s="150"/>
      <c r="DU417" s="150"/>
      <c r="DV417" s="150"/>
      <c r="DW417" s="150"/>
      <c r="DX417" s="150"/>
      <c r="DY417" s="150"/>
      <c r="DZ417" s="150"/>
      <c r="EA417" s="150"/>
      <c r="EB417" s="150"/>
      <c r="EC417" s="150"/>
      <c r="ED417" s="150"/>
      <c r="EE417" s="150"/>
      <c r="EF417" s="150"/>
      <c r="EG417" s="150"/>
      <c r="EH417" s="150"/>
      <c r="EI417" s="150"/>
      <c r="EJ417" s="150"/>
      <c r="EK417" s="150"/>
      <c r="EL417" s="150"/>
      <c r="EM417" s="150"/>
      <c r="EN417" s="150"/>
      <c r="EO417" s="150"/>
      <c r="EP417" s="150"/>
      <c r="EQ417" s="150"/>
      <c r="ER417" s="150"/>
      <c r="ES417" s="150"/>
      <c r="ET417" s="150"/>
      <c r="EU417" s="150"/>
      <c r="EV417" s="150"/>
      <c r="EW417" s="150"/>
      <c r="EX417" s="150"/>
      <c r="EY417" s="150"/>
      <c r="EZ417" s="150"/>
      <c r="FA417" s="150"/>
      <c r="FB417" s="150"/>
      <c r="FC417" s="150"/>
      <c r="FD417" s="150"/>
      <c r="FE417" s="150"/>
      <c r="FF417" s="150"/>
      <c r="FG417" s="150"/>
      <c r="FH417" s="150"/>
      <c r="FI417" s="150"/>
      <c r="FJ417" s="150"/>
      <c r="FK417" s="150"/>
      <c r="FL417" s="150"/>
      <c r="FM417" s="150"/>
      <c r="FN417" s="150"/>
    </row>
    <row r="418" spans="1:170" s="149" customFormat="1" x14ac:dyDescent="0.25">
      <c r="A418" s="142"/>
      <c r="B418" s="142"/>
      <c r="C418" s="142"/>
      <c r="D418" s="144"/>
      <c r="E418" s="143"/>
      <c r="F418" s="143"/>
      <c r="G418" s="144"/>
      <c r="H418" s="143"/>
      <c r="I418" s="143"/>
      <c r="J418" s="319"/>
      <c r="K418" s="319"/>
      <c r="L418" s="315"/>
      <c r="M418" s="315"/>
      <c r="N418" s="145"/>
      <c r="O418" s="145"/>
      <c r="P418" s="145"/>
      <c r="Q418" s="146"/>
      <c r="R418" s="147"/>
      <c r="S418" s="148"/>
      <c r="T418" s="148"/>
      <c r="U418" s="148"/>
      <c r="V418" s="148"/>
      <c r="W418" s="148"/>
      <c r="X418" s="148"/>
      <c r="Y418" s="148"/>
      <c r="Z418" s="148"/>
      <c r="AA418" s="148"/>
      <c r="AB418" s="148"/>
      <c r="AV418" s="150"/>
      <c r="AW418" s="150"/>
      <c r="AX418" s="150"/>
      <c r="AY418" s="150"/>
      <c r="AZ418" s="150"/>
      <c r="BA418" s="150"/>
      <c r="BB418" s="150"/>
      <c r="BC418" s="150"/>
      <c r="BD418" s="150"/>
      <c r="BE418" s="150"/>
      <c r="BF418" s="150"/>
      <c r="BG418" s="150"/>
      <c r="BH418" s="150"/>
      <c r="BI418" s="150"/>
      <c r="BJ418" s="150"/>
      <c r="BK418" s="150"/>
      <c r="BL418" s="150"/>
      <c r="BM418" s="150"/>
      <c r="BN418" s="150"/>
      <c r="BO418" s="150"/>
      <c r="BP418" s="150"/>
      <c r="BQ418" s="150"/>
      <c r="BR418" s="150"/>
      <c r="BS418" s="150"/>
      <c r="BT418" s="150"/>
      <c r="BU418" s="150"/>
      <c r="BV418" s="150"/>
      <c r="BW418" s="150"/>
      <c r="BX418" s="150"/>
      <c r="BY418" s="150"/>
      <c r="BZ418" s="150"/>
      <c r="CA418" s="150"/>
      <c r="CB418" s="150"/>
      <c r="CC418" s="150"/>
      <c r="CD418" s="150"/>
      <c r="CE418" s="150"/>
      <c r="CF418" s="150"/>
      <c r="CG418" s="150"/>
      <c r="CH418" s="150"/>
      <c r="CI418" s="150"/>
      <c r="CJ418" s="150"/>
      <c r="CK418" s="150"/>
      <c r="CL418" s="150"/>
      <c r="CM418" s="150"/>
      <c r="CN418" s="150"/>
      <c r="CO418" s="150"/>
      <c r="CP418" s="150"/>
      <c r="CQ418" s="150"/>
      <c r="CR418" s="150"/>
      <c r="CS418" s="150"/>
      <c r="CT418" s="150"/>
      <c r="CU418" s="150"/>
      <c r="CV418" s="150"/>
      <c r="CW418" s="150"/>
      <c r="CX418" s="150"/>
      <c r="CY418" s="150"/>
      <c r="CZ418" s="150"/>
      <c r="DA418" s="150"/>
      <c r="DB418" s="150"/>
      <c r="DC418" s="150"/>
      <c r="DD418" s="150"/>
      <c r="DE418" s="150"/>
      <c r="DF418" s="150"/>
      <c r="DG418" s="150"/>
      <c r="DH418" s="150"/>
      <c r="DI418" s="150"/>
      <c r="DJ418" s="150"/>
      <c r="DK418" s="150"/>
      <c r="DL418" s="150"/>
      <c r="DM418" s="150"/>
      <c r="DN418" s="150"/>
      <c r="DO418" s="150"/>
      <c r="DP418" s="150"/>
      <c r="DQ418" s="150"/>
      <c r="DR418" s="150"/>
      <c r="DS418" s="150"/>
      <c r="DT418" s="150"/>
      <c r="DU418" s="150"/>
      <c r="DV418" s="150"/>
      <c r="DW418" s="150"/>
      <c r="DX418" s="150"/>
      <c r="DY418" s="150"/>
      <c r="DZ418" s="150"/>
      <c r="EA418" s="150"/>
      <c r="EB418" s="150"/>
      <c r="EC418" s="150"/>
      <c r="ED418" s="150"/>
      <c r="EE418" s="150"/>
      <c r="EF418" s="150"/>
      <c r="EG418" s="150"/>
      <c r="EH418" s="150"/>
      <c r="EI418" s="150"/>
      <c r="EJ418" s="150"/>
      <c r="EK418" s="150"/>
      <c r="EL418" s="150"/>
      <c r="EM418" s="150"/>
      <c r="EN418" s="150"/>
      <c r="EO418" s="150"/>
      <c r="EP418" s="150"/>
      <c r="EQ418" s="150"/>
      <c r="ER418" s="150"/>
      <c r="ES418" s="150"/>
      <c r="ET418" s="150"/>
      <c r="EU418" s="150"/>
      <c r="EV418" s="150"/>
      <c r="EW418" s="150"/>
      <c r="EX418" s="150"/>
      <c r="EY418" s="150"/>
      <c r="EZ418" s="150"/>
      <c r="FA418" s="150"/>
      <c r="FB418" s="150"/>
      <c r="FC418" s="150"/>
      <c r="FD418" s="150"/>
      <c r="FE418" s="150"/>
      <c r="FF418" s="150"/>
      <c r="FG418" s="150"/>
      <c r="FH418" s="150"/>
      <c r="FI418" s="150"/>
      <c r="FJ418" s="150"/>
      <c r="FK418" s="150"/>
      <c r="FL418" s="150"/>
      <c r="FM418" s="150"/>
      <c r="FN418" s="150"/>
    </row>
    <row r="419" spans="1:170" s="149" customFormat="1" x14ac:dyDescent="0.25">
      <c r="A419" s="142"/>
      <c r="B419" s="142"/>
      <c r="C419" s="142"/>
      <c r="D419" s="144"/>
      <c r="E419" s="143"/>
      <c r="F419" s="143"/>
      <c r="G419" s="144"/>
      <c r="H419" s="143"/>
      <c r="I419" s="143"/>
      <c r="J419" s="319"/>
      <c r="K419" s="319"/>
      <c r="L419" s="315"/>
      <c r="M419" s="315"/>
      <c r="N419" s="145"/>
      <c r="O419" s="145"/>
      <c r="P419" s="145"/>
      <c r="Q419" s="146"/>
      <c r="R419" s="147"/>
      <c r="S419" s="148"/>
      <c r="T419" s="148"/>
      <c r="U419" s="148"/>
      <c r="V419" s="148"/>
      <c r="W419" s="148"/>
      <c r="X419" s="148"/>
      <c r="Y419" s="148"/>
      <c r="Z419" s="148"/>
      <c r="AA419" s="148"/>
      <c r="AB419" s="148"/>
      <c r="AV419" s="150"/>
      <c r="AW419" s="150"/>
      <c r="AX419" s="150"/>
      <c r="AY419" s="150"/>
      <c r="AZ419" s="150"/>
      <c r="BA419" s="150"/>
      <c r="BB419" s="150"/>
      <c r="BC419" s="150"/>
      <c r="BD419" s="150"/>
      <c r="BE419" s="150"/>
      <c r="BF419" s="150"/>
      <c r="BG419" s="150"/>
      <c r="BH419" s="150"/>
      <c r="BI419" s="150"/>
      <c r="BJ419" s="150"/>
      <c r="BK419" s="150"/>
      <c r="BL419" s="150"/>
      <c r="BM419" s="150"/>
      <c r="BN419" s="150"/>
      <c r="BO419" s="150"/>
      <c r="BP419" s="150"/>
      <c r="BQ419" s="150"/>
      <c r="BR419" s="150"/>
      <c r="BS419" s="150"/>
      <c r="BT419" s="150"/>
      <c r="BU419" s="150"/>
      <c r="BV419" s="150"/>
      <c r="BW419" s="150"/>
      <c r="BX419" s="150"/>
      <c r="BY419" s="150"/>
      <c r="BZ419" s="150"/>
      <c r="CA419" s="150"/>
      <c r="CB419" s="150"/>
      <c r="CC419" s="150"/>
      <c r="CD419" s="150"/>
      <c r="CE419" s="150"/>
      <c r="CF419" s="150"/>
      <c r="CG419" s="150"/>
      <c r="CH419" s="150"/>
      <c r="CI419" s="150"/>
      <c r="CJ419" s="150"/>
      <c r="CK419" s="150"/>
      <c r="CL419" s="150"/>
      <c r="CM419" s="150"/>
      <c r="CN419" s="150"/>
      <c r="CO419" s="150"/>
      <c r="CP419" s="150"/>
      <c r="CQ419" s="150"/>
      <c r="CR419" s="150"/>
      <c r="CS419" s="150"/>
      <c r="CT419" s="150"/>
      <c r="CU419" s="150"/>
      <c r="CV419" s="150"/>
      <c r="CW419" s="150"/>
      <c r="CX419" s="150"/>
      <c r="CY419" s="150"/>
      <c r="CZ419" s="150"/>
      <c r="DA419" s="150"/>
      <c r="DB419" s="150"/>
      <c r="DC419" s="150"/>
      <c r="DD419" s="150"/>
      <c r="DE419" s="150"/>
      <c r="DF419" s="150"/>
      <c r="DG419" s="150"/>
      <c r="DH419" s="150"/>
      <c r="DI419" s="150"/>
      <c r="DJ419" s="150"/>
      <c r="DK419" s="150"/>
      <c r="DL419" s="150"/>
      <c r="DM419" s="150"/>
      <c r="DN419" s="150"/>
      <c r="DO419" s="150"/>
      <c r="DP419" s="150"/>
      <c r="DQ419" s="150"/>
      <c r="DR419" s="150"/>
      <c r="DS419" s="150"/>
      <c r="DT419" s="150"/>
      <c r="DU419" s="150"/>
      <c r="DV419" s="150"/>
      <c r="DW419" s="150"/>
      <c r="DX419" s="150"/>
      <c r="DY419" s="150"/>
      <c r="DZ419" s="150"/>
      <c r="EA419" s="150"/>
      <c r="EB419" s="150"/>
      <c r="EC419" s="150"/>
      <c r="ED419" s="150"/>
      <c r="EE419" s="150"/>
      <c r="EF419" s="150"/>
      <c r="EG419" s="150"/>
      <c r="EH419" s="150"/>
      <c r="EI419" s="150"/>
      <c r="EJ419" s="150"/>
      <c r="EK419" s="150"/>
      <c r="EL419" s="150"/>
      <c r="EM419" s="150"/>
      <c r="EN419" s="150"/>
      <c r="EO419" s="150"/>
      <c r="EP419" s="150"/>
      <c r="EQ419" s="150"/>
      <c r="ER419" s="150"/>
      <c r="ES419" s="150"/>
      <c r="ET419" s="150"/>
      <c r="EU419" s="150"/>
      <c r="EV419" s="150"/>
      <c r="EW419" s="150"/>
      <c r="EX419" s="150"/>
      <c r="EY419" s="150"/>
      <c r="EZ419" s="150"/>
      <c r="FA419" s="150"/>
      <c r="FB419" s="150"/>
      <c r="FC419" s="150"/>
      <c r="FD419" s="150"/>
      <c r="FE419" s="150"/>
      <c r="FF419" s="150"/>
      <c r="FG419" s="150"/>
      <c r="FH419" s="150"/>
      <c r="FI419" s="150"/>
      <c r="FJ419" s="150"/>
      <c r="FK419" s="150"/>
      <c r="FL419" s="150"/>
      <c r="FM419" s="150"/>
      <c r="FN419" s="150"/>
    </row>
    <row r="420" spans="1:170" s="149" customFormat="1" x14ac:dyDescent="0.25">
      <c r="A420" s="142"/>
      <c r="B420" s="142"/>
      <c r="C420" s="142"/>
      <c r="D420" s="144"/>
      <c r="E420" s="143"/>
      <c r="F420" s="143"/>
      <c r="G420" s="144"/>
      <c r="H420" s="143"/>
      <c r="I420" s="143"/>
      <c r="J420" s="319"/>
      <c r="K420" s="319"/>
      <c r="L420" s="315"/>
      <c r="M420" s="315"/>
      <c r="N420" s="145"/>
      <c r="O420" s="145"/>
      <c r="P420" s="145"/>
      <c r="Q420" s="146"/>
      <c r="R420" s="147"/>
      <c r="S420" s="148"/>
      <c r="T420" s="148"/>
      <c r="U420" s="148"/>
      <c r="V420" s="148"/>
      <c r="W420" s="148"/>
      <c r="X420" s="148"/>
      <c r="Y420" s="148"/>
      <c r="Z420" s="148"/>
      <c r="AA420" s="148"/>
      <c r="AB420" s="148"/>
      <c r="AV420" s="150"/>
      <c r="AW420" s="150"/>
      <c r="AX420" s="150"/>
      <c r="AY420" s="150"/>
      <c r="AZ420" s="150"/>
      <c r="BA420" s="150"/>
      <c r="BB420" s="150"/>
      <c r="BC420" s="150"/>
      <c r="BD420" s="150"/>
      <c r="BE420" s="150"/>
      <c r="BF420" s="150"/>
      <c r="BG420" s="150"/>
      <c r="BH420" s="150"/>
      <c r="BI420" s="150"/>
      <c r="BJ420" s="150"/>
      <c r="BK420" s="150"/>
      <c r="BL420" s="150"/>
      <c r="BM420" s="150"/>
      <c r="BN420" s="150"/>
      <c r="BO420" s="150"/>
      <c r="BP420" s="150"/>
      <c r="BQ420" s="150"/>
      <c r="BR420" s="150"/>
      <c r="BS420" s="150"/>
      <c r="BT420" s="150"/>
      <c r="BU420" s="150"/>
      <c r="BV420" s="150"/>
      <c r="BW420" s="150"/>
      <c r="BX420" s="150"/>
      <c r="BY420" s="150"/>
      <c r="BZ420" s="150"/>
      <c r="CA420" s="150"/>
      <c r="CB420" s="150"/>
      <c r="CC420" s="150"/>
      <c r="CD420" s="150"/>
      <c r="CE420" s="150"/>
      <c r="CF420" s="150"/>
      <c r="CG420" s="150"/>
      <c r="CH420" s="150"/>
      <c r="CI420" s="150"/>
      <c r="CJ420" s="150"/>
      <c r="CK420" s="150"/>
      <c r="CL420" s="150"/>
      <c r="CM420" s="150"/>
      <c r="CN420" s="150"/>
      <c r="CO420" s="150"/>
      <c r="CP420" s="150"/>
      <c r="CQ420" s="150"/>
      <c r="CR420" s="150"/>
      <c r="CS420" s="150"/>
      <c r="CT420" s="150"/>
      <c r="CU420" s="150"/>
      <c r="CV420" s="150"/>
      <c r="CW420" s="150"/>
      <c r="CX420" s="150"/>
      <c r="CY420" s="150"/>
      <c r="CZ420" s="150"/>
      <c r="DA420" s="150"/>
      <c r="DB420" s="150"/>
      <c r="DC420" s="150"/>
      <c r="DD420" s="150"/>
      <c r="DE420" s="150"/>
      <c r="DF420" s="150"/>
      <c r="DG420" s="150"/>
      <c r="DH420" s="150"/>
      <c r="DI420" s="150"/>
      <c r="DJ420" s="150"/>
      <c r="DK420" s="150"/>
      <c r="DL420" s="150"/>
      <c r="DM420" s="150"/>
      <c r="DN420" s="150"/>
      <c r="DO420" s="150"/>
      <c r="DP420" s="150"/>
      <c r="DQ420" s="150"/>
      <c r="DR420" s="150"/>
      <c r="DS420" s="150"/>
      <c r="DT420" s="150"/>
      <c r="DU420" s="150"/>
      <c r="DV420" s="150"/>
      <c r="DW420" s="150"/>
      <c r="DX420" s="150"/>
      <c r="DY420" s="150"/>
      <c r="DZ420" s="150"/>
      <c r="EA420" s="150"/>
      <c r="EB420" s="150"/>
      <c r="EC420" s="150"/>
      <c r="ED420" s="150"/>
      <c r="EE420" s="150"/>
      <c r="EF420" s="150"/>
      <c r="EG420" s="150"/>
      <c r="EH420" s="150"/>
      <c r="EI420" s="150"/>
      <c r="EJ420" s="150"/>
      <c r="EK420" s="150"/>
      <c r="EL420" s="150"/>
      <c r="EM420" s="150"/>
      <c r="EN420" s="150"/>
      <c r="EO420" s="150"/>
      <c r="EP420" s="150"/>
      <c r="EQ420" s="150"/>
      <c r="ER420" s="150"/>
      <c r="ES420" s="150"/>
      <c r="ET420" s="150"/>
      <c r="EU420" s="150"/>
      <c r="EV420" s="150"/>
      <c r="EW420" s="150"/>
      <c r="EX420" s="150"/>
      <c r="EY420" s="150"/>
      <c r="EZ420" s="150"/>
      <c r="FA420" s="150"/>
      <c r="FB420" s="150"/>
      <c r="FC420" s="150"/>
      <c r="FD420" s="150"/>
      <c r="FE420" s="150"/>
      <c r="FF420" s="150"/>
      <c r="FG420" s="150"/>
      <c r="FH420" s="150"/>
      <c r="FI420" s="150"/>
      <c r="FJ420" s="150"/>
      <c r="FK420" s="150"/>
      <c r="FL420" s="150"/>
      <c r="FM420" s="150"/>
      <c r="FN420" s="150"/>
    </row>
    <row r="421" spans="1:170" s="149" customFormat="1" x14ac:dyDescent="0.25">
      <c r="A421" s="142"/>
      <c r="B421" s="142"/>
      <c r="C421" s="142"/>
      <c r="D421" s="144"/>
      <c r="E421" s="143"/>
      <c r="F421" s="143"/>
      <c r="G421" s="144"/>
      <c r="H421" s="143"/>
      <c r="I421" s="143"/>
      <c r="J421" s="319"/>
      <c r="K421" s="319"/>
      <c r="L421" s="315"/>
      <c r="M421" s="315"/>
      <c r="N421" s="145"/>
      <c r="O421" s="145"/>
      <c r="P421" s="145"/>
      <c r="Q421" s="146"/>
      <c r="R421" s="147"/>
      <c r="S421" s="148"/>
      <c r="T421" s="148"/>
      <c r="U421" s="148"/>
      <c r="V421" s="148"/>
      <c r="W421" s="148"/>
      <c r="X421" s="148"/>
      <c r="Y421" s="148"/>
      <c r="Z421" s="148"/>
      <c r="AA421" s="148"/>
      <c r="AB421" s="148"/>
      <c r="AV421" s="150"/>
      <c r="AW421" s="150"/>
      <c r="AX421" s="150"/>
      <c r="AY421" s="150"/>
      <c r="AZ421" s="150"/>
      <c r="BA421" s="150"/>
      <c r="BB421" s="150"/>
      <c r="BC421" s="150"/>
      <c r="BD421" s="150"/>
      <c r="BE421" s="150"/>
      <c r="BF421" s="150"/>
      <c r="BG421" s="150"/>
      <c r="BH421" s="150"/>
      <c r="BI421" s="150"/>
      <c r="BJ421" s="150"/>
      <c r="BK421" s="150"/>
      <c r="BL421" s="150"/>
      <c r="BM421" s="150"/>
      <c r="BN421" s="150"/>
      <c r="BO421" s="150"/>
      <c r="BP421" s="150"/>
      <c r="BQ421" s="150"/>
      <c r="BR421" s="150"/>
      <c r="BS421" s="150"/>
      <c r="BT421" s="150"/>
      <c r="BU421" s="150"/>
      <c r="BV421" s="150"/>
      <c r="BW421" s="150"/>
      <c r="BX421" s="150"/>
      <c r="BY421" s="150"/>
      <c r="BZ421" s="150"/>
      <c r="CA421" s="150"/>
      <c r="CB421" s="150"/>
      <c r="CC421" s="150"/>
      <c r="CD421" s="150"/>
      <c r="CE421" s="150"/>
      <c r="CF421" s="150"/>
      <c r="CG421" s="150"/>
      <c r="CH421" s="150"/>
      <c r="CI421" s="150"/>
      <c r="CJ421" s="150"/>
      <c r="CK421" s="150"/>
      <c r="CL421" s="150"/>
      <c r="CM421" s="150"/>
      <c r="CN421" s="150"/>
      <c r="CO421" s="150"/>
      <c r="CP421" s="150"/>
      <c r="CQ421" s="150"/>
      <c r="CR421" s="150"/>
      <c r="CS421" s="150"/>
      <c r="CT421" s="150"/>
      <c r="CU421" s="150"/>
      <c r="CV421" s="150"/>
      <c r="CW421" s="150"/>
      <c r="CX421" s="150"/>
      <c r="CY421" s="150"/>
      <c r="CZ421" s="150"/>
      <c r="DA421" s="150"/>
      <c r="DB421" s="150"/>
      <c r="DC421" s="150"/>
      <c r="DD421" s="150"/>
      <c r="DE421" s="150"/>
      <c r="DF421" s="150"/>
      <c r="DG421" s="150"/>
      <c r="DH421" s="150"/>
      <c r="DI421" s="150"/>
      <c r="DJ421" s="150"/>
      <c r="DK421" s="150"/>
      <c r="DL421" s="150"/>
      <c r="DM421" s="150"/>
      <c r="DN421" s="150"/>
      <c r="DO421" s="150"/>
      <c r="DP421" s="150"/>
      <c r="DQ421" s="150"/>
      <c r="DR421" s="150"/>
      <c r="DS421" s="150"/>
      <c r="DT421" s="150"/>
      <c r="DU421" s="150"/>
      <c r="DV421" s="150"/>
      <c r="DW421" s="150"/>
      <c r="DX421" s="150"/>
      <c r="DY421" s="150"/>
      <c r="DZ421" s="150"/>
      <c r="EA421" s="150"/>
      <c r="EB421" s="150"/>
      <c r="EC421" s="150"/>
      <c r="ED421" s="150"/>
      <c r="EE421" s="150"/>
      <c r="EF421" s="150"/>
      <c r="EG421" s="150"/>
      <c r="EH421" s="150"/>
      <c r="EI421" s="150"/>
      <c r="EJ421" s="150"/>
      <c r="EK421" s="150"/>
      <c r="EL421" s="150"/>
      <c r="EM421" s="150"/>
      <c r="EN421" s="150"/>
      <c r="EO421" s="150"/>
      <c r="EP421" s="150"/>
      <c r="EQ421" s="150"/>
      <c r="ER421" s="150"/>
      <c r="ES421" s="150"/>
      <c r="ET421" s="150"/>
      <c r="EU421" s="150"/>
      <c r="EV421" s="150"/>
      <c r="EW421" s="150"/>
      <c r="EX421" s="150"/>
      <c r="EY421" s="150"/>
      <c r="EZ421" s="150"/>
      <c r="FA421" s="150"/>
      <c r="FB421" s="150"/>
      <c r="FC421" s="150"/>
      <c r="FD421" s="150"/>
      <c r="FE421" s="150"/>
      <c r="FF421" s="150"/>
      <c r="FG421" s="150"/>
      <c r="FH421" s="150"/>
      <c r="FI421" s="150"/>
      <c r="FJ421" s="150"/>
      <c r="FK421" s="150"/>
      <c r="FL421" s="150"/>
      <c r="FM421" s="150"/>
      <c r="FN421" s="150"/>
    </row>
    <row r="422" spans="1:170" s="149" customFormat="1" x14ac:dyDescent="0.25">
      <c r="A422" s="142"/>
      <c r="B422" s="142"/>
      <c r="C422" s="142"/>
      <c r="D422" s="144"/>
      <c r="E422" s="143"/>
      <c r="F422" s="143"/>
      <c r="G422" s="144"/>
      <c r="H422" s="143"/>
      <c r="I422" s="143"/>
      <c r="J422" s="319"/>
      <c r="K422" s="319"/>
      <c r="L422" s="315"/>
      <c r="M422" s="315"/>
      <c r="N422" s="145"/>
      <c r="O422" s="145"/>
      <c r="P422" s="145"/>
      <c r="Q422" s="146"/>
      <c r="R422" s="147"/>
      <c r="S422" s="148"/>
      <c r="T422" s="148"/>
      <c r="U422" s="148"/>
      <c r="V422" s="148"/>
      <c r="W422" s="148"/>
      <c r="X422" s="148"/>
      <c r="Y422" s="148"/>
      <c r="Z422" s="148"/>
      <c r="AA422" s="148"/>
      <c r="AB422" s="148"/>
      <c r="AV422" s="150"/>
      <c r="AW422" s="150"/>
      <c r="AX422" s="150"/>
      <c r="AY422" s="150"/>
      <c r="AZ422" s="150"/>
      <c r="BA422" s="150"/>
      <c r="BB422" s="150"/>
      <c r="BC422" s="150"/>
      <c r="BD422" s="150"/>
      <c r="BE422" s="150"/>
      <c r="BF422" s="150"/>
      <c r="BG422" s="150"/>
      <c r="BH422" s="150"/>
      <c r="BI422" s="150"/>
      <c r="BJ422" s="150"/>
      <c r="BK422" s="150"/>
      <c r="BL422" s="150"/>
      <c r="BM422" s="150"/>
      <c r="BN422" s="150"/>
      <c r="BO422" s="150"/>
      <c r="BP422" s="150"/>
      <c r="BQ422" s="150"/>
      <c r="BR422" s="150"/>
      <c r="BS422" s="150"/>
      <c r="BT422" s="150"/>
      <c r="BU422" s="150"/>
      <c r="BV422" s="150"/>
      <c r="BW422" s="150"/>
      <c r="BX422" s="150"/>
      <c r="BY422" s="150"/>
      <c r="BZ422" s="150"/>
      <c r="CA422" s="150"/>
      <c r="CB422" s="150"/>
      <c r="CC422" s="150"/>
      <c r="CD422" s="150"/>
      <c r="CE422" s="150"/>
      <c r="CF422" s="150"/>
      <c r="CG422" s="150"/>
      <c r="CH422" s="150"/>
      <c r="CI422" s="150"/>
      <c r="CJ422" s="150"/>
      <c r="CK422" s="150"/>
      <c r="CL422" s="150"/>
      <c r="CM422" s="150"/>
      <c r="CN422" s="150"/>
      <c r="CO422" s="150"/>
      <c r="CP422" s="150"/>
      <c r="CQ422" s="150"/>
      <c r="CR422" s="150"/>
      <c r="CS422" s="150"/>
      <c r="CT422" s="150"/>
      <c r="CU422" s="150"/>
      <c r="CV422" s="150"/>
      <c r="CW422" s="150"/>
      <c r="CX422" s="150"/>
      <c r="CY422" s="150"/>
      <c r="CZ422" s="150"/>
      <c r="DA422" s="150"/>
      <c r="DB422" s="150"/>
      <c r="DC422" s="150"/>
      <c r="DD422" s="150"/>
      <c r="DE422" s="150"/>
      <c r="DF422" s="150"/>
      <c r="DG422" s="150"/>
      <c r="DH422" s="150"/>
      <c r="DI422" s="150"/>
      <c r="DJ422" s="150"/>
      <c r="DK422" s="150"/>
      <c r="DL422" s="150"/>
      <c r="DM422" s="150"/>
      <c r="DN422" s="150"/>
      <c r="DO422" s="150"/>
      <c r="DP422" s="150"/>
      <c r="DQ422" s="150"/>
      <c r="DR422" s="150"/>
      <c r="DS422" s="150"/>
      <c r="DT422" s="150"/>
      <c r="DU422" s="150"/>
      <c r="DV422" s="150"/>
      <c r="DW422" s="150"/>
      <c r="DX422" s="150"/>
      <c r="DY422" s="150"/>
      <c r="DZ422" s="150"/>
      <c r="EA422" s="150"/>
      <c r="EB422" s="150"/>
      <c r="EC422" s="150"/>
      <c r="ED422" s="150"/>
      <c r="EE422" s="150"/>
      <c r="EF422" s="150"/>
      <c r="EG422" s="150"/>
      <c r="EH422" s="150"/>
      <c r="EI422" s="150"/>
      <c r="EJ422" s="150"/>
      <c r="EK422" s="150"/>
      <c r="EL422" s="150"/>
      <c r="EM422" s="150"/>
      <c r="EN422" s="150"/>
      <c r="EO422" s="150"/>
      <c r="EP422" s="150"/>
      <c r="EQ422" s="150"/>
      <c r="ER422" s="150"/>
      <c r="ES422" s="150"/>
      <c r="ET422" s="150"/>
      <c r="EU422" s="150"/>
      <c r="EV422" s="150"/>
      <c r="EW422" s="150"/>
      <c r="EX422" s="150"/>
      <c r="EY422" s="150"/>
      <c r="EZ422" s="150"/>
      <c r="FA422" s="150"/>
      <c r="FB422" s="150"/>
      <c r="FC422" s="150"/>
      <c r="FD422" s="150"/>
      <c r="FE422" s="150"/>
      <c r="FF422" s="150"/>
      <c r="FG422" s="150"/>
      <c r="FH422" s="150"/>
      <c r="FI422" s="150"/>
      <c r="FJ422" s="150"/>
      <c r="FK422" s="150"/>
      <c r="FL422" s="150"/>
      <c r="FM422" s="150"/>
      <c r="FN422" s="150"/>
    </row>
    <row r="423" spans="1:170" s="149" customFormat="1" x14ac:dyDescent="0.25">
      <c r="A423" s="142"/>
      <c r="B423" s="142"/>
      <c r="C423" s="142"/>
      <c r="D423" s="144"/>
      <c r="E423" s="143"/>
      <c r="F423" s="143"/>
      <c r="G423" s="144"/>
      <c r="H423" s="143"/>
      <c r="I423" s="143"/>
      <c r="J423" s="319"/>
      <c r="K423" s="319"/>
      <c r="L423" s="315"/>
      <c r="M423" s="315"/>
      <c r="N423" s="145"/>
      <c r="O423" s="145"/>
      <c r="P423" s="145"/>
      <c r="Q423" s="146"/>
      <c r="R423" s="147"/>
      <c r="S423" s="148"/>
      <c r="T423" s="148"/>
      <c r="U423" s="148"/>
      <c r="V423" s="148"/>
      <c r="W423" s="148"/>
      <c r="X423" s="148"/>
      <c r="Y423" s="148"/>
      <c r="Z423" s="148"/>
      <c r="AA423" s="148"/>
      <c r="AB423" s="148"/>
      <c r="AV423" s="150"/>
      <c r="AW423" s="150"/>
      <c r="AX423" s="150"/>
      <c r="AY423" s="150"/>
      <c r="AZ423" s="150"/>
      <c r="BA423" s="150"/>
      <c r="BB423" s="150"/>
      <c r="BC423" s="150"/>
      <c r="BD423" s="150"/>
      <c r="BE423" s="150"/>
      <c r="BF423" s="150"/>
      <c r="BG423" s="150"/>
      <c r="BH423" s="150"/>
      <c r="BI423" s="150"/>
      <c r="BJ423" s="150"/>
      <c r="BK423" s="150"/>
      <c r="BL423" s="150"/>
      <c r="BM423" s="150"/>
      <c r="BN423" s="150"/>
      <c r="BO423" s="150"/>
      <c r="BP423" s="150"/>
      <c r="BQ423" s="150"/>
      <c r="BR423" s="150"/>
      <c r="BS423" s="150"/>
      <c r="BT423" s="150"/>
      <c r="BU423" s="150"/>
      <c r="BV423" s="150"/>
      <c r="BW423" s="150"/>
      <c r="BX423" s="150"/>
      <c r="BY423" s="150"/>
      <c r="BZ423" s="150"/>
      <c r="CA423" s="150"/>
      <c r="CB423" s="150"/>
      <c r="CC423" s="150"/>
      <c r="CD423" s="150"/>
      <c r="CE423" s="150"/>
      <c r="CF423" s="150"/>
      <c r="CG423" s="150"/>
      <c r="CH423" s="150"/>
      <c r="CI423" s="150"/>
      <c r="CJ423" s="150"/>
      <c r="CK423" s="150"/>
      <c r="CL423" s="150"/>
      <c r="CM423" s="150"/>
      <c r="CN423" s="150"/>
      <c r="CO423" s="150"/>
      <c r="CP423" s="150"/>
      <c r="CQ423" s="150"/>
      <c r="CR423" s="150"/>
      <c r="CS423" s="150"/>
      <c r="CT423" s="150"/>
      <c r="CU423" s="150"/>
      <c r="CV423" s="150"/>
      <c r="CW423" s="150"/>
      <c r="CX423" s="150"/>
      <c r="CY423" s="150"/>
      <c r="CZ423" s="150"/>
      <c r="DA423" s="150"/>
      <c r="DB423" s="150"/>
      <c r="DC423" s="150"/>
      <c r="DD423" s="150"/>
      <c r="DE423" s="150"/>
      <c r="DF423" s="150"/>
      <c r="DG423" s="150"/>
      <c r="DH423" s="150"/>
      <c r="DI423" s="150"/>
      <c r="DJ423" s="150"/>
      <c r="DK423" s="150"/>
      <c r="DL423" s="150"/>
      <c r="DM423" s="150"/>
      <c r="DN423" s="150"/>
      <c r="DO423" s="150"/>
      <c r="DP423" s="150"/>
      <c r="DQ423" s="150"/>
      <c r="DR423" s="150"/>
      <c r="DS423" s="150"/>
      <c r="DT423" s="150"/>
      <c r="DU423" s="150"/>
      <c r="DV423" s="150"/>
      <c r="DW423" s="150"/>
      <c r="DX423" s="150"/>
      <c r="DY423" s="150"/>
      <c r="DZ423" s="150"/>
      <c r="EA423" s="150"/>
      <c r="EB423" s="150"/>
      <c r="EC423" s="150"/>
      <c r="ED423" s="150"/>
      <c r="EE423" s="150"/>
      <c r="EF423" s="150"/>
      <c r="EG423" s="150"/>
      <c r="EH423" s="150"/>
      <c r="EI423" s="150"/>
      <c r="EJ423" s="150"/>
      <c r="EK423" s="150"/>
      <c r="EL423" s="150"/>
      <c r="EM423" s="150"/>
      <c r="EN423" s="150"/>
      <c r="EO423" s="150"/>
      <c r="EP423" s="150"/>
      <c r="EQ423" s="150"/>
      <c r="ER423" s="150"/>
      <c r="ES423" s="150"/>
      <c r="ET423" s="150"/>
      <c r="EU423" s="150"/>
      <c r="EV423" s="150"/>
      <c r="EW423" s="150"/>
      <c r="EX423" s="150"/>
      <c r="EY423" s="150"/>
      <c r="EZ423" s="150"/>
      <c r="FA423" s="150"/>
      <c r="FB423" s="150"/>
      <c r="FC423" s="150"/>
      <c r="FD423" s="150"/>
      <c r="FE423" s="150"/>
      <c r="FF423" s="150"/>
      <c r="FG423" s="150"/>
      <c r="FH423" s="150"/>
      <c r="FI423" s="150"/>
      <c r="FJ423" s="150"/>
      <c r="FK423" s="150"/>
      <c r="FL423" s="150"/>
      <c r="FM423" s="150"/>
      <c r="FN423" s="150"/>
    </row>
    <row r="424" spans="1:170" s="149" customFormat="1" x14ac:dyDescent="0.25">
      <c r="A424" s="142"/>
      <c r="B424" s="142"/>
      <c r="C424" s="142"/>
      <c r="D424" s="144"/>
      <c r="E424" s="143"/>
      <c r="F424" s="143"/>
      <c r="G424" s="144"/>
      <c r="H424" s="143"/>
      <c r="I424" s="143"/>
      <c r="J424" s="319"/>
      <c r="K424" s="319"/>
      <c r="L424" s="315"/>
      <c r="M424" s="315"/>
      <c r="N424" s="145"/>
      <c r="O424" s="145"/>
      <c r="P424" s="145"/>
      <c r="Q424" s="146"/>
      <c r="R424" s="147"/>
      <c r="S424" s="148"/>
      <c r="T424" s="148"/>
      <c r="U424" s="148"/>
      <c r="V424" s="148"/>
      <c r="W424" s="148"/>
      <c r="X424" s="148"/>
      <c r="Y424" s="148"/>
      <c r="Z424" s="148"/>
      <c r="AA424" s="148"/>
      <c r="AB424" s="148"/>
      <c r="AV424" s="150"/>
      <c r="AW424" s="150"/>
      <c r="AX424" s="150"/>
      <c r="AY424" s="150"/>
      <c r="AZ424" s="150"/>
      <c r="BA424" s="150"/>
      <c r="BB424" s="150"/>
      <c r="BC424" s="150"/>
      <c r="BD424" s="150"/>
      <c r="BE424" s="150"/>
      <c r="BF424" s="150"/>
      <c r="BG424" s="150"/>
      <c r="BH424" s="150"/>
      <c r="BI424" s="150"/>
      <c r="BJ424" s="150"/>
      <c r="BK424" s="150"/>
      <c r="BL424" s="150"/>
      <c r="BM424" s="150"/>
      <c r="BN424" s="150"/>
      <c r="BO424" s="150"/>
      <c r="BP424" s="150"/>
      <c r="BQ424" s="150"/>
      <c r="BR424" s="150"/>
      <c r="BS424" s="150"/>
      <c r="BT424" s="150"/>
      <c r="BU424" s="150"/>
      <c r="BV424" s="150"/>
      <c r="BW424" s="150"/>
      <c r="BX424" s="150"/>
      <c r="BY424" s="150"/>
      <c r="BZ424" s="150"/>
      <c r="CA424" s="150"/>
      <c r="CB424" s="150"/>
      <c r="CC424" s="150"/>
      <c r="CD424" s="150"/>
      <c r="CE424" s="150"/>
      <c r="CF424" s="150"/>
      <c r="CG424" s="150"/>
      <c r="CH424" s="150"/>
      <c r="CI424" s="150"/>
      <c r="CJ424" s="150"/>
      <c r="CK424" s="150"/>
      <c r="CL424" s="150"/>
      <c r="CM424" s="150"/>
      <c r="CN424" s="150"/>
      <c r="CO424" s="150"/>
      <c r="CP424" s="150"/>
      <c r="CQ424" s="150"/>
      <c r="CR424" s="150"/>
      <c r="CS424" s="150"/>
      <c r="CT424" s="150"/>
      <c r="CU424" s="150"/>
      <c r="CV424" s="150"/>
      <c r="CW424" s="150"/>
      <c r="CX424" s="150"/>
      <c r="CY424" s="150"/>
      <c r="CZ424" s="150"/>
      <c r="DA424" s="150"/>
      <c r="DB424" s="150"/>
      <c r="DC424" s="150"/>
      <c r="DD424" s="150"/>
      <c r="DE424" s="150"/>
      <c r="DF424" s="150"/>
      <c r="DG424" s="150"/>
      <c r="DH424" s="150"/>
      <c r="DI424" s="150"/>
      <c r="DJ424" s="150"/>
      <c r="DK424" s="150"/>
      <c r="DL424" s="150"/>
      <c r="DM424" s="150"/>
      <c r="DN424" s="150"/>
      <c r="DO424" s="150"/>
      <c r="DP424" s="150"/>
      <c r="DQ424" s="150"/>
      <c r="DR424" s="150"/>
      <c r="DS424" s="150"/>
      <c r="DT424" s="150"/>
      <c r="DU424" s="150"/>
      <c r="DV424" s="150"/>
      <c r="DW424" s="150"/>
      <c r="DX424" s="150"/>
      <c r="DY424" s="150"/>
      <c r="DZ424" s="150"/>
      <c r="EA424" s="150"/>
      <c r="EB424" s="150"/>
      <c r="EC424" s="150"/>
      <c r="ED424" s="150"/>
      <c r="EE424" s="150"/>
      <c r="EF424" s="150"/>
      <c r="EG424" s="150"/>
      <c r="EH424" s="150"/>
      <c r="EI424" s="150"/>
      <c r="EJ424" s="150"/>
      <c r="EK424" s="150"/>
      <c r="EL424" s="150"/>
      <c r="EM424" s="150"/>
      <c r="EN424" s="150"/>
      <c r="EO424" s="150"/>
      <c r="EP424" s="150"/>
      <c r="EQ424" s="150"/>
      <c r="ER424" s="150"/>
      <c r="ES424" s="150"/>
      <c r="ET424" s="150"/>
      <c r="EU424" s="150"/>
      <c r="EV424" s="150"/>
      <c r="EW424" s="150"/>
      <c r="EX424" s="150"/>
      <c r="EY424" s="150"/>
      <c r="EZ424" s="150"/>
      <c r="FA424" s="150"/>
      <c r="FB424" s="150"/>
      <c r="FC424" s="150"/>
      <c r="FD424" s="150"/>
      <c r="FE424" s="150"/>
      <c r="FF424" s="150"/>
      <c r="FG424" s="150"/>
      <c r="FH424" s="150"/>
      <c r="FI424" s="150"/>
      <c r="FJ424" s="150"/>
      <c r="FK424" s="150"/>
      <c r="FL424" s="150"/>
      <c r="FM424" s="150"/>
      <c r="FN424" s="150"/>
    </row>
    <row r="425" spans="1:170" s="149" customFormat="1" x14ac:dyDescent="0.25">
      <c r="A425" s="142"/>
      <c r="B425" s="142"/>
      <c r="C425" s="142"/>
      <c r="D425" s="144"/>
      <c r="E425" s="143"/>
      <c r="F425" s="143"/>
      <c r="G425" s="144"/>
      <c r="H425" s="143"/>
      <c r="I425" s="143"/>
      <c r="J425" s="319"/>
      <c r="K425" s="319"/>
      <c r="L425" s="315"/>
      <c r="M425" s="315"/>
      <c r="N425" s="145"/>
      <c r="O425" s="145"/>
      <c r="P425" s="145"/>
      <c r="Q425" s="146"/>
      <c r="R425" s="147"/>
      <c r="S425" s="148"/>
      <c r="T425" s="148"/>
      <c r="U425" s="148"/>
      <c r="V425" s="148"/>
      <c r="W425" s="148"/>
      <c r="X425" s="148"/>
      <c r="Y425" s="148"/>
      <c r="Z425" s="148"/>
      <c r="AA425" s="148"/>
      <c r="AB425" s="148"/>
      <c r="AV425" s="150"/>
      <c r="AW425" s="150"/>
      <c r="AX425" s="150"/>
      <c r="AY425" s="150"/>
      <c r="AZ425" s="150"/>
      <c r="BA425" s="150"/>
      <c r="BB425" s="150"/>
      <c r="BC425" s="150"/>
      <c r="BD425" s="150"/>
      <c r="BE425" s="150"/>
      <c r="BF425" s="150"/>
      <c r="BG425" s="150"/>
      <c r="BH425" s="150"/>
      <c r="BI425" s="150"/>
      <c r="BJ425" s="150"/>
      <c r="BK425" s="150"/>
      <c r="BL425" s="150"/>
      <c r="BM425" s="150"/>
      <c r="BN425" s="150"/>
      <c r="BO425" s="150"/>
      <c r="BP425" s="150"/>
      <c r="BQ425" s="150"/>
      <c r="BR425" s="150"/>
      <c r="BS425" s="150"/>
      <c r="BT425" s="150"/>
      <c r="BU425" s="150"/>
      <c r="BV425" s="150"/>
      <c r="BW425" s="150"/>
      <c r="BX425" s="150"/>
      <c r="BY425" s="150"/>
      <c r="BZ425" s="150"/>
      <c r="CA425" s="150"/>
      <c r="CB425" s="150"/>
      <c r="CC425" s="150"/>
      <c r="CD425" s="150"/>
      <c r="CE425" s="150"/>
      <c r="CF425" s="150"/>
      <c r="CG425" s="150"/>
      <c r="CH425" s="150"/>
      <c r="CI425" s="150"/>
      <c r="CJ425" s="150"/>
      <c r="CK425" s="150"/>
      <c r="CL425" s="150"/>
      <c r="CM425" s="150"/>
      <c r="CN425" s="150"/>
      <c r="CO425" s="150"/>
      <c r="CP425" s="150"/>
      <c r="CQ425" s="150"/>
      <c r="CR425" s="150"/>
      <c r="CS425" s="150"/>
      <c r="CT425" s="150"/>
      <c r="CU425" s="150"/>
      <c r="CV425" s="150"/>
      <c r="CW425" s="150"/>
      <c r="CX425" s="150"/>
      <c r="CY425" s="150"/>
      <c r="CZ425" s="150"/>
      <c r="DA425" s="150"/>
      <c r="DB425" s="150"/>
      <c r="DC425" s="150"/>
      <c r="DD425" s="150"/>
      <c r="DE425" s="150"/>
      <c r="DF425" s="150"/>
      <c r="DG425" s="150"/>
      <c r="DH425" s="150"/>
      <c r="DI425" s="150"/>
      <c r="DJ425" s="150"/>
      <c r="DK425" s="150"/>
      <c r="DL425" s="150"/>
      <c r="DM425" s="150"/>
      <c r="DN425" s="150"/>
      <c r="DO425" s="150"/>
      <c r="DP425" s="150"/>
      <c r="DQ425" s="150"/>
      <c r="DR425" s="150"/>
      <c r="DS425" s="150"/>
      <c r="DT425" s="150"/>
      <c r="DU425" s="150"/>
      <c r="DV425" s="150"/>
      <c r="DW425" s="150"/>
      <c r="DX425" s="150"/>
      <c r="DY425" s="150"/>
      <c r="DZ425" s="150"/>
      <c r="EA425" s="150"/>
      <c r="EB425" s="150"/>
      <c r="EC425" s="150"/>
      <c r="ED425" s="150"/>
      <c r="EE425" s="150"/>
      <c r="EF425" s="150"/>
      <c r="EG425" s="150"/>
      <c r="EH425" s="150"/>
      <c r="EI425" s="150"/>
      <c r="EJ425" s="150"/>
      <c r="EK425" s="150"/>
      <c r="EL425" s="150"/>
      <c r="EM425" s="150"/>
      <c r="EN425" s="150"/>
      <c r="EO425" s="150"/>
      <c r="EP425" s="150"/>
      <c r="EQ425" s="150"/>
      <c r="ER425" s="150"/>
      <c r="ES425" s="150"/>
      <c r="ET425" s="150"/>
      <c r="EU425" s="150"/>
      <c r="EV425" s="150"/>
      <c r="EW425" s="150"/>
      <c r="EX425" s="150"/>
      <c r="EY425" s="150"/>
      <c r="EZ425" s="150"/>
      <c r="FA425" s="150"/>
      <c r="FB425" s="150"/>
      <c r="FC425" s="150"/>
      <c r="FD425" s="150"/>
      <c r="FE425" s="150"/>
      <c r="FF425" s="150"/>
      <c r="FG425" s="150"/>
      <c r="FH425" s="150"/>
      <c r="FI425" s="150"/>
      <c r="FJ425" s="150"/>
      <c r="FK425" s="150"/>
      <c r="FL425" s="150"/>
      <c r="FM425" s="150"/>
      <c r="FN425" s="150"/>
    </row>
    <row r="426" spans="1:170" s="149" customFormat="1" x14ac:dyDescent="0.25">
      <c r="A426" s="142"/>
      <c r="B426" s="142"/>
      <c r="C426" s="142"/>
      <c r="D426" s="144"/>
      <c r="E426" s="143"/>
      <c r="F426" s="143"/>
      <c r="G426" s="144"/>
      <c r="H426" s="143"/>
      <c r="I426" s="143"/>
      <c r="J426" s="319"/>
      <c r="K426" s="319"/>
      <c r="L426" s="315"/>
      <c r="M426" s="315"/>
      <c r="N426" s="145"/>
      <c r="O426" s="145"/>
      <c r="P426" s="145"/>
      <c r="Q426" s="146"/>
      <c r="R426" s="147"/>
      <c r="S426" s="148"/>
      <c r="T426" s="148"/>
      <c r="U426" s="148"/>
      <c r="V426" s="148"/>
      <c r="W426" s="148"/>
      <c r="X426" s="148"/>
      <c r="Y426" s="148"/>
      <c r="Z426" s="148"/>
      <c r="AA426" s="148"/>
      <c r="AB426" s="148"/>
      <c r="AV426" s="150"/>
      <c r="AW426" s="150"/>
      <c r="AX426" s="150"/>
      <c r="AY426" s="150"/>
      <c r="AZ426" s="150"/>
      <c r="BA426" s="150"/>
      <c r="BB426" s="150"/>
      <c r="BC426" s="150"/>
      <c r="BD426" s="150"/>
      <c r="BE426" s="150"/>
      <c r="BF426" s="150"/>
      <c r="BG426" s="150"/>
      <c r="BH426" s="150"/>
      <c r="BI426" s="150"/>
      <c r="BJ426" s="150"/>
      <c r="BK426" s="150"/>
      <c r="BL426" s="150"/>
      <c r="BM426" s="150"/>
      <c r="BN426" s="150"/>
      <c r="BO426" s="150"/>
      <c r="BP426" s="150"/>
      <c r="BQ426" s="150"/>
      <c r="BR426" s="150"/>
      <c r="BS426" s="150"/>
      <c r="BT426" s="150"/>
      <c r="BU426" s="150"/>
      <c r="BV426" s="150"/>
      <c r="BW426" s="150"/>
      <c r="BX426" s="150"/>
      <c r="BY426" s="150"/>
      <c r="BZ426" s="150"/>
      <c r="CA426" s="150"/>
      <c r="CB426" s="150"/>
      <c r="CC426" s="150"/>
      <c r="CD426" s="150"/>
      <c r="CE426" s="150"/>
      <c r="CF426" s="150"/>
      <c r="CG426" s="150"/>
      <c r="CH426" s="150"/>
      <c r="CI426" s="150"/>
      <c r="CJ426" s="150"/>
      <c r="CK426" s="150"/>
      <c r="CL426" s="150"/>
      <c r="CM426" s="150"/>
      <c r="CN426" s="150"/>
      <c r="CO426" s="150"/>
      <c r="CP426" s="150"/>
      <c r="CQ426" s="150"/>
      <c r="CR426" s="150"/>
      <c r="CS426" s="150"/>
      <c r="CT426" s="150"/>
      <c r="CU426" s="150"/>
      <c r="CV426" s="150"/>
      <c r="CW426" s="150"/>
      <c r="CX426" s="150"/>
      <c r="CY426" s="150"/>
      <c r="CZ426" s="150"/>
      <c r="DA426" s="150"/>
      <c r="DB426" s="150"/>
      <c r="DC426" s="150"/>
      <c r="DD426" s="150"/>
      <c r="DE426" s="150"/>
      <c r="DF426" s="150"/>
      <c r="DG426" s="150"/>
      <c r="DH426" s="150"/>
      <c r="DI426" s="150"/>
      <c r="DJ426" s="150"/>
      <c r="DK426" s="150"/>
      <c r="DL426" s="150"/>
      <c r="DM426" s="150"/>
      <c r="DN426" s="150"/>
      <c r="DO426" s="150"/>
      <c r="DP426" s="150"/>
      <c r="DQ426" s="150"/>
      <c r="DR426" s="150"/>
      <c r="DS426" s="150"/>
      <c r="DT426" s="150"/>
      <c r="DU426" s="150"/>
      <c r="DV426" s="150"/>
      <c r="DW426" s="150"/>
      <c r="DX426" s="150"/>
      <c r="DY426" s="150"/>
      <c r="DZ426" s="150"/>
      <c r="EA426" s="150"/>
      <c r="EB426" s="150"/>
      <c r="EC426" s="150"/>
      <c r="ED426" s="150"/>
      <c r="EE426" s="150"/>
      <c r="EF426" s="150"/>
      <c r="EG426" s="150"/>
      <c r="EH426" s="150"/>
      <c r="EI426" s="150"/>
      <c r="EJ426" s="150"/>
      <c r="EK426" s="150"/>
      <c r="EL426" s="150"/>
      <c r="EM426" s="150"/>
      <c r="EN426" s="150"/>
      <c r="EO426" s="150"/>
      <c r="EP426" s="150"/>
      <c r="EQ426" s="150"/>
      <c r="ER426" s="150"/>
      <c r="ES426" s="150"/>
      <c r="ET426" s="150"/>
      <c r="EU426" s="150"/>
      <c r="EV426" s="150"/>
      <c r="EW426" s="150"/>
      <c r="EX426" s="150"/>
      <c r="EY426" s="150"/>
      <c r="EZ426" s="150"/>
      <c r="FA426" s="150"/>
      <c r="FB426" s="150"/>
      <c r="FC426" s="150"/>
      <c r="FD426" s="150"/>
      <c r="FE426" s="150"/>
      <c r="FF426" s="150"/>
      <c r="FG426" s="150"/>
      <c r="FH426" s="150"/>
      <c r="FI426" s="150"/>
      <c r="FJ426" s="150"/>
      <c r="FK426" s="150"/>
      <c r="FL426" s="150"/>
      <c r="FM426" s="150"/>
      <c r="FN426" s="150"/>
    </row>
    <row r="427" spans="1:170" s="149" customFormat="1" x14ac:dyDescent="0.25">
      <c r="A427" s="142"/>
      <c r="B427" s="142"/>
      <c r="C427" s="142"/>
      <c r="D427" s="144"/>
      <c r="E427" s="143"/>
      <c r="F427" s="143"/>
      <c r="G427" s="144"/>
      <c r="H427" s="143"/>
      <c r="I427" s="143"/>
      <c r="J427" s="319"/>
      <c r="K427" s="319"/>
      <c r="L427" s="315"/>
      <c r="M427" s="315"/>
      <c r="N427" s="145"/>
      <c r="O427" s="145"/>
      <c r="P427" s="145"/>
      <c r="Q427" s="146"/>
      <c r="R427" s="147"/>
      <c r="S427" s="148"/>
      <c r="T427" s="148"/>
      <c r="U427" s="148"/>
      <c r="V427" s="148"/>
      <c r="W427" s="148"/>
      <c r="X427" s="148"/>
      <c r="Y427" s="148"/>
      <c r="Z427" s="148"/>
      <c r="AA427" s="148"/>
      <c r="AB427" s="148"/>
      <c r="AV427" s="150"/>
      <c r="AW427" s="150"/>
      <c r="AX427" s="150"/>
      <c r="AY427" s="150"/>
      <c r="AZ427" s="150"/>
      <c r="BA427" s="150"/>
      <c r="BB427" s="150"/>
      <c r="BC427" s="150"/>
      <c r="BD427" s="150"/>
      <c r="BE427" s="150"/>
      <c r="BF427" s="150"/>
      <c r="BG427" s="150"/>
      <c r="BH427" s="150"/>
      <c r="BI427" s="150"/>
      <c r="BJ427" s="150"/>
      <c r="BK427" s="150"/>
      <c r="BL427" s="150"/>
      <c r="BM427" s="150"/>
      <c r="BN427" s="150"/>
      <c r="BO427" s="150"/>
      <c r="BP427" s="150"/>
      <c r="BQ427" s="150"/>
      <c r="BR427" s="150"/>
      <c r="BS427" s="150"/>
      <c r="BT427" s="150"/>
      <c r="BU427" s="150"/>
      <c r="BV427" s="150"/>
      <c r="BW427" s="150"/>
      <c r="BX427" s="150"/>
      <c r="BY427" s="150"/>
      <c r="BZ427" s="150"/>
      <c r="CA427" s="150"/>
      <c r="CB427" s="150"/>
      <c r="CC427" s="150"/>
      <c r="CD427" s="150"/>
      <c r="CE427" s="150"/>
      <c r="CF427" s="150"/>
      <c r="CG427" s="150"/>
      <c r="CH427" s="150"/>
      <c r="CI427" s="150"/>
      <c r="CJ427" s="150"/>
      <c r="CK427" s="150"/>
      <c r="CL427" s="150"/>
      <c r="CM427" s="150"/>
      <c r="CN427" s="150"/>
      <c r="CO427" s="150"/>
      <c r="CP427" s="150"/>
      <c r="CQ427" s="150"/>
      <c r="CR427" s="150"/>
      <c r="CS427" s="150"/>
      <c r="CT427" s="150"/>
      <c r="CU427" s="150"/>
      <c r="CV427" s="150"/>
      <c r="CW427" s="150"/>
      <c r="CX427" s="150"/>
      <c r="CY427" s="150"/>
      <c r="CZ427" s="150"/>
      <c r="DA427" s="150"/>
      <c r="DB427" s="150"/>
      <c r="DC427" s="150"/>
      <c r="DD427" s="150"/>
      <c r="DE427" s="150"/>
      <c r="DF427" s="150"/>
      <c r="DG427" s="150"/>
      <c r="DH427" s="150"/>
      <c r="DI427" s="150"/>
      <c r="DJ427" s="150"/>
      <c r="DK427" s="150"/>
      <c r="DL427" s="150"/>
      <c r="DM427" s="150"/>
      <c r="DN427" s="150"/>
      <c r="DO427" s="150"/>
      <c r="DP427" s="150"/>
      <c r="DQ427" s="150"/>
      <c r="DR427" s="150"/>
      <c r="DS427" s="150"/>
      <c r="DT427" s="150"/>
      <c r="DU427" s="150"/>
      <c r="DV427" s="150"/>
      <c r="DW427" s="150"/>
      <c r="DX427" s="150"/>
      <c r="DY427" s="150"/>
      <c r="DZ427" s="150"/>
      <c r="EA427" s="150"/>
      <c r="EB427" s="150"/>
      <c r="EC427" s="150"/>
      <c r="ED427" s="150"/>
      <c r="EE427" s="150"/>
      <c r="EF427" s="150"/>
      <c r="EG427" s="150"/>
      <c r="EH427" s="150"/>
      <c r="EI427" s="150"/>
      <c r="EJ427" s="150"/>
      <c r="EK427" s="150"/>
      <c r="EL427" s="150"/>
      <c r="EM427" s="150"/>
      <c r="EN427" s="150"/>
      <c r="EO427" s="150"/>
      <c r="EP427" s="150"/>
      <c r="EQ427" s="150"/>
      <c r="ER427" s="150"/>
      <c r="ES427" s="150"/>
      <c r="ET427" s="150"/>
      <c r="EU427" s="150"/>
      <c r="EV427" s="150"/>
      <c r="EW427" s="150"/>
      <c r="EX427" s="150"/>
      <c r="EY427" s="150"/>
      <c r="EZ427" s="150"/>
      <c r="FA427" s="150"/>
      <c r="FB427" s="150"/>
      <c r="FC427" s="150"/>
      <c r="FD427" s="150"/>
      <c r="FE427" s="150"/>
      <c r="FF427" s="150"/>
      <c r="FG427" s="150"/>
      <c r="FH427" s="150"/>
      <c r="FI427" s="150"/>
      <c r="FJ427" s="150"/>
      <c r="FK427" s="150"/>
      <c r="FL427" s="150"/>
      <c r="FM427" s="150"/>
      <c r="FN427" s="150"/>
    </row>
    <row r="428" spans="1:170" s="149" customFormat="1" x14ac:dyDescent="0.25">
      <c r="A428" s="142"/>
      <c r="B428" s="142"/>
      <c r="C428" s="142"/>
      <c r="D428" s="144"/>
      <c r="E428" s="143"/>
      <c r="F428" s="143"/>
      <c r="G428" s="144"/>
      <c r="H428" s="143"/>
      <c r="I428" s="143"/>
      <c r="J428" s="319"/>
      <c r="K428" s="319"/>
      <c r="L428" s="315"/>
      <c r="M428" s="315"/>
      <c r="N428" s="145"/>
      <c r="O428" s="145"/>
      <c r="P428" s="145"/>
      <c r="Q428" s="146"/>
      <c r="R428" s="147"/>
      <c r="S428" s="148"/>
      <c r="T428" s="148"/>
      <c r="U428" s="148"/>
      <c r="V428" s="148"/>
      <c r="W428" s="148"/>
      <c r="X428" s="148"/>
      <c r="Y428" s="148"/>
      <c r="Z428" s="148"/>
      <c r="AA428" s="148"/>
      <c r="AB428" s="148"/>
      <c r="AV428" s="150"/>
      <c r="AW428" s="150"/>
      <c r="AX428" s="150"/>
      <c r="AY428" s="150"/>
      <c r="AZ428" s="150"/>
      <c r="BA428" s="150"/>
      <c r="BB428" s="150"/>
      <c r="BC428" s="150"/>
      <c r="BD428" s="150"/>
      <c r="BE428" s="150"/>
      <c r="BF428" s="150"/>
      <c r="BG428" s="150"/>
      <c r="BH428" s="150"/>
      <c r="BI428" s="150"/>
      <c r="BJ428" s="150"/>
      <c r="BK428" s="150"/>
      <c r="BL428" s="150"/>
      <c r="BM428" s="150"/>
      <c r="BN428" s="150"/>
      <c r="BO428" s="150"/>
      <c r="BP428" s="150"/>
      <c r="BQ428" s="150"/>
      <c r="BR428" s="150"/>
      <c r="BS428" s="150"/>
      <c r="BT428" s="150"/>
      <c r="BU428" s="150"/>
      <c r="BV428" s="150"/>
      <c r="BW428" s="150"/>
      <c r="BX428" s="150"/>
      <c r="BY428" s="150"/>
      <c r="BZ428" s="150"/>
      <c r="CA428" s="150"/>
      <c r="CB428" s="150"/>
      <c r="CC428" s="150"/>
      <c r="CD428" s="150"/>
      <c r="CE428" s="150"/>
      <c r="CF428" s="150"/>
      <c r="CG428" s="150"/>
      <c r="CH428" s="150"/>
      <c r="CI428" s="150"/>
      <c r="CJ428" s="150"/>
      <c r="CK428" s="150"/>
      <c r="CL428" s="150"/>
      <c r="CM428" s="150"/>
      <c r="CN428" s="150"/>
      <c r="CO428" s="150"/>
      <c r="CP428" s="150"/>
      <c r="CQ428" s="150"/>
      <c r="CR428" s="150"/>
      <c r="CS428" s="150"/>
      <c r="CT428" s="150"/>
      <c r="CU428" s="150"/>
      <c r="CV428" s="150"/>
      <c r="CW428" s="150"/>
      <c r="CX428" s="150"/>
      <c r="CY428" s="150"/>
      <c r="CZ428" s="150"/>
      <c r="DA428" s="150"/>
      <c r="DB428" s="150"/>
      <c r="DC428" s="150"/>
      <c r="DD428" s="150"/>
      <c r="DE428" s="150"/>
      <c r="DF428" s="150"/>
      <c r="DG428" s="150"/>
      <c r="DH428" s="150"/>
      <c r="DI428" s="150"/>
      <c r="DJ428" s="150"/>
      <c r="DK428" s="150"/>
      <c r="DL428" s="150"/>
      <c r="DM428" s="150"/>
      <c r="DN428" s="150"/>
      <c r="DO428" s="150"/>
      <c r="DP428" s="150"/>
      <c r="DQ428" s="150"/>
      <c r="DR428" s="150"/>
      <c r="DS428" s="150"/>
      <c r="DT428" s="150"/>
      <c r="DU428" s="150"/>
      <c r="DV428" s="150"/>
      <c r="DW428" s="150"/>
      <c r="DX428" s="150"/>
      <c r="DY428" s="150"/>
      <c r="DZ428" s="150"/>
      <c r="EA428" s="150"/>
      <c r="EB428" s="150"/>
      <c r="EC428" s="150"/>
      <c r="ED428" s="150"/>
      <c r="EE428" s="150"/>
      <c r="EF428" s="150"/>
      <c r="EG428" s="150"/>
      <c r="EH428" s="150"/>
      <c r="EI428" s="150"/>
      <c r="EJ428" s="150"/>
      <c r="EK428" s="150"/>
      <c r="EL428" s="150"/>
      <c r="EM428" s="150"/>
      <c r="EN428" s="150"/>
      <c r="EO428" s="150"/>
      <c r="EP428" s="150"/>
      <c r="EQ428" s="150"/>
      <c r="ER428" s="150"/>
      <c r="ES428" s="150"/>
      <c r="ET428" s="150"/>
      <c r="EU428" s="150"/>
      <c r="EV428" s="150"/>
      <c r="EW428" s="150"/>
      <c r="EX428" s="150"/>
      <c r="EY428" s="150"/>
      <c r="EZ428" s="150"/>
      <c r="FA428" s="150"/>
      <c r="FB428" s="150"/>
      <c r="FC428" s="150"/>
      <c r="FD428" s="150"/>
      <c r="FE428" s="150"/>
      <c r="FF428" s="150"/>
      <c r="FG428" s="150"/>
      <c r="FH428" s="150"/>
      <c r="FI428" s="150"/>
      <c r="FJ428" s="150"/>
      <c r="FK428" s="150"/>
      <c r="FL428" s="150"/>
      <c r="FM428" s="150"/>
      <c r="FN428" s="150"/>
    </row>
    <row r="429" spans="1:170" s="149" customFormat="1" x14ac:dyDescent="0.25">
      <c r="A429" s="142"/>
      <c r="B429" s="142"/>
      <c r="C429" s="142"/>
      <c r="D429" s="144"/>
      <c r="E429" s="143"/>
      <c r="F429" s="143"/>
      <c r="G429" s="144"/>
      <c r="H429" s="143"/>
      <c r="I429" s="143"/>
      <c r="J429" s="319"/>
      <c r="K429" s="319"/>
      <c r="L429" s="315"/>
      <c r="M429" s="315"/>
      <c r="N429" s="145"/>
      <c r="O429" s="145"/>
      <c r="P429" s="145"/>
      <c r="Q429" s="146"/>
      <c r="R429" s="147"/>
      <c r="S429" s="148"/>
      <c r="T429" s="148"/>
      <c r="U429" s="148"/>
      <c r="V429" s="148"/>
      <c r="W429" s="148"/>
      <c r="X429" s="148"/>
      <c r="Y429" s="148"/>
      <c r="Z429" s="148"/>
      <c r="AA429" s="148"/>
      <c r="AB429" s="148"/>
      <c r="AV429" s="150"/>
      <c r="AW429" s="150"/>
      <c r="AX429" s="150"/>
      <c r="AY429" s="150"/>
      <c r="AZ429" s="150"/>
      <c r="BA429" s="150"/>
      <c r="BB429" s="150"/>
      <c r="BC429" s="150"/>
      <c r="BD429" s="150"/>
      <c r="BE429" s="150"/>
      <c r="BF429" s="150"/>
      <c r="BG429" s="150"/>
      <c r="BH429" s="150"/>
      <c r="BI429" s="150"/>
      <c r="BJ429" s="150"/>
      <c r="BK429" s="150"/>
      <c r="BL429" s="150"/>
      <c r="BM429" s="150"/>
      <c r="BN429" s="150"/>
      <c r="BO429" s="150"/>
      <c r="BP429" s="150"/>
      <c r="BQ429" s="150"/>
      <c r="BR429" s="150"/>
      <c r="BS429" s="150"/>
      <c r="BT429" s="150"/>
      <c r="BU429" s="150"/>
      <c r="BV429" s="150"/>
      <c r="BW429" s="150"/>
      <c r="BX429" s="150"/>
      <c r="BY429" s="150"/>
      <c r="BZ429" s="150"/>
      <c r="CA429" s="150"/>
      <c r="CB429" s="150"/>
      <c r="CC429" s="150"/>
      <c r="CD429" s="150"/>
      <c r="CE429" s="150"/>
      <c r="CF429" s="150"/>
      <c r="CG429" s="150"/>
      <c r="CH429" s="150"/>
      <c r="CI429" s="150"/>
      <c r="CJ429" s="150"/>
      <c r="CK429" s="150"/>
      <c r="CL429" s="150"/>
      <c r="CM429" s="150"/>
      <c r="CN429" s="150"/>
      <c r="CO429" s="150"/>
      <c r="CP429" s="150"/>
      <c r="CQ429" s="150"/>
      <c r="CR429" s="150"/>
      <c r="CS429" s="150"/>
      <c r="CT429" s="150"/>
      <c r="CU429" s="150"/>
      <c r="CV429" s="150"/>
      <c r="CW429" s="150"/>
      <c r="CX429" s="150"/>
      <c r="CY429" s="150"/>
      <c r="CZ429" s="150"/>
      <c r="DA429" s="150"/>
      <c r="DB429" s="150"/>
      <c r="DC429" s="150"/>
      <c r="DD429" s="150"/>
      <c r="DE429" s="150"/>
      <c r="DF429" s="150"/>
      <c r="DG429" s="150"/>
      <c r="DH429" s="150"/>
      <c r="DI429" s="150"/>
      <c r="DJ429" s="150"/>
      <c r="DK429" s="150"/>
      <c r="DL429" s="150"/>
      <c r="DM429" s="150"/>
      <c r="DN429" s="150"/>
      <c r="DO429" s="150"/>
      <c r="DP429" s="150"/>
      <c r="DQ429" s="150"/>
      <c r="DR429" s="150"/>
      <c r="DS429" s="150"/>
      <c r="DT429" s="150"/>
      <c r="DU429" s="150"/>
      <c r="DV429" s="150"/>
      <c r="DW429" s="150"/>
      <c r="DX429" s="150"/>
      <c r="DY429" s="150"/>
      <c r="DZ429" s="150"/>
      <c r="EA429" s="150"/>
      <c r="EB429" s="150"/>
      <c r="EC429" s="150"/>
      <c r="ED429" s="150"/>
      <c r="EE429" s="150"/>
      <c r="EF429" s="150"/>
      <c r="EG429" s="150"/>
      <c r="EH429" s="150"/>
      <c r="EI429" s="150"/>
      <c r="EJ429" s="150"/>
      <c r="EK429" s="150"/>
      <c r="EL429" s="150"/>
      <c r="EM429" s="150"/>
      <c r="EN429" s="150"/>
      <c r="EO429" s="150"/>
      <c r="EP429" s="150"/>
      <c r="EQ429" s="150"/>
      <c r="ER429" s="150"/>
      <c r="ES429" s="150"/>
      <c r="ET429" s="150"/>
      <c r="EU429" s="150"/>
      <c r="EV429" s="150"/>
      <c r="EW429" s="150"/>
      <c r="EX429" s="150"/>
      <c r="EY429" s="150"/>
      <c r="EZ429" s="150"/>
      <c r="FA429" s="150"/>
      <c r="FB429" s="150"/>
      <c r="FC429" s="150"/>
      <c r="FD429" s="150"/>
      <c r="FE429" s="150"/>
      <c r="FF429" s="150"/>
      <c r="FG429" s="150"/>
      <c r="FH429" s="150"/>
      <c r="FI429" s="150"/>
      <c r="FJ429" s="150"/>
      <c r="FK429" s="150"/>
      <c r="FL429" s="150"/>
      <c r="FM429" s="150"/>
      <c r="FN429" s="150"/>
    </row>
    <row r="430" spans="1:170" s="149" customFormat="1" x14ac:dyDescent="0.25">
      <c r="A430" s="142"/>
      <c r="B430" s="142"/>
      <c r="C430" s="142"/>
      <c r="D430" s="144"/>
      <c r="E430" s="143"/>
      <c r="F430" s="143"/>
      <c r="G430" s="144"/>
      <c r="H430" s="143"/>
      <c r="I430" s="143"/>
      <c r="J430" s="319"/>
      <c r="K430" s="319"/>
      <c r="L430" s="315"/>
      <c r="M430" s="315"/>
      <c r="N430" s="145"/>
      <c r="O430" s="145"/>
      <c r="P430" s="145"/>
      <c r="Q430" s="146"/>
      <c r="R430" s="147"/>
      <c r="S430" s="148"/>
      <c r="T430" s="148"/>
      <c r="U430" s="148"/>
      <c r="V430" s="148"/>
      <c r="W430" s="148"/>
      <c r="X430" s="148"/>
      <c r="Y430" s="148"/>
      <c r="Z430" s="148"/>
      <c r="AA430" s="148"/>
      <c r="AB430" s="148"/>
      <c r="AV430" s="150"/>
      <c r="AW430" s="150"/>
      <c r="AX430" s="150"/>
      <c r="AY430" s="150"/>
      <c r="AZ430" s="150"/>
      <c r="BA430" s="150"/>
      <c r="BB430" s="150"/>
      <c r="BC430" s="150"/>
      <c r="BD430" s="150"/>
      <c r="BE430" s="150"/>
      <c r="BF430" s="150"/>
      <c r="BG430" s="150"/>
      <c r="BH430" s="150"/>
      <c r="BI430" s="150"/>
      <c r="BJ430" s="150"/>
      <c r="BK430" s="150"/>
      <c r="BL430" s="150"/>
      <c r="BM430" s="150"/>
      <c r="BN430" s="150"/>
      <c r="BO430" s="150"/>
      <c r="BP430" s="150"/>
      <c r="BQ430" s="150"/>
      <c r="BR430" s="150"/>
      <c r="BS430" s="150"/>
      <c r="BT430" s="150"/>
      <c r="BU430" s="150"/>
      <c r="BV430" s="150"/>
      <c r="BW430" s="150"/>
      <c r="BX430" s="150"/>
      <c r="BY430" s="150"/>
      <c r="BZ430" s="150"/>
      <c r="CA430" s="150"/>
      <c r="CB430" s="150"/>
      <c r="CC430" s="150"/>
      <c r="CD430" s="150"/>
      <c r="CE430" s="150"/>
      <c r="CF430" s="150"/>
      <c r="CG430" s="150"/>
      <c r="CH430" s="150"/>
      <c r="CI430" s="150"/>
      <c r="CJ430" s="150"/>
      <c r="CK430" s="150"/>
      <c r="CL430" s="150"/>
      <c r="CM430" s="150"/>
      <c r="CN430" s="150"/>
      <c r="CO430" s="150"/>
      <c r="CP430" s="150"/>
      <c r="CQ430" s="150"/>
      <c r="CR430" s="150"/>
      <c r="CS430" s="150"/>
      <c r="CT430" s="150"/>
      <c r="CU430" s="150"/>
      <c r="CV430" s="150"/>
      <c r="CW430" s="150"/>
      <c r="CX430" s="150"/>
      <c r="CY430" s="150"/>
      <c r="CZ430" s="150"/>
      <c r="DA430" s="150"/>
      <c r="DB430" s="150"/>
      <c r="DC430" s="150"/>
      <c r="DD430" s="150"/>
      <c r="DE430" s="150"/>
      <c r="DF430" s="150"/>
      <c r="DG430" s="150"/>
      <c r="DH430" s="150"/>
      <c r="DI430" s="150"/>
      <c r="DJ430" s="150"/>
      <c r="DK430" s="150"/>
      <c r="DL430" s="150"/>
      <c r="DM430" s="150"/>
      <c r="DN430" s="150"/>
      <c r="DO430" s="150"/>
      <c r="DP430" s="150"/>
      <c r="DQ430" s="150"/>
      <c r="DR430" s="150"/>
      <c r="DS430" s="150"/>
      <c r="DT430" s="150"/>
      <c r="DU430" s="150"/>
      <c r="DV430" s="150"/>
      <c r="DW430" s="150"/>
      <c r="DX430" s="150"/>
      <c r="DY430" s="150"/>
      <c r="DZ430" s="150"/>
      <c r="EA430" s="150"/>
      <c r="EB430" s="150"/>
      <c r="EC430" s="150"/>
      <c r="ED430" s="150"/>
      <c r="EE430" s="150"/>
      <c r="EF430" s="150"/>
      <c r="EG430" s="150"/>
      <c r="EH430" s="150"/>
      <c r="EI430" s="150"/>
      <c r="EJ430" s="150"/>
      <c r="EK430" s="150"/>
      <c r="EL430" s="150"/>
      <c r="EM430" s="150"/>
      <c r="EN430" s="150"/>
      <c r="EO430" s="150"/>
      <c r="EP430" s="150"/>
      <c r="EQ430" s="150"/>
      <c r="ER430" s="150"/>
      <c r="ES430" s="150"/>
      <c r="ET430" s="150"/>
      <c r="EU430" s="150"/>
      <c r="EV430" s="150"/>
      <c r="EW430" s="150"/>
      <c r="EX430" s="150"/>
      <c r="EY430" s="150"/>
      <c r="EZ430" s="150"/>
      <c r="FA430" s="150"/>
      <c r="FB430" s="150"/>
      <c r="FC430" s="150"/>
      <c r="FD430" s="150"/>
      <c r="FE430" s="150"/>
      <c r="FF430" s="150"/>
      <c r="FG430" s="150"/>
      <c r="FH430" s="150"/>
      <c r="FI430" s="150"/>
      <c r="FJ430" s="150"/>
      <c r="FK430" s="150"/>
      <c r="FL430" s="150"/>
      <c r="FM430" s="150"/>
      <c r="FN430" s="150"/>
    </row>
    <row r="431" spans="1:170" s="149" customFormat="1" x14ac:dyDescent="0.25">
      <c r="A431" s="142"/>
      <c r="B431" s="142"/>
      <c r="C431" s="142"/>
      <c r="D431" s="144"/>
      <c r="E431" s="143"/>
      <c r="F431" s="143"/>
      <c r="G431" s="144"/>
      <c r="H431" s="143"/>
      <c r="I431" s="143"/>
      <c r="J431" s="319"/>
      <c r="K431" s="319"/>
      <c r="L431" s="315"/>
      <c r="M431" s="315"/>
      <c r="N431" s="145"/>
      <c r="O431" s="145"/>
      <c r="P431" s="145"/>
      <c r="Q431" s="146"/>
      <c r="R431" s="147"/>
      <c r="S431" s="148"/>
      <c r="T431" s="148"/>
      <c r="U431" s="148"/>
      <c r="V431" s="148"/>
      <c r="W431" s="148"/>
      <c r="X431" s="148"/>
      <c r="Y431" s="148"/>
      <c r="Z431" s="148"/>
      <c r="AA431" s="148"/>
      <c r="AB431" s="148"/>
      <c r="AV431" s="150"/>
      <c r="AW431" s="150"/>
      <c r="AX431" s="150"/>
      <c r="AY431" s="150"/>
      <c r="AZ431" s="150"/>
      <c r="BA431" s="150"/>
      <c r="BB431" s="150"/>
      <c r="BC431" s="150"/>
      <c r="BD431" s="150"/>
      <c r="BE431" s="150"/>
      <c r="BF431" s="150"/>
      <c r="BG431" s="150"/>
      <c r="BH431" s="150"/>
      <c r="BI431" s="150"/>
      <c r="BJ431" s="150"/>
      <c r="BK431" s="150"/>
      <c r="BL431" s="150"/>
      <c r="BM431" s="150"/>
      <c r="BN431" s="150"/>
      <c r="BO431" s="150"/>
      <c r="BP431" s="150"/>
      <c r="BQ431" s="150"/>
      <c r="BR431" s="150"/>
      <c r="BS431" s="150"/>
      <c r="BT431" s="150"/>
      <c r="BU431" s="150"/>
      <c r="BV431" s="150"/>
      <c r="BW431" s="150"/>
      <c r="BX431" s="150"/>
      <c r="BY431" s="150"/>
      <c r="BZ431" s="150"/>
      <c r="CA431" s="150"/>
      <c r="CB431" s="150"/>
      <c r="CC431" s="150"/>
      <c r="CD431" s="150"/>
      <c r="CE431" s="150"/>
      <c r="CF431" s="150"/>
      <c r="CG431" s="150"/>
      <c r="CH431" s="150"/>
      <c r="CI431" s="150"/>
      <c r="CJ431" s="150"/>
      <c r="CK431" s="150"/>
      <c r="CL431" s="150"/>
      <c r="CM431" s="150"/>
      <c r="CN431" s="150"/>
      <c r="CO431" s="150"/>
      <c r="CP431" s="150"/>
      <c r="CQ431" s="150"/>
      <c r="CR431" s="150"/>
      <c r="CS431" s="150"/>
      <c r="CT431" s="150"/>
      <c r="CU431" s="150"/>
      <c r="CV431" s="150"/>
      <c r="CW431" s="150"/>
      <c r="CX431" s="150"/>
      <c r="CY431" s="150"/>
      <c r="CZ431" s="150"/>
      <c r="DA431" s="150"/>
      <c r="DB431" s="150"/>
      <c r="DC431" s="150"/>
      <c r="DD431" s="150"/>
      <c r="DE431" s="150"/>
      <c r="DF431" s="150"/>
      <c r="DG431" s="150"/>
      <c r="DH431" s="150"/>
      <c r="DI431" s="150"/>
      <c r="DJ431" s="150"/>
      <c r="DK431" s="150"/>
      <c r="DL431" s="150"/>
      <c r="DM431" s="150"/>
      <c r="DN431" s="150"/>
      <c r="DO431" s="150"/>
      <c r="DP431" s="150"/>
      <c r="DQ431" s="150"/>
      <c r="DR431" s="150"/>
      <c r="DS431" s="150"/>
      <c r="DT431" s="150"/>
      <c r="DU431" s="150"/>
      <c r="DV431" s="150"/>
      <c r="DW431" s="150"/>
      <c r="DX431" s="150"/>
      <c r="DY431" s="150"/>
      <c r="DZ431" s="150"/>
      <c r="EA431" s="150"/>
      <c r="EB431" s="150"/>
      <c r="EC431" s="150"/>
      <c r="ED431" s="150"/>
      <c r="EE431" s="150"/>
      <c r="EF431" s="150"/>
      <c r="EG431" s="150"/>
      <c r="EH431" s="150"/>
      <c r="EI431" s="150"/>
      <c r="EJ431" s="150"/>
      <c r="EK431" s="150"/>
      <c r="EL431" s="150"/>
      <c r="EM431" s="150"/>
      <c r="EN431" s="150"/>
      <c r="EO431" s="150"/>
      <c r="EP431" s="150"/>
      <c r="EQ431" s="150"/>
      <c r="ER431" s="150"/>
      <c r="ES431" s="150"/>
      <c r="ET431" s="150"/>
      <c r="EU431" s="150"/>
      <c r="EV431" s="150"/>
      <c r="EW431" s="150"/>
      <c r="EX431" s="150"/>
      <c r="EY431" s="150"/>
      <c r="EZ431" s="150"/>
      <c r="FA431" s="150"/>
      <c r="FB431" s="150"/>
      <c r="FC431" s="150"/>
      <c r="FD431" s="150"/>
      <c r="FE431" s="150"/>
      <c r="FF431" s="150"/>
      <c r="FG431" s="150"/>
      <c r="FH431" s="150"/>
      <c r="FI431" s="150"/>
      <c r="FJ431" s="150"/>
      <c r="FK431" s="150"/>
      <c r="FL431" s="150"/>
      <c r="FM431" s="150"/>
      <c r="FN431" s="150"/>
    </row>
    <row r="432" spans="1:170" s="149" customFormat="1" x14ac:dyDescent="0.25">
      <c r="A432" s="142"/>
      <c r="B432" s="142"/>
      <c r="C432" s="142"/>
      <c r="D432" s="144"/>
      <c r="E432" s="143"/>
      <c r="F432" s="143"/>
      <c r="G432" s="144"/>
      <c r="H432" s="143"/>
      <c r="I432" s="143"/>
      <c r="J432" s="319"/>
      <c r="K432" s="319"/>
      <c r="L432" s="315"/>
      <c r="M432" s="315"/>
      <c r="N432" s="145"/>
      <c r="O432" s="145"/>
      <c r="P432" s="145"/>
      <c r="Q432" s="146"/>
      <c r="R432" s="147"/>
      <c r="S432" s="148"/>
      <c r="T432" s="148"/>
      <c r="U432" s="148"/>
      <c r="V432" s="148"/>
      <c r="W432" s="148"/>
      <c r="X432" s="148"/>
      <c r="Y432" s="148"/>
      <c r="Z432" s="148"/>
      <c r="AA432" s="148"/>
      <c r="AB432" s="148"/>
      <c r="AV432" s="150"/>
      <c r="AW432" s="150"/>
      <c r="AX432" s="150"/>
      <c r="AY432" s="150"/>
      <c r="AZ432" s="150"/>
      <c r="BA432" s="150"/>
      <c r="BB432" s="150"/>
      <c r="BC432" s="150"/>
      <c r="BD432" s="150"/>
      <c r="BE432" s="150"/>
      <c r="BF432" s="150"/>
      <c r="BG432" s="150"/>
      <c r="BH432" s="150"/>
      <c r="BI432" s="150"/>
      <c r="BJ432" s="150"/>
      <c r="BK432" s="150"/>
      <c r="BL432" s="150"/>
      <c r="BM432" s="150"/>
      <c r="BN432" s="150"/>
      <c r="BO432" s="150"/>
      <c r="BP432" s="150"/>
      <c r="BQ432" s="150"/>
      <c r="BR432" s="150"/>
      <c r="BS432" s="150"/>
      <c r="BT432" s="150"/>
      <c r="BU432" s="150"/>
      <c r="BV432" s="150"/>
      <c r="BW432" s="150"/>
      <c r="BX432" s="150"/>
      <c r="BY432" s="150"/>
      <c r="BZ432" s="150"/>
      <c r="CA432" s="150"/>
      <c r="CB432" s="150"/>
      <c r="CC432" s="150"/>
      <c r="CD432" s="150"/>
      <c r="CE432" s="150"/>
      <c r="CF432" s="150"/>
      <c r="CG432" s="150"/>
      <c r="CH432" s="150"/>
      <c r="CI432" s="150"/>
      <c r="CJ432" s="150"/>
      <c r="CK432" s="150"/>
      <c r="CL432" s="150"/>
      <c r="CM432" s="150"/>
      <c r="CN432" s="150"/>
      <c r="CO432" s="150"/>
      <c r="CP432" s="150"/>
      <c r="CQ432" s="150"/>
      <c r="CR432" s="150"/>
      <c r="CS432" s="150"/>
      <c r="CT432" s="150"/>
      <c r="CU432" s="150"/>
      <c r="CV432" s="150"/>
      <c r="CW432" s="150"/>
      <c r="CX432" s="150"/>
      <c r="CY432" s="150"/>
      <c r="CZ432" s="150"/>
      <c r="DA432" s="150"/>
      <c r="DB432" s="150"/>
      <c r="DC432" s="150"/>
      <c r="DD432" s="150"/>
      <c r="DE432" s="150"/>
      <c r="DF432" s="150"/>
      <c r="DG432" s="150"/>
      <c r="DH432" s="150"/>
      <c r="DI432" s="150"/>
      <c r="DJ432" s="150"/>
      <c r="DK432" s="150"/>
      <c r="DL432" s="150"/>
      <c r="DM432" s="150"/>
      <c r="DN432" s="150"/>
      <c r="DO432" s="150"/>
      <c r="DP432" s="150"/>
      <c r="DQ432" s="150"/>
      <c r="DR432" s="150"/>
      <c r="DS432" s="150"/>
      <c r="DT432" s="150"/>
      <c r="DU432" s="150"/>
      <c r="DV432" s="150"/>
      <c r="DW432" s="150"/>
      <c r="DX432" s="150"/>
      <c r="DY432" s="150"/>
      <c r="DZ432" s="150"/>
      <c r="EA432" s="150"/>
      <c r="EB432" s="150"/>
      <c r="EC432" s="150"/>
      <c r="ED432" s="150"/>
      <c r="EE432" s="150"/>
      <c r="EF432" s="150"/>
      <c r="EG432" s="150"/>
      <c r="EH432" s="150"/>
      <c r="EI432" s="150"/>
      <c r="EJ432" s="150"/>
      <c r="EK432" s="150"/>
      <c r="EL432" s="150"/>
      <c r="EM432" s="150"/>
      <c r="EN432" s="150"/>
      <c r="EO432" s="150"/>
      <c r="EP432" s="150"/>
      <c r="EQ432" s="150"/>
      <c r="ER432" s="150"/>
      <c r="ES432" s="150"/>
      <c r="ET432" s="150"/>
      <c r="EU432" s="150"/>
      <c r="EV432" s="150"/>
      <c r="EW432" s="150"/>
      <c r="EX432" s="150"/>
      <c r="EY432" s="150"/>
      <c r="EZ432" s="150"/>
      <c r="FA432" s="150"/>
      <c r="FB432" s="150"/>
      <c r="FC432" s="150"/>
      <c r="FD432" s="150"/>
      <c r="FE432" s="150"/>
      <c r="FF432" s="150"/>
      <c r="FG432" s="150"/>
      <c r="FH432" s="150"/>
      <c r="FI432" s="150"/>
      <c r="FJ432" s="150"/>
      <c r="FK432" s="150"/>
      <c r="FL432" s="150"/>
      <c r="FM432" s="150"/>
      <c r="FN432" s="150"/>
    </row>
    <row r="433" spans="1:170" s="149" customFormat="1" x14ac:dyDescent="0.25">
      <c r="A433" s="142"/>
      <c r="B433" s="142"/>
      <c r="C433" s="142"/>
      <c r="D433" s="144"/>
      <c r="E433" s="143"/>
      <c r="F433" s="143"/>
      <c r="G433" s="144"/>
      <c r="H433" s="143"/>
      <c r="I433" s="143"/>
      <c r="J433" s="319"/>
      <c r="K433" s="319"/>
      <c r="L433" s="315"/>
      <c r="M433" s="315"/>
      <c r="N433" s="145"/>
      <c r="O433" s="145"/>
      <c r="P433" s="145"/>
      <c r="Q433" s="146"/>
      <c r="R433" s="147"/>
      <c r="S433" s="148"/>
      <c r="T433" s="148"/>
      <c r="U433" s="148"/>
      <c r="V433" s="148"/>
      <c r="W433" s="148"/>
      <c r="X433" s="148"/>
      <c r="Y433" s="148"/>
      <c r="Z433" s="148"/>
      <c r="AA433" s="148"/>
      <c r="AB433" s="148"/>
      <c r="AV433" s="150"/>
      <c r="AW433" s="150"/>
      <c r="AX433" s="150"/>
      <c r="AY433" s="150"/>
      <c r="AZ433" s="150"/>
      <c r="BA433" s="150"/>
      <c r="BB433" s="150"/>
      <c r="BC433" s="150"/>
      <c r="BD433" s="150"/>
      <c r="BE433" s="150"/>
      <c r="BF433" s="150"/>
      <c r="BG433" s="150"/>
      <c r="BH433" s="150"/>
      <c r="BI433" s="150"/>
      <c r="BJ433" s="150"/>
      <c r="BK433" s="150"/>
      <c r="BL433" s="150"/>
      <c r="BM433" s="150"/>
      <c r="BN433" s="150"/>
      <c r="BO433" s="150"/>
      <c r="BP433" s="150"/>
      <c r="BQ433" s="150"/>
      <c r="BR433" s="150"/>
      <c r="BS433" s="150"/>
      <c r="BT433" s="150"/>
      <c r="BU433" s="150"/>
      <c r="BV433" s="150"/>
      <c r="BW433" s="150"/>
      <c r="BX433" s="150"/>
      <c r="BY433" s="150"/>
      <c r="BZ433" s="150"/>
      <c r="CA433" s="150"/>
      <c r="CB433" s="150"/>
      <c r="CC433" s="150"/>
      <c r="CD433" s="150"/>
      <c r="CE433" s="150"/>
      <c r="CF433" s="150"/>
      <c r="CG433" s="150"/>
      <c r="CH433" s="150"/>
      <c r="CI433" s="150"/>
      <c r="CJ433" s="150"/>
      <c r="CK433" s="150"/>
      <c r="CL433" s="150"/>
      <c r="CM433" s="150"/>
      <c r="CN433" s="150"/>
      <c r="CO433" s="150"/>
      <c r="CP433" s="150"/>
      <c r="CQ433" s="150"/>
      <c r="CR433" s="150"/>
      <c r="CS433" s="150"/>
      <c r="CT433" s="150"/>
      <c r="CU433" s="150"/>
      <c r="CV433" s="150"/>
      <c r="CW433" s="150"/>
      <c r="CX433" s="150"/>
      <c r="CY433" s="150"/>
      <c r="CZ433" s="150"/>
      <c r="DA433" s="150"/>
      <c r="DB433" s="150"/>
      <c r="DC433" s="150"/>
      <c r="DD433" s="150"/>
      <c r="DE433" s="150"/>
      <c r="DF433" s="150"/>
      <c r="DG433" s="150"/>
      <c r="DH433" s="150"/>
      <c r="DI433" s="150"/>
      <c r="DJ433" s="150"/>
      <c r="DK433" s="150"/>
      <c r="DL433" s="150"/>
      <c r="DM433" s="150"/>
      <c r="DN433" s="150"/>
      <c r="DO433" s="150"/>
      <c r="DP433" s="150"/>
      <c r="DQ433" s="150"/>
      <c r="DR433" s="150"/>
      <c r="DS433" s="150"/>
      <c r="DT433" s="150"/>
      <c r="DU433" s="150"/>
      <c r="DV433" s="150"/>
      <c r="DW433" s="150"/>
      <c r="DX433" s="150"/>
      <c r="DY433" s="150"/>
      <c r="DZ433" s="150"/>
      <c r="EA433" s="150"/>
      <c r="EB433" s="150"/>
      <c r="EC433" s="150"/>
      <c r="ED433" s="150"/>
      <c r="EE433" s="150"/>
      <c r="EF433" s="150"/>
      <c r="EG433" s="150"/>
      <c r="EH433" s="150"/>
      <c r="EI433" s="150"/>
      <c r="EJ433" s="150"/>
      <c r="EK433" s="150"/>
      <c r="EL433" s="150"/>
      <c r="EM433" s="150"/>
      <c r="EN433" s="150"/>
      <c r="EO433" s="150"/>
      <c r="EP433" s="150"/>
      <c r="EQ433" s="150"/>
      <c r="ER433" s="150"/>
      <c r="ES433" s="150"/>
      <c r="ET433" s="150"/>
      <c r="EU433" s="150"/>
      <c r="EV433" s="150"/>
      <c r="EW433" s="150"/>
      <c r="EX433" s="150"/>
      <c r="EY433" s="150"/>
      <c r="EZ433" s="150"/>
      <c r="FA433" s="150"/>
      <c r="FB433" s="150"/>
      <c r="FC433" s="150"/>
      <c r="FD433" s="150"/>
      <c r="FE433" s="150"/>
      <c r="FF433" s="150"/>
      <c r="FG433" s="150"/>
      <c r="FH433" s="150"/>
      <c r="FI433" s="150"/>
      <c r="FJ433" s="150"/>
      <c r="FK433" s="150"/>
      <c r="FL433" s="150"/>
      <c r="FM433" s="150"/>
      <c r="FN433" s="150"/>
    </row>
    <row r="434" spans="1:170" s="149" customFormat="1" x14ac:dyDescent="0.25">
      <c r="A434" s="142"/>
      <c r="B434" s="142"/>
      <c r="C434" s="142"/>
      <c r="D434" s="144"/>
      <c r="E434" s="143"/>
      <c r="F434" s="143"/>
      <c r="G434" s="144"/>
      <c r="H434" s="143"/>
      <c r="I434" s="143"/>
      <c r="J434" s="319"/>
      <c r="K434" s="319"/>
      <c r="L434" s="315"/>
      <c r="M434" s="315"/>
      <c r="N434" s="145"/>
      <c r="O434" s="145"/>
      <c r="P434" s="145"/>
      <c r="Q434" s="146"/>
      <c r="R434" s="147"/>
      <c r="S434" s="148"/>
      <c r="T434" s="148"/>
      <c r="U434" s="148"/>
      <c r="V434" s="148"/>
      <c r="W434" s="148"/>
      <c r="X434" s="148"/>
      <c r="Y434" s="148"/>
      <c r="Z434" s="148"/>
      <c r="AA434" s="148"/>
      <c r="AB434" s="148"/>
      <c r="AV434" s="150"/>
      <c r="AW434" s="150"/>
      <c r="AX434" s="150"/>
      <c r="AY434" s="150"/>
      <c r="AZ434" s="150"/>
      <c r="BA434" s="150"/>
      <c r="BB434" s="150"/>
      <c r="BC434" s="150"/>
      <c r="BD434" s="150"/>
      <c r="BE434" s="150"/>
      <c r="BF434" s="150"/>
      <c r="BG434" s="150"/>
      <c r="BH434" s="150"/>
      <c r="BI434" s="150"/>
      <c r="BJ434" s="150"/>
      <c r="BK434" s="150"/>
      <c r="BL434" s="150"/>
      <c r="BM434" s="150"/>
      <c r="BN434" s="150"/>
      <c r="BO434" s="150"/>
      <c r="BP434" s="150"/>
      <c r="BQ434" s="150"/>
      <c r="BR434" s="150"/>
      <c r="BS434" s="150"/>
      <c r="BT434" s="150"/>
      <c r="BU434" s="150"/>
      <c r="BV434" s="150"/>
      <c r="BW434" s="150"/>
      <c r="BX434" s="150"/>
      <c r="BY434" s="150"/>
      <c r="BZ434" s="150"/>
      <c r="CA434" s="150"/>
      <c r="CB434" s="150"/>
      <c r="CC434" s="150"/>
      <c r="CD434" s="150"/>
      <c r="CE434" s="150"/>
      <c r="CF434" s="150"/>
      <c r="CG434" s="150"/>
      <c r="CH434" s="150"/>
      <c r="CI434" s="150"/>
      <c r="CJ434" s="150"/>
      <c r="CK434" s="150"/>
      <c r="CL434" s="150"/>
      <c r="CM434" s="150"/>
      <c r="CN434" s="150"/>
      <c r="CO434" s="150"/>
      <c r="CP434" s="150"/>
      <c r="CQ434" s="150"/>
      <c r="CR434" s="150"/>
      <c r="CS434" s="150"/>
      <c r="CT434" s="150"/>
      <c r="CU434" s="150"/>
      <c r="CV434" s="150"/>
      <c r="CW434" s="150"/>
      <c r="CX434" s="150"/>
      <c r="CY434" s="150"/>
      <c r="CZ434" s="150"/>
      <c r="DA434" s="150"/>
      <c r="DB434" s="150"/>
      <c r="DC434" s="150"/>
      <c r="DD434" s="150"/>
      <c r="DE434" s="150"/>
      <c r="DF434" s="150"/>
      <c r="DG434" s="150"/>
      <c r="DH434" s="150"/>
      <c r="DI434" s="150"/>
      <c r="DJ434" s="150"/>
      <c r="DK434" s="150"/>
      <c r="DL434" s="150"/>
      <c r="DM434" s="150"/>
      <c r="DN434" s="150"/>
      <c r="DO434" s="150"/>
      <c r="DP434" s="150"/>
      <c r="DQ434" s="150"/>
      <c r="DR434" s="150"/>
      <c r="DS434" s="150"/>
      <c r="DT434" s="150"/>
      <c r="DU434" s="150"/>
      <c r="DV434" s="150"/>
      <c r="DW434" s="150"/>
      <c r="DX434" s="150"/>
      <c r="DY434" s="150"/>
      <c r="DZ434" s="150"/>
      <c r="EA434" s="150"/>
      <c r="EB434" s="150"/>
      <c r="EC434" s="150"/>
      <c r="ED434" s="150"/>
      <c r="EE434" s="150"/>
      <c r="EF434" s="150"/>
      <c r="EG434" s="150"/>
      <c r="EH434" s="150"/>
      <c r="EI434" s="150"/>
      <c r="EJ434" s="150"/>
      <c r="EK434" s="150"/>
      <c r="EL434" s="150"/>
      <c r="EM434" s="150"/>
      <c r="EN434" s="150"/>
      <c r="EO434" s="150"/>
      <c r="EP434" s="150"/>
      <c r="EQ434" s="150"/>
      <c r="ER434" s="150"/>
      <c r="ES434" s="150"/>
      <c r="ET434" s="150"/>
      <c r="EU434" s="150"/>
      <c r="EV434" s="150"/>
      <c r="EW434" s="150"/>
      <c r="EX434" s="150"/>
      <c r="EY434" s="150"/>
      <c r="EZ434" s="150"/>
      <c r="FA434" s="150"/>
      <c r="FB434" s="150"/>
      <c r="FC434" s="150"/>
      <c r="FD434" s="150"/>
      <c r="FE434" s="150"/>
      <c r="FF434" s="150"/>
      <c r="FG434" s="150"/>
      <c r="FH434" s="150"/>
      <c r="FI434" s="150"/>
      <c r="FJ434" s="150"/>
      <c r="FK434" s="150"/>
      <c r="FL434" s="150"/>
      <c r="FM434" s="150"/>
      <c r="FN434" s="150"/>
    </row>
    <row r="435" spans="1:170" s="149" customFormat="1" x14ac:dyDescent="0.25">
      <c r="A435" s="142"/>
      <c r="B435" s="142"/>
      <c r="C435" s="142"/>
      <c r="D435" s="144"/>
      <c r="E435" s="143"/>
      <c r="F435" s="143"/>
      <c r="G435" s="144"/>
      <c r="H435" s="143"/>
      <c r="I435" s="143"/>
      <c r="J435" s="319"/>
      <c r="K435" s="319"/>
      <c r="L435" s="315"/>
      <c r="M435" s="315"/>
      <c r="N435" s="145"/>
      <c r="O435" s="145"/>
      <c r="P435" s="145"/>
      <c r="Q435" s="146"/>
      <c r="R435" s="147"/>
      <c r="S435" s="148"/>
      <c r="T435" s="148"/>
      <c r="U435" s="148"/>
      <c r="V435" s="148"/>
      <c r="W435" s="148"/>
      <c r="X435" s="148"/>
      <c r="Y435" s="148"/>
      <c r="Z435" s="148"/>
      <c r="AA435" s="148"/>
      <c r="AB435" s="148"/>
      <c r="AV435" s="150"/>
      <c r="AW435" s="150"/>
      <c r="AX435" s="150"/>
      <c r="AY435" s="150"/>
      <c r="AZ435" s="150"/>
      <c r="BA435" s="150"/>
      <c r="BB435" s="150"/>
      <c r="BC435" s="150"/>
      <c r="BD435" s="150"/>
      <c r="BE435" s="150"/>
      <c r="BF435" s="150"/>
      <c r="BG435" s="150"/>
      <c r="BH435" s="150"/>
      <c r="BI435" s="150"/>
      <c r="BJ435" s="150"/>
      <c r="BK435" s="150"/>
      <c r="BL435" s="150"/>
      <c r="BM435" s="150"/>
      <c r="BN435" s="150"/>
      <c r="BO435" s="150"/>
      <c r="BP435" s="150"/>
      <c r="BQ435" s="150"/>
      <c r="BR435" s="150"/>
      <c r="BS435" s="150"/>
      <c r="BT435" s="150"/>
      <c r="BU435" s="150"/>
      <c r="BV435" s="150"/>
      <c r="BW435" s="150"/>
      <c r="BX435" s="150"/>
      <c r="BY435" s="150"/>
      <c r="BZ435" s="150"/>
      <c r="CA435" s="150"/>
      <c r="CB435" s="150"/>
      <c r="CC435" s="150"/>
      <c r="CD435" s="150"/>
      <c r="CE435" s="150"/>
      <c r="CF435" s="150"/>
      <c r="CG435" s="150"/>
      <c r="CH435" s="150"/>
      <c r="CI435" s="150"/>
      <c r="CJ435" s="150"/>
      <c r="CK435" s="150"/>
      <c r="CL435" s="150"/>
      <c r="CM435" s="150"/>
      <c r="CN435" s="150"/>
      <c r="CO435" s="150"/>
      <c r="CP435" s="150"/>
      <c r="CQ435" s="150"/>
      <c r="CR435" s="150"/>
      <c r="CS435" s="150"/>
      <c r="CT435" s="150"/>
      <c r="CU435" s="150"/>
      <c r="CV435" s="150"/>
      <c r="CW435" s="150"/>
      <c r="CX435" s="150"/>
      <c r="CY435" s="150"/>
      <c r="CZ435" s="150"/>
      <c r="DA435" s="150"/>
      <c r="DB435" s="150"/>
      <c r="DC435" s="150"/>
      <c r="DD435" s="150"/>
      <c r="DE435" s="150"/>
      <c r="DF435" s="150"/>
      <c r="DG435" s="150"/>
      <c r="DH435" s="150"/>
      <c r="DI435" s="150"/>
      <c r="DJ435" s="150"/>
      <c r="DK435" s="150"/>
      <c r="DL435" s="150"/>
      <c r="DM435" s="150"/>
      <c r="DN435" s="150"/>
      <c r="DO435" s="150"/>
      <c r="DP435" s="150"/>
      <c r="DQ435" s="150"/>
      <c r="DR435" s="150"/>
      <c r="DS435" s="150"/>
      <c r="DT435" s="150"/>
      <c r="DU435" s="150"/>
      <c r="DV435" s="150"/>
      <c r="DW435" s="150"/>
      <c r="DX435" s="150"/>
      <c r="DY435" s="150"/>
      <c r="DZ435" s="150"/>
      <c r="EA435" s="150"/>
      <c r="EB435" s="150"/>
      <c r="EC435" s="150"/>
      <c r="ED435" s="150"/>
      <c r="EE435" s="150"/>
      <c r="EF435" s="150"/>
      <c r="EG435" s="150"/>
      <c r="EH435" s="150"/>
      <c r="EI435" s="150"/>
      <c r="EJ435" s="150"/>
      <c r="EK435" s="150"/>
      <c r="EL435" s="150"/>
      <c r="EM435" s="150"/>
      <c r="EN435" s="150"/>
      <c r="EO435" s="150"/>
      <c r="EP435" s="150"/>
      <c r="EQ435" s="150"/>
      <c r="ER435" s="150"/>
      <c r="ES435" s="150"/>
      <c r="ET435" s="150"/>
      <c r="EU435" s="150"/>
      <c r="EV435" s="150"/>
      <c r="EW435" s="150"/>
      <c r="EX435" s="150"/>
      <c r="EY435" s="150"/>
      <c r="EZ435" s="150"/>
      <c r="FA435" s="150"/>
      <c r="FB435" s="150"/>
      <c r="FC435" s="150"/>
      <c r="FD435" s="150"/>
      <c r="FE435" s="150"/>
      <c r="FF435" s="150"/>
      <c r="FG435" s="150"/>
      <c r="FH435" s="150"/>
      <c r="FI435" s="150"/>
      <c r="FJ435" s="150"/>
      <c r="FK435" s="150"/>
      <c r="FL435" s="150"/>
      <c r="FM435" s="150"/>
      <c r="FN435" s="150"/>
    </row>
    <row r="436" spans="1:170" s="149" customFormat="1" x14ac:dyDescent="0.25">
      <c r="A436" s="142"/>
      <c r="B436" s="142"/>
      <c r="C436" s="142"/>
      <c r="D436" s="144"/>
      <c r="E436" s="143"/>
      <c r="F436" s="143"/>
      <c r="G436" s="144"/>
      <c r="H436" s="143"/>
      <c r="I436" s="143"/>
      <c r="J436" s="319"/>
      <c r="K436" s="319"/>
      <c r="L436" s="315"/>
      <c r="M436" s="315"/>
      <c r="N436" s="145"/>
      <c r="O436" s="145"/>
      <c r="P436" s="145"/>
      <c r="Q436" s="146"/>
      <c r="R436" s="147"/>
      <c r="S436" s="148"/>
      <c r="T436" s="148"/>
      <c r="U436" s="148"/>
      <c r="V436" s="148"/>
      <c r="W436" s="148"/>
      <c r="X436" s="148"/>
      <c r="Y436" s="148"/>
      <c r="Z436" s="148"/>
      <c r="AA436" s="148"/>
      <c r="AB436" s="148"/>
      <c r="AV436" s="150"/>
      <c r="AW436" s="150"/>
      <c r="AX436" s="150"/>
      <c r="AY436" s="150"/>
      <c r="AZ436" s="150"/>
      <c r="BA436" s="150"/>
      <c r="BB436" s="150"/>
      <c r="BC436" s="150"/>
      <c r="BD436" s="150"/>
      <c r="BE436" s="150"/>
      <c r="BF436" s="150"/>
      <c r="BG436" s="150"/>
      <c r="BH436" s="150"/>
      <c r="BI436" s="150"/>
      <c r="BJ436" s="150"/>
      <c r="BK436" s="150"/>
      <c r="BL436" s="150"/>
      <c r="BM436" s="150"/>
      <c r="BN436" s="150"/>
      <c r="BO436" s="150"/>
      <c r="BP436" s="150"/>
      <c r="BQ436" s="150"/>
      <c r="BR436" s="150"/>
      <c r="BS436" s="150"/>
      <c r="BT436" s="150"/>
      <c r="BU436" s="150"/>
      <c r="BV436" s="150"/>
      <c r="BW436" s="150"/>
      <c r="BX436" s="150"/>
      <c r="BY436" s="150"/>
      <c r="BZ436" s="150"/>
      <c r="CA436" s="150"/>
      <c r="CB436" s="150"/>
      <c r="CC436" s="150"/>
      <c r="CD436" s="150"/>
      <c r="CE436" s="150"/>
      <c r="CF436" s="150"/>
      <c r="CG436" s="150"/>
      <c r="CH436" s="150"/>
      <c r="CI436" s="150"/>
      <c r="CJ436" s="150"/>
      <c r="CK436" s="150"/>
      <c r="CL436" s="150"/>
      <c r="CM436" s="150"/>
      <c r="CN436" s="150"/>
      <c r="CO436" s="150"/>
      <c r="CP436" s="150"/>
      <c r="CQ436" s="150"/>
      <c r="CR436" s="150"/>
      <c r="CS436" s="150"/>
      <c r="CT436" s="150"/>
      <c r="CU436" s="150"/>
      <c r="CV436" s="150"/>
      <c r="CW436" s="150"/>
      <c r="CX436" s="150"/>
      <c r="CY436" s="150"/>
      <c r="CZ436" s="150"/>
      <c r="DA436" s="150"/>
      <c r="DB436" s="150"/>
      <c r="DC436" s="150"/>
      <c r="DD436" s="150"/>
      <c r="DE436" s="150"/>
      <c r="DF436" s="150"/>
      <c r="DG436" s="150"/>
      <c r="DH436" s="150"/>
      <c r="DI436" s="150"/>
      <c r="DJ436" s="150"/>
      <c r="DK436" s="150"/>
      <c r="DL436" s="150"/>
      <c r="DM436" s="150"/>
      <c r="DN436" s="150"/>
      <c r="DO436" s="150"/>
      <c r="DP436" s="150"/>
      <c r="DQ436" s="150"/>
      <c r="DR436" s="150"/>
      <c r="DS436" s="150"/>
      <c r="DT436" s="150"/>
      <c r="DU436" s="150"/>
      <c r="DV436" s="150"/>
      <c r="DW436" s="150"/>
      <c r="DX436" s="150"/>
      <c r="DY436" s="150"/>
      <c r="DZ436" s="150"/>
      <c r="EA436" s="150"/>
      <c r="EB436" s="150"/>
      <c r="EC436" s="150"/>
      <c r="ED436" s="150"/>
      <c r="EE436" s="150"/>
      <c r="EF436" s="150"/>
      <c r="EG436" s="150"/>
      <c r="EH436" s="150"/>
      <c r="EI436" s="150"/>
      <c r="EJ436" s="150"/>
      <c r="EK436" s="150"/>
      <c r="EL436" s="150"/>
      <c r="EM436" s="150"/>
      <c r="EN436" s="150"/>
      <c r="EO436" s="150"/>
      <c r="EP436" s="150"/>
      <c r="EQ436" s="150"/>
      <c r="ER436" s="150"/>
      <c r="ES436" s="150"/>
      <c r="ET436" s="150"/>
      <c r="EU436" s="150"/>
      <c r="EV436" s="150"/>
      <c r="EW436" s="150"/>
      <c r="EX436" s="150"/>
      <c r="EY436" s="150"/>
      <c r="EZ436" s="150"/>
      <c r="FA436" s="150"/>
      <c r="FB436" s="150"/>
      <c r="FC436" s="150"/>
      <c r="FD436" s="150"/>
      <c r="FE436" s="150"/>
      <c r="FF436" s="150"/>
      <c r="FG436" s="150"/>
      <c r="FH436" s="150"/>
      <c r="FI436" s="150"/>
      <c r="FJ436" s="150"/>
      <c r="FK436" s="150"/>
      <c r="FL436" s="150"/>
      <c r="FM436" s="150"/>
      <c r="FN436" s="150"/>
    </row>
    <row r="437" spans="1:170" s="149" customFormat="1" x14ac:dyDescent="0.25">
      <c r="A437" s="142"/>
      <c r="B437" s="142"/>
      <c r="C437" s="142"/>
      <c r="D437" s="144"/>
      <c r="E437" s="143"/>
      <c r="F437" s="143"/>
      <c r="G437" s="144"/>
      <c r="H437" s="143"/>
      <c r="I437" s="143"/>
      <c r="J437" s="319"/>
      <c r="K437" s="319"/>
      <c r="L437" s="315"/>
      <c r="M437" s="315"/>
      <c r="N437" s="145"/>
      <c r="O437" s="145"/>
      <c r="P437" s="145"/>
      <c r="Q437" s="146"/>
      <c r="R437" s="147"/>
      <c r="S437" s="148"/>
      <c r="T437" s="148"/>
      <c r="U437" s="148"/>
      <c r="V437" s="148"/>
      <c r="W437" s="148"/>
      <c r="X437" s="148"/>
      <c r="Y437" s="148"/>
      <c r="Z437" s="148"/>
      <c r="AA437" s="148"/>
      <c r="AB437" s="148"/>
      <c r="AV437" s="150"/>
      <c r="AW437" s="150"/>
      <c r="AX437" s="150"/>
      <c r="AY437" s="150"/>
      <c r="AZ437" s="150"/>
      <c r="BA437" s="150"/>
      <c r="BB437" s="150"/>
      <c r="BC437" s="150"/>
      <c r="BD437" s="150"/>
      <c r="BE437" s="150"/>
      <c r="BF437" s="150"/>
      <c r="BG437" s="150"/>
      <c r="BH437" s="150"/>
      <c r="BI437" s="150"/>
      <c r="BJ437" s="150"/>
      <c r="BK437" s="150"/>
      <c r="BL437" s="150"/>
      <c r="BM437" s="150"/>
      <c r="BN437" s="150"/>
      <c r="BO437" s="150"/>
      <c r="BP437" s="150"/>
      <c r="BQ437" s="150"/>
      <c r="BR437" s="150"/>
      <c r="BS437" s="150"/>
      <c r="BT437" s="150"/>
      <c r="BU437" s="150"/>
      <c r="BV437" s="150"/>
      <c r="BW437" s="150"/>
      <c r="BX437" s="150"/>
      <c r="BY437" s="150"/>
      <c r="BZ437" s="150"/>
      <c r="CA437" s="150"/>
      <c r="CB437" s="150"/>
      <c r="CC437" s="150"/>
      <c r="CD437" s="150"/>
      <c r="CE437" s="150"/>
      <c r="CF437" s="150"/>
      <c r="CG437" s="150"/>
      <c r="CH437" s="150"/>
      <c r="CI437" s="150"/>
      <c r="CJ437" s="150"/>
      <c r="CK437" s="150"/>
      <c r="CL437" s="150"/>
      <c r="CM437" s="150"/>
      <c r="CN437" s="150"/>
      <c r="CO437" s="150"/>
      <c r="CP437" s="150"/>
      <c r="CQ437" s="150"/>
      <c r="CR437" s="150"/>
      <c r="CS437" s="150"/>
      <c r="CT437" s="150"/>
      <c r="CU437" s="150"/>
      <c r="CV437" s="150"/>
      <c r="CW437" s="150"/>
      <c r="CX437" s="150"/>
      <c r="CY437" s="150"/>
      <c r="CZ437" s="150"/>
      <c r="DA437" s="150"/>
      <c r="DB437" s="150"/>
      <c r="DC437" s="150"/>
      <c r="DD437" s="150"/>
      <c r="DE437" s="150"/>
      <c r="DF437" s="150"/>
      <c r="DG437" s="150"/>
      <c r="DH437" s="150"/>
      <c r="DI437" s="150"/>
      <c r="DJ437" s="150"/>
      <c r="DK437" s="150"/>
      <c r="DL437" s="150"/>
      <c r="DM437" s="150"/>
      <c r="DN437" s="150"/>
      <c r="DO437" s="150"/>
      <c r="DP437" s="150"/>
      <c r="DQ437" s="150"/>
      <c r="DR437" s="150"/>
      <c r="DS437" s="150"/>
      <c r="DT437" s="150"/>
      <c r="DU437" s="150"/>
      <c r="DV437" s="150"/>
      <c r="DW437" s="150"/>
      <c r="DX437" s="150"/>
      <c r="DY437" s="150"/>
      <c r="DZ437" s="150"/>
      <c r="EA437" s="150"/>
      <c r="EB437" s="150"/>
      <c r="EC437" s="150"/>
      <c r="ED437" s="150"/>
      <c r="EE437" s="150"/>
      <c r="EF437" s="150"/>
      <c r="EG437" s="150"/>
      <c r="EH437" s="150"/>
      <c r="EI437" s="150"/>
      <c r="EJ437" s="150"/>
      <c r="EK437" s="150"/>
      <c r="EL437" s="150"/>
      <c r="EM437" s="150"/>
      <c r="EN437" s="150"/>
      <c r="EO437" s="150"/>
      <c r="EP437" s="150"/>
      <c r="EQ437" s="150"/>
      <c r="ER437" s="150"/>
      <c r="ES437" s="150"/>
      <c r="ET437" s="150"/>
      <c r="EU437" s="150"/>
      <c r="EV437" s="150"/>
      <c r="EW437" s="150"/>
      <c r="EX437" s="150"/>
      <c r="EY437" s="150"/>
      <c r="EZ437" s="150"/>
      <c r="FA437" s="150"/>
      <c r="FB437" s="150"/>
      <c r="FC437" s="150"/>
      <c r="FD437" s="150"/>
      <c r="FE437" s="150"/>
      <c r="FF437" s="150"/>
      <c r="FG437" s="150"/>
      <c r="FH437" s="150"/>
      <c r="FI437" s="150"/>
      <c r="FJ437" s="150"/>
      <c r="FK437" s="150"/>
      <c r="FL437" s="150"/>
      <c r="FM437" s="150"/>
      <c r="FN437" s="150"/>
    </row>
    <row r="438" spans="1:170" s="149" customFormat="1" x14ac:dyDescent="0.25">
      <c r="A438" s="142"/>
      <c r="B438" s="142"/>
      <c r="C438" s="142"/>
      <c r="D438" s="144"/>
      <c r="E438" s="143"/>
      <c r="F438" s="143"/>
      <c r="G438" s="144"/>
      <c r="H438" s="143"/>
      <c r="I438" s="143"/>
      <c r="J438" s="319"/>
      <c r="K438" s="319"/>
      <c r="L438" s="315"/>
      <c r="M438" s="315"/>
      <c r="N438" s="145"/>
      <c r="O438" s="145"/>
      <c r="P438" s="145"/>
      <c r="Q438" s="146"/>
      <c r="R438" s="147"/>
      <c r="S438" s="148"/>
      <c r="T438" s="148"/>
      <c r="U438" s="148"/>
      <c r="V438" s="148"/>
      <c r="W438" s="148"/>
      <c r="X438" s="148"/>
      <c r="Y438" s="148"/>
      <c r="Z438" s="148"/>
      <c r="AA438" s="148"/>
      <c r="AB438" s="148"/>
      <c r="AV438" s="150"/>
      <c r="AW438" s="150"/>
      <c r="AX438" s="150"/>
      <c r="AY438" s="150"/>
      <c r="AZ438" s="150"/>
      <c r="BA438" s="150"/>
      <c r="BB438" s="150"/>
      <c r="BC438" s="150"/>
      <c r="BD438" s="150"/>
      <c r="BE438" s="150"/>
      <c r="BF438" s="150"/>
      <c r="BG438" s="150"/>
      <c r="BH438" s="150"/>
      <c r="BI438" s="150"/>
      <c r="BJ438" s="150"/>
      <c r="BK438" s="150"/>
      <c r="BL438" s="150"/>
      <c r="BM438" s="150"/>
      <c r="BN438" s="150"/>
      <c r="BO438" s="150"/>
      <c r="BP438" s="150"/>
      <c r="BQ438" s="150"/>
      <c r="BR438" s="150"/>
      <c r="BS438" s="150"/>
      <c r="BT438" s="150"/>
      <c r="BU438" s="150"/>
      <c r="BV438" s="150"/>
      <c r="BW438" s="150"/>
      <c r="BX438" s="150"/>
      <c r="BY438" s="150"/>
      <c r="BZ438" s="150"/>
      <c r="CA438" s="150"/>
      <c r="CB438" s="150"/>
      <c r="CC438" s="150"/>
      <c r="CD438" s="150"/>
      <c r="CE438" s="150"/>
      <c r="CF438" s="150"/>
      <c r="CG438" s="150"/>
      <c r="CH438" s="150"/>
      <c r="CI438" s="150"/>
      <c r="CJ438" s="150"/>
      <c r="CK438" s="150"/>
      <c r="CL438" s="150"/>
      <c r="CM438" s="150"/>
      <c r="CN438" s="150"/>
      <c r="CO438" s="150"/>
      <c r="CP438" s="150"/>
      <c r="CQ438" s="150"/>
      <c r="CR438" s="150"/>
      <c r="CS438" s="150"/>
      <c r="CT438" s="150"/>
      <c r="CU438" s="150"/>
      <c r="CV438" s="150"/>
      <c r="CW438" s="150"/>
      <c r="CX438" s="150"/>
      <c r="CY438" s="150"/>
      <c r="CZ438" s="150"/>
      <c r="DA438" s="150"/>
      <c r="DB438" s="150"/>
      <c r="DC438" s="150"/>
      <c r="DD438" s="150"/>
      <c r="DE438" s="150"/>
      <c r="DF438" s="150"/>
      <c r="DG438" s="150"/>
      <c r="DH438" s="150"/>
      <c r="DI438" s="150"/>
      <c r="DJ438" s="150"/>
      <c r="DK438" s="150"/>
      <c r="DL438" s="150"/>
      <c r="DM438" s="150"/>
      <c r="DN438" s="150"/>
      <c r="DO438" s="150"/>
      <c r="DP438" s="150"/>
      <c r="DQ438" s="150"/>
      <c r="DR438" s="150"/>
      <c r="DS438" s="150"/>
      <c r="DT438" s="150"/>
      <c r="DU438" s="150"/>
      <c r="DV438" s="150"/>
      <c r="DW438" s="150"/>
      <c r="DX438" s="150"/>
      <c r="DY438" s="150"/>
      <c r="DZ438" s="150"/>
      <c r="EA438" s="150"/>
      <c r="EB438" s="150"/>
      <c r="EC438" s="150"/>
      <c r="ED438" s="150"/>
      <c r="EE438" s="150"/>
      <c r="EF438" s="150"/>
      <c r="EG438" s="150"/>
      <c r="EH438" s="150"/>
      <c r="EI438" s="150"/>
      <c r="EJ438" s="150"/>
      <c r="EK438" s="150"/>
      <c r="EL438" s="150"/>
      <c r="EM438" s="150"/>
      <c r="EN438" s="150"/>
      <c r="EO438" s="150"/>
      <c r="EP438" s="150"/>
      <c r="EQ438" s="150"/>
      <c r="ER438" s="150"/>
      <c r="ES438" s="150"/>
      <c r="ET438" s="150"/>
      <c r="EU438" s="150"/>
      <c r="EV438" s="150"/>
      <c r="EW438" s="150"/>
      <c r="EX438" s="150"/>
      <c r="EY438" s="150"/>
      <c r="EZ438" s="150"/>
      <c r="FA438" s="150"/>
      <c r="FB438" s="150"/>
      <c r="FC438" s="150"/>
      <c r="FD438" s="150"/>
      <c r="FE438" s="150"/>
      <c r="FF438" s="150"/>
      <c r="FG438" s="150"/>
      <c r="FH438" s="150"/>
      <c r="FI438" s="150"/>
      <c r="FJ438" s="150"/>
      <c r="FK438" s="150"/>
      <c r="FL438" s="150"/>
      <c r="FM438" s="150"/>
      <c r="FN438" s="150"/>
    </row>
    <row r="439" spans="1:170" s="149" customFormat="1" x14ac:dyDescent="0.25">
      <c r="A439" s="142"/>
      <c r="B439" s="142"/>
      <c r="C439" s="142"/>
      <c r="D439" s="144"/>
      <c r="E439" s="143"/>
      <c r="F439" s="143"/>
      <c r="G439" s="144"/>
      <c r="H439" s="143"/>
      <c r="I439" s="143"/>
      <c r="J439" s="319"/>
      <c r="K439" s="319"/>
      <c r="L439" s="315"/>
      <c r="M439" s="315"/>
      <c r="N439" s="145"/>
      <c r="O439" s="145"/>
      <c r="P439" s="145"/>
      <c r="Q439" s="146"/>
      <c r="R439" s="147"/>
      <c r="S439" s="148"/>
      <c r="T439" s="148"/>
      <c r="U439" s="148"/>
      <c r="V439" s="148"/>
      <c r="W439" s="148"/>
      <c r="X439" s="148"/>
      <c r="Y439" s="148"/>
      <c r="Z439" s="148"/>
      <c r="AA439" s="148"/>
      <c r="AB439" s="148"/>
      <c r="AV439" s="150"/>
      <c r="AW439" s="150"/>
      <c r="AX439" s="150"/>
      <c r="AY439" s="150"/>
      <c r="AZ439" s="150"/>
      <c r="BA439" s="150"/>
      <c r="BB439" s="150"/>
      <c r="BC439" s="150"/>
      <c r="BD439" s="150"/>
      <c r="BE439" s="150"/>
      <c r="BF439" s="150"/>
      <c r="BG439" s="150"/>
      <c r="BH439" s="150"/>
      <c r="BI439" s="150"/>
      <c r="BJ439" s="150"/>
      <c r="BK439" s="150"/>
      <c r="BL439" s="150"/>
      <c r="BM439" s="150"/>
      <c r="BN439" s="150"/>
      <c r="BO439" s="150"/>
      <c r="BP439" s="150"/>
      <c r="BQ439" s="150"/>
      <c r="BR439" s="150"/>
      <c r="BS439" s="150"/>
      <c r="BT439" s="150"/>
      <c r="BU439" s="150"/>
      <c r="BV439" s="150"/>
      <c r="BW439" s="150"/>
      <c r="BX439" s="150"/>
      <c r="BY439" s="150"/>
      <c r="BZ439" s="150"/>
      <c r="CA439" s="150"/>
      <c r="CB439" s="150"/>
      <c r="CC439" s="150"/>
      <c r="CD439" s="150"/>
      <c r="CE439" s="150"/>
      <c r="CF439" s="150"/>
      <c r="CG439" s="150"/>
      <c r="CH439" s="150"/>
      <c r="CI439" s="150"/>
      <c r="CJ439" s="150"/>
      <c r="CK439" s="150"/>
      <c r="CL439" s="150"/>
      <c r="CM439" s="150"/>
      <c r="CN439" s="150"/>
      <c r="CO439" s="150"/>
      <c r="CP439" s="150"/>
      <c r="CQ439" s="150"/>
      <c r="CR439" s="150"/>
      <c r="CS439" s="150"/>
      <c r="CT439" s="150"/>
      <c r="CU439" s="150"/>
      <c r="CV439" s="150"/>
      <c r="CW439" s="150"/>
      <c r="CX439" s="150"/>
      <c r="CY439" s="150"/>
      <c r="CZ439" s="150"/>
      <c r="DA439" s="150"/>
      <c r="DB439" s="150"/>
      <c r="DC439" s="150"/>
      <c r="DD439" s="150"/>
      <c r="DE439" s="150"/>
      <c r="DF439" s="150"/>
      <c r="DG439" s="150"/>
      <c r="DH439" s="150"/>
      <c r="DI439" s="150"/>
      <c r="DJ439" s="150"/>
      <c r="DK439" s="150"/>
      <c r="DL439" s="150"/>
      <c r="DM439" s="150"/>
      <c r="DN439" s="150"/>
      <c r="DO439" s="150"/>
      <c r="DP439" s="150"/>
      <c r="DQ439" s="150"/>
      <c r="DR439" s="150"/>
      <c r="DS439" s="150"/>
      <c r="DT439" s="150"/>
      <c r="DU439" s="150"/>
      <c r="DV439" s="150"/>
      <c r="DW439" s="150"/>
      <c r="DX439" s="150"/>
      <c r="DY439" s="150"/>
      <c r="DZ439" s="150"/>
      <c r="EA439" s="150"/>
      <c r="EB439" s="150"/>
      <c r="EC439" s="150"/>
      <c r="ED439" s="150"/>
      <c r="EE439" s="150"/>
      <c r="EF439" s="150"/>
      <c r="EG439" s="150"/>
      <c r="EH439" s="150"/>
      <c r="EI439" s="150"/>
      <c r="EJ439" s="150"/>
      <c r="EK439" s="150"/>
      <c r="EL439" s="150"/>
      <c r="EM439" s="150"/>
      <c r="EN439" s="150"/>
      <c r="EO439" s="150"/>
      <c r="EP439" s="150"/>
      <c r="EQ439" s="150"/>
      <c r="ER439" s="150"/>
      <c r="ES439" s="150"/>
      <c r="ET439" s="150"/>
      <c r="EU439" s="150"/>
      <c r="EV439" s="150"/>
      <c r="EW439" s="150"/>
      <c r="EX439" s="150"/>
      <c r="EY439" s="150"/>
      <c r="EZ439" s="150"/>
      <c r="FA439" s="150"/>
      <c r="FB439" s="150"/>
      <c r="FC439" s="150"/>
      <c r="FD439" s="150"/>
      <c r="FE439" s="150"/>
      <c r="FF439" s="150"/>
      <c r="FG439" s="150"/>
      <c r="FH439" s="150"/>
      <c r="FI439" s="150"/>
      <c r="FJ439" s="150"/>
      <c r="FK439" s="150"/>
      <c r="FL439" s="150"/>
      <c r="FM439" s="150"/>
      <c r="FN439" s="150"/>
    </row>
    <row r="440" spans="1:170" s="149" customFormat="1" x14ac:dyDescent="0.25">
      <c r="A440" s="142"/>
      <c r="B440" s="142"/>
      <c r="C440" s="142"/>
      <c r="D440" s="144"/>
      <c r="E440" s="143"/>
      <c r="F440" s="143"/>
      <c r="G440" s="144"/>
      <c r="H440" s="143"/>
      <c r="I440" s="143"/>
      <c r="J440" s="319"/>
      <c r="K440" s="319"/>
      <c r="L440" s="315"/>
      <c r="M440" s="315"/>
      <c r="N440" s="145"/>
      <c r="O440" s="145"/>
      <c r="P440" s="145"/>
      <c r="Q440" s="146"/>
      <c r="R440" s="147"/>
      <c r="S440" s="148"/>
      <c r="T440" s="148"/>
      <c r="U440" s="148"/>
      <c r="V440" s="148"/>
      <c r="W440" s="148"/>
      <c r="X440" s="148"/>
      <c r="Y440" s="148"/>
      <c r="Z440" s="148"/>
      <c r="AA440" s="148"/>
      <c r="AB440" s="148"/>
      <c r="AV440" s="150"/>
      <c r="AW440" s="150"/>
      <c r="AX440" s="150"/>
      <c r="AY440" s="150"/>
      <c r="AZ440" s="150"/>
      <c r="BA440" s="150"/>
      <c r="BB440" s="150"/>
      <c r="BC440" s="150"/>
      <c r="BD440" s="150"/>
      <c r="BE440" s="150"/>
      <c r="BF440" s="150"/>
      <c r="BG440" s="150"/>
      <c r="BH440" s="150"/>
      <c r="BI440" s="150"/>
      <c r="BJ440" s="150"/>
      <c r="BK440" s="150"/>
      <c r="BL440" s="150"/>
      <c r="BM440" s="150"/>
      <c r="BN440" s="150"/>
      <c r="BO440" s="150"/>
      <c r="BP440" s="150"/>
      <c r="BQ440" s="150"/>
      <c r="BR440" s="150"/>
      <c r="BS440" s="150"/>
      <c r="BT440" s="150"/>
      <c r="BU440" s="150"/>
      <c r="BV440" s="150"/>
      <c r="BW440" s="150"/>
      <c r="BX440" s="150"/>
      <c r="BY440" s="150"/>
      <c r="BZ440" s="150"/>
      <c r="CA440" s="150"/>
      <c r="CB440" s="150"/>
      <c r="CC440" s="150"/>
      <c r="CD440" s="150"/>
      <c r="CE440" s="150"/>
      <c r="CF440" s="150"/>
      <c r="CG440" s="150"/>
      <c r="CH440" s="150"/>
      <c r="CI440" s="150"/>
      <c r="CJ440" s="150"/>
      <c r="CK440" s="150"/>
      <c r="CL440" s="150"/>
      <c r="CM440" s="150"/>
      <c r="CN440" s="150"/>
      <c r="CO440" s="150"/>
      <c r="CP440" s="150"/>
      <c r="CQ440" s="150"/>
      <c r="CR440" s="150"/>
      <c r="CS440" s="150"/>
      <c r="CT440" s="150"/>
      <c r="CU440" s="150"/>
      <c r="CV440" s="150"/>
      <c r="CW440" s="150"/>
      <c r="CX440" s="150"/>
      <c r="CY440" s="150"/>
      <c r="CZ440" s="150"/>
      <c r="DA440" s="150"/>
      <c r="DB440" s="150"/>
      <c r="DC440" s="150"/>
      <c r="DD440" s="150"/>
      <c r="DE440" s="150"/>
      <c r="DF440" s="150"/>
      <c r="DG440" s="150"/>
      <c r="DH440" s="150"/>
      <c r="DI440" s="150"/>
      <c r="DJ440" s="150"/>
      <c r="DK440" s="150"/>
      <c r="DL440" s="150"/>
      <c r="DM440" s="150"/>
      <c r="DN440" s="150"/>
      <c r="DO440" s="150"/>
      <c r="DP440" s="150"/>
      <c r="DQ440" s="150"/>
      <c r="DR440" s="150"/>
      <c r="DS440" s="150"/>
      <c r="DT440" s="150"/>
      <c r="DU440" s="150"/>
      <c r="DV440" s="150"/>
      <c r="DW440" s="150"/>
      <c r="DX440" s="150"/>
      <c r="DY440" s="150"/>
      <c r="DZ440" s="150"/>
      <c r="EA440" s="150"/>
      <c r="EB440" s="150"/>
      <c r="EC440" s="150"/>
      <c r="ED440" s="150"/>
      <c r="EE440" s="150"/>
      <c r="EF440" s="150"/>
      <c r="EG440" s="150"/>
      <c r="EH440" s="150"/>
      <c r="EI440" s="150"/>
      <c r="EJ440" s="150"/>
      <c r="EK440" s="150"/>
      <c r="EL440" s="150"/>
      <c r="EM440" s="150"/>
      <c r="EN440" s="150"/>
      <c r="EO440" s="150"/>
      <c r="EP440" s="150"/>
      <c r="EQ440" s="150"/>
      <c r="ER440" s="150"/>
      <c r="ES440" s="150"/>
      <c r="ET440" s="150"/>
      <c r="EU440" s="150"/>
      <c r="EV440" s="150"/>
      <c r="EW440" s="150"/>
      <c r="EX440" s="150"/>
      <c r="EY440" s="150"/>
      <c r="EZ440" s="150"/>
      <c r="FA440" s="150"/>
      <c r="FB440" s="150"/>
      <c r="FC440" s="150"/>
      <c r="FD440" s="150"/>
      <c r="FE440" s="150"/>
      <c r="FF440" s="150"/>
      <c r="FG440" s="150"/>
      <c r="FH440" s="150"/>
      <c r="FI440" s="150"/>
      <c r="FJ440" s="150"/>
      <c r="FK440" s="150"/>
      <c r="FL440" s="150"/>
      <c r="FM440" s="150"/>
      <c r="FN440" s="150"/>
    </row>
    <row r="441" spans="1:170" s="149" customFormat="1" x14ac:dyDescent="0.25">
      <c r="A441" s="142"/>
      <c r="B441" s="142"/>
      <c r="C441" s="142"/>
      <c r="D441" s="144"/>
      <c r="E441" s="143"/>
      <c r="F441" s="143"/>
      <c r="G441" s="144"/>
      <c r="H441" s="143"/>
      <c r="I441" s="143"/>
      <c r="J441" s="319"/>
      <c r="K441" s="319"/>
      <c r="L441" s="315"/>
      <c r="M441" s="315"/>
      <c r="N441" s="145"/>
      <c r="O441" s="145"/>
      <c r="P441" s="145"/>
      <c r="Q441" s="146"/>
      <c r="R441" s="147"/>
      <c r="S441" s="148"/>
      <c r="T441" s="148"/>
      <c r="U441" s="148"/>
      <c r="V441" s="148"/>
      <c r="W441" s="148"/>
      <c r="X441" s="148"/>
      <c r="Y441" s="148"/>
      <c r="Z441" s="148"/>
      <c r="AA441" s="148"/>
      <c r="AB441" s="148"/>
      <c r="AV441" s="150"/>
      <c r="AW441" s="150"/>
      <c r="AX441" s="150"/>
      <c r="AY441" s="150"/>
      <c r="AZ441" s="150"/>
      <c r="BA441" s="150"/>
      <c r="BB441" s="150"/>
      <c r="BC441" s="150"/>
      <c r="BD441" s="150"/>
      <c r="BE441" s="150"/>
      <c r="BF441" s="150"/>
      <c r="BG441" s="150"/>
      <c r="BH441" s="150"/>
      <c r="BI441" s="150"/>
      <c r="BJ441" s="150"/>
      <c r="BK441" s="150"/>
      <c r="BL441" s="150"/>
      <c r="BM441" s="150"/>
      <c r="BN441" s="150"/>
      <c r="BO441" s="150"/>
      <c r="BP441" s="150"/>
      <c r="BQ441" s="150"/>
      <c r="BR441" s="150"/>
      <c r="BS441" s="150"/>
      <c r="BT441" s="150"/>
      <c r="BU441" s="150"/>
      <c r="BV441" s="150"/>
      <c r="BW441" s="150"/>
      <c r="BX441" s="150"/>
      <c r="BY441" s="150"/>
      <c r="BZ441" s="150"/>
      <c r="CA441" s="150"/>
      <c r="CB441" s="150"/>
      <c r="CC441" s="150"/>
      <c r="CD441" s="150"/>
      <c r="CE441" s="150"/>
      <c r="CF441" s="150"/>
      <c r="CG441" s="150"/>
      <c r="CH441" s="150"/>
      <c r="CI441" s="150"/>
      <c r="CJ441" s="150"/>
      <c r="CK441" s="150"/>
      <c r="CL441" s="150"/>
      <c r="CM441" s="150"/>
      <c r="CN441" s="150"/>
      <c r="CO441" s="150"/>
      <c r="CP441" s="150"/>
      <c r="CQ441" s="150"/>
      <c r="CR441" s="150"/>
      <c r="CS441" s="150"/>
      <c r="CT441" s="150"/>
      <c r="CU441" s="150"/>
      <c r="CV441" s="150"/>
      <c r="CW441" s="150"/>
      <c r="CX441" s="150"/>
      <c r="CY441" s="150"/>
      <c r="CZ441" s="150"/>
      <c r="DA441" s="150"/>
      <c r="DB441" s="150"/>
      <c r="DC441" s="150"/>
      <c r="DD441" s="150"/>
      <c r="DE441" s="150"/>
      <c r="DF441" s="150"/>
      <c r="DG441" s="150"/>
      <c r="DH441" s="150"/>
      <c r="DI441" s="150"/>
      <c r="DJ441" s="150"/>
      <c r="DK441" s="150"/>
      <c r="DL441" s="150"/>
      <c r="DM441" s="150"/>
      <c r="DN441" s="150"/>
      <c r="DO441" s="150"/>
      <c r="DP441" s="150"/>
      <c r="DQ441" s="150"/>
      <c r="DR441" s="150"/>
      <c r="DS441" s="150"/>
      <c r="DT441" s="150"/>
      <c r="DU441" s="150"/>
      <c r="DV441" s="150"/>
      <c r="DW441" s="150"/>
      <c r="DX441" s="150"/>
      <c r="DY441" s="150"/>
      <c r="DZ441" s="150"/>
      <c r="EA441" s="150"/>
      <c r="EB441" s="150"/>
      <c r="EC441" s="150"/>
      <c r="ED441" s="150"/>
      <c r="EE441" s="150"/>
      <c r="EF441" s="150"/>
      <c r="EG441" s="150"/>
      <c r="EH441" s="150"/>
      <c r="EI441" s="150"/>
      <c r="EJ441" s="150"/>
      <c r="EK441" s="150"/>
      <c r="EL441" s="150"/>
      <c r="EM441" s="150"/>
      <c r="EN441" s="150"/>
      <c r="EO441" s="150"/>
      <c r="EP441" s="150"/>
      <c r="EQ441" s="150"/>
      <c r="ER441" s="150"/>
      <c r="ES441" s="150"/>
      <c r="ET441" s="150"/>
      <c r="EU441" s="150"/>
      <c r="EV441" s="150"/>
      <c r="EW441" s="150"/>
      <c r="EX441" s="150"/>
      <c r="EY441" s="150"/>
      <c r="EZ441" s="150"/>
      <c r="FA441" s="150"/>
      <c r="FB441" s="150"/>
      <c r="FC441" s="150"/>
      <c r="FD441" s="150"/>
      <c r="FE441" s="150"/>
      <c r="FF441" s="150"/>
      <c r="FG441" s="150"/>
      <c r="FH441" s="150"/>
      <c r="FI441" s="150"/>
      <c r="FJ441" s="150"/>
      <c r="FK441" s="150"/>
      <c r="FL441" s="150"/>
      <c r="FM441" s="150"/>
      <c r="FN441" s="150"/>
    </row>
    <row r="442" spans="1:170" s="149" customFormat="1" x14ac:dyDescent="0.25">
      <c r="A442" s="142"/>
      <c r="B442" s="142"/>
      <c r="C442" s="142"/>
      <c r="D442" s="144"/>
      <c r="E442" s="143"/>
      <c r="F442" s="143"/>
      <c r="G442" s="144"/>
      <c r="H442" s="143"/>
      <c r="I442" s="143"/>
      <c r="J442" s="319"/>
      <c r="K442" s="319"/>
      <c r="L442" s="315"/>
      <c r="M442" s="315"/>
      <c r="N442" s="145"/>
      <c r="O442" s="145"/>
      <c r="P442" s="145"/>
      <c r="Q442" s="146"/>
      <c r="R442" s="147"/>
      <c r="S442" s="148"/>
      <c r="T442" s="148"/>
      <c r="U442" s="148"/>
      <c r="V442" s="148"/>
      <c r="W442" s="148"/>
      <c r="X442" s="148"/>
      <c r="Y442" s="148"/>
      <c r="Z442" s="148"/>
      <c r="AA442" s="148"/>
      <c r="AB442" s="148"/>
      <c r="AV442" s="150"/>
      <c r="AW442" s="150"/>
      <c r="AX442" s="150"/>
      <c r="AY442" s="150"/>
      <c r="AZ442" s="150"/>
      <c r="BA442" s="150"/>
      <c r="BB442" s="150"/>
      <c r="BC442" s="150"/>
      <c r="BD442" s="150"/>
      <c r="BE442" s="150"/>
      <c r="BF442" s="150"/>
      <c r="BG442" s="150"/>
      <c r="BH442" s="150"/>
      <c r="BI442" s="150"/>
      <c r="BJ442" s="150"/>
      <c r="BK442" s="150"/>
      <c r="BL442" s="150"/>
      <c r="BM442" s="150"/>
      <c r="BN442" s="150"/>
      <c r="BO442" s="150"/>
      <c r="BP442" s="150"/>
      <c r="BQ442" s="150"/>
      <c r="BR442" s="150"/>
      <c r="BS442" s="150"/>
      <c r="BT442" s="150"/>
      <c r="BU442" s="150"/>
      <c r="BV442" s="150"/>
      <c r="BW442" s="150"/>
      <c r="BX442" s="150"/>
      <c r="BY442" s="150"/>
      <c r="BZ442" s="150"/>
      <c r="CA442" s="150"/>
      <c r="CB442" s="150"/>
      <c r="CC442" s="150"/>
      <c r="CD442" s="150"/>
      <c r="CE442" s="150"/>
      <c r="CF442" s="150"/>
      <c r="CG442" s="150"/>
      <c r="CH442" s="150"/>
      <c r="CI442" s="150"/>
      <c r="CJ442" s="150"/>
      <c r="CK442" s="150"/>
      <c r="CL442" s="150"/>
      <c r="CM442" s="150"/>
      <c r="CN442" s="150"/>
      <c r="CO442" s="150"/>
      <c r="CP442" s="150"/>
      <c r="CQ442" s="150"/>
      <c r="CR442" s="150"/>
      <c r="CS442" s="150"/>
      <c r="CT442" s="150"/>
      <c r="CU442" s="150"/>
      <c r="CV442" s="150"/>
      <c r="CW442" s="150"/>
      <c r="CX442" s="150"/>
      <c r="CY442" s="150"/>
      <c r="CZ442" s="150"/>
      <c r="DA442" s="150"/>
      <c r="DB442" s="150"/>
      <c r="DC442" s="150"/>
      <c r="DD442" s="150"/>
      <c r="DE442" s="150"/>
      <c r="DF442" s="150"/>
      <c r="DG442" s="150"/>
      <c r="DH442" s="150"/>
      <c r="DI442" s="150"/>
      <c r="DJ442" s="150"/>
      <c r="DK442" s="150"/>
      <c r="DL442" s="150"/>
      <c r="DM442" s="150"/>
      <c r="DN442" s="150"/>
      <c r="DO442" s="150"/>
      <c r="DP442" s="150"/>
      <c r="DQ442" s="150"/>
      <c r="DR442" s="150"/>
      <c r="DS442" s="150"/>
      <c r="DT442" s="150"/>
      <c r="DU442" s="150"/>
      <c r="DV442" s="150"/>
      <c r="DW442" s="150"/>
      <c r="DX442" s="150"/>
      <c r="DY442" s="150"/>
      <c r="DZ442" s="150"/>
      <c r="EA442" s="150"/>
      <c r="EB442" s="150"/>
      <c r="EC442" s="150"/>
      <c r="ED442" s="150"/>
      <c r="EE442" s="150"/>
      <c r="EF442" s="150"/>
      <c r="EG442" s="150"/>
      <c r="EH442" s="150"/>
      <c r="EI442" s="150"/>
      <c r="EJ442" s="150"/>
      <c r="EK442" s="150"/>
      <c r="EL442" s="150"/>
      <c r="EM442" s="150"/>
      <c r="EN442" s="150"/>
      <c r="EO442" s="150"/>
      <c r="EP442" s="150"/>
      <c r="EQ442" s="150"/>
      <c r="ER442" s="150"/>
      <c r="ES442" s="150"/>
      <c r="ET442" s="150"/>
      <c r="EU442" s="150"/>
      <c r="EV442" s="150"/>
      <c r="EW442" s="150"/>
      <c r="EX442" s="150"/>
      <c r="EY442" s="150"/>
      <c r="EZ442" s="150"/>
      <c r="FA442" s="150"/>
      <c r="FB442" s="150"/>
      <c r="FC442" s="150"/>
      <c r="FD442" s="150"/>
      <c r="FE442" s="150"/>
      <c r="FF442" s="150"/>
      <c r="FG442" s="150"/>
      <c r="FH442" s="150"/>
      <c r="FI442" s="150"/>
      <c r="FJ442" s="150"/>
      <c r="FK442" s="150"/>
      <c r="FL442" s="150"/>
      <c r="FM442" s="150"/>
      <c r="FN442" s="150"/>
    </row>
    <row r="443" spans="1:170" s="149" customFormat="1" x14ac:dyDescent="0.25">
      <c r="A443" s="142"/>
      <c r="B443" s="142"/>
      <c r="C443" s="142"/>
      <c r="D443" s="144"/>
      <c r="E443" s="143"/>
      <c r="F443" s="143"/>
      <c r="G443" s="144"/>
      <c r="H443" s="143"/>
      <c r="I443" s="143"/>
      <c r="J443" s="319"/>
      <c r="K443" s="319"/>
      <c r="L443" s="315"/>
      <c r="M443" s="315"/>
      <c r="N443" s="145"/>
      <c r="O443" s="145"/>
      <c r="P443" s="145"/>
      <c r="Q443" s="146"/>
      <c r="R443" s="147"/>
      <c r="S443" s="148"/>
      <c r="T443" s="148"/>
      <c r="U443" s="148"/>
      <c r="V443" s="148"/>
      <c r="W443" s="148"/>
      <c r="X443" s="148"/>
      <c r="Y443" s="148"/>
      <c r="Z443" s="148"/>
      <c r="AA443" s="148"/>
      <c r="AB443" s="148"/>
      <c r="AV443" s="150"/>
      <c r="AW443" s="150"/>
      <c r="AX443" s="150"/>
      <c r="AY443" s="150"/>
      <c r="AZ443" s="150"/>
      <c r="BA443" s="150"/>
      <c r="BB443" s="150"/>
      <c r="BC443" s="150"/>
      <c r="BD443" s="150"/>
      <c r="BE443" s="150"/>
      <c r="BF443" s="150"/>
      <c r="BG443" s="150"/>
      <c r="BH443" s="150"/>
      <c r="BI443" s="150"/>
      <c r="BJ443" s="150"/>
      <c r="BK443" s="150"/>
      <c r="BL443" s="150"/>
      <c r="BM443" s="150"/>
      <c r="BN443" s="150"/>
      <c r="BO443" s="150"/>
      <c r="BP443" s="150"/>
      <c r="BQ443" s="150"/>
      <c r="BR443" s="150"/>
      <c r="BS443" s="150"/>
      <c r="BT443" s="150"/>
      <c r="BU443" s="150"/>
      <c r="BV443" s="150"/>
      <c r="BW443" s="150"/>
      <c r="BX443" s="150"/>
      <c r="BY443" s="150"/>
      <c r="BZ443" s="150"/>
      <c r="CA443" s="150"/>
      <c r="CB443" s="150"/>
      <c r="CC443" s="150"/>
      <c r="CD443" s="150"/>
      <c r="CE443" s="150"/>
      <c r="CF443" s="150"/>
      <c r="CG443" s="150"/>
      <c r="CH443" s="150"/>
      <c r="CI443" s="150"/>
      <c r="CJ443" s="150"/>
      <c r="CK443" s="150"/>
      <c r="CL443" s="150"/>
      <c r="CM443" s="150"/>
      <c r="CN443" s="150"/>
      <c r="CO443" s="150"/>
      <c r="CP443" s="150"/>
      <c r="CQ443" s="150"/>
      <c r="CR443" s="150"/>
      <c r="CS443" s="150"/>
      <c r="CT443" s="150"/>
      <c r="CU443" s="150"/>
      <c r="CV443" s="150"/>
      <c r="CW443" s="150"/>
      <c r="CX443" s="150"/>
      <c r="CY443" s="150"/>
      <c r="CZ443" s="150"/>
      <c r="DA443" s="150"/>
      <c r="DB443" s="150"/>
      <c r="DC443" s="150"/>
      <c r="DD443" s="150"/>
      <c r="DE443" s="150"/>
      <c r="DF443" s="150"/>
      <c r="DG443" s="150"/>
      <c r="DH443" s="150"/>
      <c r="DI443" s="150"/>
      <c r="DJ443" s="150"/>
      <c r="DK443" s="150"/>
      <c r="DL443" s="150"/>
      <c r="DM443" s="150"/>
      <c r="DN443" s="150"/>
      <c r="DO443" s="150"/>
      <c r="DP443" s="150"/>
      <c r="DQ443" s="150"/>
      <c r="DR443" s="150"/>
      <c r="DS443" s="150"/>
      <c r="DT443" s="150"/>
      <c r="DU443" s="150"/>
      <c r="DV443" s="150"/>
      <c r="DW443" s="150"/>
      <c r="DX443" s="150"/>
      <c r="DY443" s="150"/>
      <c r="DZ443" s="150"/>
      <c r="EA443" s="150"/>
      <c r="EB443" s="150"/>
      <c r="EC443" s="150"/>
      <c r="ED443" s="150"/>
      <c r="EE443" s="150"/>
      <c r="EF443" s="150"/>
      <c r="EG443" s="150"/>
      <c r="EH443" s="150"/>
      <c r="EI443" s="150"/>
      <c r="EJ443" s="150"/>
      <c r="EK443" s="150"/>
      <c r="EL443" s="150"/>
      <c r="EM443" s="150"/>
      <c r="EN443" s="150"/>
      <c r="EO443" s="150"/>
      <c r="EP443" s="150"/>
      <c r="EQ443" s="150"/>
      <c r="ER443" s="150"/>
      <c r="ES443" s="150"/>
      <c r="ET443" s="150"/>
      <c r="EU443" s="150"/>
      <c r="EV443" s="150"/>
      <c r="EW443" s="150"/>
      <c r="EX443" s="150"/>
      <c r="EY443" s="150"/>
      <c r="EZ443" s="150"/>
      <c r="FA443" s="150"/>
      <c r="FB443" s="150"/>
      <c r="FC443" s="150"/>
      <c r="FD443" s="150"/>
      <c r="FE443" s="150"/>
      <c r="FF443" s="150"/>
      <c r="FG443" s="150"/>
      <c r="FH443" s="150"/>
      <c r="FI443" s="150"/>
      <c r="FJ443" s="150"/>
      <c r="FK443" s="150"/>
      <c r="FL443" s="150"/>
      <c r="FM443" s="150"/>
      <c r="FN443" s="150"/>
    </row>
    <row r="444" spans="1:170" s="149" customFormat="1" x14ac:dyDescent="0.25">
      <c r="A444" s="142"/>
      <c r="B444" s="142"/>
      <c r="C444" s="142"/>
      <c r="D444" s="144"/>
      <c r="E444" s="143"/>
      <c r="F444" s="143"/>
      <c r="G444" s="144"/>
      <c r="H444" s="143"/>
      <c r="I444" s="143"/>
      <c r="J444" s="319"/>
      <c r="K444" s="319"/>
      <c r="L444" s="315"/>
      <c r="M444" s="315"/>
      <c r="N444" s="145"/>
      <c r="O444" s="145"/>
      <c r="P444" s="145"/>
      <c r="Q444" s="146"/>
      <c r="R444" s="147"/>
      <c r="S444" s="148"/>
      <c r="T444" s="148"/>
      <c r="U444" s="148"/>
      <c r="V444" s="148"/>
      <c r="W444" s="148"/>
      <c r="X444" s="148"/>
      <c r="Y444" s="148"/>
      <c r="Z444" s="148"/>
      <c r="AA444" s="148"/>
      <c r="AB444" s="148"/>
      <c r="AV444" s="150"/>
      <c r="AW444" s="150"/>
      <c r="AX444" s="150"/>
      <c r="AY444" s="150"/>
      <c r="AZ444" s="150"/>
      <c r="BA444" s="150"/>
      <c r="BB444" s="150"/>
      <c r="BC444" s="150"/>
      <c r="BD444" s="150"/>
      <c r="BE444" s="150"/>
      <c r="BF444" s="150"/>
      <c r="BG444" s="150"/>
      <c r="BH444" s="150"/>
      <c r="BI444" s="150"/>
      <c r="BJ444" s="150"/>
      <c r="BK444" s="150"/>
      <c r="BL444" s="150"/>
      <c r="BM444" s="150"/>
      <c r="BN444" s="150"/>
      <c r="BO444" s="150"/>
      <c r="BP444" s="150"/>
      <c r="BQ444" s="150"/>
      <c r="BR444" s="150"/>
      <c r="BS444" s="150"/>
      <c r="BT444" s="150"/>
      <c r="BU444" s="150"/>
      <c r="BV444" s="150"/>
      <c r="BW444" s="150"/>
      <c r="BX444" s="150"/>
      <c r="BY444" s="150"/>
      <c r="BZ444" s="150"/>
      <c r="CA444" s="150"/>
      <c r="CB444" s="150"/>
      <c r="CC444" s="150"/>
      <c r="CD444" s="150"/>
      <c r="CE444" s="150"/>
      <c r="CF444" s="150"/>
      <c r="CG444" s="150"/>
      <c r="CH444" s="150"/>
      <c r="CI444" s="150"/>
      <c r="CJ444" s="150"/>
      <c r="CK444" s="150"/>
      <c r="CL444" s="150"/>
      <c r="CM444" s="150"/>
      <c r="CN444" s="150"/>
      <c r="CO444" s="150"/>
      <c r="CP444" s="150"/>
      <c r="CQ444" s="150"/>
      <c r="CR444" s="150"/>
      <c r="CS444" s="150"/>
      <c r="CT444" s="150"/>
      <c r="CU444" s="150"/>
      <c r="CV444" s="150"/>
      <c r="CW444" s="150"/>
      <c r="CX444" s="150"/>
      <c r="CY444" s="150"/>
      <c r="CZ444" s="150"/>
      <c r="DA444" s="150"/>
      <c r="DB444" s="150"/>
      <c r="DC444" s="150"/>
      <c r="DD444" s="150"/>
      <c r="DE444" s="150"/>
      <c r="DF444" s="150"/>
      <c r="DG444" s="150"/>
      <c r="DH444" s="150"/>
      <c r="DI444" s="150"/>
      <c r="DJ444" s="150"/>
      <c r="DK444" s="150"/>
      <c r="DL444" s="150"/>
      <c r="DM444" s="150"/>
      <c r="DN444" s="150"/>
      <c r="DO444" s="150"/>
      <c r="DP444" s="150"/>
      <c r="DQ444" s="150"/>
      <c r="DR444" s="150"/>
      <c r="DS444" s="150"/>
      <c r="DT444" s="150"/>
      <c r="DU444" s="150"/>
      <c r="DV444" s="150"/>
      <c r="DW444" s="150"/>
      <c r="DX444" s="150"/>
      <c r="DY444" s="150"/>
      <c r="DZ444" s="150"/>
      <c r="EA444" s="150"/>
      <c r="EB444" s="150"/>
      <c r="EC444" s="150"/>
      <c r="ED444" s="150"/>
      <c r="EE444" s="150"/>
      <c r="EF444" s="150"/>
      <c r="EG444" s="150"/>
      <c r="EH444" s="150"/>
      <c r="EI444" s="150"/>
      <c r="EJ444" s="150"/>
      <c r="EK444" s="150"/>
      <c r="EL444" s="150"/>
      <c r="EM444" s="150"/>
      <c r="EN444" s="150"/>
      <c r="EO444" s="150"/>
      <c r="EP444" s="150"/>
      <c r="EQ444" s="150"/>
      <c r="ER444" s="150"/>
      <c r="ES444" s="150"/>
      <c r="ET444" s="150"/>
      <c r="EU444" s="150"/>
      <c r="EV444" s="150"/>
      <c r="EW444" s="150"/>
      <c r="EX444" s="150"/>
      <c r="EY444" s="150"/>
      <c r="EZ444" s="150"/>
      <c r="FA444" s="150"/>
      <c r="FB444" s="150"/>
      <c r="FC444" s="150"/>
      <c r="FD444" s="150"/>
      <c r="FE444" s="150"/>
      <c r="FF444" s="150"/>
      <c r="FG444" s="150"/>
      <c r="FH444" s="150"/>
      <c r="FI444" s="150"/>
      <c r="FJ444" s="150"/>
      <c r="FK444" s="150"/>
      <c r="FL444" s="150"/>
      <c r="FM444" s="150"/>
      <c r="FN444" s="150"/>
    </row>
    <row r="445" spans="1:170" s="149" customFormat="1" x14ac:dyDescent="0.25">
      <c r="A445" s="142"/>
      <c r="B445" s="142"/>
      <c r="C445" s="142"/>
      <c r="D445" s="144"/>
      <c r="E445" s="143"/>
      <c r="F445" s="143"/>
      <c r="G445" s="144"/>
      <c r="H445" s="143"/>
      <c r="I445" s="143"/>
      <c r="J445" s="319"/>
      <c r="K445" s="319"/>
      <c r="L445" s="315"/>
      <c r="M445" s="315"/>
      <c r="N445" s="145"/>
      <c r="O445" s="145"/>
      <c r="P445" s="145"/>
      <c r="Q445" s="146"/>
      <c r="R445" s="147"/>
      <c r="S445" s="148"/>
      <c r="T445" s="148"/>
      <c r="U445" s="148"/>
      <c r="V445" s="148"/>
      <c r="W445" s="148"/>
      <c r="X445" s="148"/>
      <c r="Y445" s="148"/>
      <c r="Z445" s="148"/>
      <c r="AA445" s="148"/>
      <c r="AB445" s="148"/>
      <c r="AV445" s="150"/>
      <c r="AW445" s="150"/>
      <c r="AX445" s="150"/>
      <c r="AY445" s="150"/>
      <c r="AZ445" s="150"/>
      <c r="BA445" s="150"/>
      <c r="BB445" s="150"/>
      <c r="BC445" s="150"/>
      <c r="BD445" s="150"/>
      <c r="BE445" s="150"/>
      <c r="BF445" s="150"/>
      <c r="BG445" s="150"/>
      <c r="BH445" s="150"/>
      <c r="BI445" s="150"/>
      <c r="BJ445" s="150"/>
      <c r="BK445" s="150"/>
      <c r="BL445" s="150"/>
      <c r="BM445" s="150"/>
      <c r="BN445" s="150"/>
      <c r="BO445" s="150"/>
      <c r="BP445" s="150"/>
      <c r="BQ445" s="150"/>
      <c r="BR445" s="150"/>
      <c r="BS445" s="150"/>
      <c r="BT445" s="150"/>
      <c r="BU445" s="150"/>
      <c r="BV445" s="150"/>
      <c r="BW445" s="150"/>
      <c r="BX445" s="150"/>
      <c r="BY445" s="150"/>
      <c r="BZ445" s="150"/>
      <c r="CA445" s="150"/>
      <c r="CB445" s="150"/>
      <c r="CC445" s="150"/>
      <c r="CD445" s="150"/>
      <c r="CE445" s="150"/>
      <c r="CF445" s="150"/>
      <c r="CG445" s="150"/>
      <c r="CH445" s="150"/>
      <c r="CI445" s="150"/>
      <c r="CJ445" s="150"/>
      <c r="CK445" s="150"/>
      <c r="CL445" s="150"/>
      <c r="CM445" s="150"/>
      <c r="CN445" s="150"/>
      <c r="CO445" s="150"/>
      <c r="CP445" s="150"/>
      <c r="CQ445" s="150"/>
      <c r="CR445" s="150"/>
      <c r="CS445" s="150"/>
      <c r="CT445" s="150"/>
      <c r="CU445" s="150"/>
      <c r="CV445" s="150"/>
      <c r="CW445" s="150"/>
      <c r="CX445" s="150"/>
      <c r="CY445" s="150"/>
      <c r="CZ445" s="150"/>
      <c r="DA445" s="150"/>
      <c r="DB445" s="150"/>
      <c r="DC445" s="150"/>
      <c r="DD445" s="150"/>
      <c r="DE445" s="150"/>
      <c r="DF445" s="150"/>
      <c r="DG445" s="150"/>
      <c r="DH445" s="150"/>
      <c r="DI445" s="150"/>
      <c r="DJ445" s="150"/>
      <c r="DK445" s="150"/>
      <c r="DL445" s="150"/>
      <c r="DM445" s="150"/>
      <c r="DN445" s="150"/>
      <c r="DO445" s="150"/>
      <c r="DP445" s="150"/>
      <c r="DQ445" s="150"/>
      <c r="DR445" s="150"/>
      <c r="DS445" s="150"/>
      <c r="DT445" s="150"/>
      <c r="DU445" s="150"/>
      <c r="DV445" s="150"/>
      <c r="DW445" s="150"/>
      <c r="DX445" s="150"/>
      <c r="DY445" s="150"/>
      <c r="DZ445" s="150"/>
      <c r="EA445" s="150"/>
      <c r="EB445" s="150"/>
      <c r="EC445" s="150"/>
      <c r="ED445" s="150"/>
      <c r="EE445" s="150"/>
      <c r="EF445" s="150"/>
      <c r="EG445" s="150"/>
      <c r="EH445" s="150"/>
      <c r="EI445" s="150"/>
      <c r="EJ445" s="150"/>
      <c r="EK445" s="150"/>
      <c r="EL445" s="150"/>
      <c r="EM445" s="150"/>
      <c r="EN445" s="150"/>
      <c r="EO445" s="150"/>
      <c r="EP445" s="150"/>
      <c r="EQ445" s="150"/>
      <c r="ER445" s="150"/>
      <c r="ES445" s="150"/>
      <c r="ET445" s="150"/>
      <c r="EU445" s="150"/>
      <c r="EV445" s="150"/>
      <c r="EW445" s="150"/>
      <c r="EX445" s="150"/>
      <c r="EY445" s="150"/>
      <c r="EZ445" s="150"/>
      <c r="FA445" s="150"/>
      <c r="FB445" s="150"/>
      <c r="FC445" s="150"/>
      <c r="FD445" s="150"/>
      <c r="FE445" s="150"/>
      <c r="FF445" s="150"/>
      <c r="FG445" s="150"/>
      <c r="FH445" s="150"/>
      <c r="FI445" s="150"/>
      <c r="FJ445" s="150"/>
      <c r="FK445" s="150"/>
      <c r="FL445" s="150"/>
      <c r="FM445" s="150"/>
      <c r="FN445" s="150"/>
    </row>
    <row r="446" spans="1:170" s="149" customFormat="1" x14ac:dyDescent="0.25">
      <c r="A446" s="142"/>
      <c r="B446" s="142"/>
      <c r="C446" s="142"/>
      <c r="D446" s="144"/>
      <c r="E446" s="143"/>
      <c r="F446" s="143"/>
      <c r="G446" s="144"/>
      <c r="H446" s="143"/>
      <c r="I446" s="143"/>
      <c r="J446" s="319"/>
      <c r="K446" s="319"/>
      <c r="L446" s="315"/>
      <c r="M446" s="315"/>
      <c r="N446" s="145"/>
      <c r="O446" s="145"/>
      <c r="P446" s="145"/>
      <c r="Q446" s="146"/>
      <c r="R446" s="147"/>
      <c r="S446" s="148"/>
      <c r="T446" s="148"/>
      <c r="U446" s="148"/>
      <c r="V446" s="148"/>
      <c r="W446" s="148"/>
      <c r="X446" s="148"/>
      <c r="Y446" s="148"/>
      <c r="Z446" s="148"/>
      <c r="AA446" s="148"/>
      <c r="AB446" s="148"/>
      <c r="AV446" s="150"/>
      <c r="AW446" s="150"/>
      <c r="AX446" s="150"/>
      <c r="AY446" s="150"/>
      <c r="AZ446" s="150"/>
      <c r="BA446" s="150"/>
      <c r="BB446" s="150"/>
      <c r="BC446" s="150"/>
      <c r="BD446" s="150"/>
      <c r="BE446" s="150"/>
      <c r="BF446" s="150"/>
      <c r="BG446" s="150"/>
      <c r="BH446" s="150"/>
      <c r="BI446" s="150"/>
      <c r="BJ446" s="150"/>
      <c r="BK446" s="150"/>
      <c r="BL446" s="150"/>
      <c r="BM446" s="150"/>
      <c r="BN446" s="150"/>
      <c r="BO446" s="150"/>
      <c r="BP446" s="150"/>
      <c r="BQ446" s="150"/>
      <c r="BR446" s="150"/>
      <c r="BS446" s="150"/>
      <c r="BT446" s="150"/>
      <c r="BU446" s="150"/>
      <c r="BV446" s="150"/>
      <c r="BW446" s="150"/>
      <c r="BX446" s="150"/>
      <c r="BY446" s="150"/>
      <c r="BZ446" s="150"/>
      <c r="CA446" s="150"/>
      <c r="CB446" s="150"/>
      <c r="CC446" s="150"/>
      <c r="CD446" s="150"/>
      <c r="CE446" s="150"/>
      <c r="CF446" s="150"/>
      <c r="CG446" s="150"/>
      <c r="CH446" s="150"/>
      <c r="CI446" s="150"/>
      <c r="CJ446" s="150"/>
      <c r="CK446" s="150"/>
      <c r="CL446" s="150"/>
      <c r="CM446" s="150"/>
      <c r="CN446" s="150"/>
      <c r="CO446" s="150"/>
      <c r="CP446" s="150"/>
      <c r="CQ446" s="150"/>
      <c r="CR446" s="150"/>
      <c r="CS446" s="150"/>
      <c r="CT446" s="150"/>
      <c r="CU446" s="150"/>
      <c r="CV446" s="150"/>
      <c r="CW446" s="150"/>
      <c r="CX446" s="150"/>
      <c r="CY446" s="150"/>
      <c r="CZ446" s="150"/>
      <c r="DA446" s="150"/>
      <c r="DB446" s="150"/>
      <c r="DC446" s="150"/>
      <c r="DD446" s="150"/>
      <c r="DE446" s="150"/>
      <c r="DF446" s="150"/>
      <c r="DG446" s="150"/>
      <c r="DH446" s="150"/>
      <c r="DI446" s="150"/>
      <c r="DJ446" s="150"/>
      <c r="DK446" s="150"/>
      <c r="DL446" s="150"/>
      <c r="DM446" s="150"/>
      <c r="DN446" s="150"/>
      <c r="DO446" s="150"/>
      <c r="DP446" s="150"/>
      <c r="DQ446" s="150"/>
      <c r="DR446" s="150"/>
      <c r="DS446" s="150"/>
      <c r="DT446" s="150"/>
      <c r="DU446" s="150"/>
      <c r="DV446" s="150"/>
      <c r="DW446" s="150"/>
      <c r="DX446" s="150"/>
      <c r="DY446" s="150"/>
      <c r="DZ446" s="150"/>
      <c r="EA446" s="150"/>
      <c r="EB446" s="150"/>
      <c r="EC446" s="150"/>
      <c r="ED446" s="150"/>
      <c r="EE446" s="150"/>
      <c r="EF446" s="150"/>
      <c r="EG446" s="150"/>
      <c r="EH446" s="150"/>
      <c r="EI446" s="150"/>
      <c r="EJ446" s="150"/>
      <c r="EK446" s="150"/>
      <c r="EL446" s="150"/>
      <c r="EM446" s="150"/>
      <c r="EN446" s="150"/>
      <c r="EO446" s="150"/>
      <c r="EP446" s="150"/>
      <c r="EQ446" s="150"/>
      <c r="ER446" s="150"/>
      <c r="ES446" s="150"/>
      <c r="ET446" s="150"/>
      <c r="EU446" s="150"/>
      <c r="EV446" s="150"/>
      <c r="EW446" s="150"/>
      <c r="EX446" s="150"/>
      <c r="EY446" s="150"/>
      <c r="EZ446" s="150"/>
      <c r="FA446" s="150"/>
      <c r="FB446" s="150"/>
      <c r="FC446" s="150"/>
      <c r="FD446" s="150"/>
      <c r="FE446" s="150"/>
      <c r="FF446" s="150"/>
      <c r="FG446" s="150"/>
      <c r="FH446" s="150"/>
      <c r="FI446" s="150"/>
      <c r="FJ446" s="150"/>
      <c r="FK446" s="150"/>
      <c r="FL446" s="150"/>
      <c r="FM446" s="150"/>
      <c r="FN446" s="150"/>
    </row>
    <row r="447" spans="1:170" s="149" customFormat="1" x14ac:dyDescent="0.25">
      <c r="A447" s="142"/>
      <c r="B447" s="142"/>
      <c r="C447" s="142"/>
      <c r="D447" s="144"/>
      <c r="E447" s="143"/>
      <c r="F447" s="143"/>
      <c r="G447" s="144"/>
      <c r="H447" s="143"/>
      <c r="I447" s="143"/>
      <c r="J447" s="319"/>
      <c r="K447" s="319"/>
      <c r="L447" s="315"/>
      <c r="M447" s="315"/>
      <c r="N447" s="145"/>
      <c r="O447" s="145"/>
      <c r="P447" s="145"/>
      <c r="Q447" s="146"/>
      <c r="R447" s="147"/>
      <c r="S447" s="148"/>
      <c r="T447" s="148"/>
      <c r="U447" s="148"/>
      <c r="V447" s="148"/>
      <c r="W447" s="148"/>
      <c r="X447" s="148"/>
      <c r="Y447" s="148"/>
      <c r="Z447" s="148"/>
      <c r="AA447" s="148"/>
      <c r="AB447" s="148"/>
      <c r="AV447" s="150"/>
      <c r="AW447" s="150"/>
      <c r="AX447" s="150"/>
      <c r="AY447" s="150"/>
      <c r="AZ447" s="150"/>
      <c r="BA447" s="150"/>
      <c r="BB447" s="150"/>
      <c r="BC447" s="150"/>
      <c r="BD447" s="150"/>
      <c r="BE447" s="150"/>
      <c r="BF447" s="150"/>
      <c r="BG447" s="150"/>
      <c r="BH447" s="150"/>
      <c r="BI447" s="150"/>
      <c r="BJ447" s="150"/>
      <c r="BK447" s="150"/>
      <c r="BL447" s="150"/>
      <c r="BM447" s="150"/>
      <c r="BN447" s="150"/>
      <c r="BO447" s="150"/>
      <c r="BP447" s="150"/>
      <c r="BQ447" s="150"/>
      <c r="BR447" s="150"/>
      <c r="BS447" s="150"/>
      <c r="BT447" s="150"/>
      <c r="BU447" s="150"/>
      <c r="BV447" s="150"/>
      <c r="BW447" s="150"/>
      <c r="BX447" s="150"/>
      <c r="BY447" s="150"/>
      <c r="BZ447" s="150"/>
      <c r="CA447" s="150"/>
      <c r="CB447" s="150"/>
      <c r="CC447" s="150"/>
      <c r="CD447" s="150"/>
      <c r="CE447" s="150"/>
      <c r="CF447" s="150"/>
      <c r="CG447" s="150"/>
      <c r="CH447" s="150"/>
      <c r="CI447" s="150"/>
      <c r="CJ447" s="150"/>
      <c r="CK447" s="150"/>
      <c r="CL447" s="150"/>
      <c r="CM447" s="150"/>
      <c r="CN447" s="150"/>
      <c r="CO447" s="150"/>
      <c r="CP447" s="150"/>
      <c r="CQ447" s="150"/>
      <c r="CR447" s="150"/>
      <c r="CS447" s="150"/>
      <c r="CT447" s="150"/>
      <c r="CU447" s="150"/>
      <c r="CV447" s="150"/>
      <c r="CW447" s="150"/>
      <c r="CX447" s="150"/>
      <c r="CY447" s="150"/>
      <c r="CZ447" s="150"/>
      <c r="DA447" s="150"/>
      <c r="DB447" s="150"/>
      <c r="DC447" s="150"/>
      <c r="DD447" s="150"/>
      <c r="DE447" s="150"/>
      <c r="DF447" s="150"/>
      <c r="DG447" s="150"/>
      <c r="DH447" s="150"/>
      <c r="DI447" s="150"/>
      <c r="DJ447" s="150"/>
      <c r="DK447" s="150"/>
      <c r="DL447" s="150"/>
      <c r="DM447" s="150"/>
      <c r="DN447" s="150"/>
      <c r="DO447" s="150"/>
      <c r="DP447" s="150"/>
      <c r="DQ447" s="150"/>
      <c r="DR447" s="150"/>
      <c r="DS447" s="150"/>
      <c r="DT447" s="150"/>
      <c r="DU447" s="150"/>
      <c r="DV447" s="150"/>
      <c r="DW447" s="150"/>
      <c r="DX447" s="150"/>
      <c r="DY447" s="150"/>
      <c r="DZ447" s="150"/>
      <c r="EA447" s="150"/>
      <c r="EB447" s="150"/>
      <c r="EC447" s="150"/>
      <c r="ED447" s="150"/>
      <c r="EE447" s="150"/>
      <c r="EF447" s="150"/>
      <c r="EG447" s="150"/>
      <c r="EH447" s="150"/>
      <c r="EI447" s="150"/>
      <c r="EJ447" s="150"/>
      <c r="EK447" s="150"/>
      <c r="EL447" s="150"/>
      <c r="EM447" s="150"/>
      <c r="EN447" s="150"/>
      <c r="EO447" s="150"/>
      <c r="EP447" s="150"/>
      <c r="EQ447" s="150"/>
      <c r="ER447" s="150"/>
      <c r="ES447" s="150"/>
      <c r="ET447" s="150"/>
      <c r="EU447" s="150"/>
      <c r="EV447" s="150"/>
      <c r="EW447" s="150"/>
      <c r="EX447" s="150"/>
      <c r="EY447" s="150"/>
      <c r="EZ447" s="150"/>
      <c r="FA447" s="150"/>
      <c r="FB447" s="150"/>
      <c r="FC447" s="150"/>
      <c r="FD447" s="150"/>
      <c r="FE447" s="150"/>
      <c r="FF447" s="150"/>
      <c r="FG447" s="150"/>
      <c r="FH447" s="150"/>
      <c r="FI447" s="150"/>
      <c r="FJ447" s="150"/>
      <c r="FK447" s="150"/>
      <c r="FL447" s="150"/>
      <c r="FM447" s="150"/>
      <c r="FN447" s="150"/>
    </row>
    <row r="448" spans="1:170" s="149" customFormat="1" x14ac:dyDescent="0.25">
      <c r="A448" s="142"/>
      <c r="B448" s="142"/>
      <c r="C448" s="142"/>
      <c r="D448" s="144"/>
      <c r="E448" s="143"/>
      <c r="F448" s="143"/>
      <c r="G448" s="144"/>
      <c r="H448" s="143"/>
      <c r="I448" s="143"/>
      <c r="J448" s="319"/>
      <c r="K448" s="319"/>
      <c r="L448" s="315"/>
      <c r="M448" s="315"/>
      <c r="N448" s="145"/>
      <c r="O448" s="145"/>
      <c r="P448" s="145"/>
      <c r="Q448" s="146"/>
      <c r="R448" s="147"/>
      <c r="S448" s="148"/>
      <c r="T448" s="148"/>
      <c r="U448" s="148"/>
      <c r="V448" s="148"/>
      <c r="W448" s="148"/>
      <c r="X448" s="148"/>
      <c r="Y448" s="148"/>
      <c r="Z448" s="148"/>
      <c r="AA448" s="148"/>
      <c r="AB448" s="148"/>
      <c r="AV448" s="150"/>
      <c r="AW448" s="150"/>
      <c r="AX448" s="150"/>
      <c r="AY448" s="150"/>
      <c r="AZ448" s="150"/>
      <c r="BA448" s="150"/>
      <c r="BB448" s="150"/>
      <c r="BC448" s="150"/>
      <c r="BD448" s="150"/>
      <c r="BE448" s="150"/>
      <c r="BF448" s="150"/>
      <c r="BG448" s="150"/>
      <c r="BH448" s="150"/>
      <c r="BI448" s="150"/>
      <c r="BJ448" s="150"/>
      <c r="BK448" s="150"/>
      <c r="BL448" s="150"/>
      <c r="BM448" s="150"/>
      <c r="BN448" s="150"/>
      <c r="BO448" s="150"/>
      <c r="BP448" s="150"/>
      <c r="BQ448" s="150"/>
      <c r="BR448" s="150"/>
      <c r="BS448" s="150"/>
      <c r="BT448" s="150"/>
      <c r="BU448" s="150"/>
      <c r="BV448" s="150"/>
      <c r="BW448" s="150"/>
      <c r="BX448" s="150"/>
      <c r="BY448" s="150"/>
      <c r="BZ448" s="150"/>
      <c r="CA448" s="150"/>
      <c r="CB448" s="150"/>
      <c r="CC448" s="150"/>
      <c r="CD448" s="150"/>
      <c r="CE448" s="150"/>
      <c r="CF448" s="150"/>
      <c r="CG448" s="150"/>
      <c r="CH448" s="150"/>
      <c r="CI448" s="150"/>
      <c r="CJ448" s="150"/>
      <c r="CK448" s="150"/>
      <c r="CL448" s="150"/>
      <c r="CM448" s="150"/>
      <c r="CN448" s="150"/>
      <c r="CO448" s="150"/>
      <c r="CP448" s="150"/>
      <c r="CQ448" s="150"/>
      <c r="CR448" s="150"/>
      <c r="CS448" s="150"/>
      <c r="CT448" s="150"/>
      <c r="CU448" s="150"/>
      <c r="CV448" s="150"/>
      <c r="CW448" s="150"/>
      <c r="CX448" s="150"/>
      <c r="CY448" s="150"/>
      <c r="CZ448" s="150"/>
      <c r="DA448" s="150"/>
      <c r="DB448" s="150"/>
      <c r="DC448" s="150"/>
      <c r="DD448" s="150"/>
      <c r="DE448" s="150"/>
      <c r="DF448" s="150"/>
      <c r="DG448" s="150"/>
      <c r="DH448" s="150"/>
      <c r="DI448" s="150"/>
      <c r="DJ448" s="150"/>
      <c r="DK448" s="150"/>
      <c r="DL448" s="150"/>
      <c r="DM448" s="150"/>
      <c r="DN448" s="150"/>
      <c r="DO448" s="150"/>
      <c r="DP448" s="150"/>
      <c r="DQ448" s="150"/>
      <c r="DR448" s="150"/>
      <c r="DS448" s="150"/>
      <c r="DT448" s="150"/>
      <c r="DU448" s="150"/>
      <c r="DV448" s="150"/>
      <c r="DW448" s="150"/>
      <c r="DX448" s="150"/>
      <c r="DY448" s="150"/>
      <c r="DZ448" s="150"/>
      <c r="EA448" s="150"/>
      <c r="EB448" s="150"/>
      <c r="EC448" s="150"/>
      <c r="ED448" s="150"/>
      <c r="EE448" s="150"/>
      <c r="EF448" s="150"/>
      <c r="EG448" s="150"/>
      <c r="EH448" s="150"/>
      <c r="EI448" s="150"/>
      <c r="EJ448" s="150"/>
      <c r="EK448" s="150"/>
      <c r="EL448" s="150"/>
      <c r="EM448" s="150"/>
      <c r="EN448" s="150"/>
      <c r="EO448" s="150"/>
      <c r="EP448" s="150"/>
      <c r="EQ448" s="150"/>
      <c r="ER448" s="150"/>
      <c r="ES448" s="150"/>
      <c r="ET448" s="150"/>
      <c r="EU448" s="150"/>
      <c r="EV448" s="150"/>
      <c r="EW448" s="150"/>
      <c r="EX448" s="150"/>
      <c r="EY448" s="150"/>
      <c r="EZ448" s="150"/>
      <c r="FA448" s="150"/>
      <c r="FB448" s="150"/>
      <c r="FC448" s="150"/>
      <c r="FD448" s="150"/>
      <c r="FE448" s="150"/>
      <c r="FF448" s="150"/>
      <c r="FG448" s="150"/>
      <c r="FH448" s="150"/>
      <c r="FI448" s="150"/>
      <c r="FJ448" s="150"/>
      <c r="FK448" s="150"/>
      <c r="FL448" s="150"/>
      <c r="FM448" s="150"/>
      <c r="FN448" s="150"/>
    </row>
    <row r="449" spans="1:170" s="149" customFormat="1" x14ac:dyDescent="0.25">
      <c r="A449" s="142"/>
      <c r="B449" s="142"/>
      <c r="C449" s="142"/>
      <c r="D449" s="144"/>
      <c r="E449" s="143"/>
      <c r="F449" s="143"/>
      <c r="G449" s="144"/>
      <c r="H449" s="143"/>
      <c r="I449" s="143"/>
      <c r="J449" s="319"/>
      <c r="K449" s="319"/>
      <c r="L449" s="315"/>
      <c r="M449" s="315"/>
      <c r="N449" s="145"/>
      <c r="O449" s="145"/>
      <c r="P449" s="145"/>
      <c r="Q449" s="146"/>
      <c r="R449" s="147"/>
      <c r="S449" s="148"/>
      <c r="T449" s="148"/>
      <c r="U449" s="148"/>
      <c r="V449" s="148"/>
      <c r="W449" s="148"/>
      <c r="X449" s="148"/>
      <c r="Y449" s="148"/>
      <c r="Z449" s="148"/>
      <c r="AA449" s="148"/>
      <c r="AB449" s="148"/>
      <c r="AV449" s="150"/>
      <c r="AW449" s="150"/>
      <c r="AX449" s="150"/>
      <c r="AY449" s="150"/>
      <c r="AZ449" s="150"/>
      <c r="BA449" s="150"/>
      <c r="BB449" s="150"/>
      <c r="BC449" s="150"/>
      <c r="BD449" s="150"/>
      <c r="BE449" s="150"/>
      <c r="BF449" s="150"/>
      <c r="BG449" s="150"/>
      <c r="BH449" s="150"/>
      <c r="BI449" s="150"/>
      <c r="BJ449" s="150"/>
      <c r="BK449" s="150"/>
      <c r="BL449" s="150"/>
      <c r="BM449" s="150"/>
      <c r="BN449" s="150"/>
      <c r="BO449" s="150"/>
      <c r="BP449" s="150"/>
      <c r="BQ449" s="150"/>
      <c r="BR449" s="150"/>
      <c r="BS449" s="150"/>
      <c r="BT449" s="150"/>
      <c r="BU449" s="150"/>
      <c r="BV449" s="150"/>
      <c r="BW449" s="150"/>
      <c r="BX449" s="150"/>
      <c r="BY449" s="150"/>
      <c r="BZ449" s="150"/>
      <c r="CA449" s="150"/>
      <c r="CB449" s="150"/>
      <c r="CC449" s="150"/>
      <c r="CD449" s="150"/>
      <c r="CE449" s="150"/>
      <c r="CF449" s="150"/>
      <c r="CG449" s="150"/>
      <c r="CH449" s="150"/>
      <c r="CI449" s="150"/>
      <c r="CJ449" s="150"/>
      <c r="CK449" s="150"/>
      <c r="CL449" s="150"/>
      <c r="CM449" s="150"/>
      <c r="CN449" s="150"/>
      <c r="CO449" s="150"/>
      <c r="CP449" s="150"/>
      <c r="CQ449" s="150"/>
      <c r="CR449" s="150"/>
      <c r="CS449" s="150"/>
      <c r="CT449" s="150"/>
      <c r="CU449" s="150"/>
      <c r="CV449" s="150"/>
      <c r="CW449" s="150"/>
      <c r="CX449" s="150"/>
      <c r="CY449" s="150"/>
      <c r="CZ449" s="150"/>
      <c r="DA449" s="150"/>
      <c r="DB449" s="150"/>
      <c r="DC449" s="150"/>
      <c r="DD449" s="150"/>
      <c r="DE449" s="150"/>
      <c r="DF449" s="150"/>
      <c r="DG449" s="150"/>
      <c r="DH449" s="150"/>
      <c r="DI449" s="150"/>
      <c r="DJ449" s="150"/>
      <c r="DK449" s="150"/>
      <c r="DL449" s="150"/>
      <c r="DM449" s="150"/>
      <c r="DN449" s="150"/>
      <c r="DO449" s="150"/>
      <c r="DP449" s="150"/>
      <c r="DQ449" s="150"/>
      <c r="DR449" s="150"/>
      <c r="DS449" s="150"/>
      <c r="DT449" s="150"/>
      <c r="DU449" s="150"/>
      <c r="DV449" s="150"/>
      <c r="DW449" s="150"/>
      <c r="DX449" s="150"/>
      <c r="DY449" s="150"/>
      <c r="DZ449" s="150"/>
      <c r="EA449" s="150"/>
      <c r="EB449" s="150"/>
      <c r="EC449" s="150"/>
      <c r="ED449" s="150"/>
      <c r="EE449" s="150"/>
      <c r="EF449" s="150"/>
      <c r="EG449" s="150"/>
      <c r="EH449" s="150"/>
      <c r="EI449" s="150"/>
      <c r="EJ449" s="150"/>
      <c r="EK449" s="150"/>
      <c r="EL449" s="150"/>
      <c r="EM449" s="150"/>
      <c r="EN449" s="150"/>
      <c r="EO449" s="150"/>
      <c r="EP449" s="150"/>
      <c r="EQ449" s="150"/>
      <c r="ER449" s="150"/>
      <c r="ES449" s="150"/>
      <c r="ET449" s="150"/>
      <c r="EU449" s="150"/>
      <c r="EV449" s="150"/>
      <c r="EW449" s="150"/>
      <c r="EX449" s="150"/>
      <c r="EY449" s="150"/>
      <c r="EZ449" s="150"/>
      <c r="FA449" s="150"/>
      <c r="FB449" s="150"/>
      <c r="FC449" s="150"/>
      <c r="FD449" s="150"/>
      <c r="FE449" s="150"/>
      <c r="FF449" s="150"/>
      <c r="FG449" s="150"/>
      <c r="FH449" s="150"/>
      <c r="FI449" s="150"/>
      <c r="FJ449" s="150"/>
      <c r="FK449" s="150"/>
      <c r="FL449" s="150"/>
      <c r="FM449" s="150"/>
      <c r="FN449" s="150"/>
    </row>
    <row r="450" spans="1:170" s="149" customFormat="1" x14ac:dyDescent="0.25">
      <c r="A450" s="142"/>
      <c r="B450" s="142"/>
      <c r="C450" s="142"/>
      <c r="D450" s="144"/>
      <c r="E450" s="143"/>
      <c r="F450" s="143"/>
      <c r="G450" s="144"/>
      <c r="H450" s="143"/>
      <c r="I450" s="143"/>
      <c r="J450" s="319"/>
      <c r="K450" s="319"/>
      <c r="L450" s="315"/>
      <c r="M450" s="315"/>
      <c r="N450" s="145"/>
      <c r="O450" s="145"/>
      <c r="P450" s="145"/>
      <c r="Q450" s="146"/>
      <c r="R450" s="147"/>
      <c r="S450" s="148"/>
      <c r="T450" s="148"/>
      <c r="U450" s="148"/>
      <c r="V450" s="148"/>
      <c r="W450" s="148"/>
      <c r="X450" s="148"/>
      <c r="Y450" s="148"/>
      <c r="Z450" s="148"/>
      <c r="AA450" s="148"/>
      <c r="AB450" s="148"/>
      <c r="AV450" s="150"/>
      <c r="AW450" s="150"/>
      <c r="AX450" s="150"/>
      <c r="AY450" s="150"/>
      <c r="AZ450" s="150"/>
      <c r="BA450" s="150"/>
      <c r="BB450" s="150"/>
      <c r="BC450" s="150"/>
      <c r="BD450" s="150"/>
      <c r="BE450" s="150"/>
      <c r="BF450" s="150"/>
      <c r="BG450" s="150"/>
      <c r="BH450" s="150"/>
      <c r="BI450" s="150"/>
      <c r="BJ450" s="150"/>
      <c r="BK450" s="150"/>
      <c r="BL450" s="150"/>
      <c r="BM450" s="150"/>
      <c r="BN450" s="150"/>
      <c r="BO450" s="150"/>
      <c r="BP450" s="150"/>
      <c r="BQ450" s="150"/>
      <c r="BR450" s="150"/>
      <c r="BS450" s="150"/>
      <c r="BT450" s="150"/>
      <c r="BU450" s="150"/>
      <c r="BV450" s="150"/>
      <c r="BW450" s="150"/>
      <c r="BX450" s="150"/>
      <c r="BY450" s="150"/>
      <c r="BZ450" s="150"/>
      <c r="CA450" s="150"/>
      <c r="CB450" s="150"/>
      <c r="CC450" s="150"/>
      <c r="CD450" s="150"/>
      <c r="CE450" s="150"/>
      <c r="CF450" s="150"/>
      <c r="CG450" s="150"/>
      <c r="CH450" s="150"/>
      <c r="CI450" s="150"/>
      <c r="CJ450" s="150"/>
      <c r="CK450" s="150"/>
      <c r="CL450" s="150"/>
      <c r="CM450" s="150"/>
      <c r="CN450" s="150"/>
      <c r="CO450" s="150"/>
      <c r="CP450" s="150"/>
      <c r="CQ450" s="150"/>
      <c r="CR450" s="150"/>
      <c r="CS450" s="150"/>
      <c r="CT450" s="150"/>
      <c r="CU450" s="150"/>
      <c r="CV450" s="150"/>
      <c r="CW450" s="150"/>
      <c r="CX450" s="150"/>
      <c r="CY450" s="150"/>
      <c r="CZ450" s="150"/>
      <c r="DA450" s="150"/>
      <c r="DB450" s="150"/>
      <c r="DC450" s="150"/>
      <c r="DD450" s="150"/>
      <c r="DE450" s="150"/>
      <c r="DF450" s="150"/>
      <c r="DG450" s="150"/>
      <c r="DH450" s="150"/>
      <c r="DI450" s="150"/>
      <c r="DJ450" s="150"/>
      <c r="DK450" s="150"/>
      <c r="DL450" s="150"/>
      <c r="DM450" s="150"/>
      <c r="DN450" s="150"/>
      <c r="DO450" s="150"/>
      <c r="DP450" s="150"/>
      <c r="DQ450" s="150"/>
      <c r="DR450" s="150"/>
      <c r="DS450" s="150"/>
      <c r="DT450" s="150"/>
      <c r="DU450" s="150"/>
      <c r="DV450" s="150"/>
      <c r="DW450" s="150"/>
      <c r="DX450" s="150"/>
      <c r="DY450" s="150"/>
      <c r="DZ450" s="150"/>
      <c r="EA450" s="150"/>
      <c r="EB450" s="150"/>
      <c r="EC450" s="150"/>
      <c r="ED450" s="150"/>
      <c r="EE450" s="150"/>
      <c r="EF450" s="150"/>
      <c r="EG450" s="150"/>
      <c r="EH450" s="150"/>
      <c r="EI450" s="150"/>
      <c r="EJ450" s="150"/>
      <c r="EK450" s="150"/>
      <c r="EL450" s="150"/>
      <c r="EM450" s="150"/>
      <c r="EN450" s="150"/>
      <c r="EO450" s="150"/>
      <c r="EP450" s="150"/>
      <c r="EQ450" s="150"/>
      <c r="ER450" s="150"/>
      <c r="ES450" s="150"/>
      <c r="ET450" s="150"/>
      <c r="EU450" s="150"/>
      <c r="EV450" s="150"/>
      <c r="EW450" s="150"/>
      <c r="EX450" s="150"/>
      <c r="EY450" s="150"/>
      <c r="EZ450" s="150"/>
      <c r="FA450" s="150"/>
      <c r="FB450" s="150"/>
      <c r="FC450" s="150"/>
      <c r="FD450" s="150"/>
      <c r="FE450" s="150"/>
      <c r="FF450" s="150"/>
      <c r="FG450" s="150"/>
      <c r="FH450" s="150"/>
      <c r="FI450" s="150"/>
      <c r="FJ450" s="150"/>
      <c r="FK450" s="150"/>
      <c r="FL450" s="150"/>
      <c r="FM450" s="150"/>
      <c r="FN450" s="150"/>
    </row>
    <row r="451" spans="1:170" s="149" customFormat="1" x14ac:dyDescent="0.25">
      <c r="A451" s="142"/>
      <c r="B451" s="142"/>
      <c r="C451" s="142"/>
      <c r="D451" s="144"/>
      <c r="E451" s="143"/>
      <c r="F451" s="143"/>
      <c r="G451" s="144"/>
      <c r="H451" s="143"/>
      <c r="I451" s="143"/>
      <c r="J451" s="319"/>
      <c r="K451" s="319"/>
      <c r="L451" s="315"/>
      <c r="M451" s="315"/>
      <c r="N451" s="145"/>
      <c r="O451" s="145"/>
      <c r="P451" s="145"/>
      <c r="Q451" s="146"/>
      <c r="R451" s="147"/>
      <c r="S451" s="148"/>
      <c r="T451" s="148"/>
      <c r="U451" s="148"/>
      <c r="V451" s="148"/>
      <c r="W451" s="148"/>
      <c r="X451" s="148"/>
      <c r="Y451" s="148"/>
      <c r="Z451" s="148"/>
      <c r="AA451" s="148"/>
      <c r="AB451" s="148"/>
      <c r="AV451" s="150"/>
      <c r="AW451" s="150"/>
      <c r="AX451" s="150"/>
      <c r="AY451" s="150"/>
      <c r="AZ451" s="150"/>
      <c r="BA451" s="150"/>
      <c r="BB451" s="150"/>
      <c r="BC451" s="150"/>
      <c r="BD451" s="150"/>
      <c r="BE451" s="150"/>
      <c r="BF451" s="150"/>
      <c r="BG451" s="150"/>
      <c r="BH451" s="150"/>
      <c r="BI451" s="150"/>
      <c r="BJ451" s="150"/>
      <c r="BK451" s="150"/>
      <c r="BL451" s="150"/>
      <c r="BM451" s="150"/>
      <c r="BN451" s="150"/>
      <c r="BO451" s="150"/>
      <c r="BP451" s="150"/>
      <c r="BQ451" s="150"/>
      <c r="BR451" s="150"/>
      <c r="BS451" s="150"/>
      <c r="BT451" s="150"/>
      <c r="BU451" s="150"/>
      <c r="BV451" s="150"/>
      <c r="BW451" s="150"/>
      <c r="BX451" s="150"/>
      <c r="BY451" s="150"/>
      <c r="BZ451" s="150"/>
      <c r="CA451" s="150"/>
      <c r="CB451" s="150"/>
      <c r="CC451" s="150"/>
      <c r="CD451" s="150"/>
      <c r="CE451" s="150"/>
      <c r="CF451" s="150"/>
      <c r="CG451" s="150"/>
      <c r="CH451" s="150"/>
      <c r="CI451" s="150"/>
      <c r="CJ451" s="150"/>
      <c r="CK451" s="150"/>
      <c r="CL451" s="150"/>
      <c r="CM451" s="150"/>
      <c r="CN451" s="150"/>
      <c r="CO451" s="150"/>
      <c r="CP451" s="150"/>
      <c r="CQ451" s="150"/>
      <c r="CR451" s="150"/>
      <c r="CS451" s="150"/>
      <c r="CT451" s="150"/>
      <c r="CU451" s="150"/>
      <c r="CV451" s="150"/>
      <c r="CW451" s="150"/>
      <c r="CX451" s="150"/>
      <c r="CY451" s="150"/>
      <c r="CZ451" s="150"/>
      <c r="DA451" s="150"/>
      <c r="DB451" s="150"/>
      <c r="DC451" s="150"/>
      <c r="DD451" s="150"/>
      <c r="DE451" s="150"/>
      <c r="DF451" s="150"/>
      <c r="DG451" s="150"/>
      <c r="DH451" s="150"/>
      <c r="DI451" s="150"/>
      <c r="DJ451" s="150"/>
      <c r="DK451" s="150"/>
      <c r="DL451" s="150"/>
      <c r="DM451" s="150"/>
      <c r="DN451" s="150"/>
      <c r="DO451" s="150"/>
      <c r="DP451" s="150"/>
      <c r="DQ451" s="150"/>
      <c r="DR451" s="150"/>
      <c r="DS451" s="150"/>
      <c r="DT451" s="150"/>
      <c r="DU451" s="150"/>
      <c r="DV451" s="150"/>
      <c r="DW451" s="150"/>
      <c r="DX451" s="150"/>
      <c r="DY451" s="150"/>
      <c r="DZ451" s="150"/>
      <c r="EA451" s="150"/>
      <c r="EB451" s="150"/>
      <c r="EC451" s="150"/>
      <c r="ED451" s="150"/>
      <c r="EE451" s="150"/>
      <c r="EF451" s="150"/>
      <c r="EG451" s="150"/>
      <c r="EH451" s="150"/>
      <c r="EI451" s="150"/>
      <c r="EJ451" s="150"/>
      <c r="EK451" s="150"/>
      <c r="EL451" s="150"/>
      <c r="EM451" s="150"/>
      <c r="EN451" s="150"/>
      <c r="EO451" s="150"/>
      <c r="EP451" s="150"/>
      <c r="EQ451" s="150"/>
      <c r="ER451" s="150"/>
      <c r="ES451" s="150"/>
      <c r="ET451" s="150"/>
      <c r="EU451" s="150"/>
      <c r="EV451" s="150"/>
      <c r="EW451" s="150"/>
      <c r="EX451" s="150"/>
      <c r="EY451" s="150"/>
      <c r="EZ451" s="150"/>
      <c r="FA451" s="150"/>
      <c r="FB451" s="150"/>
      <c r="FC451" s="150"/>
      <c r="FD451" s="150"/>
      <c r="FE451" s="150"/>
      <c r="FF451" s="150"/>
      <c r="FG451" s="150"/>
      <c r="FH451" s="150"/>
      <c r="FI451" s="150"/>
      <c r="FJ451" s="150"/>
      <c r="FK451" s="150"/>
      <c r="FL451" s="150"/>
      <c r="FM451" s="150"/>
      <c r="FN451" s="150"/>
    </row>
    <row r="452" spans="1:170" s="149" customFormat="1" x14ac:dyDescent="0.25">
      <c r="A452" s="142"/>
      <c r="B452" s="142"/>
      <c r="C452" s="142"/>
      <c r="D452" s="144"/>
      <c r="E452" s="143"/>
      <c r="F452" s="143"/>
      <c r="G452" s="144"/>
      <c r="H452" s="143"/>
      <c r="I452" s="143"/>
      <c r="J452" s="319"/>
      <c r="K452" s="319"/>
      <c r="L452" s="315"/>
      <c r="M452" s="315"/>
      <c r="N452" s="145"/>
      <c r="O452" s="145"/>
      <c r="P452" s="145"/>
      <c r="Q452" s="146"/>
      <c r="R452" s="147"/>
      <c r="S452" s="148"/>
      <c r="T452" s="148"/>
      <c r="U452" s="148"/>
      <c r="V452" s="148"/>
      <c r="W452" s="148"/>
      <c r="X452" s="148"/>
      <c r="Y452" s="148"/>
      <c r="Z452" s="148"/>
      <c r="AA452" s="148"/>
      <c r="AB452" s="148"/>
      <c r="AV452" s="150"/>
      <c r="AW452" s="150"/>
      <c r="AX452" s="150"/>
      <c r="AY452" s="150"/>
      <c r="AZ452" s="150"/>
      <c r="BA452" s="150"/>
      <c r="BB452" s="150"/>
      <c r="BC452" s="150"/>
      <c r="BD452" s="150"/>
      <c r="BE452" s="150"/>
      <c r="BF452" s="150"/>
      <c r="BG452" s="150"/>
      <c r="BH452" s="150"/>
      <c r="BI452" s="150"/>
      <c r="BJ452" s="150"/>
      <c r="BK452" s="150"/>
      <c r="BL452" s="150"/>
      <c r="BM452" s="150"/>
      <c r="BN452" s="150"/>
      <c r="BO452" s="150"/>
      <c r="BP452" s="150"/>
      <c r="BQ452" s="150"/>
      <c r="BR452" s="150"/>
      <c r="BS452" s="150"/>
      <c r="BT452" s="150"/>
      <c r="BU452" s="150"/>
      <c r="BV452" s="150"/>
      <c r="BW452" s="150"/>
      <c r="BX452" s="150"/>
      <c r="BY452" s="150"/>
      <c r="BZ452" s="150"/>
      <c r="CA452" s="150"/>
      <c r="CB452" s="150"/>
      <c r="CC452" s="150"/>
      <c r="CD452" s="150"/>
      <c r="CE452" s="150"/>
      <c r="CF452" s="150"/>
      <c r="CG452" s="150"/>
      <c r="CH452" s="150"/>
      <c r="CI452" s="150"/>
      <c r="CJ452" s="150"/>
      <c r="CK452" s="150"/>
      <c r="CL452" s="150"/>
      <c r="CM452" s="150"/>
      <c r="CN452" s="150"/>
      <c r="CO452" s="150"/>
      <c r="CP452" s="150"/>
      <c r="CQ452" s="150"/>
      <c r="CR452" s="150"/>
      <c r="CS452" s="150"/>
      <c r="CT452" s="150"/>
      <c r="CU452" s="150"/>
      <c r="CV452" s="150"/>
      <c r="CW452" s="150"/>
      <c r="CX452" s="150"/>
      <c r="CY452" s="150"/>
      <c r="CZ452" s="150"/>
      <c r="DA452" s="150"/>
      <c r="DB452" s="150"/>
      <c r="DC452" s="150"/>
      <c r="DD452" s="150"/>
      <c r="DE452" s="150"/>
      <c r="DF452" s="150"/>
      <c r="DG452" s="150"/>
      <c r="DH452" s="150"/>
      <c r="DI452" s="150"/>
      <c r="DJ452" s="150"/>
      <c r="DK452" s="150"/>
      <c r="DL452" s="150"/>
      <c r="DM452" s="150"/>
      <c r="DN452" s="150"/>
      <c r="DO452" s="150"/>
      <c r="DP452" s="150"/>
      <c r="DQ452" s="150"/>
      <c r="DR452" s="150"/>
      <c r="DS452" s="150"/>
      <c r="DT452" s="150"/>
      <c r="DU452" s="150"/>
      <c r="DV452" s="150"/>
      <c r="DW452" s="150"/>
      <c r="DX452" s="150"/>
      <c r="DY452" s="150"/>
      <c r="DZ452" s="150"/>
      <c r="EA452" s="150"/>
      <c r="EB452" s="150"/>
      <c r="EC452" s="150"/>
      <c r="ED452" s="150"/>
      <c r="EE452" s="150"/>
      <c r="EF452" s="150"/>
      <c r="EG452" s="150"/>
      <c r="EH452" s="150"/>
      <c r="EI452" s="150"/>
      <c r="EJ452" s="150"/>
      <c r="EK452" s="150"/>
      <c r="EL452" s="150"/>
      <c r="EM452" s="150"/>
      <c r="EN452" s="150"/>
      <c r="EO452" s="150"/>
      <c r="EP452" s="150"/>
      <c r="EQ452" s="150"/>
      <c r="ER452" s="150"/>
      <c r="ES452" s="150"/>
      <c r="ET452" s="150"/>
      <c r="EU452" s="150"/>
      <c r="EV452" s="150"/>
      <c r="EW452" s="150"/>
      <c r="EX452" s="150"/>
      <c r="EY452" s="150"/>
      <c r="EZ452" s="150"/>
      <c r="FA452" s="150"/>
      <c r="FB452" s="150"/>
      <c r="FC452" s="150"/>
      <c r="FD452" s="150"/>
      <c r="FE452" s="150"/>
      <c r="FF452" s="150"/>
      <c r="FG452" s="150"/>
      <c r="FH452" s="150"/>
      <c r="FI452" s="150"/>
      <c r="FJ452" s="150"/>
      <c r="FK452" s="150"/>
      <c r="FL452" s="150"/>
      <c r="FM452" s="150"/>
      <c r="FN452" s="150"/>
    </row>
    <row r="453" spans="1:170" s="149" customFormat="1" x14ac:dyDescent="0.25">
      <c r="A453" s="142"/>
      <c r="B453" s="142"/>
      <c r="C453" s="142"/>
      <c r="D453" s="144"/>
      <c r="E453" s="143"/>
      <c r="F453" s="143"/>
      <c r="G453" s="144"/>
      <c r="H453" s="143"/>
      <c r="I453" s="143"/>
      <c r="J453" s="319"/>
      <c r="K453" s="319"/>
      <c r="L453" s="315"/>
      <c r="M453" s="315"/>
      <c r="N453" s="145"/>
      <c r="O453" s="145"/>
      <c r="P453" s="145"/>
      <c r="Q453" s="146"/>
      <c r="R453" s="147"/>
      <c r="S453" s="148"/>
      <c r="T453" s="148"/>
      <c r="U453" s="148"/>
      <c r="V453" s="148"/>
      <c r="W453" s="148"/>
      <c r="X453" s="148"/>
      <c r="Y453" s="148"/>
      <c r="Z453" s="148"/>
      <c r="AA453" s="148"/>
      <c r="AB453" s="148"/>
      <c r="AV453" s="150"/>
      <c r="AW453" s="150"/>
      <c r="AX453" s="150"/>
      <c r="AY453" s="150"/>
      <c r="AZ453" s="150"/>
      <c r="BA453" s="150"/>
      <c r="BB453" s="150"/>
      <c r="BC453" s="150"/>
      <c r="BD453" s="150"/>
      <c r="BE453" s="150"/>
      <c r="BF453" s="150"/>
      <c r="BG453" s="150"/>
      <c r="BH453" s="150"/>
      <c r="BI453" s="150"/>
      <c r="BJ453" s="150"/>
      <c r="BK453" s="150"/>
      <c r="BL453" s="150"/>
      <c r="BM453" s="150"/>
      <c r="BN453" s="150"/>
      <c r="BO453" s="150"/>
      <c r="BP453" s="150"/>
      <c r="BQ453" s="150"/>
      <c r="BR453" s="150"/>
      <c r="BS453" s="150"/>
      <c r="BT453" s="150"/>
      <c r="BU453" s="150"/>
      <c r="BV453" s="150"/>
      <c r="BW453" s="150"/>
      <c r="BX453" s="150"/>
      <c r="BY453" s="150"/>
      <c r="BZ453" s="150"/>
      <c r="CA453" s="150"/>
      <c r="CB453" s="150"/>
      <c r="CC453" s="150"/>
      <c r="CD453" s="150"/>
      <c r="CE453" s="150"/>
      <c r="CF453" s="150"/>
      <c r="CG453" s="150"/>
      <c r="CH453" s="150"/>
      <c r="CI453" s="150"/>
      <c r="CJ453" s="150"/>
      <c r="CK453" s="150"/>
      <c r="CL453" s="150"/>
      <c r="CM453" s="150"/>
      <c r="CN453" s="150"/>
      <c r="CO453" s="150"/>
      <c r="CP453" s="150"/>
      <c r="CQ453" s="150"/>
      <c r="CR453" s="150"/>
      <c r="CS453" s="150"/>
      <c r="CT453" s="150"/>
      <c r="CU453" s="150"/>
      <c r="CV453" s="150"/>
      <c r="CW453" s="150"/>
      <c r="CX453" s="150"/>
      <c r="CY453" s="150"/>
      <c r="CZ453" s="150"/>
      <c r="DA453" s="150"/>
      <c r="DB453" s="150"/>
      <c r="DC453" s="150"/>
      <c r="DD453" s="150"/>
      <c r="DE453" s="150"/>
      <c r="DF453" s="150"/>
      <c r="DG453" s="150"/>
      <c r="DH453" s="150"/>
      <c r="DI453" s="150"/>
      <c r="DJ453" s="150"/>
      <c r="DK453" s="150"/>
      <c r="DL453" s="150"/>
      <c r="DM453" s="150"/>
      <c r="DN453" s="150"/>
      <c r="DO453" s="150"/>
      <c r="DP453" s="150"/>
      <c r="DQ453" s="150"/>
      <c r="DR453" s="150"/>
      <c r="DS453" s="150"/>
      <c r="DT453" s="150"/>
      <c r="DU453" s="150"/>
      <c r="DV453" s="150"/>
      <c r="DW453" s="150"/>
      <c r="DX453" s="150"/>
      <c r="DY453" s="150"/>
      <c r="DZ453" s="150"/>
      <c r="EA453" s="150"/>
      <c r="EB453" s="150"/>
      <c r="EC453" s="150"/>
      <c r="ED453" s="150"/>
      <c r="EE453" s="150"/>
      <c r="EF453" s="150"/>
      <c r="EG453" s="150"/>
      <c r="EH453" s="150"/>
      <c r="EI453" s="150"/>
      <c r="EJ453" s="150"/>
      <c r="EK453" s="150"/>
      <c r="EL453" s="150"/>
      <c r="EM453" s="150"/>
      <c r="EN453" s="150"/>
      <c r="EO453" s="150"/>
      <c r="EP453" s="150"/>
      <c r="EQ453" s="150"/>
      <c r="ER453" s="150"/>
      <c r="ES453" s="150"/>
      <c r="ET453" s="150"/>
      <c r="EU453" s="150"/>
      <c r="EV453" s="150"/>
      <c r="EW453" s="150"/>
      <c r="EX453" s="150"/>
      <c r="EY453" s="150"/>
      <c r="EZ453" s="150"/>
      <c r="FA453" s="150"/>
      <c r="FB453" s="150"/>
      <c r="FC453" s="150"/>
      <c r="FD453" s="150"/>
      <c r="FE453" s="150"/>
      <c r="FF453" s="150"/>
      <c r="FG453" s="150"/>
      <c r="FH453" s="150"/>
      <c r="FI453" s="150"/>
      <c r="FJ453" s="150"/>
      <c r="FK453" s="150"/>
      <c r="FL453" s="150"/>
      <c r="FM453" s="150"/>
      <c r="FN453" s="150"/>
    </row>
    <row r="454" spans="1:170" s="149" customFormat="1" x14ac:dyDescent="0.25">
      <c r="A454" s="142"/>
      <c r="B454" s="142"/>
      <c r="C454" s="142"/>
      <c r="D454" s="144"/>
      <c r="E454" s="143"/>
      <c r="F454" s="143"/>
      <c r="G454" s="144"/>
      <c r="H454" s="143"/>
      <c r="I454" s="143"/>
      <c r="J454" s="319"/>
      <c r="K454" s="319"/>
      <c r="L454" s="315"/>
      <c r="M454" s="315"/>
      <c r="N454" s="145"/>
      <c r="O454" s="145"/>
      <c r="P454" s="145"/>
      <c r="Q454" s="146"/>
      <c r="R454" s="147"/>
      <c r="S454" s="148"/>
      <c r="T454" s="148"/>
      <c r="U454" s="148"/>
      <c r="V454" s="148"/>
      <c r="W454" s="148"/>
      <c r="X454" s="148"/>
      <c r="Y454" s="148"/>
      <c r="Z454" s="148"/>
      <c r="AA454" s="148"/>
      <c r="AB454" s="148"/>
      <c r="AV454" s="150"/>
      <c r="AW454" s="150"/>
      <c r="AX454" s="150"/>
      <c r="AY454" s="150"/>
      <c r="AZ454" s="150"/>
      <c r="BA454" s="150"/>
      <c r="BB454" s="150"/>
      <c r="BC454" s="150"/>
      <c r="BD454" s="150"/>
      <c r="BE454" s="150"/>
      <c r="BF454" s="150"/>
      <c r="BG454" s="150"/>
      <c r="BH454" s="150"/>
      <c r="BI454" s="150"/>
      <c r="BJ454" s="150"/>
      <c r="BK454" s="150"/>
      <c r="BL454" s="150"/>
      <c r="BM454" s="150"/>
      <c r="BN454" s="150"/>
      <c r="BO454" s="150"/>
      <c r="BP454" s="150"/>
      <c r="BQ454" s="150"/>
      <c r="BR454" s="150"/>
      <c r="BS454" s="150"/>
      <c r="BT454" s="150"/>
      <c r="BU454" s="150"/>
      <c r="BV454" s="150"/>
      <c r="BW454" s="150"/>
      <c r="BX454" s="150"/>
      <c r="BY454" s="150"/>
      <c r="BZ454" s="150"/>
      <c r="CA454" s="150"/>
      <c r="CB454" s="150"/>
      <c r="CC454" s="150"/>
      <c r="CD454" s="150"/>
      <c r="CE454" s="150"/>
      <c r="CF454" s="150"/>
      <c r="CG454" s="150"/>
      <c r="CH454" s="150"/>
      <c r="CI454" s="150"/>
      <c r="CJ454" s="150"/>
      <c r="CK454" s="150"/>
      <c r="CL454" s="150"/>
      <c r="CM454" s="150"/>
      <c r="CN454" s="150"/>
      <c r="CO454" s="150"/>
      <c r="CP454" s="150"/>
      <c r="CQ454" s="150"/>
      <c r="CR454" s="150"/>
      <c r="CS454" s="150"/>
      <c r="CT454" s="150"/>
      <c r="CU454" s="150"/>
      <c r="CV454" s="150"/>
      <c r="CW454" s="150"/>
      <c r="CX454" s="150"/>
      <c r="CY454" s="150"/>
      <c r="CZ454" s="150"/>
      <c r="DA454" s="150"/>
      <c r="DB454" s="150"/>
      <c r="DC454" s="150"/>
      <c r="DD454" s="150"/>
      <c r="DE454" s="150"/>
      <c r="DF454" s="150"/>
      <c r="DG454" s="150"/>
      <c r="DH454" s="150"/>
      <c r="DI454" s="150"/>
      <c r="DJ454" s="150"/>
      <c r="DK454" s="150"/>
      <c r="DL454" s="150"/>
      <c r="DM454" s="150"/>
      <c r="DN454" s="150"/>
      <c r="DO454" s="150"/>
      <c r="DP454" s="150"/>
      <c r="DQ454" s="150"/>
      <c r="DR454" s="150"/>
      <c r="DS454" s="150"/>
      <c r="DT454" s="150"/>
      <c r="DU454" s="150"/>
      <c r="DV454" s="150"/>
      <c r="DW454" s="150"/>
      <c r="DX454" s="150"/>
      <c r="DY454" s="150"/>
      <c r="DZ454" s="150"/>
      <c r="EA454" s="150"/>
      <c r="EB454" s="150"/>
      <c r="EC454" s="150"/>
      <c r="ED454" s="150"/>
      <c r="EE454" s="150"/>
      <c r="EF454" s="150"/>
      <c r="EG454" s="150"/>
      <c r="EH454" s="150"/>
      <c r="EI454" s="150"/>
      <c r="EJ454" s="150"/>
      <c r="EK454" s="150"/>
      <c r="EL454" s="150"/>
      <c r="EM454" s="150"/>
      <c r="EN454" s="150"/>
      <c r="EO454" s="150"/>
      <c r="EP454" s="150"/>
      <c r="EQ454" s="150"/>
      <c r="ER454" s="150"/>
      <c r="ES454" s="150"/>
      <c r="ET454" s="150"/>
      <c r="EU454" s="150"/>
      <c r="EV454" s="150"/>
      <c r="EW454" s="150"/>
      <c r="EX454" s="150"/>
      <c r="EY454" s="150"/>
      <c r="EZ454" s="150"/>
      <c r="FA454" s="150"/>
      <c r="FB454" s="150"/>
      <c r="FC454" s="150"/>
      <c r="FD454" s="150"/>
      <c r="FE454" s="150"/>
      <c r="FF454" s="150"/>
      <c r="FG454" s="150"/>
      <c r="FH454" s="150"/>
      <c r="FI454" s="150"/>
      <c r="FJ454" s="150"/>
      <c r="FK454" s="150"/>
      <c r="FL454" s="150"/>
      <c r="FM454" s="150"/>
      <c r="FN454" s="150"/>
    </row>
    <row r="455" spans="1:170" s="149" customFormat="1" x14ac:dyDescent="0.25">
      <c r="A455" s="142"/>
      <c r="B455" s="142"/>
      <c r="C455" s="142"/>
      <c r="D455" s="144"/>
      <c r="E455" s="143"/>
      <c r="F455" s="143"/>
      <c r="G455" s="144"/>
      <c r="H455" s="143"/>
      <c r="I455" s="143"/>
      <c r="J455" s="319"/>
      <c r="K455" s="319"/>
      <c r="L455" s="315"/>
      <c r="M455" s="315"/>
      <c r="N455" s="145"/>
      <c r="O455" s="145"/>
      <c r="P455" s="145"/>
      <c r="Q455" s="146"/>
      <c r="R455" s="147"/>
      <c r="S455" s="148"/>
      <c r="T455" s="148"/>
      <c r="U455" s="148"/>
      <c r="V455" s="148"/>
      <c r="W455" s="148"/>
      <c r="X455" s="148"/>
      <c r="Y455" s="148"/>
      <c r="Z455" s="148"/>
      <c r="AA455" s="148"/>
      <c r="AB455" s="148"/>
      <c r="AV455" s="150"/>
      <c r="AW455" s="150"/>
      <c r="AX455" s="150"/>
      <c r="AY455" s="150"/>
      <c r="AZ455" s="150"/>
      <c r="BA455" s="150"/>
      <c r="BB455" s="150"/>
      <c r="BC455" s="150"/>
      <c r="BD455" s="150"/>
      <c r="BE455" s="150"/>
      <c r="BF455" s="150"/>
      <c r="BG455" s="150"/>
      <c r="BH455" s="150"/>
      <c r="BI455" s="150"/>
      <c r="BJ455" s="150"/>
      <c r="BK455" s="150"/>
      <c r="BL455" s="150"/>
      <c r="BM455" s="150"/>
      <c r="BN455" s="150"/>
      <c r="BO455" s="150"/>
      <c r="BP455" s="150"/>
      <c r="BQ455" s="150"/>
      <c r="BR455" s="150"/>
      <c r="BS455" s="150"/>
      <c r="BT455" s="150"/>
      <c r="BU455" s="150"/>
      <c r="BV455" s="150"/>
      <c r="BW455" s="150"/>
      <c r="BX455" s="150"/>
      <c r="BY455" s="150"/>
      <c r="BZ455" s="150"/>
      <c r="CA455" s="150"/>
      <c r="CB455" s="150"/>
      <c r="CC455" s="150"/>
      <c r="CD455" s="150"/>
      <c r="CE455" s="150"/>
      <c r="CF455" s="150"/>
      <c r="CG455" s="150"/>
      <c r="CH455" s="150"/>
      <c r="CI455" s="150"/>
      <c r="CJ455" s="150"/>
      <c r="CK455" s="150"/>
      <c r="CL455" s="150"/>
      <c r="CM455" s="150"/>
      <c r="CN455" s="150"/>
      <c r="CO455" s="150"/>
      <c r="CP455" s="150"/>
      <c r="CQ455" s="150"/>
      <c r="CR455" s="150"/>
      <c r="CS455" s="150"/>
      <c r="CT455" s="150"/>
      <c r="CU455" s="150"/>
      <c r="CV455" s="150"/>
      <c r="CW455" s="150"/>
      <c r="CX455" s="150"/>
      <c r="CY455" s="150"/>
      <c r="CZ455" s="150"/>
      <c r="DA455" s="150"/>
      <c r="DB455" s="150"/>
      <c r="DC455" s="150"/>
      <c r="DD455" s="150"/>
      <c r="DE455" s="150"/>
      <c r="DF455" s="150"/>
      <c r="DG455" s="150"/>
      <c r="DH455" s="150"/>
      <c r="DI455" s="150"/>
      <c r="DJ455" s="150"/>
      <c r="DK455" s="150"/>
      <c r="DL455" s="150"/>
      <c r="DM455" s="150"/>
      <c r="DN455" s="150"/>
      <c r="DO455" s="150"/>
      <c r="DP455" s="150"/>
      <c r="DQ455" s="150"/>
      <c r="DR455" s="150"/>
      <c r="DS455" s="150"/>
      <c r="DT455" s="150"/>
      <c r="DU455" s="150"/>
      <c r="DV455" s="150"/>
      <c r="DW455" s="150"/>
      <c r="DX455" s="150"/>
      <c r="DY455" s="150"/>
      <c r="DZ455" s="150"/>
      <c r="EA455" s="150"/>
      <c r="EB455" s="150"/>
      <c r="EC455" s="150"/>
      <c r="ED455" s="150"/>
      <c r="EE455" s="150"/>
      <c r="EF455" s="150"/>
      <c r="EG455" s="150"/>
      <c r="EH455" s="150"/>
      <c r="EI455" s="150"/>
      <c r="EJ455" s="150"/>
      <c r="EK455" s="150"/>
      <c r="EL455" s="150"/>
      <c r="EM455" s="150"/>
      <c r="EN455" s="150"/>
      <c r="EO455" s="150"/>
      <c r="EP455" s="150"/>
      <c r="EQ455" s="150"/>
      <c r="ER455" s="150"/>
      <c r="ES455" s="150"/>
      <c r="ET455" s="150"/>
      <c r="EU455" s="150"/>
      <c r="EV455" s="150"/>
      <c r="EW455" s="150"/>
      <c r="EX455" s="150"/>
      <c r="EY455" s="150"/>
      <c r="EZ455" s="150"/>
      <c r="FA455" s="150"/>
      <c r="FB455" s="150"/>
      <c r="FC455" s="150"/>
      <c r="FD455" s="150"/>
      <c r="FE455" s="150"/>
      <c r="FF455" s="150"/>
      <c r="FG455" s="150"/>
      <c r="FH455" s="150"/>
      <c r="FI455" s="150"/>
      <c r="FJ455" s="150"/>
      <c r="FK455" s="150"/>
      <c r="FL455" s="150"/>
      <c r="FM455" s="150"/>
      <c r="FN455" s="150"/>
    </row>
    <row r="456" spans="1:170" s="149" customFormat="1" x14ac:dyDescent="0.25">
      <c r="A456" s="142"/>
      <c r="B456" s="142"/>
      <c r="C456" s="142"/>
      <c r="D456" s="144"/>
      <c r="E456" s="143"/>
      <c r="F456" s="143"/>
      <c r="G456" s="144"/>
      <c r="H456" s="143"/>
      <c r="I456" s="143"/>
      <c r="J456" s="319"/>
      <c r="K456" s="319"/>
      <c r="L456" s="315"/>
      <c r="M456" s="315"/>
      <c r="N456" s="145"/>
      <c r="O456" s="145"/>
      <c r="P456" s="145"/>
      <c r="Q456" s="146"/>
      <c r="R456" s="147"/>
      <c r="S456" s="148"/>
      <c r="T456" s="148"/>
      <c r="U456" s="148"/>
      <c r="V456" s="148"/>
      <c r="W456" s="148"/>
      <c r="X456" s="148"/>
      <c r="Y456" s="148"/>
      <c r="Z456" s="148"/>
      <c r="AA456" s="148"/>
      <c r="AB456" s="148"/>
      <c r="AV456" s="150"/>
      <c r="AW456" s="150"/>
      <c r="AX456" s="150"/>
      <c r="AY456" s="150"/>
      <c r="AZ456" s="150"/>
      <c r="BA456" s="150"/>
      <c r="BB456" s="150"/>
      <c r="BC456" s="150"/>
      <c r="BD456" s="150"/>
      <c r="BE456" s="150"/>
      <c r="BF456" s="150"/>
      <c r="BG456" s="150"/>
      <c r="BH456" s="150"/>
      <c r="BI456" s="150"/>
      <c r="BJ456" s="150"/>
      <c r="BK456" s="150"/>
      <c r="BL456" s="150"/>
      <c r="BM456" s="150"/>
      <c r="BN456" s="150"/>
      <c r="BO456" s="150"/>
      <c r="BP456" s="150"/>
      <c r="BQ456" s="150"/>
      <c r="BR456" s="150"/>
      <c r="BS456" s="150"/>
      <c r="BT456" s="150"/>
      <c r="BU456" s="150"/>
      <c r="BV456" s="150"/>
      <c r="BW456" s="150"/>
      <c r="BX456" s="150"/>
      <c r="BY456" s="150"/>
      <c r="BZ456" s="150"/>
      <c r="CA456" s="150"/>
      <c r="CB456" s="150"/>
      <c r="CC456" s="150"/>
      <c r="CD456" s="150"/>
      <c r="CE456" s="150"/>
      <c r="CF456" s="150"/>
      <c r="CG456" s="150"/>
      <c r="CH456" s="150"/>
      <c r="CI456" s="150"/>
      <c r="CJ456" s="150"/>
      <c r="CK456" s="150"/>
      <c r="CL456" s="150"/>
      <c r="CM456" s="150"/>
      <c r="CN456" s="150"/>
      <c r="CO456" s="150"/>
      <c r="CP456" s="150"/>
      <c r="CQ456" s="150"/>
      <c r="CR456" s="150"/>
      <c r="CS456" s="150"/>
      <c r="CT456" s="150"/>
      <c r="CU456" s="150"/>
      <c r="CV456" s="150"/>
      <c r="CW456" s="150"/>
      <c r="CX456" s="150"/>
      <c r="CY456" s="150"/>
      <c r="CZ456" s="150"/>
      <c r="DA456" s="150"/>
      <c r="DB456" s="150"/>
      <c r="DC456" s="150"/>
      <c r="DD456" s="150"/>
      <c r="DE456" s="150"/>
      <c r="DF456" s="150"/>
      <c r="DG456" s="150"/>
      <c r="DH456" s="150"/>
      <c r="DI456" s="150"/>
      <c r="DJ456" s="150"/>
      <c r="DK456" s="150"/>
      <c r="DL456" s="150"/>
      <c r="DM456" s="150"/>
      <c r="DN456" s="150"/>
      <c r="DO456" s="150"/>
      <c r="DP456" s="150"/>
      <c r="DQ456" s="150"/>
      <c r="DR456" s="150"/>
      <c r="DS456" s="150"/>
      <c r="DT456" s="150"/>
      <c r="DU456" s="150"/>
      <c r="DV456" s="150"/>
      <c r="DW456" s="150"/>
      <c r="DX456" s="150"/>
      <c r="DY456" s="150"/>
      <c r="DZ456" s="150"/>
      <c r="EA456" s="150"/>
      <c r="EB456" s="150"/>
      <c r="EC456" s="150"/>
      <c r="ED456" s="150"/>
      <c r="EE456" s="150"/>
      <c r="EF456" s="150"/>
      <c r="EG456" s="150"/>
      <c r="EH456" s="150"/>
      <c r="EI456" s="150"/>
      <c r="EJ456" s="150"/>
      <c r="EK456" s="150"/>
      <c r="EL456" s="150"/>
      <c r="EM456" s="150"/>
      <c r="EN456" s="150"/>
      <c r="EO456" s="150"/>
      <c r="EP456" s="150"/>
      <c r="EQ456" s="150"/>
      <c r="ER456" s="150"/>
      <c r="ES456" s="150"/>
      <c r="ET456" s="150"/>
      <c r="EU456" s="150"/>
      <c r="EV456" s="150"/>
      <c r="EW456" s="150"/>
      <c r="EX456" s="150"/>
      <c r="EY456" s="150"/>
      <c r="EZ456" s="150"/>
      <c r="FA456" s="150"/>
      <c r="FB456" s="150"/>
      <c r="FC456" s="150"/>
      <c r="FD456" s="150"/>
      <c r="FE456" s="150"/>
      <c r="FF456" s="150"/>
      <c r="FG456" s="150"/>
      <c r="FH456" s="150"/>
      <c r="FI456" s="150"/>
      <c r="FJ456" s="150"/>
      <c r="FK456" s="150"/>
      <c r="FL456" s="150"/>
      <c r="FM456" s="150"/>
      <c r="FN456" s="150"/>
    </row>
    <row r="457" spans="1:170" s="149" customFormat="1" x14ac:dyDescent="0.25">
      <c r="A457" s="142"/>
      <c r="B457" s="142"/>
      <c r="C457" s="142"/>
      <c r="D457" s="144"/>
      <c r="E457" s="143"/>
      <c r="F457" s="143"/>
      <c r="G457" s="144"/>
      <c r="H457" s="143"/>
      <c r="I457" s="143"/>
      <c r="J457" s="319"/>
      <c r="K457" s="319"/>
      <c r="L457" s="315"/>
      <c r="M457" s="315"/>
      <c r="N457" s="145"/>
      <c r="O457" s="145"/>
      <c r="P457" s="145"/>
      <c r="Q457" s="146"/>
      <c r="R457" s="147"/>
      <c r="S457" s="148"/>
      <c r="T457" s="148"/>
      <c r="U457" s="148"/>
      <c r="V457" s="148"/>
      <c r="W457" s="148"/>
      <c r="X457" s="148"/>
      <c r="Y457" s="148"/>
      <c r="Z457" s="148"/>
      <c r="AA457" s="148"/>
      <c r="AB457" s="148"/>
      <c r="AV457" s="150"/>
      <c r="AW457" s="150"/>
      <c r="AX457" s="150"/>
      <c r="AY457" s="150"/>
      <c r="AZ457" s="150"/>
      <c r="BA457" s="150"/>
      <c r="BB457" s="150"/>
      <c r="BC457" s="150"/>
      <c r="BD457" s="150"/>
      <c r="BE457" s="150"/>
      <c r="BF457" s="150"/>
      <c r="BG457" s="150"/>
      <c r="BH457" s="150"/>
      <c r="BI457" s="150"/>
      <c r="BJ457" s="150"/>
      <c r="BK457" s="150"/>
      <c r="BL457" s="150"/>
      <c r="BM457" s="150"/>
      <c r="BN457" s="150"/>
      <c r="BO457" s="150"/>
      <c r="BP457" s="150"/>
      <c r="BQ457" s="150"/>
      <c r="BR457" s="150"/>
      <c r="BS457" s="150"/>
      <c r="BT457" s="150"/>
      <c r="BU457" s="150"/>
      <c r="BV457" s="150"/>
      <c r="BW457" s="150"/>
      <c r="BX457" s="150"/>
      <c r="BY457" s="150"/>
      <c r="BZ457" s="150"/>
      <c r="CA457" s="150"/>
      <c r="CB457" s="150"/>
      <c r="CC457" s="150"/>
      <c r="CD457" s="150"/>
      <c r="CE457" s="150"/>
      <c r="CF457" s="150"/>
      <c r="CG457" s="150"/>
      <c r="CH457" s="150"/>
      <c r="CI457" s="150"/>
      <c r="CJ457" s="150"/>
      <c r="CK457" s="150"/>
      <c r="CL457" s="150"/>
      <c r="CM457" s="150"/>
      <c r="CN457" s="150"/>
      <c r="CO457" s="150"/>
      <c r="CP457" s="150"/>
      <c r="CQ457" s="150"/>
      <c r="CR457" s="150"/>
      <c r="CS457" s="150"/>
      <c r="CT457" s="150"/>
      <c r="CU457" s="150"/>
      <c r="CV457" s="150"/>
      <c r="CW457" s="150"/>
      <c r="CX457" s="150"/>
      <c r="CY457" s="150"/>
      <c r="CZ457" s="150"/>
      <c r="DA457" s="150"/>
      <c r="DB457" s="150"/>
      <c r="DC457" s="150"/>
      <c r="DD457" s="150"/>
      <c r="DE457" s="150"/>
      <c r="DF457" s="150"/>
      <c r="DG457" s="150"/>
      <c r="DH457" s="150"/>
      <c r="DI457" s="150"/>
      <c r="DJ457" s="150"/>
      <c r="DK457" s="150"/>
      <c r="DL457" s="150"/>
      <c r="DM457" s="150"/>
      <c r="DN457" s="150"/>
      <c r="DO457" s="150"/>
      <c r="DP457" s="150"/>
      <c r="DQ457" s="150"/>
      <c r="DR457" s="150"/>
      <c r="DS457" s="150"/>
      <c r="DT457" s="150"/>
      <c r="DU457" s="150"/>
      <c r="DV457" s="150"/>
      <c r="DW457" s="150"/>
      <c r="DX457" s="150"/>
      <c r="DY457" s="150"/>
      <c r="DZ457" s="150"/>
      <c r="EA457" s="150"/>
      <c r="EB457" s="150"/>
      <c r="EC457" s="150"/>
      <c r="ED457" s="150"/>
      <c r="EE457" s="150"/>
      <c r="EF457" s="150"/>
      <c r="EG457" s="150"/>
      <c r="EH457" s="150"/>
      <c r="EI457" s="150"/>
      <c r="EJ457" s="150"/>
      <c r="EK457" s="150"/>
      <c r="EL457" s="150"/>
      <c r="EM457" s="150"/>
      <c r="EN457" s="150"/>
      <c r="EO457" s="150"/>
      <c r="EP457" s="150"/>
      <c r="EQ457" s="150"/>
      <c r="ER457" s="150"/>
      <c r="ES457" s="150"/>
      <c r="ET457" s="150"/>
      <c r="EU457" s="150"/>
      <c r="EV457" s="150"/>
      <c r="EW457" s="150"/>
      <c r="EX457" s="150"/>
      <c r="EY457" s="150"/>
      <c r="EZ457" s="150"/>
      <c r="FA457" s="150"/>
      <c r="FB457" s="150"/>
      <c r="FC457" s="150"/>
      <c r="FD457" s="150"/>
      <c r="FE457" s="150"/>
      <c r="FF457" s="150"/>
      <c r="FG457" s="150"/>
      <c r="FH457" s="150"/>
      <c r="FI457" s="150"/>
      <c r="FJ457" s="150"/>
      <c r="FK457" s="150"/>
      <c r="FL457" s="150"/>
      <c r="FM457" s="150"/>
      <c r="FN457" s="150"/>
    </row>
    <row r="458" spans="1:170" s="149" customFormat="1" x14ac:dyDescent="0.25">
      <c r="A458" s="142"/>
      <c r="B458" s="142"/>
      <c r="C458" s="142"/>
      <c r="D458" s="144"/>
      <c r="E458" s="143"/>
      <c r="F458" s="143"/>
      <c r="G458" s="144"/>
      <c r="H458" s="143"/>
      <c r="I458" s="143"/>
      <c r="J458" s="319"/>
      <c r="K458" s="319"/>
      <c r="L458" s="315"/>
      <c r="M458" s="315"/>
      <c r="N458" s="145"/>
      <c r="O458" s="145"/>
      <c r="P458" s="145"/>
      <c r="Q458" s="146"/>
      <c r="R458" s="147"/>
      <c r="S458" s="148"/>
      <c r="T458" s="148"/>
      <c r="U458" s="148"/>
      <c r="V458" s="148"/>
      <c r="W458" s="148"/>
      <c r="X458" s="148"/>
      <c r="Y458" s="148"/>
      <c r="Z458" s="148"/>
      <c r="AA458" s="148"/>
      <c r="AB458" s="148"/>
      <c r="AV458" s="150"/>
      <c r="AW458" s="150"/>
      <c r="AX458" s="150"/>
      <c r="AY458" s="150"/>
      <c r="AZ458" s="150"/>
      <c r="BA458" s="150"/>
      <c r="BB458" s="150"/>
      <c r="BC458" s="150"/>
      <c r="BD458" s="150"/>
      <c r="BE458" s="150"/>
      <c r="BF458" s="150"/>
      <c r="BG458" s="150"/>
      <c r="BH458" s="150"/>
      <c r="BI458" s="150"/>
      <c r="BJ458" s="150"/>
      <c r="BK458" s="150"/>
      <c r="BL458" s="150"/>
      <c r="BM458" s="150"/>
      <c r="BN458" s="150"/>
      <c r="BO458" s="150"/>
      <c r="BP458" s="150"/>
      <c r="BQ458" s="150"/>
      <c r="BR458" s="150"/>
      <c r="BS458" s="150"/>
      <c r="BT458" s="150"/>
      <c r="BU458" s="150"/>
      <c r="BV458" s="150"/>
      <c r="BW458" s="150"/>
      <c r="BX458" s="150"/>
      <c r="BY458" s="150"/>
      <c r="BZ458" s="150"/>
      <c r="CA458" s="150"/>
      <c r="CB458" s="150"/>
      <c r="CC458" s="150"/>
      <c r="CD458" s="150"/>
      <c r="CE458" s="150"/>
      <c r="CF458" s="150"/>
      <c r="CG458" s="150"/>
      <c r="CH458" s="150"/>
      <c r="CI458" s="150"/>
      <c r="CJ458" s="150"/>
      <c r="CK458" s="150"/>
      <c r="CL458" s="150"/>
      <c r="CM458" s="150"/>
      <c r="CN458" s="150"/>
      <c r="CO458" s="150"/>
      <c r="CP458" s="150"/>
      <c r="CQ458" s="150"/>
      <c r="CR458" s="150"/>
      <c r="CS458" s="150"/>
      <c r="CT458" s="150"/>
      <c r="CU458" s="150"/>
      <c r="CV458" s="150"/>
      <c r="CW458" s="150"/>
      <c r="CX458" s="150"/>
      <c r="CY458" s="150"/>
      <c r="CZ458" s="150"/>
      <c r="DA458" s="150"/>
      <c r="DB458" s="150"/>
      <c r="DC458" s="150"/>
      <c r="DD458" s="150"/>
      <c r="DE458" s="150"/>
      <c r="DF458" s="150"/>
      <c r="DG458" s="150"/>
      <c r="DH458" s="150"/>
      <c r="DI458" s="150"/>
      <c r="DJ458" s="150"/>
      <c r="DK458" s="150"/>
      <c r="DL458" s="150"/>
      <c r="DM458" s="150"/>
      <c r="DN458" s="150"/>
      <c r="DO458" s="150"/>
      <c r="DP458" s="150"/>
      <c r="DQ458" s="150"/>
      <c r="DR458" s="150"/>
      <c r="DS458" s="150"/>
      <c r="DT458" s="150"/>
      <c r="DU458" s="150"/>
      <c r="DV458" s="150"/>
      <c r="DW458" s="150"/>
      <c r="DX458" s="150"/>
      <c r="DY458" s="150"/>
      <c r="DZ458" s="150"/>
      <c r="EA458" s="150"/>
      <c r="EB458" s="150"/>
      <c r="EC458" s="150"/>
      <c r="ED458" s="150"/>
      <c r="EE458" s="150"/>
      <c r="EF458" s="150"/>
      <c r="EG458" s="150"/>
      <c r="EH458" s="150"/>
      <c r="EI458" s="150"/>
      <c r="EJ458" s="150"/>
      <c r="EK458" s="150"/>
      <c r="EL458" s="150"/>
      <c r="EM458" s="150"/>
      <c r="EN458" s="150"/>
      <c r="EO458" s="150"/>
      <c r="EP458" s="150"/>
      <c r="EQ458" s="150"/>
      <c r="ER458" s="150"/>
      <c r="ES458" s="150"/>
      <c r="ET458" s="150"/>
      <c r="EU458" s="150"/>
      <c r="EV458" s="150"/>
      <c r="EW458" s="150"/>
      <c r="EX458" s="150"/>
      <c r="EY458" s="150"/>
      <c r="EZ458" s="150"/>
      <c r="FA458" s="150"/>
      <c r="FB458" s="150"/>
      <c r="FC458" s="150"/>
      <c r="FD458" s="150"/>
      <c r="FE458" s="150"/>
      <c r="FF458" s="150"/>
      <c r="FG458" s="150"/>
      <c r="FH458" s="150"/>
      <c r="FI458" s="150"/>
      <c r="FJ458" s="150"/>
      <c r="FK458" s="150"/>
      <c r="FL458" s="150"/>
      <c r="FM458" s="150"/>
      <c r="FN458" s="150"/>
    </row>
    <row r="459" spans="1:170" s="149" customFormat="1" x14ac:dyDescent="0.25">
      <c r="A459" s="142"/>
      <c r="B459" s="142"/>
      <c r="C459" s="142"/>
      <c r="D459" s="144"/>
      <c r="E459" s="143"/>
      <c r="F459" s="143"/>
      <c r="G459" s="144"/>
      <c r="H459" s="143"/>
      <c r="I459" s="143"/>
      <c r="J459" s="319"/>
      <c r="K459" s="319"/>
      <c r="L459" s="315"/>
      <c r="M459" s="315"/>
      <c r="N459" s="145"/>
      <c r="O459" s="145"/>
      <c r="P459" s="145"/>
      <c r="Q459" s="146"/>
      <c r="R459" s="147"/>
      <c r="S459" s="148"/>
      <c r="T459" s="148"/>
      <c r="U459" s="148"/>
      <c r="V459" s="148"/>
      <c r="W459" s="148"/>
      <c r="X459" s="148"/>
      <c r="Y459" s="148"/>
      <c r="Z459" s="148"/>
      <c r="AA459" s="148"/>
      <c r="AB459" s="148"/>
      <c r="AV459" s="150"/>
      <c r="AW459" s="150"/>
      <c r="AX459" s="150"/>
      <c r="AY459" s="150"/>
      <c r="AZ459" s="150"/>
      <c r="BA459" s="150"/>
      <c r="BB459" s="150"/>
      <c r="BC459" s="150"/>
      <c r="BD459" s="150"/>
      <c r="BE459" s="150"/>
      <c r="BF459" s="150"/>
      <c r="BG459" s="150"/>
      <c r="BH459" s="150"/>
      <c r="BI459" s="150"/>
      <c r="BJ459" s="150"/>
      <c r="BK459" s="150"/>
      <c r="BL459" s="150"/>
      <c r="BM459" s="150"/>
      <c r="BN459" s="150"/>
      <c r="BO459" s="150"/>
      <c r="BP459" s="150"/>
      <c r="BQ459" s="150"/>
      <c r="BR459" s="150"/>
      <c r="BS459" s="150"/>
      <c r="BT459" s="150"/>
      <c r="BU459" s="150"/>
      <c r="BV459" s="150"/>
      <c r="BW459" s="150"/>
      <c r="BX459" s="150"/>
      <c r="BY459" s="150"/>
      <c r="BZ459" s="150"/>
      <c r="CA459" s="150"/>
      <c r="CB459" s="150"/>
      <c r="CC459" s="150"/>
      <c r="CD459" s="150"/>
      <c r="CE459" s="150"/>
      <c r="CF459" s="150"/>
      <c r="CG459" s="150"/>
      <c r="CH459" s="150"/>
      <c r="CI459" s="150"/>
      <c r="CJ459" s="150"/>
      <c r="CK459" s="150"/>
      <c r="CL459" s="150"/>
      <c r="CM459" s="150"/>
      <c r="CN459" s="150"/>
      <c r="CO459" s="150"/>
      <c r="CP459" s="150"/>
      <c r="CQ459" s="150"/>
      <c r="CR459" s="150"/>
      <c r="CS459" s="150"/>
      <c r="CT459" s="150"/>
      <c r="CU459" s="150"/>
      <c r="CV459" s="150"/>
      <c r="CW459" s="150"/>
      <c r="CX459" s="150"/>
      <c r="CY459" s="150"/>
      <c r="CZ459" s="150"/>
      <c r="DA459" s="150"/>
      <c r="DB459" s="150"/>
      <c r="DC459" s="150"/>
      <c r="DD459" s="150"/>
      <c r="DE459" s="150"/>
      <c r="DF459" s="150"/>
      <c r="DG459" s="150"/>
      <c r="DH459" s="150"/>
      <c r="DI459" s="150"/>
      <c r="DJ459" s="150"/>
      <c r="DK459" s="150"/>
      <c r="DL459" s="150"/>
      <c r="DM459" s="150"/>
      <c r="DN459" s="150"/>
      <c r="DO459" s="150"/>
      <c r="DP459" s="150"/>
      <c r="DQ459" s="150"/>
      <c r="DR459" s="150"/>
      <c r="DS459" s="150"/>
      <c r="DT459" s="150"/>
      <c r="DU459" s="150"/>
      <c r="DV459" s="150"/>
      <c r="DW459" s="150"/>
      <c r="DX459" s="150"/>
      <c r="DY459" s="150"/>
      <c r="DZ459" s="150"/>
      <c r="EA459" s="150"/>
      <c r="EB459" s="150"/>
      <c r="EC459" s="150"/>
      <c r="ED459" s="150"/>
      <c r="EE459" s="150"/>
      <c r="EF459" s="150"/>
      <c r="EG459" s="150"/>
      <c r="EH459" s="150"/>
      <c r="EI459" s="150"/>
      <c r="EJ459" s="150"/>
      <c r="EK459" s="150"/>
      <c r="EL459" s="150"/>
      <c r="EM459" s="150"/>
      <c r="EN459" s="150"/>
      <c r="EO459" s="150"/>
      <c r="EP459" s="150"/>
      <c r="EQ459" s="150"/>
      <c r="ER459" s="150"/>
      <c r="ES459" s="150"/>
      <c r="ET459" s="150"/>
      <c r="EU459" s="150"/>
      <c r="EV459" s="150"/>
      <c r="EW459" s="150"/>
      <c r="EX459" s="150"/>
      <c r="EY459" s="150"/>
      <c r="EZ459" s="150"/>
      <c r="FA459" s="150"/>
      <c r="FB459" s="150"/>
      <c r="FC459" s="150"/>
      <c r="FD459" s="150"/>
      <c r="FE459" s="150"/>
      <c r="FF459" s="150"/>
      <c r="FG459" s="150"/>
      <c r="FH459" s="150"/>
      <c r="FI459" s="150"/>
      <c r="FJ459" s="150"/>
      <c r="FK459" s="150"/>
      <c r="FL459" s="150"/>
      <c r="FM459" s="150"/>
      <c r="FN459" s="150"/>
    </row>
    <row r="460" spans="1:170" s="149" customFormat="1" x14ac:dyDescent="0.25">
      <c r="A460" s="142"/>
      <c r="B460" s="142"/>
      <c r="C460" s="142"/>
      <c r="D460" s="144"/>
      <c r="E460" s="143"/>
      <c r="F460" s="143"/>
      <c r="G460" s="144"/>
      <c r="H460" s="143"/>
      <c r="I460" s="143"/>
      <c r="J460" s="319"/>
      <c r="K460" s="319"/>
      <c r="L460" s="315"/>
      <c r="M460" s="315"/>
      <c r="N460" s="145"/>
      <c r="O460" s="145"/>
      <c r="P460" s="145"/>
      <c r="Q460" s="146"/>
      <c r="R460" s="147"/>
      <c r="S460" s="148"/>
      <c r="T460" s="148"/>
      <c r="U460" s="148"/>
      <c r="V460" s="148"/>
      <c r="W460" s="148"/>
      <c r="X460" s="148"/>
      <c r="Y460" s="148"/>
      <c r="Z460" s="148"/>
      <c r="AA460" s="148"/>
      <c r="AB460" s="148"/>
      <c r="AV460" s="150"/>
      <c r="AW460" s="150"/>
      <c r="AX460" s="150"/>
      <c r="AY460" s="150"/>
      <c r="AZ460" s="150"/>
      <c r="BA460" s="150"/>
      <c r="BB460" s="150"/>
      <c r="BC460" s="150"/>
      <c r="BD460" s="150"/>
      <c r="BE460" s="150"/>
      <c r="BF460" s="150"/>
      <c r="BG460" s="150"/>
      <c r="BH460" s="150"/>
      <c r="BI460" s="150"/>
      <c r="BJ460" s="150"/>
      <c r="BK460" s="150"/>
      <c r="BL460" s="150"/>
      <c r="BM460" s="150"/>
      <c r="BN460" s="150"/>
      <c r="BO460" s="150"/>
      <c r="BP460" s="150"/>
      <c r="BQ460" s="150"/>
      <c r="BR460" s="150"/>
      <c r="BS460" s="150"/>
      <c r="BT460" s="150"/>
      <c r="BU460" s="150"/>
      <c r="BV460" s="150"/>
      <c r="BW460" s="150"/>
      <c r="BX460" s="150"/>
      <c r="BY460" s="150"/>
      <c r="BZ460" s="150"/>
      <c r="CA460" s="150"/>
      <c r="CB460" s="150"/>
      <c r="CC460" s="150"/>
      <c r="CD460" s="150"/>
      <c r="CE460" s="150"/>
      <c r="CF460" s="150"/>
      <c r="CG460" s="150"/>
      <c r="CH460" s="150"/>
      <c r="CI460" s="150"/>
      <c r="CJ460" s="150"/>
      <c r="CK460" s="150"/>
      <c r="CL460" s="150"/>
      <c r="CM460" s="150"/>
      <c r="CN460" s="150"/>
      <c r="CO460" s="150"/>
      <c r="CP460" s="150"/>
      <c r="CQ460" s="150"/>
      <c r="CR460" s="150"/>
      <c r="CS460" s="150"/>
      <c r="CT460" s="150"/>
      <c r="CU460" s="150"/>
      <c r="CV460" s="150"/>
      <c r="CW460" s="150"/>
      <c r="CX460" s="150"/>
      <c r="CY460" s="150"/>
      <c r="CZ460" s="150"/>
      <c r="DA460" s="150"/>
      <c r="DB460" s="150"/>
      <c r="DC460" s="150"/>
      <c r="DD460" s="150"/>
      <c r="DE460" s="150"/>
      <c r="DF460" s="150"/>
      <c r="DG460" s="150"/>
      <c r="DH460" s="150"/>
      <c r="DI460" s="150"/>
      <c r="DJ460" s="150"/>
      <c r="DK460" s="150"/>
      <c r="DL460" s="150"/>
      <c r="DM460" s="150"/>
      <c r="DN460" s="150"/>
      <c r="DO460" s="150"/>
      <c r="DP460" s="150"/>
      <c r="DQ460" s="150"/>
      <c r="DR460" s="150"/>
      <c r="DS460" s="150"/>
      <c r="DT460" s="150"/>
      <c r="DU460" s="150"/>
      <c r="DV460" s="150"/>
      <c r="DW460" s="150"/>
      <c r="DX460" s="150"/>
      <c r="DY460" s="150"/>
      <c r="DZ460" s="150"/>
      <c r="EA460" s="150"/>
      <c r="EB460" s="150"/>
      <c r="EC460" s="150"/>
      <c r="ED460" s="150"/>
      <c r="EE460" s="150"/>
      <c r="EF460" s="150"/>
      <c r="EG460" s="150"/>
      <c r="EH460" s="150"/>
      <c r="EI460" s="150"/>
      <c r="EJ460" s="150"/>
      <c r="EK460" s="150"/>
      <c r="EL460" s="150"/>
      <c r="EM460" s="150"/>
      <c r="EN460" s="150"/>
      <c r="EO460" s="150"/>
      <c r="EP460" s="150"/>
      <c r="EQ460" s="150"/>
      <c r="ER460" s="150"/>
      <c r="ES460" s="150"/>
      <c r="ET460" s="150"/>
      <c r="EU460" s="150"/>
      <c r="EV460" s="150"/>
      <c r="EW460" s="150"/>
      <c r="EX460" s="150"/>
      <c r="EY460" s="150"/>
      <c r="EZ460" s="150"/>
      <c r="FA460" s="150"/>
      <c r="FB460" s="150"/>
      <c r="FC460" s="150"/>
      <c r="FD460" s="150"/>
      <c r="FE460" s="150"/>
      <c r="FF460" s="150"/>
      <c r="FG460" s="150"/>
      <c r="FH460" s="150"/>
      <c r="FI460" s="150"/>
      <c r="FJ460" s="150"/>
      <c r="FK460" s="150"/>
      <c r="FL460" s="150"/>
      <c r="FM460" s="150"/>
      <c r="FN460" s="150"/>
    </row>
    <row r="461" spans="1:170" s="149" customFormat="1" x14ac:dyDescent="0.25">
      <c r="A461" s="142"/>
      <c r="B461" s="142"/>
      <c r="C461" s="142"/>
      <c r="D461" s="144"/>
      <c r="E461" s="143"/>
      <c r="F461" s="143"/>
      <c r="G461" s="144"/>
      <c r="H461" s="143"/>
      <c r="I461" s="143"/>
      <c r="J461" s="319"/>
      <c r="K461" s="319"/>
      <c r="L461" s="315"/>
      <c r="M461" s="315"/>
      <c r="N461" s="145"/>
      <c r="O461" s="145"/>
      <c r="P461" s="145"/>
      <c r="Q461" s="146"/>
      <c r="R461" s="147"/>
      <c r="S461" s="148"/>
      <c r="T461" s="148"/>
      <c r="U461" s="148"/>
      <c r="V461" s="148"/>
      <c r="W461" s="148"/>
      <c r="X461" s="148"/>
      <c r="Y461" s="148"/>
      <c r="Z461" s="148"/>
      <c r="AA461" s="148"/>
      <c r="AB461" s="148"/>
      <c r="AV461" s="150"/>
      <c r="AW461" s="150"/>
      <c r="AX461" s="150"/>
      <c r="AY461" s="150"/>
      <c r="AZ461" s="150"/>
      <c r="BA461" s="150"/>
      <c r="BB461" s="150"/>
      <c r="BC461" s="150"/>
      <c r="BD461" s="150"/>
      <c r="BE461" s="150"/>
      <c r="BF461" s="150"/>
      <c r="BG461" s="150"/>
      <c r="BH461" s="150"/>
      <c r="BI461" s="150"/>
      <c r="BJ461" s="150"/>
      <c r="BK461" s="150"/>
      <c r="BL461" s="150"/>
      <c r="BM461" s="150"/>
      <c r="BN461" s="150"/>
      <c r="BO461" s="150"/>
      <c r="BP461" s="150"/>
      <c r="BQ461" s="150"/>
      <c r="BR461" s="150"/>
      <c r="BS461" s="150"/>
      <c r="BT461" s="150"/>
      <c r="BU461" s="150"/>
      <c r="BV461" s="150"/>
      <c r="BW461" s="150"/>
      <c r="BX461" s="150"/>
      <c r="BY461" s="150"/>
      <c r="BZ461" s="150"/>
      <c r="CA461" s="150"/>
      <c r="CB461" s="150"/>
      <c r="CC461" s="150"/>
      <c r="CD461" s="150"/>
      <c r="CE461" s="150"/>
      <c r="CF461" s="150"/>
      <c r="CG461" s="150"/>
      <c r="CH461" s="150"/>
      <c r="CI461" s="150"/>
      <c r="CJ461" s="150"/>
      <c r="CK461" s="150"/>
      <c r="CL461" s="150"/>
      <c r="CM461" s="150"/>
      <c r="CN461" s="150"/>
      <c r="CO461" s="150"/>
      <c r="CP461" s="150"/>
      <c r="CQ461" s="150"/>
      <c r="CR461" s="150"/>
      <c r="CS461" s="150"/>
      <c r="CT461" s="150"/>
      <c r="CU461" s="150"/>
      <c r="CV461" s="150"/>
      <c r="CW461" s="150"/>
      <c r="CX461" s="150"/>
      <c r="CY461" s="150"/>
      <c r="CZ461" s="150"/>
      <c r="DA461" s="150"/>
      <c r="DB461" s="150"/>
      <c r="DC461" s="150"/>
      <c r="DD461" s="150"/>
      <c r="DE461" s="150"/>
      <c r="DF461" s="150"/>
      <c r="DG461" s="150"/>
      <c r="DH461" s="150"/>
      <c r="DI461" s="150"/>
      <c r="DJ461" s="150"/>
      <c r="DK461" s="150"/>
      <c r="DL461" s="150"/>
      <c r="DM461" s="150"/>
      <c r="DN461" s="150"/>
      <c r="DO461" s="150"/>
      <c r="DP461" s="150"/>
      <c r="DQ461" s="150"/>
      <c r="DR461" s="150"/>
      <c r="DS461" s="150"/>
      <c r="DT461" s="150"/>
      <c r="DU461" s="150"/>
      <c r="DV461" s="150"/>
      <c r="DW461" s="150"/>
      <c r="DX461" s="150"/>
      <c r="DY461" s="150"/>
      <c r="DZ461" s="150"/>
      <c r="EA461" s="150"/>
      <c r="EB461" s="150"/>
      <c r="EC461" s="150"/>
      <c r="ED461" s="150"/>
      <c r="EE461" s="150"/>
      <c r="EF461" s="150"/>
      <c r="EG461" s="150"/>
      <c r="EH461" s="150"/>
      <c r="EI461" s="150"/>
      <c r="EJ461" s="150"/>
      <c r="EK461" s="150"/>
      <c r="EL461" s="150"/>
      <c r="EM461" s="150"/>
      <c r="EN461" s="150"/>
      <c r="EO461" s="150"/>
      <c r="EP461" s="150"/>
      <c r="EQ461" s="150"/>
      <c r="ER461" s="150"/>
      <c r="ES461" s="150"/>
      <c r="ET461" s="150"/>
      <c r="EU461" s="150"/>
      <c r="EV461" s="150"/>
      <c r="EW461" s="150"/>
      <c r="EX461" s="150"/>
      <c r="EY461" s="150"/>
      <c r="EZ461" s="150"/>
      <c r="FA461" s="150"/>
      <c r="FB461" s="150"/>
      <c r="FC461" s="150"/>
      <c r="FD461" s="150"/>
      <c r="FE461" s="150"/>
      <c r="FF461" s="150"/>
      <c r="FG461" s="150"/>
      <c r="FH461" s="150"/>
      <c r="FI461" s="150"/>
      <c r="FJ461" s="150"/>
      <c r="FK461" s="150"/>
      <c r="FL461" s="150"/>
      <c r="FM461" s="150"/>
      <c r="FN461" s="150"/>
    </row>
    <row r="462" spans="1:170" s="149" customFormat="1" x14ac:dyDescent="0.25">
      <c r="A462" s="142"/>
      <c r="B462" s="142"/>
      <c r="C462" s="142"/>
      <c r="D462" s="144"/>
      <c r="E462" s="143"/>
      <c r="F462" s="143"/>
      <c r="G462" s="144"/>
      <c r="H462" s="143"/>
      <c r="I462" s="143"/>
      <c r="J462" s="319"/>
      <c r="K462" s="319"/>
      <c r="L462" s="315"/>
      <c r="M462" s="315"/>
      <c r="N462" s="145"/>
      <c r="O462" s="145"/>
      <c r="P462" s="145"/>
      <c r="Q462" s="146"/>
      <c r="R462" s="147"/>
      <c r="S462" s="148"/>
      <c r="T462" s="148"/>
      <c r="U462" s="148"/>
      <c r="V462" s="148"/>
      <c r="W462" s="148"/>
      <c r="X462" s="148"/>
      <c r="Y462" s="148"/>
      <c r="Z462" s="148"/>
      <c r="AA462" s="148"/>
      <c r="AB462" s="148"/>
      <c r="AV462" s="150"/>
      <c r="AW462" s="150"/>
      <c r="AX462" s="150"/>
      <c r="AY462" s="150"/>
      <c r="AZ462" s="150"/>
      <c r="BA462" s="150"/>
      <c r="BB462" s="150"/>
      <c r="BC462" s="150"/>
      <c r="BD462" s="150"/>
      <c r="BE462" s="150"/>
      <c r="BF462" s="150"/>
      <c r="BG462" s="150"/>
      <c r="BH462" s="150"/>
      <c r="BI462" s="150"/>
      <c r="BJ462" s="150"/>
      <c r="BK462" s="150"/>
      <c r="BL462" s="150"/>
      <c r="BM462" s="150"/>
      <c r="BN462" s="150"/>
      <c r="BO462" s="150"/>
      <c r="BP462" s="150"/>
      <c r="BQ462" s="150"/>
      <c r="BR462" s="150"/>
      <c r="BS462" s="150"/>
      <c r="BT462" s="150"/>
      <c r="BU462" s="150"/>
      <c r="BV462" s="150"/>
      <c r="BW462" s="150"/>
      <c r="BX462" s="150"/>
      <c r="BY462" s="150"/>
      <c r="BZ462" s="150"/>
      <c r="CA462" s="150"/>
      <c r="CB462" s="150"/>
      <c r="CC462" s="150"/>
      <c r="CD462" s="150"/>
      <c r="CE462" s="150"/>
      <c r="CF462" s="150"/>
      <c r="CG462" s="150"/>
      <c r="CH462" s="150"/>
      <c r="CI462" s="150"/>
      <c r="CJ462" s="150"/>
      <c r="CK462" s="150"/>
      <c r="CL462" s="150"/>
      <c r="CM462" s="150"/>
      <c r="CN462" s="150"/>
      <c r="CO462" s="150"/>
      <c r="CP462" s="150"/>
      <c r="CQ462" s="150"/>
      <c r="CR462" s="150"/>
      <c r="CS462" s="150"/>
      <c r="CT462" s="150"/>
      <c r="CU462" s="150"/>
      <c r="CV462" s="150"/>
      <c r="CW462" s="150"/>
      <c r="CX462" s="150"/>
      <c r="CY462" s="150"/>
      <c r="CZ462" s="150"/>
      <c r="DA462" s="150"/>
      <c r="DB462" s="150"/>
      <c r="DC462" s="150"/>
      <c r="DD462" s="150"/>
      <c r="DE462" s="150"/>
      <c r="DF462" s="150"/>
      <c r="DG462" s="150"/>
      <c r="DH462" s="150"/>
      <c r="DI462" s="150"/>
      <c r="DJ462" s="150"/>
      <c r="DK462" s="150"/>
      <c r="DL462" s="150"/>
      <c r="DM462" s="150"/>
      <c r="DN462" s="150"/>
      <c r="DO462" s="150"/>
      <c r="DP462" s="150"/>
      <c r="DQ462" s="150"/>
      <c r="DR462" s="150"/>
      <c r="DS462" s="150"/>
      <c r="DT462" s="150"/>
      <c r="DU462" s="150"/>
      <c r="DV462" s="150"/>
      <c r="DW462" s="150"/>
      <c r="DX462" s="150"/>
      <c r="DY462" s="150"/>
      <c r="DZ462" s="150"/>
      <c r="EA462" s="150"/>
      <c r="EB462" s="150"/>
      <c r="EC462" s="150"/>
      <c r="ED462" s="150"/>
      <c r="EE462" s="150"/>
      <c r="EF462" s="150"/>
      <c r="EG462" s="150"/>
      <c r="EH462" s="150"/>
      <c r="EI462" s="150"/>
      <c r="EJ462" s="150"/>
      <c r="EK462" s="150"/>
      <c r="EL462" s="150"/>
      <c r="EM462" s="150"/>
      <c r="EN462" s="150"/>
      <c r="EO462" s="150"/>
      <c r="EP462" s="150"/>
      <c r="EQ462" s="150"/>
      <c r="ER462" s="150"/>
      <c r="ES462" s="150"/>
      <c r="ET462" s="150"/>
      <c r="EU462" s="150"/>
      <c r="EV462" s="150"/>
      <c r="EW462" s="150"/>
      <c r="EX462" s="150"/>
      <c r="EY462" s="150"/>
      <c r="EZ462" s="150"/>
      <c r="FA462" s="150"/>
      <c r="FB462" s="150"/>
      <c r="FC462" s="150"/>
      <c r="FD462" s="150"/>
      <c r="FE462" s="150"/>
      <c r="FF462" s="150"/>
      <c r="FG462" s="150"/>
      <c r="FH462" s="150"/>
      <c r="FI462" s="150"/>
      <c r="FJ462" s="150"/>
      <c r="FK462" s="150"/>
      <c r="FL462" s="150"/>
      <c r="FM462" s="150"/>
      <c r="FN462" s="150"/>
    </row>
    <row r="463" spans="1:170" s="149" customFormat="1" x14ac:dyDescent="0.25">
      <c r="A463" s="142"/>
      <c r="B463" s="142"/>
      <c r="C463" s="142"/>
      <c r="D463" s="144"/>
      <c r="E463" s="143"/>
      <c r="F463" s="143"/>
      <c r="G463" s="144"/>
      <c r="H463" s="143"/>
      <c r="I463" s="143"/>
      <c r="J463" s="319"/>
      <c r="K463" s="319"/>
      <c r="L463" s="315"/>
      <c r="M463" s="315"/>
      <c r="N463" s="145"/>
      <c r="O463" s="145"/>
      <c r="P463" s="145"/>
      <c r="Q463" s="146"/>
      <c r="R463" s="147"/>
      <c r="S463" s="148"/>
      <c r="T463" s="148"/>
      <c r="U463" s="148"/>
      <c r="V463" s="148"/>
      <c r="W463" s="148"/>
      <c r="X463" s="148"/>
      <c r="Y463" s="148"/>
      <c r="Z463" s="148"/>
      <c r="AA463" s="148"/>
      <c r="AB463" s="148"/>
      <c r="AV463" s="150"/>
      <c r="AW463" s="150"/>
      <c r="AX463" s="150"/>
      <c r="AY463" s="150"/>
      <c r="AZ463" s="150"/>
      <c r="BA463" s="150"/>
      <c r="BB463" s="150"/>
      <c r="BC463" s="150"/>
      <c r="BD463" s="150"/>
      <c r="BE463" s="150"/>
      <c r="BF463" s="150"/>
      <c r="BG463" s="150"/>
      <c r="BH463" s="150"/>
      <c r="BI463" s="150"/>
      <c r="BJ463" s="150"/>
      <c r="BK463" s="150"/>
      <c r="BL463" s="150"/>
      <c r="BM463" s="150"/>
      <c r="BN463" s="150"/>
      <c r="BO463" s="150"/>
      <c r="BP463" s="150"/>
      <c r="BQ463" s="150"/>
      <c r="BR463" s="150"/>
      <c r="BS463" s="150"/>
      <c r="BT463" s="150"/>
      <c r="BU463" s="150"/>
      <c r="BV463" s="150"/>
      <c r="BW463" s="150"/>
      <c r="BX463" s="150"/>
      <c r="BY463" s="150"/>
      <c r="BZ463" s="150"/>
      <c r="CA463" s="150"/>
      <c r="CB463" s="150"/>
      <c r="CC463" s="150"/>
      <c r="CD463" s="150"/>
      <c r="CE463" s="150"/>
      <c r="CF463" s="150"/>
      <c r="CG463" s="150"/>
      <c r="CH463" s="150"/>
      <c r="CI463" s="150"/>
      <c r="CJ463" s="150"/>
      <c r="CK463" s="150"/>
      <c r="CL463" s="150"/>
      <c r="CM463" s="150"/>
      <c r="CN463" s="150"/>
      <c r="CO463" s="150"/>
      <c r="CP463" s="150"/>
      <c r="CQ463" s="150"/>
      <c r="CR463" s="150"/>
      <c r="CS463" s="150"/>
      <c r="CT463" s="150"/>
      <c r="CU463" s="150"/>
      <c r="CV463" s="150"/>
      <c r="CW463" s="150"/>
      <c r="CX463" s="150"/>
      <c r="CY463" s="150"/>
      <c r="CZ463" s="150"/>
      <c r="DA463" s="150"/>
      <c r="DB463" s="150"/>
      <c r="DC463" s="150"/>
      <c r="DD463" s="150"/>
      <c r="DE463" s="150"/>
      <c r="DF463" s="150"/>
      <c r="DG463" s="150"/>
      <c r="DH463" s="150"/>
      <c r="DI463" s="150"/>
      <c r="DJ463" s="150"/>
      <c r="DK463" s="150"/>
      <c r="DL463" s="150"/>
      <c r="DM463" s="150"/>
      <c r="DN463" s="150"/>
      <c r="DO463" s="150"/>
      <c r="DP463" s="150"/>
      <c r="DQ463" s="150"/>
      <c r="DR463" s="150"/>
      <c r="DS463" s="150"/>
      <c r="DT463" s="150"/>
      <c r="DU463" s="150"/>
      <c r="DV463" s="150"/>
      <c r="DW463" s="150"/>
      <c r="DX463" s="150"/>
      <c r="DY463" s="150"/>
      <c r="DZ463" s="150"/>
      <c r="EA463" s="150"/>
      <c r="EB463" s="150"/>
      <c r="EC463" s="150"/>
      <c r="ED463" s="150"/>
      <c r="EE463" s="150"/>
      <c r="EF463" s="150"/>
      <c r="EG463" s="150"/>
      <c r="EH463" s="150"/>
      <c r="EI463" s="150"/>
      <c r="EJ463" s="150"/>
      <c r="EK463" s="150"/>
      <c r="EL463" s="150"/>
      <c r="EM463" s="150"/>
      <c r="EN463" s="150"/>
      <c r="EO463" s="150"/>
      <c r="EP463" s="150"/>
      <c r="EQ463" s="150"/>
      <c r="ER463" s="150"/>
      <c r="ES463" s="150"/>
      <c r="ET463" s="150"/>
      <c r="EU463" s="150"/>
      <c r="EV463" s="150"/>
      <c r="EW463" s="150"/>
      <c r="EX463" s="150"/>
      <c r="EY463" s="150"/>
      <c r="EZ463" s="150"/>
      <c r="FA463" s="150"/>
      <c r="FB463" s="150"/>
      <c r="FC463" s="150"/>
      <c r="FD463" s="150"/>
      <c r="FE463" s="150"/>
      <c r="FF463" s="150"/>
      <c r="FG463" s="150"/>
      <c r="FH463" s="150"/>
      <c r="FI463" s="150"/>
      <c r="FJ463" s="150"/>
      <c r="FK463" s="150"/>
      <c r="FL463" s="150"/>
      <c r="FM463" s="150"/>
      <c r="FN463" s="150"/>
    </row>
    <row r="464" spans="1:170" s="149" customFormat="1" x14ac:dyDescent="0.25">
      <c r="A464" s="142"/>
      <c r="B464" s="142"/>
      <c r="C464" s="142"/>
      <c r="D464" s="144"/>
      <c r="E464" s="143"/>
      <c r="F464" s="143"/>
      <c r="G464" s="144"/>
      <c r="H464" s="143"/>
      <c r="I464" s="143"/>
      <c r="J464" s="319"/>
      <c r="K464" s="319"/>
      <c r="L464" s="315"/>
      <c r="M464" s="315"/>
      <c r="N464" s="145"/>
      <c r="O464" s="145"/>
      <c r="P464" s="145"/>
      <c r="Q464" s="146"/>
      <c r="R464" s="147"/>
      <c r="S464" s="148"/>
      <c r="T464" s="148"/>
      <c r="U464" s="148"/>
      <c r="V464" s="148"/>
      <c r="W464" s="148"/>
      <c r="X464" s="148"/>
      <c r="Y464" s="148"/>
      <c r="Z464" s="148"/>
      <c r="AA464" s="148"/>
      <c r="AB464" s="148"/>
      <c r="AV464" s="150"/>
      <c r="AW464" s="150"/>
      <c r="AX464" s="150"/>
      <c r="AY464" s="150"/>
      <c r="AZ464" s="150"/>
      <c r="BA464" s="150"/>
      <c r="BB464" s="150"/>
      <c r="BC464" s="150"/>
      <c r="BD464" s="150"/>
      <c r="BE464" s="150"/>
      <c r="BF464" s="150"/>
      <c r="BG464" s="150"/>
      <c r="BH464" s="150"/>
      <c r="BI464" s="150"/>
      <c r="BJ464" s="150"/>
      <c r="BK464" s="150"/>
      <c r="BL464" s="150"/>
      <c r="BM464" s="150"/>
      <c r="BN464" s="150"/>
      <c r="BO464" s="150"/>
      <c r="BP464" s="150"/>
      <c r="BQ464" s="150"/>
      <c r="BR464" s="150"/>
      <c r="BS464" s="150"/>
      <c r="BT464" s="150"/>
      <c r="BU464" s="150"/>
      <c r="BV464" s="150"/>
      <c r="BW464" s="150"/>
      <c r="BX464" s="150"/>
      <c r="BY464" s="150"/>
      <c r="BZ464" s="150"/>
      <c r="CA464" s="150"/>
      <c r="CB464" s="150"/>
      <c r="CC464" s="150"/>
      <c r="CD464" s="150"/>
      <c r="CE464" s="150"/>
      <c r="CF464" s="150"/>
      <c r="CG464" s="150"/>
      <c r="CH464" s="150"/>
      <c r="CI464" s="150"/>
      <c r="CJ464" s="150"/>
      <c r="CK464" s="150"/>
      <c r="CL464" s="150"/>
      <c r="CM464" s="150"/>
      <c r="CN464" s="150"/>
      <c r="CO464" s="150"/>
      <c r="CP464" s="150"/>
      <c r="CQ464" s="150"/>
      <c r="CR464" s="150"/>
      <c r="CS464" s="150"/>
      <c r="CT464" s="150"/>
      <c r="CU464" s="150"/>
      <c r="CV464" s="150"/>
      <c r="CW464" s="150"/>
      <c r="CX464" s="150"/>
      <c r="CY464" s="150"/>
      <c r="CZ464" s="150"/>
      <c r="DA464" s="150"/>
      <c r="DB464" s="150"/>
      <c r="DC464" s="150"/>
      <c r="DD464" s="150"/>
      <c r="DE464" s="150"/>
      <c r="DF464" s="150"/>
      <c r="DG464" s="150"/>
      <c r="DH464" s="150"/>
      <c r="DI464" s="150"/>
      <c r="DJ464" s="150"/>
      <c r="DK464" s="150"/>
      <c r="DL464" s="150"/>
      <c r="DM464" s="150"/>
      <c r="DN464" s="150"/>
      <c r="DO464" s="150"/>
      <c r="DP464" s="150"/>
      <c r="DQ464" s="150"/>
      <c r="DR464" s="150"/>
      <c r="DS464" s="150"/>
      <c r="DT464" s="150"/>
      <c r="DU464" s="150"/>
      <c r="DV464" s="150"/>
      <c r="DW464" s="150"/>
      <c r="DX464" s="150"/>
      <c r="DY464" s="150"/>
      <c r="DZ464" s="150"/>
      <c r="EA464" s="150"/>
      <c r="EB464" s="150"/>
      <c r="EC464" s="150"/>
      <c r="ED464" s="150"/>
      <c r="EE464" s="150"/>
      <c r="EF464" s="150"/>
      <c r="EG464" s="150"/>
      <c r="EH464" s="150"/>
      <c r="EI464" s="150"/>
      <c r="EJ464" s="150"/>
      <c r="EK464" s="150"/>
      <c r="EL464" s="150"/>
      <c r="EM464" s="150"/>
      <c r="EN464" s="150"/>
      <c r="EO464" s="150"/>
      <c r="EP464" s="150"/>
      <c r="EQ464" s="150"/>
      <c r="ER464" s="150"/>
      <c r="ES464" s="150"/>
      <c r="ET464" s="150"/>
      <c r="EU464" s="150"/>
      <c r="EV464" s="150"/>
      <c r="EW464" s="150"/>
      <c r="EX464" s="150"/>
      <c r="EY464" s="150"/>
      <c r="EZ464" s="150"/>
      <c r="FA464" s="150"/>
      <c r="FB464" s="150"/>
      <c r="FC464" s="150"/>
      <c r="FD464" s="150"/>
      <c r="FE464" s="150"/>
      <c r="FF464" s="150"/>
      <c r="FG464" s="150"/>
      <c r="FH464" s="150"/>
      <c r="FI464" s="150"/>
      <c r="FJ464" s="150"/>
      <c r="FK464" s="150"/>
      <c r="FL464" s="150"/>
      <c r="FM464" s="150"/>
      <c r="FN464" s="150"/>
    </row>
    <row r="465" spans="1:170" s="149" customFormat="1" x14ac:dyDescent="0.25">
      <c r="A465" s="142"/>
      <c r="B465" s="142"/>
      <c r="C465" s="142"/>
      <c r="D465" s="144"/>
      <c r="E465" s="143"/>
      <c r="F465" s="143"/>
      <c r="G465" s="144"/>
      <c r="H465" s="143"/>
      <c r="I465" s="143"/>
      <c r="J465" s="319"/>
      <c r="K465" s="319"/>
      <c r="L465" s="315"/>
      <c r="M465" s="315"/>
      <c r="N465" s="145"/>
      <c r="O465" s="145"/>
      <c r="P465" s="145"/>
      <c r="Q465" s="146"/>
      <c r="R465" s="147"/>
      <c r="S465" s="148"/>
      <c r="T465" s="148"/>
      <c r="U465" s="148"/>
      <c r="V465" s="148"/>
      <c r="W465" s="148"/>
      <c r="X465" s="148"/>
      <c r="Y465" s="148"/>
      <c r="Z465" s="148"/>
      <c r="AA465" s="148"/>
      <c r="AB465" s="148"/>
      <c r="AV465" s="150"/>
      <c r="AW465" s="150"/>
      <c r="AX465" s="150"/>
      <c r="AY465" s="150"/>
      <c r="AZ465" s="150"/>
      <c r="BA465" s="150"/>
      <c r="BB465" s="150"/>
      <c r="BC465" s="150"/>
      <c r="BD465" s="150"/>
      <c r="BE465" s="150"/>
      <c r="BF465" s="150"/>
      <c r="BG465" s="150"/>
      <c r="BH465" s="150"/>
      <c r="BI465" s="150"/>
      <c r="BJ465" s="150"/>
      <c r="BK465" s="150"/>
      <c r="BL465" s="150"/>
      <c r="BM465" s="150"/>
      <c r="BN465" s="150"/>
      <c r="BO465" s="150"/>
      <c r="BP465" s="150"/>
      <c r="BQ465" s="150"/>
      <c r="BR465" s="150"/>
      <c r="BS465" s="150"/>
      <c r="BT465" s="150"/>
      <c r="BU465" s="150"/>
      <c r="BV465" s="150"/>
      <c r="BW465" s="150"/>
      <c r="BX465" s="150"/>
      <c r="BY465" s="150"/>
      <c r="BZ465" s="150"/>
      <c r="CA465" s="150"/>
      <c r="CB465" s="150"/>
      <c r="CC465" s="150"/>
      <c r="CD465" s="150"/>
      <c r="CE465" s="150"/>
      <c r="CF465" s="150"/>
      <c r="CG465" s="150"/>
      <c r="CH465" s="150"/>
      <c r="CI465" s="150"/>
      <c r="CJ465" s="150"/>
      <c r="CK465" s="150"/>
      <c r="CL465" s="150"/>
      <c r="CM465" s="150"/>
      <c r="CN465" s="150"/>
      <c r="CO465" s="150"/>
      <c r="CP465" s="150"/>
      <c r="CQ465" s="150"/>
      <c r="CR465" s="150"/>
      <c r="CS465" s="150"/>
      <c r="CT465" s="150"/>
      <c r="CU465" s="150"/>
      <c r="CV465" s="150"/>
      <c r="CW465" s="150"/>
      <c r="CX465" s="150"/>
      <c r="CY465" s="150"/>
      <c r="CZ465" s="150"/>
      <c r="DA465" s="150"/>
      <c r="DB465" s="150"/>
      <c r="DC465" s="150"/>
      <c r="DD465" s="150"/>
      <c r="DE465" s="150"/>
      <c r="DF465" s="150"/>
      <c r="DG465" s="150"/>
      <c r="DH465" s="150"/>
      <c r="DI465" s="150"/>
      <c r="DJ465" s="150"/>
      <c r="DK465" s="150"/>
      <c r="DL465" s="150"/>
      <c r="DM465" s="150"/>
      <c r="DN465" s="150"/>
      <c r="DO465" s="150"/>
      <c r="DP465" s="150"/>
      <c r="DQ465" s="150"/>
      <c r="DR465" s="150"/>
      <c r="DS465" s="150"/>
      <c r="DT465" s="150"/>
      <c r="DU465" s="150"/>
      <c r="DV465" s="150"/>
      <c r="DW465" s="150"/>
      <c r="DX465" s="150"/>
      <c r="DY465" s="150"/>
      <c r="DZ465" s="150"/>
      <c r="EA465" s="150"/>
      <c r="EB465" s="150"/>
      <c r="EC465" s="150"/>
      <c r="ED465" s="150"/>
      <c r="EE465" s="150"/>
      <c r="EF465" s="150"/>
      <c r="EG465" s="150"/>
      <c r="EH465" s="150"/>
      <c r="EI465" s="150"/>
      <c r="EJ465" s="150"/>
      <c r="EK465" s="150"/>
      <c r="EL465" s="150"/>
      <c r="EM465" s="150"/>
      <c r="EN465" s="150"/>
      <c r="EO465" s="150"/>
      <c r="EP465" s="150"/>
      <c r="EQ465" s="150"/>
      <c r="ER465" s="150"/>
      <c r="ES465" s="150"/>
      <c r="ET465" s="150"/>
      <c r="EU465" s="150"/>
      <c r="EV465" s="150"/>
      <c r="EW465" s="150"/>
      <c r="EX465" s="150"/>
      <c r="EY465" s="150"/>
      <c r="EZ465" s="150"/>
      <c r="FA465" s="150"/>
      <c r="FB465" s="150"/>
      <c r="FC465" s="150"/>
      <c r="FD465" s="150"/>
      <c r="FE465" s="150"/>
      <c r="FF465" s="150"/>
      <c r="FG465" s="150"/>
      <c r="FH465" s="150"/>
      <c r="FI465" s="150"/>
      <c r="FJ465" s="150"/>
      <c r="FK465" s="150"/>
      <c r="FL465" s="150"/>
      <c r="FM465" s="150"/>
      <c r="FN465" s="150"/>
    </row>
    <row r="466" spans="1:170" s="149" customFormat="1" x14ac:dyDescent="0.25">
      <c r="A466" s="142"/>
      <c r="B466" s="142"/>
      <c r="C466" s="142"/>
      <c r="D466" s="144"/>
      <c r="E466" s="143"/>
      <c r="F466" s="143"/>
      <c r="G466" s="144"/>
      <c r="H466" s="143"/>
      <c r="I466" s="143"/>
      <c r="J466" s="319"/>
      <c r="K466" s="319"/>
      <c r="L466" s="315"/>
      <c r="M466" s="315"/>
      <c r="N466" s="145"/>
      <c r="O466" s="145"/>
      <c r="P466" s="145"/>
      <c r="Q466" s="146"/>
      <c r="R466" s="147"/>
      <c r="S466" s="148"/>
      <c r="T466" s="148"/>
      <c r="U466" s="148"/>
      <c r="V466" s="148"/>
      <c r="W466" s="148"/>
      <c r="X466" s="148"/>
      <c r="Y466" s="148"/>
      <c r="Z466" s="148"/>
      <c r="AA466" s="148"/>
      <c r="AB466" s="148"/>
      <c r="AV466" s="150"/>
      <c r="AW466" s="150"/>
      <c r="AX466" s="150"/>
      <c r="AY466" s="150"/>
      <c r="AZ466" s="150"/>
      <c r="BA466" s="150"/>
      <c r="BB466" s="150"/>
      <c r="BC466" s="150"/>
      <c r="BD466" s="150"/>
      <c r="BE466" s="150"/>
      <c r="BF466" s="150"/>
      <c r="BG466" s="150"/>
      <c r="BH466" s="150"/>
      <c r="BI466" s="150"/>
      <c r="BJ466" s="150"/>
      <c r="BK466" s="150"/>
      <c r="BL466" s="150"/>
      <c r="BM466" s="150"/>
      <c r="BN466" s="150"/>
      <c r="BO466" s="150"/>
      <c r="BP466" s="150"/>
      <c r="BQ466" s="150"/>
      <c r="BR466" s="150"/>
      <c r="BS466" s="150"/>
      <c r="BT466" s="150"/>
      <c r="BU466" s="150"/>
      <c r="BV466" s="150"/>
      <c r="BW466" s="150"/>
      <c r="BX466" s="150"/>
      <c r="BY466" s="150"/>
      <c r="BZ466" s="150"/>
      <c r="CA466" s="150"/>
      <c r="CB466" s="150"/>
      <c r="CC466" s="150"/>
      <c r="CD466" s="150"/>
      <c r="CE466" s="150"/>
      <c r="CF466" s="150"/>
      <c r="CG466" s="150"/>
      <c r="CH466" s="150"/>
      <c r="CI466" s="150"/>
      <c r="CJ466" s="150"/>
      <c r="CK466" s="150"/>
      <c r="CL466" s="150"/>
      <c r="CM466" s="150"/>
      <c r="CN466" s="150"/>
      <c r="CO466" s="150"/>
      <c r="CP466" s="150"/>
      <c r="CQ466" s="150"/>
      <c r="CR466" s="150"/>
      <c r="CS466" s="150"/>
      <c r="CT466" s="150"/>
      <c r="CU466" s="150"/>
      <c r="CV466" s="150"/>
      <c r="CW466" s="150"/>
      <c r="CX466" s="150"/>
      <c r="CY466" s="150"/>
      <c r="CZ466" s="150"/>
      <c r="DA466" s="150"/>
      <c r="DB466" s="150"/>
      <c r="DC466" s="150"/>
      <c r="DD466" s="150"/>
      <c r="DE466" s="150"/>
      <c r="DF466" s="150"/>
      <c r="DG466" s="150"/>
      <c r="DH466" s="150"/>
      <c r="DI466" s="150"/>
      <c r="DJ466" s="150"/>
      <c r="DK466" s="150"/>
      <c r="DL466" s="150"/>
      <c r="DM466" s="150"/>
      <c r="DN466" s="150"/>
      <c r="DO466" s="150"/>
      <c r="DP466" s="150"/>
      <c r="DQ466" s="150"/>
      <c r="DR466" s="150"/>
      <c r="DS466" s="150"/>
      <c r="DT466" s="150"/>
      <c r="DU466" s="150"/>
      <c r="DV466" s="150"/>
      <c r="DW466" s="150"/>
      <c r="DX466" s="150"/>
      <c r="DY466" s="150"/>
      <c r="DZ466" s="150"/>
      <c r="EA466" s="150"/>
      <c r="EB466" s="150"/>
      <c r="EC466" s="150"/>
      <c r="ED466" s="150"/>
      <c r="EE466" s="150"/>
      <c r="EF466" s="150"/>
      <c r="EG466" s="150"/>
      <c r="EH466" s="150"/>
      <c r="EI466" s="150"/>
      <c r="EJ466" s="150"/>
      <c r="EK466" s="150"/>
      <c r="EL466" s="150"/>
      <c r="EM466" s="150"/>
      <c r="EN466" s="150"/>
      <c r="EO466" s="150"/>
      <c r="EP466" s="150"/>
      <c r="EQ466" s="150"/>
      <c r="ER466" s="150"/>
      <c r="ES466" s="150"/>
      <c r="ET466" s="150"/>
      <c r="EU466" s="150"/>
      <c r="EV466" s="150"/>
      <c r="EW466" s="150"/>
      <c r="EX466" s="150"/>
      <c r="EY466" s="150"/>
      <c r="EZ466" s="150"/>
      <c r="FA466" s="150"/>
      <c r="FB466" s="150"/>
      <c r="FC466" s="150"/>
      <c r="FD466" s="150"/>
      <c r="FE466" s="150"/>
      <c r="FF466" s="150"/>
      <c r="FG466" s="150"/>
      <c r="FH466" s="150"/>
      <c r="FI466" s="150"/>
      <c r="FJ466" s="150"/>
      <c r="FK466" s="150"/>
      <c r="FL466" s="150"/>
      <c r="FM466" s="150"/>
      <c r="FN466" s="150"/>
    </row>
    <row r="467" spans="1:170" s="149" customFormat="1" x14ac:dyDescent="0.25">
      <c r="A467" s="142"/>
      <c r="B467" s="142"/>
      <c r="C467" s="142"/>
      <c r="D467" s="144"/>
      <c r="E467" s="143"/>
      <c r="F467" s="143"/>
      <c r="G467" s="144"/>
      <c r="H467" s="143"/>
      <c r="I467" s="143"/>
      <c r="J467" s="319"/>
      <c r="K467" s="319"/>
      <c r="L467" s="315"/>
      <c r="M467" s="315"/>
      <c r="N467" s="145"/>
      <c r="O467" s="145"/>
      <c r="P467" s="145"/>
      <c r="Q467" s="146"/>
      <c r="R467" s="147"/>
      <c r="S467" s="148"/>
      <c r="T467" s="148"/>
      <c r="U467" s="148"/>
      <c r="V467" s="148"/>
      <c r="W467" s="148"/>
      <c r="X467" s="148"/>
      <c r="Y467" s="148"/>
      <c r="Z467" s="148"/>
      <c r="AA467" s="148"/>
      <c r="AB467" s="148"/>
      <c r="AV467" s="150"/>
      <c r="AW467" s="150"/>
      <c r="AX467" s="150"/>
      <c r="AY467" s="150"/>
      <c r="AZ467" s="150"/>
      <c r="BA467" s="150"/>
      <c r="BB467" s="150"/>
      <c r="BC467" s="150"/>
      <c r="BD467" s="150"/>
      <c r="BE467" s="150"/>
      <c r="BF467" s="150"/>
      <c r="BG467" s="150"/>
      <c r="BH467" s="150"/>
      <c r="BI467" s="150"/>
      <c r="BJ467" s="150"/>
      <c r="BK467" s="150"/>
      <c r="BL467" s="150"/>
      <c r="BM467" s="150"/>
      <c r="BN467" s="150"/>
      <c r="BO467" s="150"/>
      <c r="BP467" s="150"/>
      <c r="BQ467" s="150"/>
      <c r="BR467" s="150"/>
      <c r="BS467" s="150"/>
      <c r="BT467" s="150"/>
      <c r="BU467" s="150"/>
      <c r="BV467" s="150"/>
      <c r="BW467" s="150"/>
      <c r="BX467" s="150"/>
      <c r="BY467" s="150"/>
      <c r="BZ467" s="150"/>
      <c r="CA467" s="150"/>
      <c r="CB467" s="150"/>
      <c r="CC467" s="150"/>
      <c r="CD467" s="150"/>
      <c r="CE467" s="150"/>
      <c r="CF467" s="150"/>
      <c r="CG467" s="150"/>
      <c r="CH467" s="150"/>
      <c r="CI467" s="150"/>
      <c r="CJ467" s="150"/>
      <c r="CK467" s="150"/>
      <c r="CL467" s="150"/>
      <c r="CM467" s="150"/>
      <c r="CN467" s="150"/>
      <c r="CO467" s="150"/>
      <c r="CP467" s="150"/>
      <c r="CQ467" s="150"/>
      <c r="CR467" s="150"/>
      <c r="CS467" s="150"/>
      <c r="CT467" s="150"/>
      <c r="CU467" s="150"/>
      <c r="CV467" s="150"/>
      <c r="CW467" s="150"/>
      <c r="CX467" s="150"/>
      <c r="CY467" s="150"/>
      <c r="CZ467" s="150"/>
      <c r="DA467" s="150"/>
      <c r="DB467" s="150"/>
      <c r="DC467" s="150"/>
      <c r="DD467" s="150"/>
      <c r="DE467" s="150"/>
      <c r="DF467" s="150"/>
      <c r="DG467" s="150"/>
      <c r="DH467" s="150"/>
      <c r="DI467" s="150"/>
      <c r="DJ467" s="150"/>
      <c r="DK467" s="150"/>
      <c r="DL467" s="150"/>
      <c r="DM467" s="150"/>
      <c r="DN467" s="150"/>
      <c r="DO467" s="150"/>
      <c r="DP467" s="150"/>
      <c r="DQ467" s="150"/>
      <c r="DR467" s="150"/>
      <c r="DS467" s="150"/>
      <c r="DT467" s="150"/>
      <c r="DU467" s="150"/>
      <c r="DV467" s="150"/>
      <c r="DW467" s="150"/>
      <c r="DX467" s="150"/>
      <c r="DY467" s="150"/>
      <c r="DZ467" s="150"/>
      <c r="EA467" s="150"/>
      <c r="EB467" s="150"/>
      <c r="EC467" s="150"/>
      <c r="ED467" s="150"/>
      <c r="EE467" s="150"/>
      <c r="EF467" s="150"/>
      <c r="EG467" s="150"/>
      <c r="EH467" s="150"/>
      <c r="EI467" s="150"/>
      <c r="EJ467" s="150"/>
      <c r="EK467" s="150"/>
      <c r="EL467" s="150"/>
      <c r="EM467" s="150"/>
      <c r="EN467" s="150"/>
      <c r="EO467" s="150"/>
      <c r="EP467" s="150"/>
      <c r="EQ467" s="150"/>
      <c r="ER467" s="150"/>
      <c r="ES467" s="150"/>
      <c r="ET467" s="150"/>
      <c r="EU467" s="150"/>
      <c r="EV467" s="150"/>
      <c r="EW467" s="150"/>
      <c r="EX467" s="150"/>
      <c r="EY467" s="150"/>
      <c r="EZ467" s="150"/>
      <c r="FA467" s="150"/>
      <c r="FB467" s="150"/>
      <c r="FC467" s="150"/>
      <c r="FD467" s="150"/>
      <c r="FE467" s="150"/>
      <c r="FF467" s="150"/>
      <c r="FG467" s="150"/>
      <c r="FH467" s="150"/>
      <c r="FI467" s="150"/>
      <c r="FJ467" s="150"/>
      <c r="FK467" s="150"/>
      <c r="FL467" s="150"/>
      <c r="FM467" s="150"/>
      <c r="FN467" s="150"/>
    </row>
    <row r="468" spans="1:170" s="149" customFormat="1" x14ac:dyDescent="0.25">
      <c r="A468" s="142"/>
      <c r="B468" s="142"/>
      <c r="C468" s="142"/>
      <c r="D468" s="144"/>
      <c r="E468" s="143"/>
      <c r="F468" s="143"/>
      <c r="G468" s="144"/>
      <c r="H468" s="143"/>
      <c r="I468" s="143"/>
      <c r="J468" s="319"/>
      <c r="K468" s="319"/>
      <c r="L468" s="315"/>
      <c r="M468" s="315"/>
      <c r="N468" s="145"/>
      <c r="O468" s="145"/>
      <c r="P468" s="145"/>
      <c r="Q468" s="146"/>
      <c r="R468" s="147"/>
      <c r="S468" s="148"/>
      <c r="T468" s="148"/>
      <c r="U468" s="148"/>
      <c r="V468" s="148"/>
      <c r="W468" s="148"/>
      <c r="X468" s="148"/>
      <c r="Y468" s="148"/>
      <c r="Z468" s="148"/>
      <c r="AA468" s="148"/>
      <c r="AB468" s="148"/>
      <c r="AV468" s="150"/>
      <c r="AW468" s="150"/>
      <c r="AX468" s="150"/>
      <c r="AY468" s="150"/>
      <c r="AZ468" s="150"/>
      <c r="BA468" s="150"/>
      <c r="BB468" s="150"/>
      <c r="BC468" s="150"/>
      <c r="BD468" s="150"/>
      <c r="BE468" s="150"/>
      <c r="BF468" s="150"/>
      <c r="BG468" s="150"/>
      <c r="BH468" s="150"/>
      <c r="BI468" s="150"/>
      <c r="BJ468" s="150"/>
      <c r="BK468" s="150"/>
      <c r="BL468" s="150"/>
      <c r="BM468" s="150"/>
      <c r="BN468" s="150"/>
      <c r="BO468" s="150"/>
      <c r="BP468" s="150"/>
      <c r="BQ468" s="150"/>
      <c r="BR468" s="150"/>
      <c r="BS468" s="150"/>
      <c r="BT468" s="150"/>
      <c r="BU468" s="150"/>
      <c r="BV468" s="150"/>
      <c r="BW468" s="150"/>
      <c r="BX468" s="150"/>
      <c r="BY468" s="150"/>
      <c r="BZ468" s="150"/>
      <c r="CA468" s="150"/>
      <c r="CB468" s="150"/>
      <c r="CC468" s="150"/>
      <c r="CD468" s="150"/>
      <c r="CE468" s="150"/>
      <c r="CF468" s="150"/>
      <c r="CG468" s="150"/>
      <c r="CH468" s="150"/>
      <c r="CI468" s="150"/>
      <c r="CJ468" s="150"/>
      <c r="CK468" s="150"/>
      <c r="CL468" s="150"/>
      <c r="CM468" s="150"/>
      <c r="CN468" s="150"/>
      <c r="CO468" s="150"/>
      <c r="CP468" s="150"/>
      <c r="CQ468" s="150"/>
      <c r="CR468" s="150"/>
      <c r="CS468" s="150"/>
      <c r="CT468" s="150"/>
      <c r="CU468" s="150"/>
      <c r="CV468" s="150"/>
      <c r="CW468" s="150"/>
      <c r="CX468" s="150"/>
      <c r="CY468" s="150"/>
      <c r="CZ468" s="150"/>
      <c r="DA468" s="150"/>
      <c r="DB468" s="150"/>
      <c r="DC468" s="150"/>
      <c r="DD468" s="150"/>
      <c r="DE468" s="150"/>
      <c r="DF468" s="150"/>
      <c r="DG468" s="150"/>
      <c r="DH468" s="150"/>
      <c r="DI468" s="150"/>
      <c r="DJ468" s="150"/>
      <c r="DK468" s="150"/>
      <c r="DL468" s="150"/>
      <c r="DM468" s="150"/>
      <c r="DN468" s="150"/>
      <c r="DO468" s="150"/>
      <c r="DP468" s="150"/>
      <c r="DQ468" s="150"/>
      <c r="DR468" s="150"/>
      <c r="DS468" s="150"/>
      <c r="DT468" s="150"/>
      <c r="DU468" s="150"/>
      <c r="DV468" s="150"/>
      <c r="DW468" s="150"/>
      <c r="DX468" s="150"/>
      <c r="DY468" s="150"/>
      <c r="DZ468" s="150"/>
      <c r="EA468" s="150"/>
      <c r="EB468" s="150"/>
      <c r="EC468" s="150"/>
      <c r="ED468" s="150"/>
      <c r="EE468" s="150"/>
      <c r="EF468" s="150"/>
      <c r="EG468" s="150"/>
      <c r="EH468" s="150"/>
      <c r="EI468" s="150"/>
      <c r="EJ468" s="150"/>
      <c r="EK468" s="150"/>
      <c r="EL468" s="150"/>
      <c r="EM468" s="150"/>
      <c r="EN468" s="150"/>
      <c r="EO468" s="150"/>
      <c r="EP468" s="150"/>
      <c r="EQ468" s="150"/>
      <c r="ER468" s="150"/>
      <c r="ES468" s="150"/>
      <c r="ET468" s="150"/>
      <c r="EU468" s="150"/>
      <c r="EV468" s="150"/>
      <c r="EW468" s="150"/>
      <c r="EX468" s="150"/>
      <c r="EY468" s="150"/>
      <c r="EZ468" s="150"/>
      <c r="FA468" s="150"/>
      <c r="FB468" s="150"/>
      <c r="FC468" s="150"/>
      <c r="FD468" s="150"/>
      <c r="FE468" s="150"/>
      <c r="FF468" s="150"/>
      <c r="FG468" s="150"/>
      <c r="FH468" s="150"/>
      <c r="FI468" s="150"/>
      <c r="FJ468" s="150"/>
      <c r="FK468" s="150"/>
      <c r="FL468" s="150"/>
      <c r="FM468" s="150"/>
      <c r="FN468" s="150"/>
    </row>
    <row r="469" spans="1:170" s="149" customFormat="1" x14ac:dyDescent="0.25">
      <c r="A469" s="142"/>
      <c r="B469" s="142"/>
      <c r="C469" s="142"/>
      <c r="D469" s="144"/>
      <c r="E469" s="143"/>
      <c r="F469" s="143"/>
      <c r="G469" s="144"/>
      <c r="H469" s="143"/>
      <c r="I469" s="143"/>
      <c r="J469" s="319"/>
      <c r="K469" s="319"/>
      <c r="L469" s="315"/>
      <c r="M469" s="315"/>
      <c r="N469" s="145"/>
      <c r="O469" s="145"/>
      <c r="P469" s="145"/>
      <c r="Q469" s="146"/>
      <c r="R469" s="147"/>
      <c r="S469" s="148"/>
      <c r="T469" s="148"/>
      <c r="U469" s="148"/>
      <c r="V469" s="148"/>
      <c r="W469" s="148"/>
      <c r="X469" s="148"/>
      <c r="Y469" s="148"/>
      <c r="Z469" s="148"/>
      <c r="AA469" s="148"/>
      <c r="AB469" s="148"/>
      <c r="AV469" s="150"/>
      <c r="AW469" s="150"/>
      <c r="AX469" s="150"/>
      <c r="AY469" s="150"/>
      <c r="AZ469" s="150"/>
      <c r="BA469" s="150"/>
      <c r="BB469" s="150"/>
      <c r="BC469" s="150"/>
      <c r="BD469" s="150"/>
      <c r="BE469" s="150"/>
      <c r="BF469" s="150"/>
      <c r="BG469" s="150"/>
      <c r="BH469" s="150"/>
      <c r="BI469" s="150"/>
      <c r="BJ469" s="150"/>
      <c r="BK469" s="150"/>
      <c r="BL469" s="150"/>
      <c r="BM469" s="150"/>
      <c r="BN469" s="150"/>
      <c r="BO469" s="150"/>
      <c r="BP469" s="150"/>
      <c r="BQ469" s="150"/>
      <c r="BR469" s="150"/>
      <c r="BS469" s="150"/>
      <c r="BT469" s="150"/>
      <c r="BU469" s="150"/>
      <c r="BV469" s="150"/>
      <c r="BW469" s="150"/>
      <c r="BX469" s="150"/>
      <c r="BY469" s="150"/>
      <c r="BZ469" s="150"/>
      <c r="CA469" s="150"/>
      <c r="CB469" s="150"/>
      <c r="CC469" s="150"/>
      <c r="CD469" s="150"/>
      <c r="CE469" s="150"/>
      <c r="CF469" s="150"/>
      <c r="CG469" s="150"/>
      <c r="CH469" s="150"/>
      <c r="CI469" s="150"/>
      <c r="CJ469" s="150"/>
      <c r="CK469" s="150"/>
      <c r="CL469" s="150"/>
      <c r="CM469" s="150"/>
      <c r="CN469" s="150"/>
      <c r="CO469" s="150"/>
      <c r="CP469" s="150"/>
      <c r="CQ469" s="150"/>
      <c r="CR469" s="150"/>
      <c r="CS469" s="150"/>
      <c r="CT469" s="150"/>
      <c r="CU469" s="150"/>
      <c r="CV469" s="150"/>
      <c r="CW469" s="150"/>
      <c r="CX469" s="150"/>
      <c r="CY469" s="150"/>
      <c r="CZ469" s="150"/>
      <c r="DA469" s="150"/>
      <c r="DB469" s="150"/>
      <c r="DC469" s="150"/>
      <c r="DD469" s="150"/>
      <c r="DE469" s="150"/>
      <c r="DF469" s="150"/>
      <c r="DG469" s="150"/>
      <c r="DH469" s="150"/>
      <c r="DI469" s="150"/>
      <c r="DJ469" s="150"/>
      <c r="DK469" s="150"/>
      <c r="DL469" s="150"/>
      <c r="DM469" s="150"/>
      <c r="DN469" s="150"/>
      <c r="DO469" s="150"/>
      <c r="DP469" s="150"/>
      <c r="DQ469" s="150"/>
      <c r="DR469" s="150"/>
      <c r="DS469" s="150"/>
      <c r="DT469" s="150"/>
      <c r="DU469" s="150"/>
      <c r="DV469" s="150"/>
      <c r="DW469" s="150"/>
      <c r="DX469" s="150"/>
      <c r="DY469" s="150"/>
      <c r="DZ469" s="150"/>
      <c r="EA469" s="150"/>
      <c r="EB469" s="150"/>
      <c r="EC469" s="150"/>
      <c r="ED469" s="150"/>
      <c r="EE469" s="150"/>
      <c r="EF469" s="150"/>
      <c r="EG469" s="150"/>
      <c r="EH469" s="150"/>
      <c r="EI469" s="150"/>
      <c r="EJ469" s="150"/>
      <c r="EK469" s="150"/>
      <c r="EL469" s="150"/>
      <c r="EM469" s="150"/>
      <c r="EN469" s="150"/>
      <c r="EO469" s="150"/>
      <c r="EP469" s="150"/>
      <c r="EQ469" s="150"/>
      <c r="ER469" s="150"/>
      <c r="ES469" s="150"/>
      <c r="ET469" s="150"/>
      <c r="EU469" s="150"/>
      <c r="EV469" s="150"/>
      <c r="EW469" s="150"/>
      <c r="EX469" s="150"/>
      <c r="EY469" s="150"/>
      <c r="EZ469" s="150"/>
      <c r="FA469" s="150"/>
      <c r="FB469" s="150"/>
      <c r="FC469" s="150"/>
      <c r="FD469" s="150"/>
      <c r="FE469" s="150"/>
      <c r="FF469" s="150"/>
      <c r="FG469" s="150"/>
      <c r="FH469" s="150"/>
      <c r="FI469" s="150"/>
      <c r="FJ469" s="150"/>
      <c r="FK469" s="150"/>
      <c r="FL469" s="150"/>
      <c r="FM469" s="150"/>
      <c r="FN469" s="150"/>
    </row>
    <row r="470" spans="1:170" s="149" customFormat="1" x14ac:dyDescent="0.25">
      <c r="A470" s="142"/>
      <c r="B470" s="142"/>
      <c r="C470" s="142"/>
      <c r="D470" s="144"/>
      <c r="E470" s="143"/>
      <c r="F470" s="143"/>
      <c r="G470" s="144"/>
      <c r="H470" s="143"/>
      <c r="I470" s="143"/>
      <c r="J470" s="319"/>
      <c r="K470" s="319"/>
      <c r="L470" s="315"/>
      <c r="M470" s="315"/>
      <c r="N470" s="145"/>
      <c r="O470" s="145"/>
      <c r="P470" s="145"/>
      <c r="Q470" s="146"/>
      <c r="R470" s="147"/>
      <c r="S470" s="148"/>
      <c r="T470" s="148"/>
      <c r="U470" s="148"/>
      <c r="V470" s="148"/>
      <c r="W470" s="148"/>
      <c r="X470" s="148"/>
      <c r="Y470" s="148"/>
      <c r="Z470" s="148"/>
      <c r="AA470" s="148"/>
      <c r="AB470" s="148"/>
      <c r="AV470" s="150"/>
      <c r="AW470" s="150"/>
      <c r="AX470" s="150"/>
      <c r="AY470" s="150"/>
      <c r="AZ470" s="150"/>
      <c r="BA470" s="150"/>
      <c r="BB470" s="150"/>
      <c r="BC470" s="150"/>
      <c r="BD470" s="150"/>
      <c r="BE470" s="150"/>
      <c r="BF470" s="150"/>
      <c r="BG470" s="150"/>
      <c r="BH470" s="150"/>
      <c r="BI470" s="150"/>
      <c r="BJ470" s="150"/>
      <c r="BK470" s="150"/>
      <c r="BL470" s="150"/>
      <c r="BM470" s="150"/>
      <c r="BN470" s="150"/>
      <c r="BO470" s="150"/>
      <c r="BP470" s="150"/>
      <c r="BQ470" s="150"/>
      <c r="BR470" s="150"/>
      <c r="BS470" s="150"/>
      <c r="BT470" s="150"/>
      <c r="BU470" s="150"/>
      <c r="BV470" s="150"/>
      <c r="BW470" s="150"/>
      <c r="BX470" s="150"/>
      <c r="BY470" s="150"/>
      <c r="BZ470" s="150"/>
      <c r="CA470" s="150"/>
      <c r="CB470" s="150"/>
      <c r="CC470" s="150"/>
      <c r="CD470" s="150"/>
      <c r="CE470" s="150"/>
      <c r="CF470" s="150"/>
      <c r="CG470" s="150"/>
      <c r="CH470" s="150"/>
      <c r="CI470" s="150"/>
      <c r="CJ470" s="150"/>
      <c r="CK470" s="150"/>
      <c r="CL470" s="150"/>
      <c r="CM470" s="150"/>
      <c r="CN470" s="150"/>
      <c r="CO470" s="150"/>
      <c r="CP470" s="150"/>
      <c r="CQ470" s="150"/>
      <c r="CR470" s="150"/>
      <c r="CS470" s="150"/>
      <c r="CT470" s="150"/>
      <c r="CU470" s="150"/>
      <c r="CV470" s="150"/>
      <c r="CW470" s="150"/>
      <c r="CX470" s="150"/>
      <c r="CY470" s="150"/>
      <c r="CZ470" s="150"/>
      <c r="DA470" s="150"/>
      <c r="DB470" s="150"/>
      <c r="DC470" s="150"/>
      <c r="DD470" s="150"/>
      <c r="DE470" s="150"/>
      <c r="DF470" s="150"/>
      <c r="DG470" s="150"/>
      <c r="DH470" s="150"/>
      <c r="DI470" s="150"/>
      <c r="DJ470" s="150"/>
      <c r="DK470" s="150"/>
      <c r="DL470" s="150"/>
      <c r="DM470" s="150"/>
      <c r="DN470" s="150"/>
      <c r="DO470" s="150"/>
      <c r="DP470" s="150"/>
      <c r="DQ470" s="150"/>
      <c r="DR470" s="150"/>
      <c r="DS470" s="150"/>
      <c r="DT470" s="150"/>
      <c r="DU470" s="150"/>
      <c r="DV470" s="150"/>
      <c r="DW470" s="150"/>
      <c r="DX470" s="150"/>
      <c r="DY470" s="150"/>
      <c r="DZ470" s="150"/>
      <c r="EA470" s="150"/>
      <c r="EB470" s="150"/>
      <c r="EC470" s="150"/>
      <c r="ED470" s="150"/>
      <c r="EE470" s="150"/>
      <c r="EF470" s="150"/>
      <c r="EG470" s="150"/>
      <c r="EH470" s="150"/>
      <c r="EI470" s="150"/>
      <c r="EJ470" s="150"/>
      <c r="EK470" s="150"/>
      <c r="EL470" s="150"/>
      <c r="EM470" s="150"/>
      <c r="EN470" s="150"/>
      <c r="EO470" s="150"/>
      <c r="EP470" s="150"/>
      <c r="EQ470" s="150"/>
      <c r="ER470" s="150"/>
      <c r="ES470" s="150"/>
      <c r="ET470" s="150"/>
      <c r="EU470" s="150"/>
      <c r="EV470" s="150"/>
      <c r="EW470" s="150"/>
      <c r="EX470" s="150"/>
      <c r="EY470" s="150"/>
      <c r="EZ470" s="150"/>
      <c r="FA470" s="150"/>
      <c r="FB470" s="150"/>
      <c r="FC470" s="150"/>
      <c r="FD470" s="150"/>
      <c r="FE470" s="150"/>
      <c r="FF470" s="150"/>
      <c r="FG470" s="150"/>
      <c r="FH470" s="150"/>
      <c r="FI470" s="150"/>
      <c r="FJ470" s="150"/>
      <c r="FK470" s="150"/>
      <c r="FL470" s="150"/>
      <c r="FM470" s="150"/>
      <c r="FN470" s="150"/>
    </row>
    <row r="471" spans="1:170" s="149" customFormat="1" x14ac:dyDescent="0.25">
      <c r="A471" s="142"/>
      <c r="B471" s="142"/>
      <c r="C471" s="142"/>
      <c r="D471" s="144"/>
      <c r="E471" s="143"/>
      <c r="F471" s="143"/>
      <c r="G471" s="144"/>
      <c r="H471" s="143"/>
      <c r="I471" s="143"/>
      <c r="J471" s="319"/>
      <c r="K471" s="319"/>
      <c r="L471" s="315"/>
      <c r="M471" s="315"/>
      <c r="N471" s="145"/>
      <c r="O471" s="145"/>
      <c r="P471" s="145"/>
      <c r="Q471" s="146"/>
      <c r="R471" s="147"/>
      <c r="S471" s="148"/>
      <c r="T471" s="148"/>
      <c r="U471" s="148"/>
      <c r="V471" s="148"/>
      <c r="W471" s="148"/>
      <c r="X471" s="148"/>
      <c r="Y471" s="148"/>
      <c r="Z471" s="148"/>
      <c r="AA471" s="148"/>
      <c r="AB471" s="148"/>
      <c r="AV471" s="150"/>
      <c r="AW471" s="150"/>
      <c r="AX471" s="150"/>
      <c r="AY471" s="150"/>
      <c r="AZ471" s="150"/>
      <c r="BA471" s="150"/>
      <c r="BB471" s="150"/>
      <c r="BC471" s="150"/>
      <c r="BD471" s="150"/>
      <c r="BE471" s="150"/>
      <c r="BF471" s="150"/>
      <c r="BG471" s="150"/>
      <c r="BH471" s="150"/>
      <c r="BI471" s="150"/>
      <c r="BJ471" s="150"/>
      <c r="BK471" s="150"/>
      <c r="BL471" s="150"/>
      <c r="BM471" s="150"/>
      <c r="BN471" s="150"/>
      <c r="BO471" s="150"/>
      <c r="BP471" s="150"/>
      <c r="BQ471" s="150"/>
      <c r="BR471" s="150"/>
      <c r="BS471" s="150"/>
      <c r="BT471" s="150"/>
      <c r="BU471" s="150"/>
      <c r="BV471" s="150"/>
      <c r="BW471" s="150"/>
      <c r="BX471" s="150"/>
      <c r="BY471" s="150"/>
      <c r="BZ471" s="150"/>
      <c r="CA471" s="150"/>
      <c r="CB471" s="150"/>
      <c r="CC471" s="150"/>
      <c r="CD471" s="150"/>
      <c r="CE471" s="150"/>
      <c r="CF471" s="150"/>
      <c r="CG471" s="150"/>
      <c r="CH471" s="150"/>
      <c r="CI471" s="150"/>
      <c r="CJ471" s="150"/>
      <c r="CK471" s="150"/>
      <c r="CL471" s="150"/>
      <c r="CM471" s="150"/>
      <c r="CN471" s="150"/>
      <c r="CO471" s="150"/>
      <c r="CP471" s="150"/>
      <c r="CQ471" s="150"/>
      <c r="CR471" s="150"/>
      <c r="CS471" s="150"/>
      <c r="CT471" s="150"/>
      <c r="CU471" s="150"/>
      <c r="CV471" s="150"/>
      <c r="CW471" s="150"/>
      <c r="CX471" s="150"/>
      <c r="CY471" s="150"/>
      <c r="CZ471" s="150"/>
      <c r="DA471" s="150"/>
      <c r="DB471" s="150"/>
      <c r="DC471" s="150"/>
      <c r="DD471" s="150"/>
      <c r="DE471" s="150"/>
      <c r="DF471" s="150"/>
      <c r="DG471" s="150"/>
      <c r="DH471" s="150"/>
      <c r="DI471" s="150"/>
      <c r="DJ471" s="150"/>
      <c r="DK471" s="150"/>
      <c r="DL471" s="150"/>
      <c r="DM471" s="150"/>
      <c r="DN471" s="150"/>
      <c r="DO471" s="150"/>
      <c r="DP471" s="150"/>
      <c r="DQ471" s="150"/>
      <c r="DR471" s="150"/>
      <c r="DS471" s="150"/>
      <c r="DT471" s="150"/>
      <c r="DU471" s="150"/>
      <c r="DV471" s="150"/>
      <c r="DW471" s="150"/>
      <c r="DX471" s="150"/>
      <c r="DY471" s="150"/>
      <c r="DZ471" s="150"/>
      <c r="EA471" s="150"/>
      <c r="EB471" s="150"/>
      <c r="EC471" s="150"/>
      <c r="ED471" s="150"/>
      <c r="EE471" s="150"/>
      <c r="EF471" s="150"/>
      <c r="EG471" s="150"/>
      <c r="EH471" s="150"/>
      <c r="EI471" s="150"/>
      <c r="EJ471" s="150"/>
      <c r="EK471" s="150"/>
      <c r="EL471" s="150"/>
      <c r="EM471" s="150"/>
      <c r="EN471" s="150"/>
      <c r="EO471" s="150"/>
      <c r="EP471" s="150"/>
      <c r="EQ471" s="150"/>
      <c r="ER471" s="150"/>
      <c r="ES471" s="150"/>
      <c r="ET471" s="150"/>
      <c r="EU471" s="150"/>
      <c r="EV471" s="150"/>
      <c r="EW471" s="150"/>
      <c r="EX471" s="150"/>
      <c r="EY471" s="150"/>
      <c r="EZ471" s="150"/>
      <c r="FA471" s="150"/>
      <c r="FB471" s="150"/>
      <c r="FC471" s="150"/>
      <c r="FD471" s="150"/>
      <c r="FE471" s="150"/>
      <c r="FF471" s="150"/>
      <c r="FG471" s="150"/>
      <c r="FH471" s="150"/>
      <c r="FI471" s="150"/>
      <c r="FJ471" s="150"/>
      <c r="FK471" s="150"/>
      <c r="FL471" s="150"/>
      <c r="FM471" s="150"/>
      <c r="FN471" s="150"/>
    </row>
    <row r="472" spans="1:170" s="149" customFormat="1" x14ac:dyDescent="0.25">
      <c r="A472" s="142"/>
      <c r="B472" s="142"/>
      <c r="C472" s="142"/>
      <c r="D472" s="144"/>
      <c r="E472" s="143"/>
      <c r="F472" s="143"/>
      <c r="G472" s="144"/>
      <c r="H472" s="143"/>
      <c r="I472" s="143"/>
      <c r="J472" s="319"/>
      <c r="K472" s="319"/>
      <c r="L472" s="315"/>
      <c r="M472" s="315"/>
      <c r="N472" s="145"/>
      <c r="O472" s="145"/>
      <c r="P472" s="145"/>
      <c r="Q472" s="146"/>
      <c r="R472" s="147"/>
      <c r="S472" s="148"/>
      <c r="T472" s="148"/>
      <c r="U472" s="148"/>
      <c r="V472" s="148"/>
      <c r="W472" s="148"/>
      <c r="X472" s="148"/>
      <c r="Y472" s="148"/>
      <c r="Z472" s="148"/>
      <c r="AA472" s="148"/>
      <c r="AB472" s="148"/>
      <c r="AV472" s="150"/>
      <c r="AW472" s="150"/>
      <c r="AX472" s="150"/>
      <c r="AY472" s="150"/>
      <c r="AZ472" s="150"/>
      <c r="BA472" s="150"/>
      <c r="BB472" s="150"/>
      <c r="BC472" s="150"/>
      <c r="BD472" s="150"/>
      <c r="BE472" s="150"/>
      <c r="BF472" s="150"/>
      <c r="BG472" s="150"/>
      <c r="BH472" s="150"/>
      <c r="BI472" s="150"/>
      <c r="BJ472" s="150"/>
      <c r="BK472" s="150"/>
      <c r="BL472" s="150"/>
      <c r="BM472" s="150"/>
      <c r="BN472" s="150"/>
      <c r="BO472" s="150"/>
      <c r="BP472" s="150"/>
      <c r="BQ472" s="150"/>
      <c r="BR472" s="150"/>
      <c r="BS472" s="150"/>
      <c r="BT472" s="150"/>
      <c r="BU472" s="150"/>
      <c r="BV472" s="150"/>
      <c r="BW472" s="150"/>
      <c r="BX472" s="150"/>
      <c r="BY472" s="150"/>
      <c r="BZ472" s="150"/>
      <c r="CA472" s="150"/>
      <c r="CB472" s="150"/>
      <c r="CC472" s="150"/>
      <c r="CD472" s="150"/>
      <c r="CE472" s="150"/>
      <c r="CF472" s="150"/>
      <c r="CG472" s="150"/>
      <c r="CH472" s="150"/>
      <c r="CI472" s="150"/>
      <c r="CJ472" s="150"/>
      <c r="CK472" s="150"/>
      <c r="CL472" s="150"/>
      <c r="CM472" s="150"/>
      <c r="CN472" s="150"/>
      <c r="CO472" s="150"/>
      <c r="CP472" s="150"/>
      <c r="CQ472" s="150"/>
      <c r="CR472" s="150"/>
      <c r="CS472" s="150"/>
      <c r="CT472" s="150"/>
      <c r="CU472" s="150"/>
      <c r="CV472" s="150"/>
      <c r="CW472" s="150"/>
      <c r="CX472" s="150"/>
      <c r="CY472" s="150"/>
      <c r="CZ472" s="150"/>
      <c r="DA472" s="150"/>
      <c r="DB472" s="150"/>
      <c r="DC472" s="150"/>
      <c r="DD472" s="150"/>
      <c r="DE472" s="150"/>
      <c r="DF472" s="150"/>
      <c r="DG472" s="150"/>
      <c r="DH472" s="150"/>
      <c r="DI472" s="150"/>
      <c r="DJ472" s="150"/>
      <c r="DK472" s="150"/>
      <c r="DL472" s="150"/>
      <c r="DM472" s="150"/>
      <c r="DN472" s="150"/>
      <c r="DO472" s="150"/>
      <c r="DP472" s="150"/>
      <c r="DQ472" s="150"/>
      <c r="DR472" s="150"/>
      <c r="DS472" s="150"/>
      <c r="DT472" s="150"/>
      <c r="DU472" s="150"/>
      <c r="DV472" s="150"/>
      <c r="DW472" s="150"/>
      <c r="DX472" s="150"/>
      <c r="DY472" s="150"/>
      <c r="DZ472" s="150"/>
      <c r="EA472" s="150"/>
      <c r="EB472" s="150"/>
      <c r="EC472" s="150"/>
      <c r="ED472" s="150"/>
      <c r="EE472" s="150"/>
      <c r="EF472" s="150"/>
      <c r="EG472" s="150"/>
      <c r="EH472" s="150"/>
      <c r="EI472" s="150"/>
      <c r="EJ472" s="150"/>
      <c r="EK472" s="150"/>
      <c r="EL472" s="150"/>
      <c r="EM472" s="150"/>
      <c r="EN472" s="150"/>
      <c r="EO472" s="150"/>
      <c r="EP472" s="150"/>
      <c r="EQ472" s="150"/>
      <c r="ER472" s="150"/>
      <c r="ES472" s="150"/>
      <c r="ET472" s="150"/>
      <c r="EU472" s="150"/>
      <c r="EV472" s="150"/>
      <c r="EW472" s="150"/>
      <c r="EX472" s="150"/>
      <c r="EY472" s="150"/>
      <c r="EZ472" s="150"/>
      <c r="FA472" s="150"/>
      <c r="FB472" s="150"/>
      <c r="FC472" s="150"/>
      <c r="FD472" s="150"/>
      <c r="FE472" s="150"/>
      <c r="FF472" s="150"/>
      <c r="FG472" s="150"/>
      <c r="FH472" s="150"/>
      <c r="FI472" s="150"/>
      <c r="FJ472" s="150"/>
      <c r="FK472" s="150"/>
      <c r="FL472" s="150"/>
      <c r="FM472" s="150"/>
      <c r="FN472" s="150"/>
    </row>
    <row r="473" spans="1:170" s="149" customFormat="1" x14ac:dyDescent="0.25">
      <c r="A473" s="142"/>
      <c r="B473" s="142"/>
      <c r="C473" s="142"/>
      <c r="D473" s="144"/>
      <c r="E473" s="143"/>
      <c r="F473" s="143"/>
      <c r="G473" s="144"/>
      <c r="H473" s="143"/>
      <c r="I473" s="143"/>
      <c r="J473" s="319"/>
      <c r="K473" s="319"/>
      <c r="L473" s="315"/>
      <c r="M473" s="315"/>
      <c r="N473" s="145"/>
      <c r="O473" s="145"/>
      <c r="P473" s="145"/>
      <c r="Q473" s="146"/>
      <c r="R473" s="147"/>
      <c r="S473" s="148"/>
      <c r="T473" s="148"/>
      <c r="U473" s="148"/>
      <c r="V473" s="148"/>
      <c r="W473" s="148"/>
      <c r="X473" s="148"/>
      <c r="Y473" s="148"/>
      <c r="Z473" s="148"/>
      <c r="AA473" s="148"/>
      <c r="AB473" s="148"/>
      <c r="AV473" s="150"/>
      <c r="AW473" s="150"/>
      <c r="AX473" s="150"/>
      <c r="AY473" s="150"/>
      <c r="AZ473" s="150"/>
      <c r="BA473" s="150"/>
      <c r="BB473" s="150"/>
      <c r="BC473" s="150"/>
      <c r="BD473" s="150"/>
      <c r="BE473" s="150"/>
      <c r="BF473" s="150"/>
      <c r="BG473" s="150"/>
      <c r="BH473" s="150"/>
      <c r="BI473" s="150"/>
      <c r="BJ473" s="150"/>
      <c r="BK473" s="150"/>
      <c r="BL473" s="150"/>
      <c r="BM473" s="150"/>
      <c r="BN473" s="150"/>
      <c r="BO473" s="150"/>
      <c r="BP473" s="150"/>
      <c r="BQ473" s="150"/>
      <c r="BR473" s="150"/>
      <c r="BS473" s="150"/>
      <c r="BT473" s="150"/>
      <c r="BU473" s="150"/>
      <c r="BV473" s="150"/>
      <c r="BW473" s="150"/>
      <c r="BX473" s="150"/>
      <c r="BY473" s="150"/>
      <c r="BZ473" s="150"/>
      <c r="CA473" s="150"/>
      <c r="CB473" s="150"/>
      <c r="CC473" s="150"/>
      <c r="CD473" s="150"/>
      <c r="CE473" s="150"/>
      <c r="CF473" s="150"/>
      <c r="CG473" s="150"/>
      <c r="CH473" s="150"/>
      <c r="CI473" s="150"/>
      <c r="CJ473" s="150"/>
      <c r="CK473" s="150"/>
      <c r="CL473" s="150"/>
      <c r="CM473" s="150"/>
      <c r="CN473" s="150"/>
      <c r="CO473" s="150"/>
      <c r="CP473" s="150"/>
      <c r="CQ473" s="150"/>
      <c r="CR473" s="150"/>
      <c r="CS473" s="150"/>
      <c r="CT473" s="150"/>
      <c r="CU473" s="150"/>
      <c r="CV473" s="150"/>
      <c r="CW473" s="150"/>
      <c r="CX473" s="150"/>
      <c r="CY473" s="150"/>
      <c r="CZ473" s="150"/>
      <c r="DA473" s="150"/>
      <c r="DB473" s="150"/>
      <c r="DC473" s="150"/>
      <c r="DD473" s="150"/>
      <c r="DE473" s="150"/>
      <c r="DF473" s="150"/>
      <c r="DG473" s="150"/>
      <c r="DH473" s="150"/>
      <c r="DI473" s="150"/>
      <c r="DJ473" s="150"/>
      <c r="DK473" s="150"/>
      <c r="DL473" s="150"/>
      <c r="DM473" s="150"/>
      <c r="DN473" s="150"/>
      <c r="DO473" s="150"/>
      <c r="DP473" s="150"/>
      <c r="DQ473" s="150"/>
      <c r="DR473" s="150"/>
      <c r="DS473" s="150"/>
      <c r="DT473" s="150"/>
      <c r="DU473" s="150"/>
      <c r="DV473" s="150"/>
      <c r="DW473" s="150"/>
      <c r="DX473" s="150"/>
      <c r="DY473" s="150"/>
      <c r="DZ473" s="150"/>
      <c r="EA473" s="150"/>
      <c r="EB473" s="150"/>
      <c r="EC473" s="150"/>
      <c r="ED473" s="150"/>
      <c r="EE473" s="150"/>
      <c r="EF473" s="150"/>
      <c r="EG473" s="150"/>
      <c r="EH473" s="150"/>
      <c r="EI473" s="150"/>
      <c r="EJ473" s="150"/>
      <c r="EK473" s="150"/>
      <c r="EL473" s="150"/>
      <c r="EM473" s="150"/>
      <c r="EN473" s="150"/>
      <c r="EO473" s="150"/>
      <c r="EP473" s="150"/>
      <c r="EQ473" s="150"/>
      <c r="ER473" s="150"/>
      <c r="ES473" s="150"/>
      <c r="ET473" s="150"/>
      <c r="EU473" s="150"/>
      <c r="EV473" s="150"/>
      <c r="EW473" s="150"/>
      <c r="EX473" s="150"/>
      <c r="EY473" s="150"/>
      <c r="EZ473" s="150"/>
      <c r="FA473" s="150"/>
      <c r="FB473" s="150"/>
      <c r="FC473" s="150"/>
      <c r="FD473" s="150"/>
      <c r="FE473" s="150"/>
      <c r="FF473" s="150"/>
      <c r="FG473" s="150"/>
      <c r="FH473" s="150"/>
      <c r="FI473" s="150"/>
      <c r="FJ473" s="150"/>
      <c r="FK473" s="150"/>
      <c r="FL473" s="150"/>
      <c r="FM473" s="150"/>
      <c r="FN473" s="150"/>
    </row>
    <row r="474" spans="1:170" s="149" customFormat="1" x14ac:dyDescent="0.25">
      <c r="A474" s="142"/>
      <c r="B474" s="142"/>
      <c r="C474" s="142"/>
      <c r="D474" s="144"/>
      <c r="E474" s="143"/>
      <c r="F474" s="143"/>
      <c r="G474" s="144"/>
      <c r="H474" s="143"/>
      <c r="I474" s="143"/>
      <c r="J474" s="319"/>
      <c r="K474" s="319"/>
      <c r="L474" s="315"/>
      <c r="M474" s="315"/>
      <c r="N474" s="145"/>
      <c r="O474" s="145"/>
      <c r="P474" s="145"/>
      <c r="Q474" s="146"/>
      <c r="R474" s="147"/>
      <c r="S474" s="148"/>
      <c r="T474" s="148"/>
      <c r="U474" s="148"/>
      <c r="V474" s="148"/>
      <c r="W474" s="148"/>
      <c r="X474" s="148"/>
      <c r="Y474" s="148"/>
      <c r="Z474" s="148"/>
      <c r="AA474" s="148"/>
      <c r="AB474" s="148"/>
      <c r="AV474" s="150"/>
      <c r="AW474" s="150"/>
      <c r="AX474" s="150"/>
      <c r="AY474" s="150"/>
      <c r="AZ474" s="150"/>
      <c r="BA474" s="150"/>
      <c r="BB474" s="150"/>
      <c r="BC474" s="150"/>
      <c r="BD474" s="150"/>
      <c r="BE474" s="150"/>
      <c r="BF474" s="150"/>
      <c r="BG474" s="150"/>
      <c r="BH474" s="150"/>
      <c r="BI474" s="150"/>
      <c r="BJ474" s="150"/>
      <c r="BK474" s="150"/>
      <c r="BL474" s="150"/>
      <c r="BM474" s="150"/>
      <c r="BN474" s="150"/>
      <c r="BO474" s="150"/>
      <c r="BP474" s="150"/>
      <c r="BQ474" s="150"/>
      <c r="BR474" s="150"/>
      <c r="BS474" s="150"/>
      <c r="BT474" s="150"/>
      <c r="BU474" s="150"/>
      <c r="BV474" s="150"/>
      <c r="BW474" s="150"/>
      <c r="BX474" s="150"/>
      <c r="BY474" s="150"/>
      <c r="BZ474" s="150"/>
      <c r="CA474" s="150"/>
      <c r="CB474" s="150"/>
      <c r="CC474" s="150"/>
      <c r="CD474" s="150"/>
      <c r="CE474" s="150"/>
      <c r="CF474" s="150"/>
      <c r="CG474" s="150"/>
      <c r="CH474" s="150"/>
      <c r="CI474" s="150"/>
      <c r="CJ474" s="150"/>
      <c r="CK474" s="150"/>
      <c r="CL474" s="150"/>
      <c r="CM474" s="150"/>
      <c r="CN474" s="150"/>
      <c r="CO474" s="150"/>
      <c r="CP474" s="150"/>
      <c r="CQ474" s="150"/>
      <c r="CR474" s="150"/>
      <c r="CS474" s="150"/>
      <c r="CT474" s="150"/>
      <c r="CU474" s="150"/>
      <c r="CV474" s="150"/>
      <c r="CW474" s="150"/>
      <c r="CX474" s="150"/>
      <c r="CY474" s="150"/>
      <c r="CZ474" s="150"/>
      <c r="DA474" s="150"/>
      <c r="DB474" s="150"/>
      <c r="DC474" s="150"/>
      <c r="DD474" s="150"/>
      <c r="DE474" s="150"/>
      <c r="DF474" s="150"/>
      <c r="DG474" s="150"/>
      <c r="DH474" s="150"/>
      <c r="DI474" s="150"/>
      <c r="DJ474" s="150"/>
      <c r="DK474" s="150"/>
      <c r="DL474" s="150"/>
      <c r="DM474" s="150"/>
      <c r="DN474" s="150"/>
      <c r="DO474" s="150"/>
      <c r="DP474" s="150"/>
      <c r="DQ474" s="150"/>
      <c r="DR474" s="150"/>
      <c r="DS474" s="150"/>
      <c r="DT474" s="150"/>
      <c r="DU474" s="150"/>
      <c r="DV474" s="150"/>
      <c r="DW474" s="150"/>
      <c r="DX474" s="150"/>
      <c r="DY474" s="150"/>
      <c r="DZ474" s="150"/>
      <c r="EA474" s="150"/>
      <c r="EB474" s="150"/>
      <c r="EC474" s="150"/>
      <c r="ED474" s="150"/>
      <c r="EE474" s="150"/>
      <c r="EF474" s="150"/>
      <c r="EG474" s="150"/>
      <c r="EH474" s="150"/>
      <c r="EI474" s="150"/>
      <c r="EJ474" s="150"/>
      <c r="EK474" s="150"/>
      <c r="EL474" s="150"/>
      <c r="EM474" s="150"/>
      <c r="EN474" s="150"/>
      <c r="EO474" s="150"/>
      <c r="EP474" s="150"/>
      <c r="EQ474" s="150"/>
      <c r="ER474" s="150"/>
      <c r="ES474" s="150"/>
      <c r="ET474" s="150"/>
      <c r="EU474" s="150"/>
      <c r="EV474" s="150"/>
      <c r="EW474" s="150"/>
      <c r="EX474" s="150"/>
      <c r="EY474" s="150"/>
      <c r="EZ474" s="150"/>
      <c r="FA474" s="150"/>
      <c r="FB474" s="150"/>
      <c r="FC474" s="150"/>
      <c r="FD474" s="150"/>
      <c r="FE474" s="150"/>
      <c r="FF474" s="150"/>
      <c r="FG474" s="150"/>
      <c r="FH474" s="150"/>
      <c r="FI474" s="150"/>
      <c r="FJ474" s="150"/>
      <c r="FK474" s="150"/>
      <c r="FL474" s="150"/>
      <c r="FM474" s="150"/>
      <c r="FN474" s="150"/>
    </row>
    <row r="475" spans="1:170" s="149" customFormat="1" x14ac:dyDescent="0.25">
      <c r="A475" s="142"/>
      <c r="B475" s="142"/>
      <c r="C475" s="142"/>
      <c r="D475" s="144"/>
      <c r="E475" s="143"/>
      <c r="F475" s="143"/>
      <c r="G475" s="144"/>
      <c r="H475" s="143"/>
      <c r="I475" s="143"/>
      <c r="J475" s="319"/>
      <c r="K475" s="319"/>
      <c r="L475" s="315"/>
      <c r="M475" s="315"/>
      <c r="N475" s="145"/>
      <c r="O475" s="145"/>
      <c r="P475" s="145"/>
      <c r="Q475" s="146"/>
      <c r="R475" s="147"/>
      <c r="S475" s="148"/>
      <c r="T475" s="148"/>
      <c r="U475" s="148"/>
      <c r="V475" s="148"/>
      <c r="W475" s="148"/>
      <c r="X475" s="148"/>
      <c r="Y475" s="148"/>
      <c r="Z475" s="148"/>
      <c r="AA475" s="148"/>
      <c r="AB475" s="148"/>
      <c r="AV475" s="150"/>
      <c r="AW475" s="150"/>
      <c r="AX475" s="150"/>
      <c r="AY475" s="150"/>
      <c r="AZ475" s="150"/>
      <c r="BA475" s="150"/>
      <c r="BB475" s="150"/>
      <c r="BC475" s="150"/>
      <c r="BD475" s="150"/>
      <c r="BE475" s="150"/>
      <c r="BF475" s="150"/>
      <c r="BG475" s="150"/>
      <c r="BH475" s="150"/>
      <c r="BI475" s="150"/>
      <c r="BJ475" s="150"/>
      <c r="BK475" s="150"/>
      <c r="BL475" s="150"/>
      <c r="BM475" s="150"/>
      <c r="BN475" s="150"/>
      <c r="BO475" s="150"/>
      <c r="BP475" s="150"/>
      <c r="BQ475" s="150"/>
      <c r="BR475" s="150"/>
      <c r="BS475" s="150"/>
      <c r="BT475" s="150"/>
      <c r="BU475" s="150"/>
      <c r="BV475" s="150"/>
      <c r="BW475" s="150"/>
      <c r="BX475" s="150"/>
      <c r="BY475" s="150"/>
      <c r="BZ475" s="150"/>
      <c r="CA475" s="150"/>
      <c r="CB475" s="150"/>
      <c r="CC475" s="150"/>
      <c r="CD475" s="150"/>
      <c r="CE475" s="150"/>
      <c r="CF475" s="150"/>
      <c r="CG475" s="150"/>
      <c r="CH475" s="150"/>
      <c r="CI475" s="150"/>
      <c r="CJ475" s="150"/>
      <c r="CK475" s="150"/>
      <c r="CL475" s="150"/>
      <c r="CM475" s="150"/>
      <c r="CN475" s="150"/>
      <c r="CO475" s="150"/>
      <c r="CP475" s="150"/>
      <c r="CQ475" s="150"/>
      <c r="CR475" s="150"/>
      <c r="CS475" s="150"/>
      <c r="CT475" s="150"/>
      <c r="CU475" s="150"/>
      <c r="CV475" s="150"/>
      <c r="CW475" s="150"/>
      <c r="CX475" s="150"/>
      <c r="CY475" s="150"/>
      <c r="CZ475" s="150"/>
      <c r="DA475" s="150"/>
      <c r="DB475" s="150"/>
      <c r="DC475" s="150"/>
      <c r="DD475" s="150"/>
      <c r="DE475" s="150"/>
      <c r="DF475" s="150"/>
      <c r="DG475" s="150"/>
      <c r="DH475" s="150"/>
      <c r="DI475" s="150"/>
      <c r="DJ475" s="150"/>
      <c r="DK475" s="150"/>
      <c r="DL475" s="150"/>
      <c r="DM475" s="150"/>
      <c r="DN475" s="150"/>
      <c r="DO475" s="150"/>
      <c r="DP475" s="150"/>
      <c r="DQ475" s="150"/>
      <c r="DR475" s="150"/>
      <c r="DS475" s="150"/>
      <c r="DT475" s="150"/>
      <c r="DU475" s="150"/>
      <c r="DV475" s="150"/>
      <c r="DW475" s="150"/>
      <c r="DX475" s="150"/>
      <c r="DY475" s="150"/>
      <c r="DZ475" s="150"/>
      <c r="EA475" s="150"/>
      <c r="EB475" s="150"/>
      <c r="EC475" s="150"/>
      <c r="ED475" s="150"/>
      <c r="EE475" s="150"/>
      <c r="EF475" s="150"/>
      <c r="EG475" s="150"/>
      <c r="EH475" s="150"/>
      <c r="EI475" s="150"/>
      <c r="EJ475" s="150"/>
      <c r="EK475" s="150"/>
      <c r="EL475" s="150"/>
      <c r="EM475" s="150"/>
      <c r="EN475" s="150"/>
      <c r="EO475" s="150"/>
      <c r="EP475" s="150"/>
      <c r="EQ475" s="150"/>
      <c r="ER475" s="150"/>
      <c r="ES475" s="150"/>
      <c r="ET475" s="150"/>
      <c r="EU475" s="150"/>
      <c r="EV475" s="150"/>
      <c r="EW475" s="150"/>
      <c r="EX475" s="150"/>
      <c r="EY475" s="150"/>
      <c r="EZ475" s="150"/>
      <c r="FA475" s="150"/>
      <c r="FB475" s="150"/>
      <c r="FC475" s="150"/>
      <c r="FD475" s="150"/>
      <c r="FE475" s="150"/>
      <c r="FF475" s="150"/>
      <c r="FG475" s="150"/>
      <c r="FH475" s="150"/>
      <c r="FI475" s="150"/>
      <c r="FJ475" s="150"/>
      <c r="FK475" s="150"/>
      <c r="FL475" s="150"/>
      <c r="FM475" s="150"/>
      <c r="FN475" s="150"/>
    </row>
    <row r="476" spans="1:170" s="149" customFormat="1" x14ac:dyDescent="0.25">
      <c r="A476" s="142"/>
      <c r="B476" s="142"/>
      <c r="C476" s="142"/>
      <c r="D476" s="144"/>
      <c r="E476" s="143"/>
      <c r="F476" s="143"/>
      <c r="G476" s="144"/>
      <c r="H476" s="143"/>
      <c r="I476" s="143"/>
      <c r="J476" s="319"/>
      <c r="K476" s="319"/>
      <c r="L476" s="315"/>
      <c r="M476" s="315"/>
      <c r="N476" s="145"/>
      <c r="O476" s="145"/>
      <c r="P476" s="145"/>
      <c r="Q476" s="146"/>
      <c r="R476" s="147"/>
      <c r="S476" s="148"/>
      <c r="T476" s="148"/>
      <c r="U476" s="148"/>
      <c r="V476" s="148"/>
      <c r="W476" s="148"/>
      <c r="X476" s="148"/>
      <c r="Y476" s="148"/>
      <c r="Z476" s="148"/>
      <c r="AA476" s="148"/>
      <c r="AB476" s="148"/>
      <c r="AV476" s="150"/>
      <c r="AW476" s="150"/>
      <c r="AX476" s="150"/>
      <c r="AY476" s="150"/>
      <c r="AZ476" s="150"/>
      <c r="BA476" s="150"/>
      <c r="BB476" s="150"/>
      <c r="BC476" s="150"/>
      <c r="BD476" s="150"/>
      <c r="BE476" s="150"/>
      <c r="BF476" s="150"/>
      <c r="BG476" s="150"/>
      <c r="BH476" s="150"/>
      <c r="BI476" s="150"/>
      <c r="BJ476" s="150"/>
      <c r="BK476" s="150"/>
      <c r="BL476" s="150"/>
      <c r="BM476" s="150"/>
      <c r="BN476" s="150"/>
      <c r="BO476" s="150"/>
      <c r="BP476" s="150"/>
      <c r="BQ476" s="150"/>
      <c r="BR476" s="150"/>
      <c r="BS476" s="150"/>
      <c r="BT476" s="150"/>
      <c r="BU476" s="150"/>
      <c r="BV476" s="150"/>
      <c r="BW476" s="150"/>
      <c r="BX476" s="150"/>
      <c r="BY476" s="150"/>
      <c r="BZ476" s="150"/>
      <c r="CA476" s="150"/>
      <c r="CB476" s="150"/>
      <c r="CC476" s="150"/>
      <c r="CD476" s="150"/>
      <c r="CE476" s="150"/>
      <c r="CF476" s="150"/>
      <c r="CG476" s="150"/>
      <c r="CH476" s="150"/>
      <c r="CI476" s="150"/>
      <c r="CJ476" s="150"/>
      <c r="CK476" s="150"/>
      <c r="CL476" s="150"/>
      <c r="CM476" s="150"/>
      <c r="CN476" s="150"/>
      <c r="CO476" s="150"/>
      <c r="CP476" s="150"/>
      <c r="CQ476" s="150"/>
      <c r="CR476" s="150"/>
      <c r="CS476" s="150"/>
      <c r="CT476" s="150"/>
      <c r="CU476" s="150"/>
      <c r="CV476" s="150"/>
      <c r="CW476" s="150"/>
      <c r="CX476" s="150"/>
      <c r="CY476" s="150"/>
      <c r="CZ476" s="150"/>
      <c r="DA476" s="150"/>
      <c r="DB476" s="150"/>
      <c r="DC476" s="150"/>
      <c r="DD476" s="150"/>
      <c r="DE476" s="150"/>
      <c r="DF476" s="150"/>
      <c r="DG476" s="150"/>
      <c r="DH476" s="150"/>
      <c r="DI476" s="150"/>
      <c r="DJ476" s="150"/>
      <c r="DK476" s="150"/>
      <c r="DL476" s="150"/>
      <c r="DM476" s="150"/>
      <c r="DN476" s="150"/>
      <c r="DO476" s="150"/>
      <c r="DP476" s="150"/>
      <c r="DQ476" s="150"/>
      <c r="DR476" s="150"/>
      <c r="DS476" s="150"/>
      <c r="DT476" s="150"/>
      <c r="DU476" s="150"/>
      <c r="DV476" s="150"/>
      <c r="DW476" s="150"/>
      <c r="DX476" s="150"/>
      <c r="DY476" s="150"/>
      <c r="DZ476" s="150"/>
      <c r="EA476" s="150"/>
      <c r="EB476" s="150"/>
      <c r="EC476" s="150"/>
      <c r="ED476" s="150"/>
      <c r="EE476" s="150"/>
      <c r="EF476" s="150"/>
      <c r="EG476" s="150"/>
      <c r="EH476" s="150"/>
      <c r="EI476" s="150"/>
      <c r="EJ476" s="150"/>
      <c r="EK476" s="150"/>
      <c r="EL476" s="150"/>
      <c r="EM476" s="150"/>
      <c r="EN476" s="150"/>
      <c r="EO476" s="150"/>
      <c r="EP476" s="150"/>
      <c r="EQ476" s="150"/>
      <c r="ER476" s="150"/>
      <c r="ES476" s="150"/>
      <c r="ET476" s="150"/>
      <c r="EU476" s="150"/>
      <c r="EV476" s="150"/>
      <c r="EW476" s="150"/>
      <c r="EX476" s="150"/>
      <c r="EY476" s="150"/>
      <c r="EZ476" s="150"/>
      <c r="FA476" s="150"/>
      <c r="FB476" s="150"/>
      <c r="FC476" s="150"/>
      <c r="FD476" s="150"/>
      <c r="FE476" s="150"/>
      <c r="FF476" s="150"/>
      <c r="FG476" s="150"/>
      <c r="FH476" s="150"/>
      <c r="FI476" s="150"/>
      <c r="FJ476" s="150"/>
      <c r="FK476" s="150"/>
      <c r="FL476" s="150"/>
      <c r="FM476" s="150"/>
      <c r="FN476" s="150"/>
    </row>
    <row r="477" spans="1:170" s="149" customFormat="1" x14ac:dyDescent="0.25">
      <c r="A477" s="142"/>
      <c r="B477" s="142"/>
      <c r="C477" s="142"/>
      <c r="D477" s="144"/>
      <c r="E477" s="143"/>
      <c r="F477" s="143"/>
      <c r="G477" s="144"/>
      <c r="H477" s="143"/>
      <c r="I477" s="143"/>
      <c r="J477" s="319"/>
      <c r="K477" s="319"/>
      <c r="L477" s="315"/>
      <c r="M477" s="315"/>
      <c r="N477" s="145"/>
      <c r="O477" s="145"/>
      <c r="P477" s="145"/>
      <c r="Q477" s="146"/>
      <c r="R477" s="147"/>
      <c r="S477" s="148"/>
      <c r="T477" s="148"/>
      <c r="U477" s="148"/>
      <c r="V477" s="148"/>
      <c r="W477" s="148"/>
      <c r="X477" s="148"/>
      <c r="Y477" s="148"/>
      <c r="Z477" s="148"/>
      <c r="AA477" s="148"/>
      <c r="AB477" s="148"/>
      <c r="AV477" s="150"/>
      <c r="AW477" s="150"/>
      <c r="AX477" s="150"/>
      <c r="AY477" s="150"/>
      <c r="AZ477" s="150"/>
      <c r="BA477" s="150"/>
      <c r="BB477" s="150"/>
      <c r="BC477" s="150"/>
      <c r="BD477" s="150"/>
      <c r="BE477" s="150"/>
      <c r="BF477" s="150"/>
      <c r="BG477" s="150"/>
      <c r="BH477" s="150"/>
      <c r="BI477" s="150"/>
      <c r="BJ477" s="150"/>
      <c r="BK477" s="150"/>
      <c r="BL477" s="150"/>
      <c r="BM477" s="150"/>
      <c r="BN477" s="150"/>
      <c r="BO477" s="150"/>
      <c r="BP477" s="150"/>
      <c r="BQ477" s="150"/>
      <c r="BR477" s="150"/>
      <c r="BS477" s="150"/>
      <c r="BT477" s="150"/>
      <c r="BU477" s="150"/>
      <c r="BV477" s="150"/>
      <c r="BW477" s="150"/>
      <c r="BX477" s="150"/>
      <c r="BY477" s="150"/>
      <c r="BZ477" s="150"/>
      <c r="CA477" s="150"/>
      <c r="CB477" s="150"/>
      <c r="CC477" s="150"/>
      <c r="CD477" s="150"/>
      <c r="CE477" s="150"/>
      <c r="CF477" s="150"/>
      <c r="CG477" s="150"/>
      <c r="CH477" s="150"/>
      <c r="CI477" s="150"/>
      <c r="CJ477" s="150"/>
      <c r="CK477" s="150"/>
      <c r="CL477" s="150"/>
      <c r="CM477" s="150"/>
      <c r="CN477" s="150"/>
      <c r="CO477" s="150"/>
      <c r="CP477" s="150"/>
      <c r="CQ477" s="150"/>
      <c r="CR477" s="150"/>
      <c r="CS477" s="150"/>
      <c r="CT477" s="150"/>
      <c r="CU477" s="150"/>
      <c r="CV477" s="150"/>
      <c r="CW477" s="150"/>
      <c r="CX477" s="150"/>
      <c r="CY477" s="150"/>
      <c r="CZ477" s="150"/>
      <c r="DA477" s="150"/>
      <c r="DB477" s="150"/>
      <c r="DC477" s="150"/>
      <c r="DD477" s="150"/>
      <c r="DE477" s="150"/>
      <c r="DF477" s="150"/>
      <c r="DG477" s="150"/>
      <c r="DH477" s="150"/>
      <c r="DI477" s="150"/>
      <c r="DJ477" s="150"/>
      <c r="DK477" s="150"/>
      <c r="DL477" s="150"/>
      <c r="DM477" s="150"/>
      <c r="DN477" s="150"/>
      <c r="DO477" s="150"/>
      <c r="DP477" s="150"/>
      <c r="DQ477" s="150"/>
      <c r="DR477" s="150"/>
      <c r="DS477" s="150"/>
      <c r="DT477" s="150"/>
      <c r="DU477" s="150"/>
      <c r="DV477" s="150"/>
      <c r="DW477" s="150"/>
      <c r="DX477" s="150"/>
      <c r="DY477" s="150"/>
      <c r="DZ477" s="150"/>
      <c r="EA477" s="150"/>
      <c r="EB477" s="150"/>
      <c r="EC477" s="150"/>
      <c r="ED477" s="150"/>
      <c r="EE477" s="150"/>
      <c r="EF477" s="150"/>
      <c r="EG477" s="150"/>
      <c r="EH477" s="150"/>
      <c r="EI477" s="150"/>
      <c r="EJ477" s="150"/>
      <c r="EK477" s="150"/>
      <c r="EL477" s="150"/>
      <c r="EM477" s="150"/>
      <c r="EN477" s="150"/>
      <c r="EO477" s="150"/>
      <c r="EP477" s="150"/>
      <c r="EQ477" s="150"/>
      <c r="ER477" s="150"/>
      <c r="ES477" s="150"/>
      <c r="ET477" s="150"/>
      <c r="EU477" s="150"/>
      <c r="EV477" s="150"/>
      <c r="EW477" s="150"/>
      <c r="EX477" s="150"/>
      <c r="EY477" s="150"/>
      <c r="EZ477" s="150"/>
      <c r="FA477" s="150"/>
      <c r="FB477" s="150"/>
      <c r="FC477" s="150"/>
      <c r="FD477" s="150"/>
      <c r="FE477" s="150"/>
      <c r="FF477" s="150"/>
      <c r="FG477" s="150"/>
      <c r="FH477" s="150"/>
      <c r="FI477" s="150"/>
      <c r="FJ477" s="150"/>
      <c r="FK477" s="150"/>
      <c r="FL477" s="150"/>
      <c r="FM477" s="150"/>
      <c r="FN477" s="150"/>
    </row>
    <row r="478" spans="1:170" s="149" customFormat="1" x14ac:dyDescent="0.25">
      <c r="A478" s="142"/>
      <c r="B478" s="142"/>
      <c r="C478" s="142"/>
      <c r="D478" s="144"/>
      <c r="E478" s="143"/>
      <c r="F478" s="143"/>
      <c r="G478" s="144"/>
      <c r="H478" s="143"/>
      <c r="I478" s="143"/>
      <c r="J478" s="319"/>
      <c r="K478" s="319"/>
      <c r="L478" s="315"/>
      <c r="M478" s="315"/>
      <c r="N478" s="145"/>
      <c r="O478" s="145"/>
      <c r="P478" s="145"/>
      <c r="Q478" s="146"/>
      <c r="R478" s="147"/>
      <c r="S478" s="148"/>
      <c r="T478" s="148"/>
      <c r="U478" s="148"/>
      <c r="V478" s="148"/>
      <c r="W478" s="148"/>
      <c r="X478" s="148"/>
      <c r="Y478" s="148"/>
      <c r="Z478" s="148"/>
      <c r="AA478" s="148"/>
      <c r="AB478" s="148"/>
      <c r="AV478" s="150"/>
      <c r="AW478" s="150"/>
      <c r="AX478" s="150"/>
      <c r="AY478" s="150"/>
      <c r="AZ478" s="150"/>
      <c r="BA478" s="150"/>
      <c r="BB478" s="150"/>
      <c r="BC478" s="150"/>
      <c r="BD478" s="150"/>
      <c r="BE478" s="150"/>
      <c r="BF478" s="150"/>
      <c r="BG478" s="150"/>
      <c r="BH478" s="150"/>
      <c r="BI478" s="150"/>
      <c r="BJ478" s="150"/>
      <c r="BK478" s="150"/>
      <c r="BL478" s="150"/>
      <c r="BM478" s="150"/>
      <c r="BN478" s="150"/>
      <c r="BO478" s="150"/>
      <c r="BP478" s="150"/>
      <c r="BQ478" s="150"/>
      <c r="BR478" s="150"/>
      <c r="BS478" s="150"/>
      <c r="BT478" s="150"/>
      <c r="BU478" s="150"/>
      <c r="BV478" s="150"/>
      <c r="BW478" s="150"/>
      <c r="BX478" s="150"/>
      <c r="BY478" s="150"/>
      <c r="BZ478" s="150"/>
      <c r="CA478" s="150"/>
      <c r="CB478" s="150"/>
      <c r="CC478" s="150"/>
      <c r="CD478" s="150"/>
      <c r="CE478" s="150"/>
      <c r="CF478" s="150"/>
      <c r="CG478" s="150"/>
      <c r="CH478" s="150"/>
      <c r="CI478" s="150"/>
      <c r="CJ478" s="150"/>
      <c r="CK478" s="150"/>
      <c r="CL478" s="150"/>
      <c r="CM478" s="150"/>
      <c r="CN478" s="150"/>
      <c r="CO478" s="150"/>
      <c r="CP478" s="150"/>
      <c r="CQ478" s="150"/>
      <c r="CR478" s="150"/>
      <c r="CS478" s="150"/>
      <c r="CT478" s="150"/>
      <c r="CU478" s="150"/>
      <c r="CV478" s="150"/>
      <c r="CW478" s="150"/>
      <c r="CX478" s="150"/>
      <c r="CY478" s="150"/>
      <c r="CZ478" s="150"/>
      <c r="DA478" s="150"/>
      <c r="DB478" s="150"/>
      <c r="DC478" s="150"/>
      <c r="DD478" s="150"/>
      <c r="DE478" s="150"/>
      <c r="DF478" s="150"/>
      <c r="DG478" s="150"/>
      <c r="DH478" s="150"/>
      <c r="DI478" s="150"/>
      <c r="DJ478" s="150"/>
      <c r="DK478" s="150"/>
      <c r="DL478" s="150"/>
      <c r="DM478" s="150"/>
      <c r="DN478" s="150"/>
      <c r="DO478" s="150"/>
      <c r="DP478" s="150"/>
      <c r="DQ478" s="150"/>
      <c r="DR478" s="150"/>
      <c r="DS478" s="150"/>
      <c r="DT478" s="150"/>
      <c r="DU478" s="150"/>
      <c r="DV478" s="150"/>
      <c r="DW478" s="150"/>
      <c r="DX478" s="150"/>
      <c r="DY478" s="150"/>
      <c r="DZ478" s="150"/>
      <c r="EA478" s="150"/>
      <c r="EB478" s="150"/>
      <c r="EC478" s="150"/>
      <c r="ED478" s="150"/>
      <c r="EE478" s="150"/>
      <c r="EF478" s="150"/>
      <c r="EG478" s="150"/>
      <c r="EH478" s="150"/>
      <c r="EI478" s="150"/>
      <c r="EJ478" s="150"/>
      <c r="EK478" s="150"/>
      <c r="EL478" s="150"/>
      <c r="EM478" s="150"/>
      <c r="EN478" s="150"/>
      <c r="EO478" s="150"/>
      <c r="EP478" s="150"/>
      <c r="EQ478" s="150"/>
      <c r="ER478" s="150"/>
      <c r="ES478" s="150"/>
      <c r="ET478" s="150"/>
      <c r="EU478" s="150"/>
      <c r="EV478" s="150"/>
      <c r="EW478" s="150"/>
      <c r="EX478" s="150"/>
      <c r="EY478" s="150"/>
      <c r="EZ478" s="150"/>
      <c r="FA478" s="150"/>
      <c r="FB478" s="150"/>
      <c r="FC478" s="150"/>
      <c r="FD478" s="150"/>
      <c r="FE478" s="150"/>
      <c r="FF478" s="150"/>
      <c r="FG478" s="150"/>
      <c r="FH478" s="150"/>
      <c r="FI478" s="150"/>
      <c r="FJ478" s="150"/>
      <c r="FK478" s="150"/>
      <c r="FL478" s="150"/>
      <c r="FM478" s="150"/>
      <c r="FN478" s="150"/>
    </row>
    <row r="479" spans="1:170" s="149" customFormat="1" x14ac:dyDescent="0.25">
      <c r="A479" s="142"/>
      <c r="B479" s="142"/>
      <c r="C479" s="142"/>
      <c r="D479" s="144"/>
      <c r="E479" s="143"/>
      <c r="F479" s="143"/>
      <c r="G479" s="144"/>
      <c r="H479" s="143"/>
      <c r="I479" s="143"/>
      <c r="J479" s="319"/>
      <c r="K479" s="319"/>
      <c r="L479" s="315"/>
      <c r="M479" s="315"/>
      <c r="N479" s="145"/>
      <c r="O479" s="145"/>
      <c r="P479" s="145"/>
      <c r="Q479" s="146"/>
      <c r="R479" s="147"/>
      <c r="S479" s="148"/>
      <c r="T479" s="148"/>
      <c r="U479" s="148"/>
      <c r="V479" s="148"/>
      <c r="W479" s="148"/>
      <c r="X479" s="148"/>
      <c r="Y479" s="148"/>
      <c r="Z479" s="148"/>
      <c r="AA479" s="148"/>
      <c r="AB479" s="148"/>
      <c r="AV479" s="150"/>
      <c r="AW479" s="150"/>
      <c r="AX479" s="150"/>
      <c r="AY479" s="150"/>
      <c r="AZ479" s="150"/>
      <c r="BA479" s="150"/>
      <c r="BB479" s="150"/>
      <c r="BC479" s="150"/>
      <c r="BD479" s="150"/>
      <c r="BE479" s="150"/>
      <c r="BF479" s="150"/>
      <c r="BG479" s="150"/>
      <c r="BH479" s="150"/>
      <c r="BI479" s="150"/>
      <c r="BJ479" s="150"/>
      <c r="BK479" s="150"/>
      <c r="BL479" s="150"/>
      <c r="BM479" s="150"/>
      <c r="BN479" s="150"/>
      <c r="BO479" s="150"/>
      <c r="BP479" s="150"/>
      <c r="BQ479" s="150"/>
      <c r="BR479" s="150"/>
      <c r="BS479" s="150"/>
      <c r="BT479" s="150"/>
      <c r="BU479" s="150"/>
      <c r="BV479" s="150"/>
      <c r="BW479" s="150"/>
      <c r="BX479" s="150"/>
      <c r="BY479" s="150"/>
      <c r="BZ479" s="150"/>
      <c r="CA479" s="150"/>
      <c r="CB479" s="150"/>
      <c r="CC479" s="150"/>
      <c r="CD479" s="150"/>
      <c r="CE479" s="150"/>
      <c r="CF479" s="150"/>
      <c r="CG479" s="150"/>
      <c r="CH479" s="150"/>
      <c r="CI479" s="150"/>
      <c r="CJ479" s="150"/>
      <c r="CK479" s="150"/>
      <c r="CL479" s="150"/>
      <c r="CM479" s="150"/>
      <c r="CN479" s="150"/>
      <c r="CO479" s="150"/>
      <c r="CP479" s="150"/>
      <c r="CQ479" s="150"/>
      <c r="CR479" s="150"/>
      <c r="CS479" s="150"/>
      <c r="CT479" s="150"/>
      <c r="CU479" s="150"/>
      <c r="CV479" s="150"/>
      <c r="CW479" s="150"/>
      <c r="CX479" s="150"/>
      <c r="CY479" s="150"/>
      <c r="CZ479" s="150"/>
      <c r="DA479" s="150"/>
      <c r="DB479" s="150"/>
      <c r="DC479" s="150"/>
      <c r="DD479" s="150"/>
      <c r="DE479" s="150"/>
      <c r="DF479" s="150"/>
      <c r="DG479" s="150"/>
      <c r="DH479" s="150"/>
      <c r="DI479" s="150"/>
      <c r="DJ479" s="150"/>
      <c r="DK479" s="150"/>
      <c r="DL479" s="150"/>
      <c r="DM479" s="150"/>
      <c r="DN479" s="150"/>
      <c r="DO479" s="150"/>
      <c r="DP479" s="150"/>
      <c r="DQ479" s="150"/>
      <c r="DR479" s="150"/>
      <c r="DS479" s="150"/>
      <c r="DT479" s="150"/>
      <c r="DU479" s="150"/>
      <c r="DV479" s="150"/>
      <c r="DW479" s="150"/>
      <c r="DX479" s="150"/>
      <c r="DY479" s="150"/>
      <c r="DZ479" s="150"/>
      <c r="EA479" s="150"/>
      <c r="EB479" s="150"/>
      <c r="EC479" s="150"/>
      <c r="ED479" s="150"/>
      <c r="EE479" s="150"/>
      <c r="EF479" s="150"/>
      <c r="EG479" s="150"/>
      <c r="EH479" s="150"/>
      <c r="EI479" s="150"/>
      <c r="EJ479" s="150"/>
      <c r="EK479" s="150"/>
      <c r="EL479" s="150"/>
      <c r="EM479" s="150"/>
      <c r="EN479" s="150"/>
      <c r="EO479" s="150"/>
      <c r="EP479" s="150"/>
      <c r="EQ479" s="150"/>
      <c r="ER479" s="150"/>
      <c r="ES479" s="150"/>
      <c r="ET479" s="150"/>
      <c r="EU479" s="150"/>
      <c r="EV479" s="150"/>
      <c r="EW479" s="150"/>
      <c r="EX479" s="150"/>
      <c r="EY479" s="150"/>
      <c r="EZ479" s="150"/>
      <c r="FA479" s="150"/>
      <c r="FB479" s="150"/>
      <c r="FC479" s="150"/>
      <c r="FD479" s="150"/>
      <c r="FE479" s="150"/>
      <c r="FF479" s="150"/>
      <c r="FG479" s="150"/>
      <c r="FH479" s="150"/>
      <c r="FI479" s="150"/>
      <c r="FJ479" s="150"/>
      <c r="FK479" s="150"/>
      <c r="FL479" s="150"/>
      <c r="FM479" s="150"/>
      <c r="FN479" s="150"/>
    </row>
    <row r="480" spans="1:170" s="149" customFormat="1" x14ac:dyDescent="0.25">
      <c r="A480" s="142"/>
      <c r="B480" s="142"/>
      <c r="C480" s="142"/>
      <c r="D480" s="144"/>
      <c r="E480" s="143"/>
      <c r="F480" s="143"/>
      <c r="G480" s="144"/>
      <c r="H480" s="143"/>
      <c r="I480" s="143"/>
      <c r="J480" s="319"/>
      <c r="K480" s="319"/>
      <c r="L480" s="315"/>
      <c r="M480" s="315"/>
      <c r="N480" s="145"/>
      <c r="O480" s="145"/>
      <c r="P480" s="145"/>
      <c r="Q480" s="146"/>
      <c r="R480" s="147"/>
      <c r="S480" s="148"/>
      <c r="T480" s="148"/>
      <c r="U480" s="148"/>
      <c r="V480" s="148"/>
      <c r="W480" s="148"/>
      <c r="X480" s="148"/>
      <c r="Y480" s="148"/>
      <c r="Z480" s="148"/>
      <c r="AA480" s="148"/>
      <c r="AB480" s="148"/>
      <c r="AV480" s="150"/>
      <c r="AW480" s="150"/>
      <c r="AX480" s="150"/>
      <c r="AY480" s="150"/>
      <c r="AZ480" s="150"/>
      <c r="BA480" s="150"/>
      <c r="BB480" s="150"/>
      <c r="BC480" s="150"/>
      <c r="BD480" s="150"/>
      <c r="BE480" s="150"/>
      <c r="BF480" s="150"/>
      <c r="BG480" s="150"/>
      <c r="BH480" s="150"/>
      <c r="BI480" s="150"/>
      <c r="BJ480" s="150"/>
      <c r="BK480" s="150"/>
      <c r="BL480" s="150"/>
      <c r="BM480" s="150"/>
      <c r="BN480" s="150"/>
      <c r="BO480" s="150"/>
      <c r="BP480" s="150"/>
      <c r="BQ480" s="150"/>
      <c r="BR480" s="150"/>
      <c r="BS480" s="150"/>
      <c r="BT480" s="150"/>
      <c r="BU480" s="150"/>
      <c r="BV480" s="150"/>
      <c r="BW480" s="150"/>
      <c r="BX480" s="150"/>
      <c r="BY480" s="150"/>
      <c r="BZ480" s="150"/>
      <c r="CA480" s="150"/>
      <c r="CB480" s="150"/>
      <c r="CC480" s="150"/>
      <c r="CD480" s="150"/>
      <c r="CE480" s="150"/>
      <c r="CF480" s="150"/>
      <c r="CG480" s="150"/>
      <c r="CH480" s="150"/>
      <c r="CI480" s="150"/>
      <c r="CJ480" s="150"/>
      <c r="CK480" s="150"/>
      <c r="CL480" s="150"/>
      <c r="CM480" s="150"/>
      <c r="CN480" s="150"/>
      <c r="CO480" s="150"/>
      <c r="CP480" s="150"/>
      <c r="CQ480" s="150"/>
      <c r="CR480" s="150"/>
      <c r="CS480" s="150"/>
      <c r="CT480" s="150"/>
      <c r="CU480" s="150"/>
      <c r="CV480" s="150"/>
      <c r="CW480" s="150"/>
      <c r="CX480" s="150"/>
      <c r="CY480" s="150"/>
      <c r="CZ480" s="150"/>
      <c r="DA480" s="150"/>
      <c r="DB480" s="150"/>
      <c r="DC480" s="150"/>
      <c r="DD480" s="150"/>
      <c r="DE480" s="150"/>
      <c r="DF480" s="150"/>
      <c r="DG480" s="150"/>
      <c r="DH480" s="150"/>
      <c r="DI480" s="150"/>
      <c r="DJ480" s="150"/>
      <c r="DK480" s="150"/>
      <c r="DL480" s="150"/>
      <c r="DM480" s="150"/>
      <c r="DN480" s="150"/>
      <c r="DO480" s="150"/>
      <c r="DP480" s="150"/>
      <c r="DQ480" s="150"/>
      <c r="DR480" s="150"/>
      <c r="DS480" s="150"/>
      <c r="DT480" s="150"/>
      <c r="DU480" s="150"/>
      <c r="DV480" s="150"/>
      <c r="DW480" s="150"/>
      <c r="DX480" s="150"/>
      <c r="DY480" s="150"/>
      <c r="DZ480" s="150"/>
      <c r="EA480" s="150"/>
      <c r="EB480" s="150"/>
      <c r="EC480" s="150"/>
      <c r="ED480" s="150"/>
      <c r="EE480" s="150"/>
      <c r="EF480" s="150"/>
      <c r="EG480" s="150"/>
      <c r="EH480" s="150"/>
      <c r="EI480" s="150"/>
      <c r="EJ480" s="150"/>
      <c r="EK480" s="150"/>
      <c r="EL480" s="150"/>
      <c r="EM480" s="150"/>
      <c r="EN480" s="150"/>
      <c r="EO480" s="150"/>
      <c r="EP480" s="150"/>
      <c r="EQ480" s="150"/>
      <c r="ER480" s="150"/>
      <c r="ES480" s="150"/>
      <c r="ET480" s="150"/>
      <c r="EU480" s="150"/>
      <c r="EV480" s="150"/>
      <c r="EW480" s="150"/>
      <c r="EX480" s="150"/>
      <c r="EY480" s="150"/>
      <c r="EZ480" s="150"/>
      <c r="FA480" s="150"/>
      <c r="FB480" s="150"/>
      <c r="FC480" s="150"/>
      <c r="FD480" s="150"/>
      <c r="FE480" s="150"/>
      <c r="FF480" s="150"/>
      <c r="FG480" s="150"/>
      <c r="FH480" s="150"/>
      <c r="FI480" s="150"/>
      <c r="FJ480" s="150"/>
      <c r="FK480" s="150"/>
      <c r="FL480" s="150"/>
      <c r="FM480" s="150"/>
      <c r="FN480" s="150"/>
    </row>
    <row r="481" spans="1:170" s="149" customFormat="1" x14ac:dyDescent="0.25">
      <c r="A481" s="142"/>
      <c r="B481" s="142"/>
      <c r="C481" s="142"/>
      <c r="D481" s="144"/>
      <c r="E481" s="143"/>
      <c r="F481" s="143"/>
      <c r="G481" s="144"/>
      <c r="H481" s="143"/>
      <c r="I481" s="143"/>
      <c r="J481" s="319"/>
      <c r="K481" s="319"/>
      <c r="L481" s="315"/>
      <c r="M481" s="315"/>
      <c r="N481" s="145"/>
      <c r="O481" s="145"/>
      <c r="P481" s="145"/>
      <c r="Q481" s="146"/>
      <c r="R481" s="147"/>
      <c r="S481" s="148"/>
      <c r="T481" s="148"/>
      <c r="U481" s="148"/>
      <c r="V481" s="148"/>
      <c r="W481" s="148"/>
      <c r="X481" s="148"/>
      <c r="Y481" s="148"/>
      <c r="Z481" s="148"/>
      <c r="AA481" s="148"/>
      <c r="AB481" s="148"/>
      <c r="AV481" s="150"/>
      <c r="AW481" s="150"/>
      <c r="AX481" s="150"/>
      <c r="AY481" s="150"/>
      <c r="AZ481" s="150"/>
      <c r="BA481" s="150"/>
      <c r="BB481" s="150"/>
      <c r="BC481" s="150"/>
      <c r="BD481" s="150"/>
      <c r="BE481" s="150"/>
      <c r="BF481" s="150"/>
      <c r="BG481" s="150"/>
      <c r="BH481" s="150"/>
      <c r="BI481" s="150"/>
      <c r="BJ481" s="150"/>
      <c r="BK481" s="150"/>
      <c r="BL481" s="150"/>
      <c r="BM481" s="150"/>
      <c r="BN481" s="150"/>
      <c r="BO481" s="150"/>
      <c r="BP481" s="150"/>
      <c r="BQ481" s="150"/>
      <c r="BR481" s="150"/>
      <c r="BS481" s="150"/>
      <c r="BT481" s="150"/>
      <c r="BU481" s="150"/>
      <c r="BV481" s="150"/>
      <c r="BW481" s="150"/>
      <c r="BX481" s="150"/>
      <c r="BY481" s="150"/>
      <c r="BZ481" s="150"/>
      <c r="CA481" s="150"/>
      <c r="CB481" s="150"/>
      <c r="CC481" s="150"/>
      <c r="CD481" s="150"/>
      <c r="CE481" s="150"/>
      <c r="CF481" s="150"/>
      <c r="CG481" s="150"/>
      <c r="CH481" s="150"/>
      <c r="CI481" s="150"/>
      <c r="CJ481" s="150"/>
      <c r="CK481" s="150"/>
      <c r="CL481" s="150"/>
      <c r="CM481" s="150"/>
      <c r="CN481" s="150"/>
      <c r="CO481" s="150"/>
      <c r="CP481" s="150"/>
      <c r="CQ481" s="150"/>
      <c r="CR481" s="150"/>
      <c r="CS481" s="150"/>
      <c r="CT481" s="150"/>
      <c r="CU481" s="150"/>
      <c r="CV481" s="150"/>
      <c r="CW481" s="150"/>
      <c r="CX481" s="150"/>
      <c r="CY481" s="150"/>
      <c r="CZ481" s="150"/>
      <c r="DA481" s="150"/>
      <c r="DB481" s="150"/>
      <c r="DC481" s="150"/>
      <c r="DD481" s="150"/>
      <c r="DE481" s="150"/>
      <c r="DF481" s="150"/>
      <c r="DG481" s="150"/>
      <c r="DH481" s="150"/>
      <c r="DI481" s="150"/>
      <c r="DJ481" s="150"/>
      <c r="DK481" s="150"/>
      <c r="DL481" s="150"/>
      <c r="DM481" s="150"/>
      <c r="DN481" s="150"/>
      <c r="DO481" s="150"/>
      <c r="DP481" s="150"/>
      <c r="DQ481" s="150"/>
      <c r="DR481" s="150"/>
      <c r="DS481" s="150"/>
      <c r="DT481" s="150"/>
      <c r="DU481" s="150"/>
      <c r="DV481" s="150"/>
      <c r="DW481" s="150"/>
      <c r="DX481" s="150"/>
      <c r="DY481" s="150"/>
      <c r="DZ481" s="150"/>
      <c r="EA481" s="150"/>
      <c r="EB481" s="150"/>
      <c r="EC481" s="150"/>
      <c r="ED481" s="150"/>
      <c r="EE481" s="150"/>
      <c r="EF481" s="150"/>
      <c r="EG481" s="150"/>
      <c r="EH481" s="150"/>
      <c r="EI481" s="150"/>
      <c r="EJ481" s="150"/>
      <c r="EK481" s="150"/>
      <c r="EL481" s="150"/>
      <c r="EM481" s="150"/>
      <c r="EN481" s="150"/>
      <c r="EO481" s="150"/>
      <c r="EP481" s="150"/>
      <c r="EQ481" s="150"/>
      <c r="ER481" s="150"/>
      <c r="ES481" s="150"/>
      <c r="ET481" s="150"/>
      <c r="EU481" s="150"/>
      <c r="EV481" s="150"/>
      <c r="EW481" s="150"/>
      <c r="EX481" s="150"/>
      <c r="EY481" s="150"/>
      <c r="EZ481" s="150"/>
      <c r="FA481" s="150"/>
      <c r="FB481" s="150"/>
      <c r="FC481" s="150"/>
      <c r="FD481" s="150"/>
      <c r="FE481" s="150"/>
      <c r="FF481" s="150"/>
      <c r="FG481" s="150"/>
      <c r="FH481" s="150"/>
      <c r="FI481" s="150"/>
      <c r="FJ481" s="150"/>
      <c r="FK481" s="150"/>
      <c r="FL481" s="150"/>
      <c r="FM481" s="150"/>
      <c r="FN481" s="150"/>
    </row>
    <row r="482" spans="1:170" s="149" customFormat="1" x14ac:dyDescent="0.25">
      <c r="A482" s="142"/>
      <c r="B482" s="142"/>
      <c r="C482" s="142"/>
      <c r="D482" s="144"/>
      <c r="E482" s="143"/>
      <c r="F482" s="143"/>
      <c r="G482" s="144"/>
      <c r="H482" s="143"/>
      <c r="I482" s="143"/>
      <c r="J482" s="319"/>
      <c r="K482" s="319"/>
      <c r="L482" s="315"/>
      <c r="M482" s="315"/>
      <c r="N482" s="145"/>
      <c r="O482" s="145"/>
      <c r="P482" s="145"/>
      <c r="Q482" s="146"/>
      <c r="R482" s="147"/>
      <c r="S482" s="148"/>
      <c r="T482" s="148"/>
      <c r="U482" s="148"/>
      <c r="V482" s="148"/>
      <c r="W482" s="148"/>
      <c r="X482" s="148"/>
      <c r="Y482" s="148"/>
      <c r="Z482" s="148"/>
      <c r="AA482" s="148"/>
      <c r="AB482" s="148"/>
      <c r="AV482" s="150"/>
      <c r="AW482" s="150"/>
      <c r="AX482" s="150"/>
      <c r="AY482" s="150"/>
      <c r="AZ482" s="150"/>
      <c r="BA482" s="150"/>
      <c r="BB482" s="150"/>
      <c r="BC482" s="150"/>
      <c r="BD482" s="150"/>
      <c r="BE482" s="150"/>
      <c r="BF482" s="150"/>
      <c r="BG482" s="150"/>
      <c r="BH482" s="150"/>
      <c r="BI482" s="150"/>
      <c r="BJ482" s="150"/>
      <c r="BK482" s="150"/>
      <c r="BL482" s="150"/>
      <c r="BM482" s="150"/>
      <c r="BN482" s="150"/>
      <c r="BO482" s="150"/>
      <c r="BP482" s="150"/>
      <c r="BQ482" s="150"/>
      <c r="BR482" s="150"/>
      <c r="BS482" s="150"/>
      <c r="BT482" s="150"/>
      <c r="BU482" s="150"/>
      <c r="BV482" s="150"/>
      <c r="BW482" s="150"/>
      <c r="BX482" s="150"/>
      <c r="BY482" s="150"/>
      <c r="BZ482" s="150"/>
      <c r="CA482" s="150"/>
      <c r="CB482" s="150"/>
      <c r="CC482" s="150"/>
      <c r="CD482" s="150"/>
      <c r="CE482" s="150"/>
      <c r="CF482" s="150"/>
      <c r="CG482" s="150"/>
      <c r="CH482" s="150"/>
      <c r="CI482" s="150"/>
      <c r="CJ482" s="150"/>
      <c r="CK482" s="150"/>
      <c r="CL482" s="150"/>
      <c r="CM482" s="150"/>
      <c r="CN482" s="150"/>
      <c r="CO482" s="150"/>
      <c r="CP482" s="150"/>
      <c r="CQ482" s="150"/>
      <c r="CR482" s="150"/>
      <c r="CS482" s="150"/>
      <c r="CT482" s="150"/>
      <c r="CU482" s="150"/>
      <c r="CV482" s="150"/>
      <c r="CW482" s="150"/>
      <c r="CX482" s="150"/>
      <c r="CY482" s="150"/>
      <c r="CZ482" s="150"/>
      <c r="DA482" s="150"/>
      <c r="DB482" s="150"/>
      <c r="DC482" s="150"/>
      <c r="DD482" s="150"/>
      <c r="DE482" s="150"/>
      <c r="DF482" s="150"/>
      <c r="DG482" s="150"/>
      <c r="DH482" s="150"/>
      <c r="DI482" s="150"/>
      <c r="DJ482" s="150"/>
      <c r="DK482" s="150"/>
      <c r="DL482" s="150"/>
      <c r="DM482" s="150"/>
      <c r="DN482" s="150"/>
      <c r="DO482" s="150"/>
      <c r="DP482" s="150"/>
      <c r="DQ482" s="150"/>
      <c r="DR482" s="150"/>
      <c r="DS482" s="150"/>
      <c r="DT482" s="150"/>
      <c r="DU482" s="150"/>
      <c r="DV482" s="150"/>
      <c r="DW482" s="150"/>
      <c r="DX482" s="150"/>
      <c r="DY482" s="150"/>
      <c r="DZ482" s="150"/>
      <c r="EA482" s="150"/>
      <c r="EB482" s="150"/>
      <c r="EC482" s="150"/>
      <c r="ED482" s="150"/>
      <c r="EE482" s="150"/>
      <c r="EF482" s="150"/>
      <c r="EG482" s="150"/>
      <c r="EH482" s="150"/>
      <c r="EI482" s="150"/>
      <c r="EJ482" s="150"/>
      <c r="EK482" s="150"/>
      <c r="EL482" s="150"/>
      <c r="EM482" s="150"/>
      <c r="EN482" s="150"/>
      <c r="EO482" s="150"/>
      <c r="EP482" s="150"/>
      <c r="EQ482" s="150"/>
      <c r="ER482" s="150"/>
      <c r="ES482" s="150"/>
      <c r="ET482" s="150"/>
      <c r="EU482" s="150"/>
      <c r="EV482" s="150"/>
      <c r="EW482" s="150"/>
      <c r="EX482" s="150"/>
      <c r="EY482" s="150"/>
      <c r="EZ482" s="150"/>
      <c r="FA482" s="150"/>
      <c r="FB482" s="150"/>
      <c r="FC482" s="150"/>
      <c r="FD482" s="150"/>
      <c r="FE482" s="150"/>
      <c r="FF482" s="150"/>
      <c r="FG482" s="150"/>
      <c r="FH482" s="150"/>
      <c r="FI482" s="150"/>
      <c r="FJ482" s="150"/>
      <c r="FK482" s="150"/>
      <c r="FL482" s="150"/>
      <c r="FM482" s="150"/>
      <c r="FN482" s="150"/>
    </row>
    <row r="483" spans="1:170" s="149" customFormat="1" x14ac:dyDescent="0.25">
      <c r="A483" s="142"/>
      <c r="B483" s="142"/>
      <c r="C483" s="142"/>
      <c r="D483" s="144"/>
      <c r="E483" s="143"/>
      <c r="F483" s="143"/>
      <c r="G483" s="144"/>
      <c r="H483" s="143"/>
      <c r="I483" s="143"/>
      <c r="J483" s="319"/>
      <c r="K483" s="319"/>
      <c r="L483" s="315"/>
      <c r="M483" s="315"/>
      <c r="N483" s="145"/>
      <c r="O483" s="145"/>
      <c r="P483" s="145"/>
      <c r="Q483" s="146"/>
      <c r="R483" s="147"/>
      <c r="S483" s="148"/>
      <c r="T483" s="148"/>
      <c r="U483" s="148"/>
      <c r="V483" s="148"/>
      <c r="W483" s="148"/>
      <c r="X483" s="148"/>
      <c r="Y483" s="148"/>
      <c r="Z483" s="148"/>
      <c r="AA483" s="148"/>
      <c r="AB483" s="148"/>
      <c r="AV483" s="150"/>
      <c r="AW483" s="150"/>
      <c r="AX483" s="150"/>
      <c r="AY483" s="150"/>
      <c r="AZ483" s="150"/>
      <c r="BA483" s="150"/>
      <c r="BB483" s="150"/>
      <c r="BC483" s="150"/>
      <c r="BD483" s="150"/>
      <c r="BE483" s="150"/>
      <c r="BF483" s="150"/>
      <c r="BG483" s="150"/>
      <c r="BH483" s="150"/>
      <c r="BI483" s="150"/>
      <c r="BJ483" s="150"/>
      <c r="BK483" s="150"/>
      <c r="BL483" s="150"/>
      <c r="BM483" s="150"/>
      <c r="BN483" s="150"/>
      <c r="BO483" s="150"/>
      <c r="BP483" s="150"/>
      <c r="BQ483" s="150"/>
      <c r="BR483" s="150"/>
      <c r="BS483" s="150"/>
      <c r="BT483" s="150"/>
      <c r="BU483" s="150"/>
      <c r="BV483" s="150"/>
      <c r="BW483" s="150"/>
      <c r="BX483" s="150"/>
      <c r="BY483" s="150"/>
      <c r="BZ483" s="150"/>
      <c r="CA483" s="150"/>
      <c r="CB483" s="150"/>
      <c r="CC483" s="150"/>
      <c r="CD483" s="150"/>
      <c r="CE483" s="150"/>
      <c r="CF483" s="150"/>
      <c r="CG483" s="150"/>
      <c r="CH483" s="150"/>
      <c r="CI483" s="150"/>
      <c r="CJ483" s="150"/>
      <c r="CK483" s="150"/>
      <c r="CL483" s="150"/>
      <c r="CM483" s="150"/>
      <c r="CN483" s="150"/>
      <c r="CO483" s="150"/>
      <c r="CP483" s="150"/>
      <c r="CQ483" s="150"/>
      <c r="CR483" s="150"/>
      <c r="CS483" s="150"/>
      <c r="CT483" s="150"/>
      <c r="CU483" s="150"/>
      <c r="CV483" s="150"/>
      <c r="CW483" s="150"/>
      <c r="CX483" s="150"/>
      <c r="CY483" s="150"/>
      <c r="CZ483" s="150"/>
      <c r="DA483" s="150"/>
      <c r="DB483" s="150"/>
      <c r="DC483" s="150"/>
      <c r="DD483" s="150"/>
      <c r="DE483" s="150"/>
      <c r="DF483" s="150"/>
      <c r="DG483" s="150"/>
      <c r="DH483" s="150"/>
      <c r="DI483" s="150"/>
      <c r="DJ483" s="150"/>
      <c r="DK483" s="150"/>
      <c r="DL483" s="150"/>
      <c r="DM483" s="150"/>
      <c r="DN483" s="150"/>
      <c r="DO483" s="150"/>
      <c r="DP483" s="150"/>
      <c r="DQ483" s="150"/>
      <c r="DR483" s="150"/>
      <c r="DS483" s="150"/>
      <c r="DT483" s="150"/>
      <c r="DU483" s="150"/>
      <c r="DV483" s="150"/>
      <c r="DW483" s="150"/>
      <c r="DX483" s="150"/>
      <c r="DY483" s="150"/>
      <c r="DZ483" s="150"/>
      <c r="EA483" s="150"/>
      <c r="EB483" s="150"/>
      <c r="EC483" s="150"/>
      <c r="ED483" s="150"/>
      <c r="EE483" s="150"/>
      <c r="EF483" s="150"/>
      <c r="EG483" s="150"/>
      <c r="EH483" s="150"/>
      <c r="EI483" s="150"/>
      <c r="EJ483" s="150"/>
      <c r="EK483" s="150"/>
      <c r="EL483" s="150"/>
      <c r="EM483" s="150"/>
      <c r="EN483" s="150"/>
      <c r="EO483" s="150"/>
      <c r="EP483" s="150"/>
      <c r="EQ483" s="150"/>
      <c r="ER483" s="150"/>
      <c r="ES483" s="150"/>
      <c r="ET483" s="150"/>
      <c r="EU483" s="150"/>
      <c r="EV483" s="150"/>
      <c r="EW483" s="150"/>
      <c r="EX483" s="150"/>
      <c r="EY483" s="150"/>
      <c r="EZ483" s="150"/>
      <c r="FA483" s="150"/>
      <c r="FB483" s="150"/>
      <c r="FC483" s="150"/>
      <c r="FD483" s="150"/>
      <c r="FE483" s="150"/>
      <c r="FF483" s="150"/>
      <c r="FG483" s="150"/>
      <c r="FH483" s="150"/>
      <c r="FI483" s="150"/>
      <c r="FJ483" s="150"/>
      <c r="FK483" s="150"/>
      <c r="FL483" s="150"/>
      <c r="FM483" s="150"/>
      <c r="FN483" s="150"/>
    </row>
    <row r="484" spans="1:170" s="149" customFormat="1" x14ac:dyDescent="0.25">
      <c r="A484" s="142"/>
      <c r="B484" s="142"/>
      <c r="C484" s="142"/>
      <c r="D484" s="144"/>
      <c r="E484" s="143"/>
      <c r="F484" s="143"/>
      <c r="G484" s="144"/>
      <c r="H484" s="143"/>
      <c r="I484" s="143"/>
      <c r="J484" s="319"/>
      <c r="K484" s="319"/>
      <c r="L484" s="315"/>
      <c r="M484" s="315"/>
      <c r="N484" s="145"/>
      <c r="O484" s="145"/>
      <c r="P484" s="145"/>
      <c r="Q484" s="146"/>
      <c r="R484" s="147"/>
      <c r="S484" s="148"/>
      <c r="T484" s="148"/>
      <c r="U484" s="148"/>
      <c r="V484" s="148"/>
      <c r="W484" s="148"/>
      <c r="X484" s="148"/>
      <c r="Y484" s="148"/>
      <c r="Z484" s="148"/>
      <c r="AA484" s="148"/>
      <c r="AB484" s="148"/>
      <c r="AV484" s="150"/>
      <c r="AW484" s="150"/>
      <c r="AX484" s="150"/>
      <c r="AY484" s="150"/>
      <c r="AZ484" s="150"/>
      <c r="BA484" s="150"/>
      <c r="BB484" s="150"/>
      <c r="BC484" s="150"/>
      <c r="BD484" s="150"/>
      <c r="BE484" s="150"/>
      <c r="BF484" s="150"/>
      <c r="BG484" s="150"/>
      <c r="BH484" s="150"/>
      <c r="BI484" s="150"/>
      <c r="BJ484" s="150"/>
      <c r="BK484" s="150"/>
      <c r="BL484" s="150"/>
      <c r="BM484" s="150"/>
      <c r="BN484" s="150"/>
      <c r="BO484" s="150"/>
      <c r="BP484" s="150"/>
      <c r="BQ484" s="150"/>
      <c r="BR484" s="150"/>
      <c r="BS484" s="150"/>
      <c r="BT484" s="150"/>
      <c r="BU484" s="150"/>
      <c r="BV484" s="150"/>
      <c r="BW484" s="150"/>
      <c r="BX484" s="150"/>
      <c r="BY484" s="150"/>
      <c r="BZ484" s="150"/>
      <c r="CA484" s="150"/>
      <c r="CB484" s="150"/>
      <c r="CC484" s="150"/>
      <c r="CD484" s="150"/>
      <c r="CE484" s="150"/>
      <c r="CF484" s="150"/>
      <c r="CG484" s="150"/>
      <c r="CH484" s="150"/>
      <c r="CI484" s="150"/>
      <c r="CJ484" s="150"/>
      <c r="CK484" s="150"/>
      <c r="CL484" s="150"/>
      <c r="CM484" s="150"/>
      <c r="CN484" s="150"/>
      <c r="CO484" s="150"/>
      <c r="CP484" s="150"/>
      <c r="CQ484" s="150"/>
      <c r="CR484" s="150"/>
      <c r="CS484" s="150"/>
      <c r="CT484" s="150"/>
      <c r="CU484" s="150"/>
      <c r="CV484" s="150"/>
      <c r="CW484" s="150"/>
      <c r="CX484" s="150"/>
      <c r="CY484" s="150"/>
      <c r="CZ484" s="150"/>
      <c r="DA484" s="150"/>
      <c r="DB484" s="150"/>
      <c r="DC484" s="150"/>
      <c r="DD484" s="150"/>
      <c r="DE484" s="150"/>
      <c r="DF484" s="150"/>
      <c r="DG484" s="150"/>
      <c r="DH484" s="150"/>
      <c r="DI484" s="150"/>
      <c r="DJ484" s="150"/>
      <c r="DK484" s="150"/>
      <c r="DL484" s="150"/>
      <c r="DM484" s="150"/>
      <c r="DN484" s="150"/>
      <c r="DO484" s="150"/>
      <c r="DP484" s="150"/>
      <c r="DQ484" s="150"/>
      <c r="DR484" s="150"/>
      <c r="DS484" s="150"/>
      <c r="DT484" s="150"/>
      <c r="DU484" s="150"/>
      <c r="DV484" s="150"/>
      <c r="DW484" s="150"/>
      <c r="DX484" s="150"/>
      <c r="DY484" s="150"/>
      <c r="DZ484" s="150"/>
      <c r="EA484" s="150"/>
      <c r="EB484" s="150"/>
      <c r="EC484" s="150"/>
      <c r="ED484" s="150"/>
      <c r="EE484" s="150"/>
      <c r="EF484" s="150"/>
      <c r="EG484" s="150"/>
      <c r="EH484" s="150"/>
      <c r="EI484" s="150"/>
      <c r="EJ484" s="150"/>
      <c r="EK484" s="150"/>
      <c r="EL484" s="150"/>
      <c r="EM484" s="150"/>
      <c r="EN484" s="150"/>
      <c r="EO484" s="150"/>
      <c r="EP484" s="150"/>
      <c r="EQ484" s="150"/>
      <c r="ER484" s="150"/>
      <c r="ES484" s="150"/>
      <c r="ET484" s="150"/>
      <c r="EU484" s="150"/>
      <c r="EV484" s="150"/>
      <c r="EW484" s="150"/>
      <c r="EX484" s="150"/>
      <c r="EY484" s="150"/>
      <c r="EZ484" s="150"/>
      <c r="FA484" s="150"/>
      <c r="FB484" s="150"/>
      <c r="FC484" s="150"/>
      <c r="FD484" s="150"/>
      <c r="FE484" s="150"/>
      <c r="FF484" s="150"/>
      <c r="FG484" s="150"/>
      <c r="FH484" s="150"/>
      <c r="FI484" s="150"/>
      <c r="FJ484" s="150"/>
      <c r="FK484" s="150"/>
      <c r="FL484" s="150"/>
      <c r="FM484" s="150"/>
      <c r="FN484" s="150"/>
    </row>
    <row r="485" spans="1:170" s="149" customFormat="1" x14ac:dyDescent="0.25">
      <c r="A485" s="142"/>
      <c r="B485" s="142"/>
      <c r="C485" s="142"/>
      <c r="D485" s="144"/>
      <c r="E485" s="143"/>
      <c r="F485" s="143"/>
      <c r="G485" s="144"/>
      <c r="H485" s="143"/>
      <c r="I485" s="143"/>
      <c r="J485" s="319"/>
      <c r="K485" s="319"/>
      <c r="L485" s="315"/>
      <c r="M485" s="315"/>
      <c r="N485" s="145"/>
      <c r="O485" s="145"/>
      <c r="P485" s="145"/>
      <c r="Q485" s="146"/>
      <c r="R485" s="147"/>
      <c r="S485" s="148"/>
      <c r="T485" s="148"/>
      <c r="U485" s="148"/>
      <c r="V485" s="148"/>
      <c r="W485" s="148"/>
      <c r="X485" s="148"/>
      <c r="Y485" s="148"/>
      <c r="Z485" s="148"/>
      <c r="AA485" s="148"/>
      <c r="AB485" s="148"/>
      <c r="AV485" s="150"/>
      <c r="AW485" s="150"/>
      <c r="AX485" s="150"/>
      <c r="AY485" s="150"/>
      <c r="AZ485" s="150"/>
      <c r="BA485" s="150"/>
      <c r="BB485" s="150"/>
      <c r="BC485" s="150"/>
      <c r="BD485" s="150"/>
      <c r="BE485" s="150"/>
      <c r="BF485" s="150"/>
      <c r="BG485" s="150"/>
      <c r="BH485" s="150"/>
      <c r="BI485" s="150"/>
      <c r="BJ485" s="150"/>
      <c r="BK485" s="150"/>
      <c r="BL485" s="150"/>
      <c r="BM485" s="150"/>
      <c r="BN485" s="150"/>
      <c r="BO485" s="150"/>
      <c r="BP485" s="150"/>
      <c r="BQ485" s="150"/>
      <c r="BR485" s="150"/>
      <c r="BS485" s="150"/>
      <c r="BT485" s="150"/>
      <c r="BU485" s="150"/>
      <c r="BV485" s="150"/>
      <c r="BW485" s="150"/>
      <c r="BX485" s="150"/>
      <c r="BY485" s="150"/>
      <c r="BZ485" s="150"/>
      <c r="CA485" s="150"/>
      <c r="CB485" s="150"/>
      <c r="CC485" s="150"/>
      <c r="CD485" s="150"/>
      <c r="CE485" s="150"/>
      <c r="CF485" s="150"/>
      <c r="CG485" s="150"/>
      <c r="CH485" s="150"/>
      <c r="CI485" s="150"/>
      <c r="CJ485" s="150"/>
      <c r="CK485" s="150"/>
      <c r="CL485" s="150"/>
      <c r="CM485" s="150"/>
      <c r="CN485" s="150"/>
      <c r="CO485" s="150"/>
      <c r="CP485" s="150"/>
      <c r="CQ485" s="150"/>
      <c r="CR485" s="150"/>
      <c r="CS485" s="150"/>
      <c r="CT485" s="150"/>
      <c r="CU485" s="150"/>
      <c r="CV485" s="150"/>
      <c r="CW485" s="150"/>
      <c r="CX485" s="150"/>
      <c r="CY485" s="150"/>
      <c r="CZ485" s="150"/>
      <c r="DA485" s="150"/>
      <c r="DB485" s="150"/>
      <c r="DC485" s="150"/>
      <c r="DD485" s="150"/>
      <c r="DE485" s="150"/>
      <c r="DF485" s="150"/>
      <c r="DG485" s="150"/>
      <c r="DH485" s="150"/>
      <c r="DI485" s="150"/>
      <c r="DJ485" s="150"/>
      <c r="DK485" s="150"/>
      <c r="DL485" s="150"/>
      <c r="DM485" s="150"/>
      <c r="DN485" s="150"/>
      <c r="DO485" s="150"/>
      <c r="DP485" s="150"/>
      <c r="DQ485" s="150"/>
      <c r="DR485" s="150"/>
      <c r="DS485" s="150"/>
      <c r="DT485" s="150"/>
      <c r="DU485" s="150"/>
      <c r="DV485" s="150"/>
      <c r="DW485" s="150"/>
      <c r="DX485" s="150"/>
      <c r="DY485" s="150"/>
      <c r="DZ485" s="150"/>
      <c r="EA485" s="150"/>
      <c r="EB485" s="150"/>
      <c r="EC485" s="150"/>
      <c r="ED485" s="150"/>
      <c r="EE485" s="150"/>
      <c r="EF485" s="150"/>
      <c r="EG485" s="150"/>
      <c r="EH485" s="150"/>
      <c r="EI485" s="150"/>
      <c r="EJ485" s="150"/>
      <c r="EK485" s="150"/>
      <c r="EL485" s="150"/>
      <c r="EM485" s="150"/>
      <c r="EN485" s="150"/>
      <c r="EO485" s="150"/>
      <c r="EP485" s="150"/>
      <c r="EQ485" s="150"/>
      <c r="ER485" s="150"/>
      <c r="ES485" s="150"/>
      <c r="ET485" s="150"/>
      <c r="EU485" s="150"/>
      <c r="EV485" s="150"/>
      <c r="EW485" s="150"/>
      <c r="EX485" s="150"/>
      <c r="EY485" s="150"/>
      <c r="EZ485" s="150"/>
      <c r="FA485" s="150"/>
      <c r="FB485" s="150"/>
      <c r="FC485" s="150"/>
      <c r="FD485" s="150"/>
      <c r="FE485" s="150"/>
      <c r="FF485" s="150"/>
      <c r="FG485" s="150"/>
      <c r="FH485" s="150"/>
      <c r="FI485" s="150"/>
      <c r="FJ485" s="150"/>
      <c r="FK485" s="150"/>
      <c r="FL485" s="150"/>
      <c r="FM485" s="150"/>
      <c r="FN485" s="150"/>
    </row>
    <row r="486" spans="1:170" s="149" customFormat="1" x14ac:dyDescent="0.25">
      <c r="A486" s="142"/>
      <c r="B486" s="142"/>
      <c r="C486" s="142"/>
      <c r="D486" s="144"/>
      <c r="E486" s="143"/>
      <c r="F486" s="143"/>
      <c r="G486" s="144"/>
      <c r="H486" s="143"/>
      <c r="I486" s="143"/>
      <c r="J486" s="319"/>
      <c r="K486" s="319"/>
      <c r="L486" s="315"/>
      <c r="M486" s="315"/>
      <c r="N486" s="145"/>
      <c r="O486" s="145"/>
      <c r="P486" s="145"/>
      <c r="Q486" s="146"/>
      <c r="R486" s="147"/>
      <c r="S486" s="148"/>
      <c r="T486" s="148"/>
      <c r="U486" s="148"/>
      <c r="V486" s="148"/>
      <c r="W486" s="148"/>
      <c r="X486" s="148"/>
      <c r="Y486" s="148"/>
      <c r="Z486" s="148"/>
      <c r="AA486" s="148"/>
      <c r="AB486" s="148"/>
      <c r="AV486" s="150"/>
      <c r="AW486" s="150"/>
      <c r="AX486" s="150"/>
      <c r="AY486" s="150"/>
      <c r="AZ486" s="150"/>
      <c r="BA486" s="150"/>
      <c r="BB486" s="150"/>
      <c r="BC486" s="150"/>
      <c r="BD486" s="150"/>
      <c r="BE486" s="150"/>
      <c r="BF486" s="150"/>
      <c r="BG486" s="150"/>
      <c r="BH486" s="150"/>
      <c r="BI486" s="150"/>
      <c r="BJ486" s="150"/>
      <c r="BK486" s="150"/>
      <c r="BL486" s="150"/>
      <c r="BM486" s="150"/>
      <c r="BN486" s="150"/>
      <c r="BO486" s="150"/>
      <c r="BP486" s="150"/>
      <c r="BQ486" s="150"/>
      <c r="BR486" s="150"/>
      <c r="BS486" s="150"/>
      <c r="BT486" s="150"/>
      <c r="BU486" s="150"/>
      <c r="BV486" s="150"/>
      <c r="BW486" s="150"/>
      <c r="BX486" s="150"/>
      <c r="BY486" s="150"/>
      <c r="BZ486" s="150"/>
      <c r="CA486" s="150"/>
      <c r="CB486" s="150"/>
      <c r="CC486" s="150"/>
      <c r="CD486" s="150"/>
      <c r="CE486" s="150"/>
      <c r="CF486" s="150"/>
      <c r="CG486" s="150"/>
      <c r="CH486" s="150"/>
      <c r="CI486" s="150"/>
      <c r="CJ486" s="150"/>
      <c r="CK486" s="150"/>
      <c r="CL486" s="150"/>
      <c r="CM486" s="150"/>
      <c r="CN486" s="150"/>
      <c r="CO486" s="150"/>
      <c r="CP486" s="150"/>
      <c r="CQ486" s="150"/>
      <c r="CR486" s="150"/>
      <c r="CS486" s="150"/>
      <c r="CT486" s="150"/>
      <c r="CU486" s="150"/>
      <c r="CV486" s="150"/>
      <c r="CW486" s="150"/>
      <c r="CX486" s="150"/>
      <c r="CY486" s="150"/>
      <c r="CZ486" s="150"/>
      <c r="DA486" s="150"/>
      <c r="DB486" s="150"/>
      <c r="DC486" s="150"/>
      <c r="DD486" s="150"/>
      <c r="DE486" s="150"/>
      <c r="DF486" s="150"/>
      <c r="DG486" s="150"/>
      <c r="DH486" s="150"/>
      <c r="DI486" s="150"/>
      <c r="DJ486" s="150"/>
      <c r="DK486" s="150"/>
      <c r="DL486" s="150"/>
      <c r="DM486" s="150"/>
      <c r="DN486" s="150"/>
      <c r="DO486" s="150"/>
      <c r="DP486" s="150"/>
      <c r="DQ486" s="150"/>
      <c r="DR486" s="150"/>
      <c r="DS486" s="150"/>
      <c r="DT486" s="150"/>
      <c r="DU486" s="150"/>
      <c r="DV486" s="150"/>
      <c r="DW486" s="150"/>
      <c r="DX486" s="150"/>
      <c r="DY486" s="150"/>
      <c r="DZ486" s="150"/>
      <c r="EA486" s="150"/>
      <c r="EB486" s="150"/>
      <c r="EC486" s="150"/>
      <c r="ED486" s="150"/>
      <c r="EE486" s="150"/>
      <c r="EF486" s="150"/>
      <c r="EG486" s="150"/>
      <c r="EH486" s="150"/>
      <c r="EI486" s="150"/>
      <c r="EJ486" s="150"/>
      <c r="EK486" s="150"/>
      <c r="EL486" s="150"/>
      <c r="EM486" s="150"/>
      <c r="EN486" s="150"/>
      <c r="EO486" s="150"/>
      <c r="EP486" s="150"/>
      <c r="EQ486" s="150"/>
      <c r="ER486" s="150"/>
      <c r="ES486" s="150"/>
      <c r="ET486" s="150"/>
      <c r="EU486" s="150"/>
      <c r="EV486" s="150"/>
      <c r="EW486" s="150"/>
      <c r="EX486" s="150"/>
      <c r="EY486" s="150"/>
      <c r="EZ486" s="150"/>
      <c r="FA486" s="150"/>
      <c r="FB486" s="150"/>
      <c r="FC486" s="150"/>
      <c r="FD486" s="150"/>
      <c r="FE486" s="150"/>
      <c r="FF486" s="150"/>
      <c r="FG486" s="150"/>
      <c r="FH486" s="150"/>
      <c r="FI486" s="150"/>
      <c r="FJ486" s="150"/>
      <c r="FK486" s="150"/>
      <c r="FL486" s="150"/>
      <c r="FM486" s="150"/>
      <c r="FN486" s="150"/>
    </row>
    <row r="487" spans="1:170" s="149" customFormat="1" x14ac:dyDescent="0.25">
      <c r="A487" s="142"/>
      <c r="B487" s="142"/>
      <c r="C487" s="142"/>
      <c r="D487" s="144"/>
      <c r="E487" s="143"/>
      <c r="F487" s="143"/>
      <c r="G487" s="144"/>
      <c r="H487" s="143"/>
      <c r="I487" s="143"/>
      <c r="J487" s="319"/>
      <c r="K487" s="319"/>
      <c r="L487" s="315"/>
      <c r="M487" s="315"/>
      <c r="N487" s="145"/>
      <c r="O487" s="145"/>
      <c r="P487" s="145"/>
      <c r="Q487" s="146"/>
      <c r="R487" s="147"/>
      <c r="S487" s="148"/>
      <c r="T487" s="148"/>
      <c r="U487" s="148"/>
      <c r="V487" s="148"/>
      <c r="W487" s="148"/>
      <c r="X487" s="148"/>
      <c r="Y487" s="148"/>
      <c r="Z487" s="148"/>
      <c r="AA487" s="148"/>
      <c r="AB487" s="148"/>
      <c r="AV487" s="150"/>
      <c r="AW487" s="150"/>
      <c r="AX487" s="150"/>
      <c r="AY487" s="150"/>
      <c r="AZ487" s="150"/>
      <c r="BA487" s="150"/>
      <c r="BB487" s="150"/>
      <c r="BC487" s="150"/>
      <c r="BD487" s="150"/>
      <c r="BE487" s="150"/>
      <c r="BF487" s="150"/>
      <c r="BG487" s="150"/>
      <c r="BH487" s="150"/>
      <c r="BI487" s="150"/>
      <c r="BJ487" s="150"/>
      <c r="BK487" s="150"/>
      <c r="BL487" s="150"/>
      <c r="BM487" s="150"/>
      <c r="BN487" s="150"/>
      <c r="BO487" s="150"/>
      <c r="BP487" s="150"/>
      <c r="BQ487" s="150"/>
      <c r="BR487" s="150"/>
      <c r="BS487" s="150"/>
      <c r="BT487" s="150"/>
      <c r="BU487" s="150"/>
      <c r="BV487" s="150"/>
      <c r="BW487" s="150"/>
      <c r="BX487" s="150"/>
      <c r="BY487" s="150"/>
      <c r="BZ487" s="150"/>
      <c r="CA487" s="150"/>
      <c r="CB487" s="150"/>
      <c r="CC487" s="150"/>
      <c r="CD487" s="150"/>
      <c r="CE487" s="150"/>
      <c r="CF487" s="150"/>
      <c r="CG487" s="150"/>
      <c r="CH487" s="150"/>
      <c r="CI487" s="150"/>
      <c r="CJ487" s="150"/>
      <c r="CK487" s="150"/>
      <c r="CL487" s="150"/>
      <c r="CM487" s="150"/>
      <c r="CN487" s="150"/>
      <c r="CO487" s="150"/>
      <c r="CP487" s="150"/>
      <c r="CQ487" s="150"/>
      <c r="CR487" s="150"/>
      <c r="CS487" s="150"/>
      <c r="CT487" s="150"/>
      <c r="CU487" s="150"/>
      <c r="CV487" s="150"/>
      <c r="CW487" s="150"/>
      <c r="CX487" s="150"/>
      <c r="CY487" s="150"/>
      <c r="CZ487" s="150"/>
      <c r="DA487" s="150"/>
      <c r="DB487" s="150"/>
      <c r="DC487" s="150"/>
      <c r="DD487" s="150"/>
      <c r="DE487" s="150"/>
      <c r="DF487" s="150"/>
      <c r="DG487" s="150"/>
      <c r="DH487" s="150"/>
      <c r="DI487" s="150"/>
      <c r="DJ487" s="150"/>
      <c r="DK487" s="150"/>
      <c r="DL487" s="150"/>
      <c r="DM487" s="150"/>
      <c r="DN487" s="150"/>
      <c r="DO487" s="150"/>
      <c r="DP487" s="150"/>
      <c r="DQ487" s="150"/>
      <c r="DR487" s="150"/>
      <c r="DS487" s="150"/>
      <c r="DT487" s="150"/>
      <c r="DU487" s="150"/>
      <c r="DV487" s="150"/>
      <c r="DW487" s="150"/>
      <c r="DX487" s="150"/>
      <c r="DY487" s="150"/>
      <c r="DZ487" s="150"/>
      <c r="EA487" s="150"/>
      <c r="EB487" s="150"/>
      <c r="EC487" s="150"/>
      <c r="ED487" s="150"/>
      <c r="EE487" s="150"/>
      <c r="EF487" s="150"/>
      <c r="EG487" s="150"/>
      <c r="EH487" s="150"/>
      <c r="EI487" s="150"/>
      <c r="EJ487" s="150"/>
      <c r="EK487" s="150"/>
      <c r="EL487" s="150"/>
      <c r="EM487" s="150"/>
      <c r="EN487" s="150"/>
      <c r="EO487" s="150"/>
      <c r="EP487" s="150"/>
      <c r="EQ487" s="150"/>
      <c r="ER487" s="150"/>
      <c r="ES487" s="150"/>
      <c r="ET487" s="150"/>
      <c r="EU487" s="150"/>
      <c r="EV487" s="150"/>
      <c r="EW487" s="150"/>
      <c r="EX487" s="150"/>
      <c r="EY487" s="150"/>
      <c r="EZ487" s="150"/>
      <c r="FA487" s="150"/>
      <c r="FB487" s="150"/>
      <c r="FC487" s="150"/>
      <c r="FD487" s="150"/>
      <c r="FE487" s="150"/>
      <c r="FF487" s="150"/>
      <c r="FG487" s="150"/>
      <c r="FH487" s="150"/>
      <c r="FI487" s="150"/>
      <c r="FJ487" s="150"/>
      <c r="FK487" s="150"/>
      <c r="FL487" s="150"/>
      <c r="FM487" s="150"/>
      <c r="FN487" s="150"/>
    </row>
    <row r="488" spans="1:170" s="149" customFormat="1" x14ac:dyDescent="0.25">
      <c r="A488" s="142"/>
      <c r="B488" s="142"/>
      <c r="C488" s="142"/>
      <c r="D488" s="144"/>
      <c r="E488" s="143"/>
      <c r="F488" s="143"/>
      <c r="G488" s="144"/>
      <c r="H488" s="143"/>
      <c r="I488" s="143"/>
      <c r="J488" s="319"/>
      <c r="K488" s="319"/>
      <c r="L488" s="315"/>
      <c r="M488" s="315"/>
      <c r="N488" s="145"/>
      <c r="O488" s="145"/>
      <c r="P488" s="145"/>
      <c r="Q488" s="146"/>
      <c r="R488" s="147"/>
      <c r="S488" s="148"/>
      <c r="T488" s="148"/>
      <c r="U488" s="148"/>
      <c r="V488" s="148"/>
      <c r="W488" s="148"/>
      <c r="X488" s="148"/>
      <c r="Y488" s="148"/>
      <c r="Z488" s="148"/>
      <c r="AA488" s="148"/>
      <c r="AB488" s="148"/>
      <c r="AV488" s="150"/>
      <c r="AW488" s="150"/>
      <c r="AX488" s="150"/>
      <c r="AY488" s="150"/>
      <c r="AZ488" s="150"/>
      <c r="BA488" s="150"/>
      <c r="BB488" s="150"/>
      <c r="BC488" s="150"/>
      <c r="BD488" s="150"/>
      <c r="BE488" s="150"/>
      <c r="BF488" s="150"/>
      <c r="BG488" s="150"/>
      <c r="BH488" s="150"/>
      <c r="BI488" s="150"/>
      <c r="BJ488" s="150"/>
      <c r="BK488" s="150"/>
      <c r="BL488" s="150"/>
      <c r="BM488" s="150"/>
      <c r="BN488" s="150"/>
      <c r="BO488" s="150"/>
      <c r="BP488" s="150"/>
      <c r="BQ488" s="150"/>
      <c r="BR488" s="150"/>
      <c r="BS488" s="150"/>
      <c r="BT488" s="150"/>
      <c r="BU488" s="150"/>
      <c r="BV488" s="150"/>
      <c r="BW488" s="150"/>
      <c r="BX488" s="150"/>
      <c r="BY488" s="150"/>
      <c r="BZ488" s="150"/>
      <c r="CA488" s="150"/>
      <c r="CB488" s="150"/>
      <c r="CC488" s="150"/>
      <c r="CD488" s="150"/>
      <c r="CE488" s="150"/>
      <c r="CF488" s="150"/>
      <c r="CG488" s="150"/>
      <c r="CH488" s="150"/>
      <c r="CI488" s="150"/>
      <c r="CJ488" s="150"/>
      <c r="CK488" s="150"/>
      <c r="CL488" s="150"/>
      <c r="CM488" s="150"/>
      <c r="CN488" s="150"/>
      <c r="CO488" s="150"/>
      <c r="CP488" s="150"/>
      <c r="CQ488" s="150"/>
      <c r="CR488" s="150"/>
      <c r="CS488" s="150"/>
      <c r="CT488" s="150"/>
      <c r="CU488" s="150"/>
      <c r="CV488" s="150"/>
      <c r="CW488" s="150"/>
      <c r="CX488" s="150"/>
      <c r="CY488" s="150"/>
      <c r="CZ488" s="150"/>
      <c r="DA488" s="150"/>
      <c r="DB488" s="150"/>
      <c r="DC488" s="150"/>
      <c r="DD488" s="150"/>
      <c r="DE488" s="150"/>
      <c r="DF488" s="150"/>
      <c r="DG488" s="150"/>
      <c r="DH488" s="150"/>
      <c r="DI488" s="150"/>
      <c r="DJ488" s="150"/>
      <c r="DK488" s="150"/>
      <c r="DL488" s="150"/>
      <c r="DM488" s="150"/>
      <c r="DN488" s="150"/>
      <c r="DO488" s="150"/>
      <c r="DP488" s="150"/>
      <c r="DQ488" s="150"/>
      <c r="DR488" s="150"/>
      <c r="DS488" s="150"/>
      <c r="DT488" s="150"/>
      <c r="DU488" s="150"/>
      <c r="DV488" s="150"/>
      <c r="DW488" s="150"/>
      <c r="DX488" s="150"/>
      <c r="DY488" s="150"/>
      <c r="DZ488" s="150"/>
      <c r="EA488" s="150"/>
      <c r="EB488" s="150"/>
      <c r="EC488" s="150"/>
      <c r="ED488" s="150"/>
      <c r="EE488" s="150"/>
      <c r="EF488" s="150"/>
      <c r="EG488" s="150"/>
      <c r="EH488" s="150"/>
      <c r="EI488" s="150"/>
      <c r="EJ488" s="150"/>
      <c r="EK488" s="150"/>
      <c r="EL488" s="150"/>
      <c r="EM488" s="150"/>
      <c r="EN488" s="150"/>
      <c r="EO488" s="150"/>
      <c r="EP488" s="150"/>
      <c r="EQ488" s="150"/>
      <c r="ER488" s="150"/>
      <c r="ES488" s="150"/>
      <c r="ET488" s="150"/>
      <c r="EU488" s="150"/>
      <c r="EV488" s="150"/>
      <c r="EW488" s="150"/>
      <c r="EX488" s="150"/>
      <c r="EY488" s="150"/>
      <c r="EZ488" s="150"/>
      <c r="FA488" s="150"/>
      <c r="FB488" s="150"/>
      <c r="FC488" s="150"/>
      <c r="FD488" s="150"/>
      <c r="FE488" s="150"/>
      <c r="FF488" s="150"/>
      <c r="FG488" s="150"/>
      <c r="FH488" s="150"/>
      <c r="FI488" s="150"/>
      <c r="FJ488" s="150"/>
      <c r="FK488" s="150"/>
      <c r="FL488" s="150"/>
      <c r="FM488" s="150"/>
      <c r="FN488" s="150"/>
    </row>
    <row r="489" spans="1:170" s="149" customFormat="1" x14ac:dyDescent="0.25">
      <c r="A489" s="142"/>
      <c r="B489" s="142"/>
      <c r="C489" s="142"/>
      <c r="D489" s="144"/>
      <c r="E489" s="143"/>
      <c r="F489" s="143"/>
      <c r="G489" s="144"/>
      <c r="H489" s="143"/>
      <c r="I489" s="143"/>
      <c r="J489" s="319"/>
      <c r="K489" s="319"/>
      <c r="L489" s="315"/>
      <c r="M489" s="315"/>
      <c r="N489" s="145"/>
      <c r="O489" s="145"/>
      <c r="P489" s="145"/>
      <c r="Q489" s="146"/>
      <c r="R489" s="147"/>
      <c r="S489" s="148"/>
      <c r="T489" s="148"/>
      <c r="U489" s="148"/>
      <c r="V489" s="148"/>
      <c r="W489" s="148"/>
      <c r="X489" s="148"/>
      <c r="Y489" s="148"/>
      <c r="Z489" s="148"/>
      <c r="AA489" s="148"/>
      <c r="AB489" s="148"/>
      <c r="AV489" s="150"/>
      <c r="AW489" s="150"/>
      <c r="AX489" s="150"/>
      <c r="AY489" s="150"/>
      <c r="AZ489" s="150"/>
      <c r="BA489" s="150"/>
      <c r="BB489" s="150"/>
      <c r="BC489" s="150"/>
      <c r="BD489" s="150"/>
      <c r="BE489" s="150"/>
      <c r="BF489" s="150"/>
      <c r="BG489" s="150"/>
      <c r="BH489" s="150"/>
      <c r="BI489" s="150"/>
      <c r="BJ489" s="150"/>
      <c r="BK489" s="150"/>
      <c r="BL489" s="150"/>
      <c r="BM489" s="150"/>
      <c r="BN489" s="150"/>
      <c r="BO489" s="150"/>
      <c r="BP489" s="150"/>
      <c r="BQ489" s="150"/>
      <c r="BR489" s="150"/>
      <c r="BS489" s="150"/>
      <c r="BT489" s="150"/>
      <c r="BU489" s="150"/>
      <c r="BV489" s="150"/>
      <c r="BW489" s="150"/>
      <c r="BX489" s="150"/>
      <c r="BY489" s="150"/>
      <c r="BZ489" s="150"/>
      <c r="CA489" s="150"/>
      <c r="CB489" s="150"/>
      <c r="CC489" s="150"/>
      <c r="CD489" s="150"/>
      <c r="CE489" s="150"/>
      <c r="CF489" s="150"/>
      <c r="CG489" s="150"/>
      <c r="CH489" s="150"/>
      <c r="CI489" s="150"/>
      <c r="CJ489" s="150"/>
      <c r="CK489" s="150"/>
      <c r="CL489" s="150"/>
      <c r="CM489" s="150"/>
      <c r="CN489" s="150"/>
      <c r="CO489" s="150"/>
      <c r="CP489" s="150"/>
      <c r="CQ489" s="150"/>
      <c r="CR489" s="150"/>
      <c r="CS489" s="150"/>
      <c r="CT489" s="150"/>
      <c r="CU489" s="150"/>
      <c r="CV489" s="150"/>
      <c r="CW489" s="150"/>
      <c r="CX489" s="150"/>
      <c r="CY489" s="150"/>
      <c r="CZ489" s="150"/>
      <c r="DA489" s="150"/>
      <c r="DB489" s="150"/>
      <c r="DC489" s="150"/>
      <c r="DD489" s="150"/>
      <c r="DE489" s="150"/>
      <c r="DF489" s="150"/>
      <c r="DG489" s="150"/>
      <c r="DH489" s="150"/>
      <c r="DI489" s="150"/>
      <c r="DJ489" s="150"/>
      <c r="DK489" s="150"/>
      <c r="DL489" s="150"/>
      <c r="DM489" s="150"/>
      <c r="DN489" s="150"/>
      <c r="DO489" s="150"/>
      <c r="DP489" s="150"/>
      <c r="DQ489" s="150"/>
      <c r="DR489" s="150"/>
      <c r="DS489" s="150"/>
      <c r="DT489" s="150"/>
      <c r="DU489" s="150"/>
      <c r="DV489" s="150"/>
      <c r="DW489" s="150"/>
      <c r="DX489" s="150"/>
      <c r="DY489" s="150"/>
      <c r="DZ489" s="150"/>
      <c r="EA489" s="150"/>
      <c r="EB489" s="150"/>
      <c r="EC489" s="150"/>
      <c r="ED489" s="150"/>
      <c r="EE489" s="150"/>
      <c r="EF489" s="150"/>
      <c r="EG489" s="150"/>
      <c r="EH489" s="150"/>
      <c r="EI489" s="150"/>
      <c r="EJ489" s="150"/>
      <c r="EK489" s="150"/>
      <c r="EL489" s="150"/>
      <c r="EM489" s="150"/>
      <c r="EN489" s="150"/>
      <c r="EO489" s="150"/>
      <c r="EP489" s="150"/>
      <c r="EQ489" s="150"/>
      <c r="ER489" s="150"/>
      <c r="ES489" s="150"/>
      <c r="ET489" s="150"/>
      <c r="EU489" s="150"/>
      <c r="EV489" s="150"/>
      <c r="EW489" s="150"/>
      <c r="EX489" s="150"/>
      <c r="EY489" s="150"/>
      <c r="EZ489" s="150"/>
      <c r="FA489" s="150"/>
      <c r="FB489" s="150"/>
      <c r="FC489" s="150"/>
      <c r="FD489" s="150"/>
      <c r="FE489" s="150"/>
      <c r="FF489" s="150"/>
      <c r="FG489" s="150"/>
      <c r="FH489" s="150"/>
      <c r="FI489" s="150"/>
      <c r="FJ489" s="150"/>
      <c r="FK489" s="150"/>
      <c r="FL489" s="150"/>
      <c r="FM489" s="150"/>
      <c r="FN489" s="150"/>
    </row>
    <row r="490" spans="1:170" s="149" customFormat="1" x14ac:dyDescent="0.25">
      <c r="A490" s="142"/>
      <c r="B490" s="142"/>
      <c r="C490" s="142"/>
      <c r="D490" s="144"/>
      <c r="E490" s="143"/>
      <c r="F490" s="143"/>
      <c r="G490" s="144"/>
      <c r="H490" s="143"/>
      <c r="I490" s="143"/>
      <c r="J490" s="319"/>
      <c r="K490" s="319"/>
      <c r="L490" s="315"/>
      <c r="M490" s="315"/>
      <c r="N490" s="145"/>
      <c r="O490" s="145"/>
      <c r="P490" s="145"/>
      <c r="Q490" s="146"/>
      <c r="R490" s="147"/>
      <c r="S490" s="148"/>
      <c r="T490" s="148"/>
      <c r="U490" s="148"/>
      <c r="V490" s="148"/>
      <c r="W490" s="148"/>
      <c r="X490" s="148"/>
      <c r="Y490" s="148"/>
      <c r="Z490" s="148"/>
      <c r="AA490" s="148"/>
      <c r="AB490" s="148"/>
      <c r="AV490" s="150"/>
      <c r="AW490" s="150"/>
      <c r="AX490" s="150"/>
      <c r="AY490" s="150"/>
      <c r="AZ490" s="150"/>
      <c r="BA490" s="150"/>
      <c r="BB490" s="150"/>
      <c r="BC490" s="150"/>
      <c r="BD490" s="150"/>
      <c r="BE490" s="150"/>
      <c r="BF490" s="150"/>
      <c r="BG490" s="150"/>
      <c r="BH490" s="150"/>
      <c r="BI490" s="150"/>
      <c r="BJ490" s="150"/>
      <c r="BK490" s="150"/>
      <c r="BL490" s="150"/>
      <c r="BM490" s="150"/>
      <c r="BN490" s="150"/>
      <c r="BO490" s="150"/>
      <c r="BP490" s="150"/>
      <c r="BQ490" s="150"/>
      <c r="BR490" s="150"/>
      <c r="BS490" s="150"/>
      <c r="BT490" s="150"/>
      <c r="BU490" s="150"/>
      <c r="BV490" s="150"/>
      <c r="BW490" s="150"/>
      <c r="BX490" s="150"/>
      <c r="BY490" s="150"/>
      <c r="BZ490" s="150"/>
      <c r="CA490" s="150"/>
      <c r="CB490" s="150"/>
      <c r="CC490" s="150"/>
      <c r="CD490" s="150"/>
      <c r="CE490" s="150"/>
      <c r="CF490" s="150"/>
      <c r="CG490" s="150"/>
      <c r="CH490" s="150"/>
      <c r="CI490" s="150"/>
      <c r="CJ490" s="150"/>
      <c r="CK490" s="150"/>
      <c r="CL490" s="150"/>
      <c r="CM490" s="150"/>
      <c r="CN490" s="150"/>
      <c r="CO490" s="150"/>
      <c r="CP490" s="150"/>
      <c r="CQ490" s="150"/>
      <c r="CR490" s="150"/>
      <c r="CS490" s="150"/>
      <c r="CT490" s="150"/>
      <c r="CU490" s="150"/>
      <c r="CV490" s="150"/>
      <c r="CW490" s="150"/>
      <c r="CX490" s="150"/>
      <c r="CY490" s="150"/>
      <c r="CZ490" s="150"/>
      <c r="DA490" s="150"/>
      <c r="DB490" s="150"/>
      <c r="DC490" s="150"/>
      <c r="DD490" s="150"/>
      <c r="DE490" s="150"/>
      <c r="DF490" s="150"/>
      <c r="DG490" s="150"/>
      <c r="DH490" s="150"/>
      <c r="DI490" s="150"/>
      <c r="DJ490" s="150"/>
      <c r="DK490" s="150"/>
      <c r="DL490" s="150"/>
      <c r="DM490" s="150"/>
      <c r="DN490" s="150"/>
      <c r="DO490" s="150"/>
      <c r="DP490" s="150"/>
      <c r="DQ490" s="150"/>
      <c r="DR490" s="150"/>
      <c r="DS490" s="150"/>
      <c r="DT490" s="150"/>
      <c r="DU490" s="150"/>
      <c r="DV490" s="150"/>
      <c r="DW490" s="150"/>
      <c r="DX490" s="150"/>
      <c r="DY490" s="150"/>
      <c r="DZ490" s="150"/>
      <c r="EA490" s="150"/>
      <c r="EB490" s="150"/>
      <c r="EC490" s="150"/>
      <c r="ED490" s="150"/>
      <c r="EE490" s="150"/>
      <c r="EF490" s="150"/>
      <c r="EG490" s="150"/>
      <c r="EH490" s="150"/>
      <c r="EI490" s="150"/>
      <c r="EJ490" s="150"/>
      <c r="EK490" s="150"/>
      <c r="EL490" s="150"/>
      <c r="EM490" s="150"/>
      <c r="EN490" s="150"/>
      <c r="EO490" s="150"/>
      <c r="EP490" s="150"/>
      <c r="EQ490" s="150"/>
      <c r="ER490" s="150"/>
      <c r="ES490" s="150"/>
      <c r="ET490" s="150"/>
      <c r="EU490" s="150"/>
      <c r="EV490" s="150"/>
      <c r="EW490" s="150"/>
      <c r="EX490" s="150"/>
      <c r="EY490" s="150"/>
      <c r="EZ490" s="150"/>
      <c r="FA490" s="150"/>
      <c r="FB490" s="150"/>
      <c r="FC490" s="150"/>
      <c r="FD490" s="150"/>
      <c r="FE490" s="150"/>
      <c r="FF490" s="150"/>
      <c r="FG490" s="150"/>
      <c r="FH490" s="150"/>
      <c r="FI490" s="150"/>
      <c r="FJ490" s="150"/>
      <c r="FK490" s="150"/>
      <c r="FL490" s="150"/>
      <c r="FM490" s="150"/>
      <c r="FN490" s="150"/>
    </row>
    <row r="491" spans="1:170" s="149" customFormat="1" x14ac:dyDescent="0.25">
      <c r="A491" s="142"/>
      <c r="B491" s="142"/>
      <c r="C491" s="142"/>
      <c r="D491" s="144"/>
      <c r="E491" s="143"/>
      <c r="F491" s="143"/>
      <c r="G491" s="144"/>
      <c r="H491" s="143"/>
      <c r="I491" s="143"/>
      <c r="J491" s="319"/>
      <c r="K491" s="319"/>
      <c r="L491" s="315"/>
      <c r="M491" s="315"/>
      <c r="N491" s="145"/>
      <c r="O491" s="145"/>
      <c r="P491" s="145"/>
      <c r="Q491" s="146"/>
      <c r="R491" s="147"/>
      <c r="S491" s="148"/>
      <c r="T491" s="148"/>
      <c r="U491" s="148"/>
      <c r="V491" s="148"/>
      <c r="W491" s="148"/>
      <c r="X491" s="148"/>
      <c r="Y491" s="148"/>
      <c r="Z491" s="148"/>
      <c r="AA491" s="148"/>
      <c r="AB491" s="148"/>
      <c r="AV491" s="150"/>
      <c r="AW491" s="150"/>
      <c r="AX491" s="150"/>
      <c r="AY491" s="150"/>
      <c r="AZ491" s="150"/>
      <c r="BA491" s="150"/>
      <c r="BB491" s="150"/>
      <c r="BC491" s="150"/>
      <c r="BD491" s="150"/>
      <c r="BE491" s="150"/>
      <c r="BF491" s="150"/>
      <c r="BG491" s="150"/>
      <c r="BH491" s="150"/>
      <c r="BI491" s="150"/>
      <c r="BJ491" s="150"/>
      <c r="BK491" s="150"/>
      <c r="BL491" s="150"/>
      <c r="BM491" s="150"/>
      <c r="BN491" s="150"/>
      <c r="BO491" s="150"/>
      <c r="BP491" s="150"/>
      <c r="BQ491" s="150"/>
      <c r="BR491" s="150"/>
      <c r="BS491" s="150"/>
      <c r="BT491" s="150"/>
      <c r="BU491" s="150"/>
      <c r="BV491" s="150"/>
      <c r="BW491" s="150"/>
      <c r="BX491" s="150"/>
      <c r="BY491" s="150"/>
      <c r="BZ491" s="150"/>
      <c r="CA491" s="150"/>
      <c r="CB491" s="150"/>
      <c r="CC491" s="150"/>
      <c r="CD491" s="150"/>
      <c r="CE491" s="150"/>
      <c r="CF491" s="150"/>
      <c r="CG491" s="150"/>
      <c r="CH491" s="150"/>
      <c r="CI491" s="150"/>
      <c r="CJ491" s="150"/>
      <c r="CK491" s="150"/>
      <c r="CL491" s="150"/>
      <c r="CM491" s="150"/>
      <c r="CN491" s="150"/>
      <c r="CO491" s="150"/>
      <c r="CP491" s="150"/>
      <c r="CQ491" s="150"/>
      <c r="CR491" s="150"/>
      <c r="CS491" s="150"/>
      <c r="CT491" s="150"/>
      <c r="CU491" s="150"/>
      <c r="CV491" s="150"/>
      <c r="CW491" s="150"/>
      <c r="CX491" s="150"/>
      <c r="CY491" s="150"/>
      <c r="CZ491" s="150"/>
      <c r="DA491" s="150"/>
      <c r="DB491" s="150"/>
      <c r="DC491" s="150"/>
      <c r="DD491" s="150"/>
      <c r="DE491" s="150"/>
      <c r="DF491" s="150"/>
      <c r="DG491" s="150"/>
      <c r="DH491" s="150"/>
      <c r="DI491" s="150"/>
      <c r="DJ491" s="150"/>
      <c r="DK491" s="150"/>
      <c r="DL491" s="150"/>
      <c r="DM491" s="150"/>
      <c r="DN491" s="150"/>
      <c r="DO491" s="150"/>
      <c r="DP491" s="150"/>
      <c r="DQ491" s="150"/>
      <c r="DR491" s="150"/>
      <c r="DS491" s="150"/>
      <c r="DT491" s="150"/>
      <c r="DU491" s="150"/>
      <c r="DV491" s="150"/>
      <c r="DW491" s="150"/>
      <c r="DX491" s="150"/>
      <c r="DY491" s="150"/>
      <c r="DZ491" s="150"/>
      <c r="EA491" s="150"/>
      <c r="EB491" s="150"/>
      <c r="EC491" s="150"/>
      <c r="ED491" s="150"/>
      <c r="EE491" s="150"/>
      <c r="EF491" s="150"/>
      <c r="EG491" s="150"/>
      <c r="EH491" s="150"/>
      <c r="EI491" s="150"/>
      <c r="EJ491" s="150"/>
      <c r="EK491" s="150"/>
      <c r="EL491" s="150"/>
      <c r="EM491" s="150"/>
      <c r="EN491" s="150"/>
      <c r="EO491" s="150"/>
      <c r="EP491" s="150"/>
      <c r="EQ491" s="150"/>
      <c r="ER491" s="150"/>
      <c r="ES491" s="150"/>
      <c r="ET491" s="150"/>
      <c r="EU491" s="150"/>
      <c r="EV491" s="150"/>
      <c r="EW491" s="150"/>
      <c r="EX491" s="150"/>
      <c r="EY491" s="150"/>
      <c r="EZ491" s="150"/>
      <c r="FA491" s="150"/>
      <c r="FB491" s="150"/>
      <c r="FC491" s="150"/>
      <c r="FD491" s="150"/>
      <c r="FE491" s="150"/>
      <c r="FF491" s="150"/>
      <c r="FG491" s="150"/>
      <c r="FH491" s="150"/>
      <c r="FI491" s="150"/>
      <c r="FJ491" s="150"/>
      <c r="FK491" s="150"/>
      <c r="FL491" s="150"/>
      <c r="FM491" s="150"/>
      <c r="FN491" s="150"/>
    </row>
    <row r="492" spans="1:170" s="149" customFormat="1" x14ac:dyDescent="0.25">
      <c r="A492" s="142"/>
      <c r="B492" s="142"/>
      <c r="C492" s="142"/>
      <c r="D492" s="144"/>
      <c r="E492" s="143"/>
      <c r="F492" s="143"/>
      <c r="G492" s="144"/>
      <c r="H492" s="143"/>
      <c r="I492" s="143"/>
      <c r="J492" s="319"/>
      <c r="K492" s="319"/>
      <c r="L492" s="315"/>
      <c r="M492" s="315"/>
      <c r="N492" s="145"/>
      <c r="O492" s="145"/>
      <c r="P492" s="145"/>
      <c r="Q492" s="146"/>
      <c r="R492" s="147"/>
      <c r="S492" s="148"/>
      <c r="T492" s="148"/>
      <c r="U492" s="148"/>
      <c r="V492" s="148"/>
      <c r="W492" s="148"/>
      <c r="X492" s="148"/>
      <c r="Y492" s="148"/>
      <c r="Z492" s="148"/>
      <c r="AA492" s="148"/>
      <c r="AB492" s="148"/>
      <c r="AV492" s="150"/>
      <c r="AW492" s="150"/>
      <c r="AX492" s="150"/>
      <c r="AY492" s="150"/>
      <c r="AZ492" s="150"/>
      <c r="BA492" s="150"/>
      <c r="BB492" s="150"/>
      <c r="BC492" s="150"/>
      <c r="BD492" s="150"/>
      <c r="BE492" s="150"/>
      <c r="BF492" s="150"/>
      <c r="BG492" s="150"/>
      <c r="BH492" s="150"/>
      <c r="BI492" s="150"/>
      <c r="BJ492" s="150"/>
      <c r="BK492" s="150"/>
      <c r="BL492" s="150"/>
      <c r="BM492" s="150"/>
      <c r="BN492" s="150"/>
      <c r="BO492" s="150"/>
      <c r="BP492" s="150"/>
      <c r="BQ492" s="150"/>
      <c r="BR492" s="150"/>
      <c r="BS492" s="150"/>
      <c r="BT492" s="150"/>
      <c r="BU492" s="150"/>
      <c r="BV492" s="150"/>
      <c r="BW492" s="150"/>
      <c r="BX492" s="150"/>
      <c r="BY492" s="150"/>
      <c r="BZ492" s="150"/>
      <c r="CA492" s="150"/>
      <c r="CB492" s="150"/>
      <c r="CC492" s="150"/>
      <c r="CD492" s="150"/>
      <c r="CE492" s="150"/>
      <c r="CF492" s="150"/>
      <c r="CG492" s="150"/>
      <c r="CH492" s="150"/>
      <c r="CI492" s="150"/>
      <c r="CJ492" s="150"/>
      <c r="CK492" s="150"/>
      <c r="CL492" s="150"/>
      <c r="CM492" s="150"/>
      <c r="CN492" s="150"/>
      <c r="CO492" s="150"/>
      <c r="CP492" s="150"/>
      <c r="CQ492" s="150"/>
      <c r="CR492" s="150"/>
      <c r="CS492" s="150"/>
      <c r="CT492" s="150"/>
      <c r="CU492" s="150"/>
      <c r="CV492" s="150"/>
      <c r="CW492" s="150"/>
      <c r="CX492" s="150"/>
      <c r="CY492" s="150"/>
      <c r="CZ492" s="150"/>
      <c r="DA492" s="150"/>
      <c r="DB492" s="150"/>
      <c r="DC492" s="150"/>
      <c r="DD492" s="150"/>
      <c r="DE492" s="150"/>
      <c r="DF492" s="150"/>
      <c r="DG492" s="150"/>
      <c r="DH492" s="150"/>
      <c r="DI492" s="150"/>
      <c r="DJ492" s="150"/>
      <c r="DK492" s="150"/>
      <c r="DL492" s="150"/>
      <c r="DM492" s="150"/>
      <c r="DN492" s="150"/>
      <c r="DO492" s="150"/>
      <c r="DP492" s="150"/>
      <c r="DQ492" s="150"/>
      <c r="DR492" s="150"/>
      <c r="DS492" s="150"/>
      <c r="DT492" s="150"/>
      <c r="DU492" s="150"/>
      <c r="DV492" s="150"/>
      <c r="DW492" s="150"/>
      <c r="DX492" s="150"/>
      <c r="DY492" s="150"/>
      <c r="DZ492" s="150"/>
      <c r="EA492" s="150"/>
      <c r="EB492" s="150"/>
      <c r="EC492" s="150"/>
      <c r="ED492" s="150"/>
      <c r="EE492" s="150"/>
      <c r="EF492" s="150"/>
      <c r="EG492" s="150"/>
      <c r="EH492" s="150"/>
      <c r="EI492" s="150"/>
      <c r="EJ492" s="150"/>
      <c r="EK492" s="150"/>
      <c r="EL492" s="150"/>
      <c r="EM492" s="150"/>
      <c r="EN492" s="150"/>
      <c r="EO492" s="150"/>
      <c r="EP492" s="150"/>
      <c r="EQ492" s="150"/>
      <c r="ER492" s="150"/>
      <c r="ES492" s="150"/>
      <c r="ET492" s="150"/>
      <c r="EU492" s="150"/>
      <c r="EV492" s="150"/>
      <c r="EW492" s="150"/>
      <c r="EX492" s="150"/>
      <c r="EY492" s="150"/>
      <c r="EZ492" s="150"/>
      <c r="FA492" s="150"/>
      <c r="FB492" s="150"/>
      <c r="FC492" s="150"/>
      <c r="FD492" s="150"/>
      <c r="FE492" s="150"/>
      <c r="FF492" s="150"/>
      <c r="FG492" s="150"/>
      <c r="FH492" s="150"/>
      <c r="FI492" s="150"/>
      <c r="FJ492" s="150"/>
      <c r="FK492" s="150"/>
      <c r="FL492" s="150"/>
      <c r="FM492" s="150"/>
      <c r="FN492" s="150"/>
    </row>
    <row r="493" spans="1:170" s="149" customFormat="1" x14ac:dyDescent="0.25">
      <c r="A493" s="142"/>
      <c r="B493" s="142"/>
      <c r="C493" s="142"/>
      <c r="D493" s="144"/>
      <c r="E493" s="143"/>
      <c r="F493" s="143"/>
      <c r="G493" s="144"/>
      <c r="H493" s="143"/>
      <c r="I493" s="143"/>
      <c r="J493" s="319"/>
      <c r="K493" s="319"/>
      <c r="L493" s="315"/>
      <c r="M493" s="315"/>
      <c r="N493" s="145"/>
      <c r="O493" s="145"/>
      <c r="P493" s="145"/>
      <c r="Q493" s="146"/>
      <c r="R493" s="147"/>
      <c r="S493" s="148"/>
      <c r="T493" s="148"/>
      <c r="U493" s="148"/>
      <c r="V493" s="148"/>
      <c r="W493" s="148"/>
      <c r="X493" s="148"/>
      <c r="Y493" s="148"/>
      <c r="Z493" s="148"/>
      <c r="AA493" s="148"/>
      <c r="AB493" s="148"/>
      <c r="AV493" s="150"/>
      <c r="AW493" s="150"/>
      <c r="AX493" s="150"/>
      <c r="AY493" s="150"/>
      <c r="AZ493" s="150"/>
      <c r="BA493" s="150"/>
      <c r="BB493" s="150"/>
      <c r="BC493" s="150"/>
      <c r="BD493" s="150"/>
      <c r="BE493" s="150"/>
      <c r="BF493" s="150"/>
      <c r="BG493" s="150"/>
      <c r="BH493" s="150"/>
      <c r="BI493" s="150"/>
      <c r="BJ493" s="150"/>
      <c r="BK493" s="150"/>
      <c r="BL493" s="150"/>
      <c r="BM493" s="150"/>
      <c r="BN493" s="150"/>
      <c r="BO493" s="150"/>
      <c r="BP493" s="150"/>
      <c r="BQ493" s="150"/>
      <c r="BR493" s="150"/>
      <c r="BS493" s="150"/>
      <c r="BT493" s="150"/>
      <c r="BU493" s="150"/>
      <c r="BV493" s="150"/>
      <c r="BW493" s="150"/>
      <c r="BX493" s="150"/>
      <c r="BY493" s="150"/>
      <c r="BZ493" s="150"/>
      <c r="CA493" s="150"/>
      <c r="CB493" s="150"/>
      <c r="CC493" s="150"/>
      <c r="CD493" s="150"/>
      <c r="CE493" s="150"/>
      <c r="CF493" s="150"/>
      <c r="CG493" s="150"/>
      <c r="CH493" s="150"/>
      <c r="CI493" s="150"/>
      <c r="CJ493" s="150"/>
      <c r="CK493" s="150"/>
      <c r="CL493" s="150"/>
      <c r="CM493" s="150"/>
      <c r="CN493" s="150"/>
      <c r="CO493" s="150"/>
      <c r="CP493" s="150"/>
      <c r="CQ493" s="150"/>
      <c r="CR493" s="150"/>
      <c r="CS493" s="150"/>
      <c r="CT493" s="150"/>
      <c r="CU493" s="150"/>
      <c r="CV493" s="150"/>
      <c r="CW493" s="150"/>
      <c r="CX493" s="150"/>
      <c r="CY493" s="150"/>
      <c r="CZ493" s="150"/>
      <c r="DA493" s="150"/>
      <c r="DB493" s="150"/>
      <c r="DC493" s="150"/>
      <c r="DD493" s="150"/>
      <c r="DE493" s="150"/>
      <c r="DF493" s="150"/>
      <c r="DG493" s="150"/>
      <c r="DH493" s="150"/>
      <c r="DI493" s="150"/>
      <c r="DJ493" s="150"/>
      <c r="DK493" s="150"/>
      <c r="DL493" s="150"/>
      <c r="DM493" s="150"/>
      <c r="DN493" s="150"/>
      <c r="DO493" s="150"/>
      <c r="DP493" s="150"/>
      <c r="DQ493" s="150"/>
      <c r="DR493" s="150"/>
      <c r="DS493" s="150"/>
      <c r="DT493" s="150"/>
      <c r="DU493" s="150"/>
      <c r="DV493" s="150"/>
      <c r="DW493" s="150"/>
      <c r="DX493" s="150"/>
      <c r="DY493" s="150"/>
      <c r="DZ493" s="150"/>
      <c r="EA493" s="150"/>
      <c r="EB493" s="150"/>
      <c r="EC493" s="150"/>
      <c r="ED493" s="150"/>
      <c r="EE493" s="150"/>
      <c r="EF493" s="150"/>
      <c r="EG493" s="150"/>
      <c r="EH493" s="150"/>
      <c r="EI493" s="150"/>
      <c r="EJ493" s="150"/>
      <c r="EK493" s="150"/>
      <c r="EL493" s="150"/>
      <c r="EM493" s="150"/>
      <c r="EN493" s="150"/>
      <c r="EO493" s="150"/>
      <c r="EP493" s="150"/>
      <c r="EQ493" s="150"/>
      <c r="ER493" s="150"/>
      <c r="ES493" s="150"/>
      <c r="ET493" s="150"/>
      <c r="EU493" s="150"/>
      <c r="EV493" s="150"/>
      <c r="EW493" s="150"/>
      <c r="EX493" s="150"/>
      <c r="EY493" s="150"/>
      <c r="EZ493" s="150"/>
      <c r="FA493" s="150"/>
      <c r="FB493" s="150"/>
      <c r="FC493" s="150"/>
      <c r="FD493" s="150"/>
      <c r="FE493" s="150"/>
      <c r="FF493" s="150"/>
      <c r="FG493" s="150"/>
      <c r="FH493" s="150"/>
      <c r="FI493" s="150"/>
      <c r="FJ493" s="150"/>
      <c r="FK493" s="150"/>
      <c r="FL493" s="150"/>
      <c r="FM493" s="150"/>
      <c r="FN493" s="150"/>
    </row>
    <row r="494" spans="1:170" s="149" customFormat="1" x14ac:dyDescent="0.25">
      <c r="A494" s="142"/>
      <c r="B494" s="142"/>
      <c r="C494" s="142"/>
      <c r="D494" s="144"/>
      <c r="E494" s="143"/>
      <c r="F494" s="143"/>
      <c r="G494" s="144"/>
      <c r="H494" s="143"/>
      <c r="I494" s="143"/>
      <c r="J494" s="319"/>
      <c r="K494" s="319"/>
      <c r="L494" s="315"/>
      <c r="M494" s="315"/>
      <c r="N494" s="145"/>
      <c r="O494" s="145"/>
      <c r="P494" s="145"/>
      <c r="Q494" s="146"/>
      <c r="R494" s="147"/>
      <c r="S494" s="148"/>
      <c r="T494" s="148"/>
      <c r="U494" s="148"/>
      <c r="V494" s="148"/>
      <c r="W494" s="148"/>
      <c r="X494" s="148"/>
      <c r="Y494" s="148"/>
      <c r="Z494" s="148"/>
      <c r="AA494" s="148"/>
      <c r="AB494" s="148"/>
      <c r="AV494" s="150"/>
      <c r="AW494" s="150"/>
      <c r="AX494" s="150"/>
      <c r="AY494" s="150"/>
      <c r="AZ494" s="150"/>
      <c r="BA494" s="150"/>
      <c r="BB494" s="150"/>
      <c r="BC494" s="150"/>
      <c r="BD494" s="150"/>
      <c r="BE494" s="150"/>
      <c r="BF494" s="150"/>
      <c r="BG494" s="150"/>
      <c r="BH494" s="150"/>
      <c r="BI494" s="150"/>
      <c r="BJ494" s="150"/>
      <c r="BK494" s="150"/>
      <c r="BL494" s="150"/>
      <c r="BM494" s="150"/>
      <c r="BN494" s="150"/>
      <c r="BO494" s="150"/>
      <c r="BP494" s="150"/>
      <c r="BQ494" s="150"/>
      <c r="BR494" s="150"/>
      <c r="BS494" s="150"/>
      <c r="BT494" s="150"/>
      <c r="BU494" s="150"/>
      <c r="BV494" s="150"/>
      <c r="BW494" s="150"/>
      <c r="BX494" s="150"/>
      <c r="BY494" s="150"/>
      <c r="BZ494" s="150"/>
      <c r="CA494" s="150"/>
      <c r="CB494" s="150"/>
      <c r="CC494" s="150"/>
      <c r="CD494" s="150"/>
      <c r="CE494" s="150"/>
      <c r="CF494" s="150"/>
      <c r="CG494" s="150"/>
      <c r="CH494" s="150"/>
      <c r="CI494" s="150"/>
      <c r="CJ494" s="150"/>
      <c r="CK494" s="150"/>
      <c r="CL494" s="150"/>
      <c r="CM494" s="150"/>
      <c r="CN494" s="150"/>
      <c r="CO494" s="150"/>
      <c r="CP494" s="150"/>
      <c r="CQ494" s="150"/>
      <c r="CR494" s="150"/>
      <c r="CS494" s="150"/>
      <c r="CT494" s="150"/>
      <c r="CU494" s="150"/>
      <c r="CV494" s="150"/>
      <c r="CW494" s="150"/>
      <c r="CX494" s="150"/>
      <c r="CY494" s="150"/>
      <c r="CZ494" s="150"/>
      <c r="DA494" s="150"/>
      <c r="DB494" s="150"/>
      <c r="DC494" s="150"/>
      <c r="DD494" s="150"/>
      <c r="DE494" s="150"/>
      <c r="DF494" s="150"/>
      <c r="DG494" s="150"/>
      <c r="DH494" s="150"/>
      <c r="DI494" s="150"/>
      <c r="DJ494" s="150"/>
      <c r="DK494" s="150"/>
      <c r="DL494" s="150"/>
      <c r="DM494" s="150"/>
      <c r="DN494" s="150"/>
      <c r="DO494" s="150"/>
      <c r="DP494" s="150"/>
      <c r="DQ494" s="150"/>
      <c r="DR494" s="150"/>
      <c r="DS494" s="150"/>
      <c r="DT494" s="150"/>
      <c r="DU494" s="150"/>
      <c r="DV494" s="150"/>
      <c r="DW494" s="150"/>
      <c r="DX494" s="150"/>
      <c r="DY494" s="150"/>
      <c r="DZ494" s="150"/>
      <c r="EA494" s="150"/>
      <c r="EB494" s="150"/>
      <c r="EC494" s="150"/>
      <c r="ED494" s="150"/>
      <c r="EE494" s="150"/>
      <c r="EF494" s="150"/>
      <c r="EG494" s="150"/>
      <c r="EH494" s="150"/>
      <c r="EI494" s="150"/>
      <c r="EJ494" s="150"/>
      <c r="EK494" s="150"/>
      <c r="EL494" s="150"/>
      <c r="EM494" s="150"/>
      <c r="EN494" s="150"/>
      <c r="EO494" s="150"/>
      <c r="EP494" s="150"/>
      <c r="EQ494" s="150"/>
      <c r="ER494" s="150"/>
      <c r="ES494" s="150"/>
      <c r="ET494" s="150"/>
      <c r="EU494" s="150"/>
      <c r="EV494" s="150"/>
      <c r="EW494" s="150"/>
      <c r="EX494" s="150"/>
      <c r="EY494" s="150"/>
      <c r="EZ494" s="150"/>
      <c r="FA494" s="150"/>
      <c r="FB494" s="150"/>
      <c r="FC494" s="150"/>
      <c r="FD494" s="150"/>
      <c r="FE494" s="150"/>
      <c r="FF494" s="150"/>
      <c r="FG494" s="150"/>
      <c r="FH494" s="150"/>
      <c r="FI494" s="150"/>
      <c r="FJ494" s="150"/>
      <c r="FK494" s="150"/>
      <c r="FL494" s="150"/>
      <c r="FM494" s="150"/>
      <c r="FN494" s="150"/>
    </row>
    <row r="495" spans="1:170" s="149" customFormat="1" x14ac:dyDescent="0.25">
      <c r="A495" s="142"/>
      <c r="B495" s="142"/>
      <c r="C495" s="142"/>
      <c r="D495" s="144"/>
      <c r="E495" s="143"/>
      <c r="F495" s="143"/>
      <c r="G495" s="144"/>
      <c r="H495" s="143"/>
      <c r="I495" s="143"/>
      <c r="J495" s="319"/>
      <c r="K495" s="319"/>
      <c r="L495" s="315"/>
      <c r="M495" s="315"/>
      <c r="N495" s="145"/>
      <c r="O495" s="145"/>
      <c r="P495" s="145"/>
      <c r="Q495" s="146"/>
      <c r="R495" s="147"/>
      <c r="S495" s="148"/>
      <c r="T495" s="148"/>
      <c r="U495" s="148"/>
      <c r="V495" s="148"/>
      <c r="W495" s="148"/>
      <c r="X495" s="148"/>
      <c r="Y495" s="148"/>
      <c r="Z495" s="148"/>
      <c r="AA495" s="148"/>
      <c r="AB495" s="148"/>
      <c r="AV495" s="150"/>
      <c r="AW495" s="150"/>
      <c r="AX495" s="150"/>
      <c r="AY495" s="150"/>
      <c r="AZ495" s="150"/>
      <c r="BA495" s="150"/>
      <c r="BB495" s="150"/>
      <c r="BC495" s="150"/>
      <c r="BD495" s="150"/>
      <c r="BE495" s="150"/>
      <c r="BF495" s="150"/>
      <c r="BG495" s="150"/>
      <c r="BH495" s="150"/>
      <c r="BI495" s="150"/>
      <c r="BJ495" s="150"/>
      <c r="BK495" s="150"/>
      <c r="BL495" s="150"/>
      <c r="BM495" s="150"/>
      <c r="BN495" s="150"/>
      <c r="BO495" s="150"/>
      <c r="BP495" s="150"/>
      <c r="BQ495" s="150"/>
      <c r="BR495" s="150"/>
      <c r="BS495" s="150"/>
      <c r="BT495" s="150"/>
      <c r="BU495" s="150"/>
      <c r="BV495" s="150"/>
      <c r="BW495" s="150"/>
      <c r="BX495" s="150"/>
      <c r="BY495" s="150"/>
      <c r="BZ495" s="150"/>
      <c r="CA495" s="150"/>
      <c r="CB495" s="150"/>
      <c r="CC495" s="150"/>
      <c r="CD495" s="150"/>
      <c r="CE495" s="150"/>
      <c r="CF495" s="150"/>
      <c r="CG495" s="150"/>
      <c r="CH495" s="150"/>
      <c r="CI495" s="150"/>
      <c r="CJ495" s="150"/>
      <c r="CK495" s="150"/>
      <c r="CL495" s="150"/>
      <c r="CM495" s="150"/>
      <c r="CN495" s="150"/>
      <c r="CO495" s="150"/>
      <c r="CP495" s="150"/>
      <c r="CQ495" s="150"/>
      <c r="CR495" s="150"/>
      <c r="CS495" s="150"/>
      <c r="CT495" s="150"/>
      <c r="CU495" s="150"/>
      <c r="CV495" s="150"/>
      <c r="CW495" s="150"/>
      <c r="CX495" s="150"/>
      <c r="CY495" s="150"/>
      <c r="CZ495" s="150"/>
      <c r="DA495" s="150"/>
      <c r="DB495" s="150"/>
      <c r="DC495" s="150"/>
      <c r="DD495" s="150"/>
      <c r="DE495" s="150"/>
      <c r="DF495" s="150"/>
      <c r="DG495" s="150"/>
      <c r="DH495" s="150"/>
      <c r="DI495" s="150"/>
      <c r="DJ495" s="150"/>
      <c r="DK495" s="150"/>
      <c r="DL495" s="150"/>
      <c r="DM495" s="150"/>
      <c r="DN495" s="150"/>
      <c r="DO495" s="150"/>
      <c r="DP495" s="150"/>
      <c r="DQ495" s="150"/>
      <c r="DR495" s="150"/>
      <c r="DS495" s="150"/>
      <c r="DT495" s="150"/>
      <c r="DU495" s="150"/>
      <c r="DV495" s="150"/>
      <c r="DW495" s="150"/>
      <c r="DX495" s="150"/>
      <c r="DY495" s="150"/>
      <c r="DZ495" s="150"/>
      <c r="EA495" s="150"/>
      <c r="EB495" s="150"/>
      <c r="EC495" s="150"/>
      <c r="ED495" s="150"/>
      <c r="EE495" s="150"/>
      <c r="EF495" s="150"/>
      <c r="EG495" s="150"/>
      <c r="EH495" s="150"/>
      <c r="EI495" s="150"/>
      <c r="EJ495" s="150"/>
      <c r="EK495" s="150"/>
      <c r="EL495" s="150"/>
      <c r="EM495" s="150"/>
      <c r="EN495" s="150"/>
      <c r="EO495" s="150"/>
      <c r="EP495" s="150"/>
      <c r="EQ495" s="150"/>
      <c r="ER495" s="150"/>
      <c r="ES495" s="150"/>
      <c r="ET495" s="150"/>
      <c r="EU495" s="150"/>
      <c r="EV495" s="150"/>
      <c r="EW495" s="150"/>
      <c r="EX495" s="150"/>
      <c r="EY495" s="150"/>
      <c r="EZ495" s="150"/>
      <c r="FA495" s="150"/>
      <c r="FB495" s="150"/>
      <c r="FC495" s="150"/>
      <c r="FD495" s="150"/>
      <c r="FE495" s="150"/>
      <c r="FF495" s="150"/>
      <c r="FG495" s="150"/>
      <c r="FH495" s="150"/>
      <c r="FI495" s="150"/>
      <c r="FJ495" s="150"/>
      <c r="FK495" s="150"/>
      <c r="FL495" s="150"/>
      <c r="FM495" s="150"/>
      <c r="FN495" s="150"/>
    </row>
    <row r="496" spans="1:170" s="149" customFormat="1" x14ac:dyDescent="0.25">
      <c r="A496" s="142"/>
      <c r="B496" s="142"/>
      <c r="C496" s="142"/>
      <c r="D496" s="144"/>
      <c r="E496" s="143"/>
      <c r="F496" s="143"/>
      <c r="G496" s="144"/>
      <c r="H496" s="143"/>
      <c r="I496" s="143"/>
      <c r="J496" s="319"/>
      <c r="K496" s="319"/>
      <c r="L496" s="315"/>
      <c r="M496" s="315"/>
      <c r="N496" s="145"/>
      <c r="O496" s="145"/>
      <c r="P496" s="145"/>
      <c r="Q496" s="146"/>
      <c r="R496" s="147"/>
      <c r="S496" s="148"/>
      <c r="T496" s="148"/>
      <c r="U496" s="148"/>
      <c r="V496" s="148"/>
      <c r="W496" s="148"/>
      <c r="X496" s="148"/>
      <c r="Y496" s="148"/>
      <c r="Z496" s="148"/>
      <c r="AA496" s="148"/>
      <c r="AB496" s="148"/>
      <c r="AV496" s="150"/>
      <c r="AW496" s="150"/>
      <c r="AX496" s="150"/>
      <c r="AY496" s="150"/>
      <c r="AZ496" s="150"/>
      <c r="BA496" s="150"/>
      <c r="BB496" s="150"/>
      <c r="BC496" s="150"/>
      <c r="BD496" s="150"/>
      <c r="BE496" s="150"/>
      <c r="BF496" s="150"/>
      <c r="BG496" s="150"/>
      <c r="BH496" s="150"/>
      <c r="BI496" s="150"/>
      <c r="BJ496" s="150"/>
      <c r="BK496" s="150"/>
      <c r="BL496" s="150"/>
      <c r="BM496" s="150"/>
      <c r="BN496" s="150"/>
      <c r="BO496" s="150"/>
      <c r="BP496" s="150"/>
      <c r="BQ496" s="150"/>
      <c r="BR496" s="150"/>
      <c r="BS496" s="150"/>
      <c r="BT496" s="150"/>
      <c r="BU496" s="150"/>
      <c r="BV496" s="150"/>
      <c r="BW496" s="150"/>
      <c r="BX496" s="150"/>
      <c r="BY496" s="150"/>
      <c r="BZ496" s="150"/>
      <c r="CA496" s="150"/>
      <c r="CB496" s="150"/>
      <c r="CC496" s="150"/>
      <c r="CD496" s="150"/>
      <c r="CE496" s="150"/>
      <c r="CF496" s="150"/>
      <c r="CG496" s="150"/>
      <c r="CH496" s="150"/>
      <c r="CI496" s="150"/>
      <c r="CJ496" s="150"/>
      <c r="CK496" s="150"/>
      <c r="CL496" s="150"/>
      <c r="CM496" s="150"/>
      <c r="CN496" s="150"/>
      <c r="CO496" s="150"/>
      <c r="CP496" s="150"/>
      <c r="CQ496" s="150"/>
      <c r="CR496" s="150"/>
      <c r="CS496" s="150"/>
      <c r="CT496" s="150"/>
      <c r="CU496" s="150"/>
      <c r="CV496" s="150"/>
      <c r="CW496" s="150"/>
      <c r="CX496" s="150"/>
      <c r="CY496" s="150"/>
      <c r="CZ496" s="150"/>
      <c r="DA496" s="150"/>
      <c r="DB496" s="150"/>
      <c r="DC496" s="150"/>
      <c r="DD496" s="150"/>
      <c r="DE496" s="150"/>
      <c r="DF496" s="150"/>
      <c r="DG496" s="150"/>
      <c r="DH496" s="150"/>
      <c r="DI496" s="150"/>
      <c r="DJ496" s="150"/>
      <c r="DK496" s="150"/>
      <c r="DL496" s="150"/>
      <c r="DM496" s="150"/>
      <c r="DN496" s="150"/>
      <c r="DO496" s="150"/>
      <c r="DP496" s="150"/>
      <c r="DQ496" s="150"/>
      <c r="DR496" s="150"/>
      <c r="DS496" s="150"/>
      <c r="DT496" s="150"/>
      <c r="DU496" s="150"/>
      <c r="DV496" s="150"/>
      <c r="DW496" s="150"/>
      <c r="DX496" s="150"/>
      <c r="DY496" s="150"/>
      <c r="DZ496" s="150"/>
      <c r="EA496" s="150"/>
      <c r="EB496" s="150"/>
      <c r="EC496" s="150"/>
      <c r="ED496" s="150"/>
      <c r="EE496" s="150"/>
      <c r="EF496" s="150"/>
      <c r="EG496" s="150"/>
      <c r="EH496" s="150"/>
      <c r="EI496" s="150"/>
      <c r="EJ496" s="150"/>
      <c r="EK496" s="150"/>
      <c r="EL496" s="150"/>
      <c r="EM496" s="150"/>
      <c r="EN496" s="150"/>
      <c r="EO496" s="150"/>
      <c r="EP496" s="150"/>
      <c r="EQ496" s="150"/>
      <c r="ER496" s="150"/>
      <c r="ES496" s="150"/>
      <c r="ET496" s="150"/>
      <c r="EU496" s="150"/>
      <c r="EV496" s="150"/>
      <c r="EW496" s="150"/>
      <c r="EX496" s="150"/>
      <c r="EY496" s="150"/>
      <c r="EZ496" s="150"/>
      <c r="FA496" s="150"/>
      <c r="FB496" s="150"/>
      <c r="FC496" s="150"/>
      <c r="FD496" s="150"/>
      <c r="FE496" s="150"/>
      <c r="FF496" s="150"/>
      <c r="FG496" s="150"/>
      <c r="FH496" s="150"/>
      <c r="FI496" s="150"/>
      <c r="FJ496" s="150"/>
      <c r="FK496" s="150"/>
      <c r="FL496" s="150"/>
      <c r="FM496" s="150"/>
      <c r="FN496" s="150"/>
    </row>
    <row r="497" spans="1:170" s="149" customFormat="1" x14ac:dyDescent="0.25">
      <c r="A497" s="142"/>
      <c r="B497" s="142"/>
      <c r="C497" s="142"/>
      <c r="D497" s="144"/>
      <c r="E497" s="143"/>
      <c r="F497" s="143"/>
      <c r="G497" s="144"/>
      <c r="H497" s="143"/>
      <c r="I497" s="143"/>
      <c r="J497" s="319"/>
      <c r="K497" s="319"/>
      <c r="L497" s="315"/>
      <c r="M497" s="315"/>
      <c r="N497" s="145"/>
      <c r="O497" s="145"/>
      <c r="P497" s="145"/>
      <c r="Q497" s="146"/>
      <c r="R497" s="147"/>
      <c r="S497" s="148"/>
      <c r="T497" s="148"/>
      <c r="U497" s="148"/>
      <c r="V497" s="148"/>
      <c r="W497" s="148"/>
      <c r="X497" s="148"/>
      <c r="Y497" s="148"/>
      <c r="Z497" s="148"/>
      <c r="AA497" s="148"/>
      <c r="AB497" s="148"/>
      <c r="AV497" s="150"/>
      <c r="AW497" s="150"/>
      <c r="AX497" s="150"/>
      <c r="AY497" s="150"/>
      <c r="AZ497" s="150"/>
      <c r="BA497" s="150"/>
      <c r="BB497" s="150"/>
      <c r="BC497" s="150"/>
      <c r="BD497" s="150"/>
      <c r="BE497" s="150"/>
      <c r="BF497" s="150"/>
      <c r="BG497" s="150"/>
      <c r="BH497" s="150"/>
      <c r="BI497" s="150"/>
      <c r="BJ497" s="150"/>
      <c r="BK497" s="150"/>
      <c r="BL497" s="150"/>
      <c r="BM497" s="150"/>
      <c r="BN497" s="150"/>
      <c r="BO497" s="150"/>
      <c r="BP497" s="150"/>
      <c r="BQ497" s="150"/>
      <c r="BR497" s="150"/>
      <c r="BS497" s="150"/>
      <c r="BT497" s="150"/>
      <c r="BU497" s="150"/>
      <c r="BV497" s="150"/>
      <c r="BW497" s="150"/>
      <c r="BX497" s="150"/>
      <c r="BY497" s="150"/>
      <c r="BZ497" s="150"/>
      <c r="CA497" s="150"/>
      <c r="CB497" s="150"/>
      <c r="CC497" s="150"/>
      <c r="CD497" s="150"/>
      <c r="CE497" s="150"/>
      <c r="CF497" s="150"/>
      <c r="CG497" s="150"/>
      <c r="CH497" s="150"/>
      <c r="CI497" s="150"/>
      <c r="CJ497" s="150"/>
      <c r="CK497" s="150"/>
      <c r="CL497" s="150"/>
      <c r="CM497" s="150"/>
      <c r="CN497" s="150"/>
      <c r="CO497" s="150"/>
      <c r="CP497" s="150"/>
      <c r="CQ497" s="150"/>
      <c r="CR497" s="150"/>
      <c r="CS497" s="150"/>
      <c r="CT497" s="150"/>
      <c r="CU497" s="150"/>
      <c r="CV497" s="150"/>
      <c r="CW497" s="150"/>
      <c r="CX497" s="150"/>
      <c r="CY497" s="150"/>
      <c r="CZ497" s="150"/>
      <c r="DA497" s="150"/>
      <c r="DB497" s="150"/>
      <c r="DC497" s="150"/>
      <c r="DD497" s="150"/>
      <c r="DE497" s="150"/>
      <c r="DF497" s="150"/>
      <c r="DG497" s="150"/>
      <c r="DH497" s="150"/>
      <c r="DI497" s="150"/>
      <c r="DJ497" s="150"/>
      <c r="DK497" s="150"/>
      <c r="DL497" s="150"/>
      <c r="DM497" s="150"/>
      <c r="DN497" s="150"/>
      <c r="DO497" s="150"/>
      <c r="DP497" s="150"/>
      <c r="DQ497" s="150"/>
      <c r="DR497" s="150"/>
      <c r="DS497" s="150"/>
      <c r="DT497" s="150"/>
      <c r="DU497" s="150"/>
      <c r="DV497" s="150"/>
      <c r="DW497" s="150"/>
      <c r="DX497" s="150"/>
      <c r="DY497" s="150"/>
      <c r="DZ497" s="150"/>
      <c r="EA497" s="150"/>
      <c r="EB497" s="150"/>
      <c r="EC497" s="150"/>
      <c r="ED497" s="150"/>
      <c r="EE497" s="150"/>
      <c r="EF497" s="150"/>
      <c r="EG497" s="150"/>
      <c r="EH497" s="150"/>
      <c r="EI497" s="150"/>
      <c r="EJ497" s="150"/>
      <c r="EK497" s="150"/>
      <c r="EL497" s="150"/>
      <c r="EM497" s="150"/>
      <c r="EN497" s="150"/>
      <c r="EO497" s="150"/>
      <c r="EP497" s="150"/>
      <c r="EQ497" s="150"/>
      <c r="ER497" s="150"/>
      <c r="ES497" s="150"/>
      <c r="ET497" s="150"/>
      <c r="EU497" s="150"/>
      <c r="EV497" s="150"/>
      <c r="EW497" s="150"/>
      <c r="EX497" s="150"/>
      <c r="EY497" s="150"/>
      <c r="EZ497" s="150"/>
      <c r="FA497" s="150"/>
      <c r="FB497" s="150"/>
      <c r="FC497" s="150"/>
      <c r="FD497" s="150"/>
      <c r="FE497" s="150"/>
      <c r="FF497" s="150"/>
      <c r="FG497" s="150"/>
      <c r="FH497" s="150"/>
      <c r="FI497" s="150"/>
      <c r="FJ497" s="150"/>
      <c r="FK497" s="150"/>
      <c r="FL497" s="150"/>
      <c r="FM497" s="150"/>
      <c r="FN497" s="150"/>
    </row>
    <row r="498" spans="1:170" s="149" customFormat="1" x14ac:dyDescent="0.25">
      <c r="A498" s="142"/>
      <c r="B498" s="142"/>
      <c r="C498" s="142"/>
      <c r="D498" s="144"/>
      <c r="E498" s="143"/>
      <c r="F498" s="143"/>
      <c r="G498" s="144"/>
      <c r="H498" s="143"/>
      <c r="I498" s="143"/>
      <c r="J498" s="319"/>
      <c r="K498" s="319"/>
      <c r="L498" s="315"/>
      <c r="M498" s="315"/>
      <c r="N498" s="145"/>
      <c r="O498" s="145"/>
      <c r="P498" s="145"/>
      <c r="Q498" s="146"/>
      <c r="R498" s="147"/>
      <c r="S498" s="148"/>
      <c r="T498" s="148"/>
      <c r="U498" s="148"/>
      <c r="V498" s="148"/>
      <c r="W498" s="148"/>
      <c r="X498" s="148"/>
      <c r="Y498" s="148"/>
      <c r="Z498" s="148"/>
      <c r="AA498" s="148"/>
      <c r="AB498" s="148"/>
      <c r="AV498" s="150"/>
      <c r="AW498" s="150"/>
      <c r="AX498" s="150"/>
      <c r="AY498" s="150"/>
      <c r="AZ498" s="150"/>
      <c r="BA498" s="150"/>
      <c r="BB498" s="150"/>
      <c r="BC498" s="150"/>
      <c r="BD498" s="150"/>
      <c r="BE498" s="150"/>
      <c r="BF498" s="150"/>
      <c r="BG498" s="150"/>
      <c r="BH498" s="150"/>
      <c r="BI498" s="150"/>
      <c r="BJ498" s="150"/>
      <c r="BK498" s="150"/>
      <c r="BL498" s="150"/>
      <c r="BM498" s="150"/>
      <c r="BN498" s="150"/>
      <c r="BO498" s="150"/>
      <c r="BP498" s="150"/>
      <c r="BQ498" s="150"/>
      <c r="BR498" s="150"/>
      <c r="BS498" s="150"/>
      <c r="BT498" s="150"/>
      <c r="BU498" s="150"/>
      <c r="BV498" s="150"/>
      <c r="BW498" s="150"/>
      <c r="BX498" s="150"/>
      <c r="BY498" s="150"/>
      <c r="BZ498" s="150"/>
      <c r="CA498" s="150"/>
      <c r="CB498" s="150"/>
      <c r="CC498" s="150"/>
      <c r="CD498" s="150"/>
      <c r="CE498" s="150"/>
      <c r="CF498" s="150"/>
      <c r="CG498" s="150"/>
      <c r="CH498" s="150"/>
      <c r="CI498" s="150"/>
      <c r="CJ498" s="150"/>
      <c r="CK498" s="150"/>
      <c r="CL498" s="150"/>
      <c r="CM498" s="150"/>
      <c r="CN498" s="150"/>
      <c r="CO498" s="150"/>
      <c r="CP498" s="150"/>
      <c r="CQ498" s="150"/>
      <c r="CR498" s="150"/>
      <c r="CS498" s="150"/>
      <c r="CT498" s="150"/>
      <c r="CU498" s="150"/>
      <c r="CV498" s="150"/>
      <c r="CW498" s="150"/>
      <c r="CX498" s="150"/>
      <c r="CY498" s="150"/>
      <c r="CZ498" s="150"/>
      <c r="DA498" s="150"/>
      <c r="DB498" s="150"/>
      <c r="DC498" s="150"/>
      <c r="DD498" s="150"/>
      <c r="DE498" s="150"/>
      <c r="DF498" s="150"/>
      <c r="DG498" s="150"/>
      <c r="DH498" s="150"/>
      <c r="DI498" s="150"/>
      <c r="DJ498" s="150"/>
      <c r="DK498" s="150"/>
      <c r="DL498" s="150"/>
      <c r="DM498" s="150"/>
      <c r="DN498" s="150"/>
      <c r="DO498" s="150"/>
      <c r="DP498" s="150"/>
      <c r="DQ498" s="150"/>
      <c r="DR498" s="150"/>
      <c r="DS498" s="150"/>
      <c r="DT498" s="150"/>
      <c r="DU498" s="150"/>
      <c r="DV498" s="150"/>
      <c r="DW498" s="150"/>
      <c r="DX498" s="150"/>
      <c r="DY498" s="150"/>
      <c r="DZ498" s="150"/>
      <c r="EA498" s="150"/>
      <c r="EB498" s="150"/>
      <c r="EC498" s="150"/>
      <c r="ED498" s="150"/>
      <c r="EE498" s="150"/>
      <c r="EF498" s="150"/>
      <c r="EG498" s="150"/>
      <c r="EH498" s="150"/>
      <c r="EI498" s="150"/>
      <c r="EJ498" s="150"/>
      <c r="EK498" s="150"/>
      <c r="EL498" s="150"/>
      <c r="EM498" s="150"/>
      <c r="EN498" s="150"/>
      <c r="EO498" s="150"/>
      <c r="EP498" s="150"/>
      <c r="EQ498" s="150"/>
      <c r="ER498" s="150"/>
      <c r="ES498" s="150"/>
      <c r="ET498" s="150"/>
      <c r="EU498" s="150"/>
      <c r="EV498" s="150"/>
      <c r="EW498" s="150"/>
      <c r="EX498" s="150"/>
      <c r="EY498" s="150"/>
      <c r="EZ498" s="150"/>
      <c r="FA498" s="150"/>
      <c r="FB498" s="150"/>
      <c r="FC498" s="150"/>
      <c r="FD498" s="150"/>
      <c r="FE498" s="150"/>
      <c r="FF498" s="150"/>
      <c r="FG498" s="150"/>
      <c r="FH498" s="150"/>
      <c r="FI498" s="150"/>
      <c r="FJ498" s="150"/>
      <c r="FK498" s="150"/>
      <c r="FL498" s="150"/>
      <c r="FM498" s="150"/>
      <c r="FN498" s="150"/>
    </row>
    <row r="499" spans="1:170" s="149" customFormat="1" x14ac:dyDescent="0.25">
      <c r="A499" s="142"/>
      <c r="B499" s="142"/>
      <c r="C499" s="142"/>
      <c r="D499" s="144"/>
      <c r="E499" s="143"/>
      <c r="F499" s="143"/>
      <c r="G499" s="144"/>
      <c r="H499" s="143"/>
      <c r="I499" s="143"/>
      <c r="J499" s="319"/>
      <c r="K499" s="319"/>
      <c r="L499" s="315"/>
      <c r="M499" s="315"/>
      <c r="N499" s="145"/>
      <c r="O499" s="145"/>
      <c r="P499" s="145"/>
      <c r="Q499" s="146"/>
      <c r="R499" s="147"/>
      <c r="S499" s="148"/>
      <c r="T499" s="148"/>
      <c r="U499" s="148"/>
      <c r="V499" s="148"/>
      <c r="W499" s="148"/>
      <c r="X499" s="148"/>
      <c r="Y499" s="148"/>
      <c r="Z499" s="148"/>
      <c r="AA499" s="148"/>
      <c r="AB499" s="148"/>
      <c r="AV499" s="150"/>
      <c r="AW499" s="150"/>
      <c r="AX499" s="150"/>
      <c r="AY499" s="150"/>
      <c r="AZ499" s="150"/>
      <c r="BA499" s="150"/>
      <c r="BB499" s="150"/>
      <c r="BC499" s="150"/>
      <c r="BD499" s="150"/>
      <c r="BE499" s="150"/>
      <c r="BF499" s="150"/>
      <c r="BG499" s="150"/>
      <c r="BH499" s="150"/>
      <c r="BI499" s="150"/>
      <c r="BJ499" s="150"/>
      <c r="BK499" s="150"/>
      <c r="BL499" s="150"/>
      <c r="BM499" s="150"/>
      <c r="BN499" s="150"/>
      <c r="BO499" s="150"/>
      <c r="BP499" s="150"/>
      <c r="BQ499" s="150"/>
      <c r="BR499" s="150"/>
      <c r="BS499" s="150"/>
      <c r="BT499" s="150"/>
      <c r="BU499" s="150"/>
      <c r="BV499" s="150"/>
      <c r="BW499" s="150"/>
      <c r="BX499" s="150"/>
      <c r="BY499" s="150"/>
      <c r="BZ499" s="150"/>
      <c r="CA499" s="150"/>
      <c r="CB499" s="150"/>
      <c r="CC499" s="150"/>
      <c r="CD499" s="150"/>
      <c r="CE499" s="150"/>
      <c r="CF499" s="150"/>
      <c r="CG499" s="150"/>
      <c r="CH499" s="150"/>
      <c r="CI499" s="150"/>
      <c r="CJ499" s="150"/>
      <c r="CK499" s="150"/>
      <c r="CL499" s="150"/>
      <c r="CM499" s="150"/>
      <c r="CN499" s="150"/>
      <c r="CO499" s="150"/>
      <c r="CP499" s="150"/>
      <c r="CQ499" s="150"/>
      <c r="CR499" s="150"/>
      <c r="CS499" s="150"/>
      <c r="CT499" s="150"/>
      <c r="CU499" s="150"/>
      <c r="CV499" s="150"/>
      <c r="CW499" s="150"/>
      <c r="CX499" s="150"/>
      <c r="CY499" s="150"/>
      <c r="CZ499" s="150"/>
      <c r="DA499" s="150"/>
      <c r="DB499" s="150"/>
      <c r="DC499" s="150"/>
      <c r="DD499" s="150"/>
      <c r="DE499" s="150"/>
      <c r="DF499" s="150"/>
      <c r="DG499" s="150"/>
      <c r="DH499" s="150"/>
      <c r="DI499" s="150"/>
      <c r="DJ499" s="150"/>
      <c r="DK499" s="150"/>
      <c r="DL499" s="150"/>
      <c r="DM499" s="150"/>
      <c r="DN499" s="150"/>
      <c r="DO499" s="150"/>
      <c r="DP499" s="150"/>
      <c r="DQ499" s="150"/>
      <c r="DR499" s="150"/>
      <c r="DS499" s="150"/>
      <c r="DT499" s="150"/>
      <c r="DU499" s="150"/>
      <c r="DV499" s="150"/>
      <c r="DW499" s="150"/>
      <c r="DX499" s="150"/>
      <c r="DY499" s="150"/>
      <c r="DZ499" s="150"/>
      <c r="EA499" s="150"/>
      <c r="EB499" s="150"/>
      <c r="EC499" s="150"/>
      <c r="ED499" s="150"/>
      <c r="EE499" s="150"/>
      <c r="EF499" s="150"/>
      <c r="EG499" s="150"/>
      <c r="EH499" s="150"/>
      <c r="EI499" s="150"/>
      <c r="EJ499" s="150"/>
      <c r="EK499" s="150"/>
      <c r="EL499" s="150"/>
      <c r="EM499" s="150"/>
      <c r="EN499" s="150"/>
      <c r="EO499" s="150"/>
      <c r="EP499" s="150"/>
      <c r="EQ499" s="150"/>
      <c r="ER499" s="150"/>
      <c r="ES499" s="150"/>
      <c r="ET499" s="150"/>
      <c r="EU499" s="150"/>
      <c r="EV499" s="150"/>
      <c r="EW499" s="150"/>
      <c r="EX499" s="150"/>
      <c r="EY499" s="150"/>
      <c r="EZ499" s="150"/>
      <c r="FA499" s="150"/>
      <c r="FB499" s="150"/>
      <c r="FC499" s="150"/>
      <c r="FD499" s="150"/>
      <c r="FE499" s="150"/>
      <c r="FF499" s="150"/>
      <c r="FG499" s="150"/>
      <c r="FH499" s="150"/>
      <c r="FI499" s="150"/>
      <c r="FJ499" s="150"/>
      <c r="FK499" s="150"/>
      <c r="FL499" s="150"/>
      <c r="FM499" s="150"/>
      <c r="FN499" s="150"/>
    </row>
    <row r="500" spans="1:170" s="149" customFormat="1" x14ac:dyDescent="0.25">
      <c r="A500" s="142"/>
      <c r="B500" s="142"/>
      <c r="C500" s="142"/>
      <c r="D500" s="144"/>
      <c r="E500" s="143"/>
      <c r="F500" s="143"/>
      <c r="G500" s="144"/>
      <c r="H500" s="143"/>
      <c r="I500" s="143"/>
      <c r="J500" s="319"/>
      <c r="K500" s="319"/>
      <c r="L500" s="315"/>
      <c r="M500" s="315"/>
      <c r="N500" s="145"/>
      <c r="O500" s="145"/>
      <c r="P500" s="145"/>
      <c r="Q500" s="146"/>
      <c r="R500" s="147"/>
      <c r="S500" s="148"/>
      <c r="T500" s="148"/>
      <c r="U500" s="148"/>
      <c r="V500" s="148"/>
      <c r="W500" s="148"/>
      <c r="X500" s="148"/>
      <c r="Y500" s="148"/>
      <c r="Z500" s="148"/>
      <c r="AA500" s="148"/>
      <c r="AB500" s="148"/>
      <c r="AV500" s="150"/>
      <c r="AW500" s="150"/>
      <c r="AX500" s="150"/>
      <c r="AY500" s="150"/>
      <c r="AZ500" s="150"/>
      <c r="BA500" s="150"/>
      <c r="BB500" s="150"/>
      <c r="BC500" s="150"/>
      <c r="BD500" s="150"/>
      <c r="BE500" s="150"/>
      <c r="BF500" s="150"/>
      <c r="BG500" s="150"/>
      <c r="BH500" s="150"/>
      <c r="BI500" s="150"/>
      <c r="BJ500" s="150"/>
      <c r="BK500" s="150"/>
      <c r="BL500" s="150"/>
      <c r="BM500" s="150"/>
      <c r="BN500" s="150"/>
      <c r="BO500" s="150"/>
      <c r="BP500" s="150"/>
      <c r="BQ500" s="150"/>
      <c r="BR500" s="150"/>
      <c r="BS500" s="150"/>
      <c r="BT500" s="150"/>
      <c r="BU500" s="150"/>
      <c r="BV500" s="150"/>
      <c r="BW500" s="150"/>
      <c r="BX500" s="150"/>
      <c r="BY500" s="150"/>
      <c r="BZ500" s="150"/>
      <c r="CA500" s="150"/>
      <c r="CB500" s="150"/>
      <c r="CC500" s="150"/>
      <c r="CD500" s="150"/>
      <c r="CE500" s="150"/>
      <c r="CF500" s="150"/>
      <c r="CG500" s="150"/>
      <c r="CH500" s="150"/>
      <c r="CI500" s="150"/>
      <c r="CJ500" s="150"/>
      <c r="CK500" s="150"/>
      <c r="CL500" s="150"/>
      <c r="CM500" s="150"/>
      <c r="CN500" s="150"/>
      <c r="CO500" s="150"/>
      <c r="CP500" s="150"/>
      <c r="CQ500" s="150"/>
      <c r="CR500" s="150"/>
      <c r="CS500" s="150"/>
      <c r="CT500" s="150"/>
      <c r="CU500" s="150"/>
      <c r="CV500" s="150"/>
      <c r="CW500" s="150"/>
      <c r="CX500" s="150"/>
      <c r="CY500" s="150"/>
      <c r="CZ500" s="150"/>
      <c r="DA500" s="150"/>
      <c r="DB500" s="150"/>
      <c r="DC500" s="150"/>
      <c r="DD500" s="150"/>
      <c r="DE500" s="150"/>
      <c r="DF500" s="150"/>
      <c r="DG500" s="150"/>
      <c r="DH500" s="150"/>
      <c r="DI500" s="150"/>
      <c r="DJ500" s="150"/>
      <c r="DK500" s="150"/>
      <c r="DL500" s="150"/>
      <c r="DM500" s="150"/>
      <c r="DN500" s="150"/>
      <c r="DO500" s="150"/>
      <c r="DP500" s="150"/>
      <c r="DQ500" s="150"/>
      <c r="DR500" s="150"/>
      <c r="DS500" s="150"/>
      <c r="DT500" s="150"/>
      <c r="DU500" s="150"/>
      <c r="DV500" s="150"/>
      <c r="DW500" s="150"/>
      <c r="DX500" s="150"/>
      <c r="DY500" s="150"/>
      <c r="DZ500" s="150"/>
      <c r="EA500" s="150"/>
      <c r="EB500" s="150"/>
      <c r="EC500" s="150"/>
      <c r="ED500" s="150"/>
      <c r="EE500" s="150"/>
      <c r="EF500" s="150"/>
      <c r="EG500" s="150"/>
      <c r="EH500" s="150"/>
      <c r="EI500" s="150"/>
      <c r="EJ500" s="150"/>
      <c r="EK500" s="150"/>
      <c r="EL500" s="150"/>
      <c r="EM500" s="150"/>
      <c r="EN500" s="150"/>
      <c r="EO500" s="150"/>
      <c r="EP500" s="150"/>
      <c r="EQ500" s="150"/>
      <c r="ER500" s="150"/>
      <c r="ES500" s="150"/>
      <c r="ET500" s="150"/>
      <c r="EU500" s="150"/>
      <c r="EV500" s="150"/>
      <c r="EW500" s="150"/>
      <c r="EX500" s="150"/>
      <c r="EY500" s="150"/>
      <c r="EZ500" s="150"/>
      <c r="FA500" s="150"/>
      <c r="FB500" s="150"/>
      <c r="FC500" s="150"/>
      <c r="FD500" s="150"/>
      <c r="FE500" s="150"/>
      <c r="FF500" s="150"/>
      <c r="FG500" s="150"/>
      <c r="FH500" s="150"/>
      <c r="FI500" s="150"/>
      <c r="FJ500" s="150"/>
      <c r="FK500" s="150"/>
      <c r="FL500" s="150"/>
      <c r="FM500" s="150"/>
      <c r="FN500" s="150"/>
    </row>
    <row r="501" spans="1:170" s="149" customFormat="1" x14ac:dyDescent="0.25">
      <c r="A501" s="142"/>
      <c r="B501" s="142"/>
      <c r="C501" s="142"/>
      <c r="D501" s="144"/>
      <c r="E501" s="143"/>
      <c r="F501" s="143"/>
      <c r="G501" s="144"/>
      <c r="H501" s="143"/>
      <c r="I501" s="143"/>
      <c r="J501" s="319"/>
      <c r="K501" s="319"/>
      <c r="L501" s="315"/>
      <c r="M501" s="315"/>
      <c r="N501" s="145"/>
      <c r="O501" s="145"/>
      <c r="P501" s="145"/>
      <c r="Q501" s="146"/>
      <c r="R501" s="147"/>
      <c r="S501" s="148"/>
      <c r="T501" s="148"/>
      <c r="U501" s="148"/>
      <c r="V501" s="148"/>
      <c r="W501" s="148"/>
      <c r="X501" s="148"/>
      <c r="Y501" s="148"/>
      <c r="Z501" s="148"/>
      <c r="AA501" s="148"/>
      <c r="AB501" s="148"/>
      <c r="AV501" s="150"/>
      <c r="AW501" s="150"/>
      <c r="AX501" s="150"/>
      <c r="AY501" s="150"/>
      <c r="AZ501" s="150"/>
      <c r="BA501" s="150"/>
      <c r="BB501" s="150"/>
      <c r="BC501" s="150"/>
      <c r="BD501" s="150"/>
      <c r="BE501" s="150"/>
      <c r="BF501" s="150"/>
      <c r="BG501" s="150"/>
      <c r="BH501" s="150"/>
      <c r="BI501" s="150"/>
      <c r="BJ501" s="150"/>
      <c r="BK501" s="150"/>
      <c r="BL501" s="150"/>
      <c r="BM501" s="150"/>
      <c r="BN501" s="150"/>
      <c r="BO501" s="150"/>
      <c r="BP501" s="150"/>
      <c r="BQ501" s="150"/>
      <c r="BR501" s="150"/>
      <c r="BS501" s="150"/>
      <c r="BT501" s="150"/>
      <c r="BU501" s="150"/>
      <c r="BV501" s="150"/>
      <c r="BW501" s="150"/>
      <c r="BX501" s="150"/>
      <c r="BY501" s="150"/>
      <c r="BZ501" s="150"/>
      <c r="CA501" s="150"/>
      <c r="CB501" s="150"/>
      <c r="CC501" s="150"/>
      <c r="CD501" s="150"/>
      <c r="CE501" s="150"/>
      <c r="CF501" s="150"/>
      <c r="CG501" s="150"/>
      <c r="CH501" s="150"/>
      <c r="CI501" s="150"/>
      <c r="CJ501" s="150"/>
      <c r="CK501" s="150"/>
      <c r="CL501" s="150"/>
      <c r="CM501" s="150"/>
      <c r="CN501" s="150"/>
      <c r="CO501" s="150"/>
      <c r="CP501" s="150"/>
      <c r="CQ501" s="150"/>
      <c r="CR501" s="150"/>
      <c r="CS501" s="150"/>
      <c r="CT501" s="150"/>
      <c r="CU501" s="150"/>
      <c r="CV501" s="150"/>
      <c r="CW501" s="150"/>
      <c r="CX501" s="150"/>
      <c r="CY501" s="150"/>
      <c r="CZ501" s="150"/>
      <c r="DA501" s="150"/>
      <c r="DB501" s="150"/>
      <c r="DC501" s="150"/>
      <c r="DD501" s="150"/>
      <c r="DE501" s="150"/>
      <c r="DF501" s="150"/>
      <c r="DG501" s="150"/>
      <c r="DH501" s="150"/>
      <c r="DI501" s="150"/>
      <c r="DJ501" s="150"/>
      <c r="DK501" s="150"/>
      <c r="DL501" s="150"/>
      <c r="DM501" s="150"/>
      <c r="DN501" s="150"/>
      <c r="DO501" s="150"/>
      <c r="DP501" s="150"/>
      <c r="DQ501" s="150"/>
      <c r="DR501" s="150"/>
      <c r="DS501" s="150"/>
      <c r="DT501" s="150"/>
      <c r="DU501" s="150"/>
      <c r="DV501" s="150"/>
      <c r="DW501" s="150"/>
      <c r="DX501" s="150"/>
      <c r="DY501" s="150"/>
      <c r="DZ501" s="150"/>
      <c r="EA501" s="150"/>
      <c r="EB501" s="150"/>
      <c r="EC501" s="150"/>
      <c r="ED501" s="150"/>
      <c r="EE501" s="150"/>
      <c r="EF501" s="150"/>
      <c r="EG501" s="150"/>
      <c r="EH501" s="150"/>
      <c r="EI501" s="150"/>
      <c r="EJ501" s="150"/>
      <c r="EK501" s="150"/>
      <c r="EL501" s="150"/>
      <c r="EM501" s="150"/>
      <c r="EN501" s="150"/>
      <c r="EO501" s="150"/>
      <c r="EP501" s="150"/>
      <c r="EQ501" s="150"/>
      <c r="ER501" s="150"/>
      <c r="ES501" s="150"/>
      <c r="ET501" s="150"/>
      <c r="EU501" s="150"/>
      <c r="EV501" s="150"/>
      <c r="EW501" s="150"/>
      <c r="EX501" s="150"/>
      <c r="EY501" s="150"/>
      <c r="EZ501" s="150"/>
      <c r="FA501" s="150"/>
      <c r="FB501" s="150"/>
      <c r="FC501" s="150"/>
      <c r="FD501" s="150"/>
      <c r="FE501" s="150"/>
      <c r="FF501" s="150"/>
      <c r="FG501" s="150"/>
      <c r="FH501" s="150"/>
      <c r="FI501" s="150"/>
      <c r="FJ501" s="150"/>
      <c r="FK501" s="150"/>
      <c r="FL501" s="150"/>
      <c r="FM501" s="150"/>
      <c r="FN501" s="150"/>
    </row>
    <row r="502" spans="1:170" s="149" customFormat="1" x14ac:dyDescent="0.25">
      <c r="A502" s="142"/>
      <c r="B502" s="142"/>
      <c r="C502" s="142"/>
      <c r="D502" s="144"/>
      <c r="E502" s="143"/>
      <c r="F502" s="143"/>
      <c r="G502" s="144"/>
      <c r="H502" s="143"/>
      <c r="I502" s="143"/>
      <c r="J502" s="319"/>
      <c r="K502" s="319"/>
      <c r="L502" s="315"/>
      <c r="M502" s="315"/>
      <c r="N502" s="145"/>
      <c r="O502" s="145"/>
      <c r="P502" s="145"/>
      <c r="Q502" s="146"/>
      <c r="R502" s="147"/>
      <c r="S502" s="148"/>
      <c r="T502" s="148"/>
      <c r="U502" s="148"/>
      <c r="V502" s="148"/>
      <c r="W502" s="148"/>
      <c r="X502" s="148"/>
      <c r="Y502" s="148"/>
      <c r="Z502" s="148"/>
      <c r="AA502" s="148"/>
      <c r="AB502" s="148"/>
      <c r="AV502" s="150"/>
      <c r="AW502" s="150"/>
      <c r="AX502" s="150"/>
      <c r="AY502" s="150"/>
      <c r="AZ502" s="150"/>
      <c r="BA502" s="150"/>
      <c r="BB502" s="150"/>
      <c r="BC502" s="150"/>
      <c r="BD502" s="150"/>
      <c r="BE502" s="150"/>
      <c r="BF502" s="150"/>
      <c r="BG502" s="150"/>
      <c r="BH502" s="150"/>
      <c r="BI502" s="150"/>
      <c r="BJ502" s="150"/>
      <c r="BK502" s="150"/>
      <c r="BL502" s="150"/>
      <c r="BM502" s="150"/>
      <c r="BN502" s="150"/>
      <c r="BO502" s="150"/>
      <c r="BP502" s="150"/>
      <c r="BQ502" s="150"/>
      <c r="BR502" s="150"/>
      <c r="BS502" s="150"/>
      <c r="BT502" s="150"/>
      <c r="BU502" s="150"/>
      <c r="BV502" s="150"/>
      <c r="BW502" s="150"/>
      <c r="BX502" s="150"/>
      <c r="BY502" s="150"/>
      <c r="BZ502" s="150"/>
      <c r="CA502" s="150"/>
      <c r="CB502" s="150"/>
      <c r="CC502" s="150"/>
      <c r="CD502" s="150"/>
      <c r="CE502" s="150"/>
      <c r="CF502" s="150"/>
      <c r="CG502" s="150"/>
      <c r="CH502" s="150"/>
      <c r="CI502" s="150"/>
      <c r="CJ502" s="150"/>
      <c r="CK502" s="150"/>
      <c r="CL502" s="150"/>
      <c r="CM502" s="150"/>
      <c r="CN502" s="150"/>
      <c r="CO502" s="150"/>
      <c r="CP502" s="150"/>
      <c r="CQ502" s="150"/>
      <c r="CR502" s="150"/>
      <c r="CS502" s="150"/>
      <c r="CT502" s="150"/>
      <c r="CU502" s="150"/>
      <c r="CV502" s="150"/>
      <c r="CW502" s="150"/>
      <c r="CX502" s="150"/>
      <c r="CY502" s="150"/>
      <c r="CZ502" s="150"/>
      <c r="DA502" s="150"/>
      <c r="DB502" s="150"/>
      <c r="DC502" s="150"/>
      <c r="DD502" s="150"/>
      <c r="DE502" s="150"/>
      <c r="DF502" s="150"/>
      <c r="DG502" s="150"/>
      <c r="DH502" s="150"/>
      <c r="DI502" s="150"/>
      <c r="DJ502" s="150"/>
      <c r="DK502" s="150"/>
      <c r="DL502" s="150"/>
      <c r="DM502" s="150"/>
      <c r="DN502" s="150"/>
      <c r="DO502" s="150"/>
      <c r="DP502" s="150"/>
      <c r="DQ502" s="150"/>
      <c r="DR502" s="150"/>
      <c r="DS502" s="150"/>
      <c r="DT502" s="150"/>
      <c r="DU502" s="150"/>
      <c r="DV502" s="150"/>
      <c r="DW502" s="150"/>
      <c r="DX502" s="150"/>
      <c r="DY502" s="150"/>
      <c r="DZ502" s="150"/>
      <c r="EA502" s="150"/>
      <c r="EB502" s="150"/>
      <c r="EC502" s="150"/>
      <c r="ED502" s="150"/>
      <c r="EE502" s="150"/>
      <c r="EF502" s="150"/>
      <c r="EG502" s="150"/>
      <c r="EH502" s="150"/>
      <c r="EI502" s="150"/>
      <c r="EJ502" s="150"/>
      <c r="EK502" s="150"/>
      <c r="EL502" s="150"/>
      <c r="EM502" s="150"/>
      <c r="EN502" s="150"/>
      <c r="EO502" s="150"/>
      <c r="EP502" s="150"/>
      <c r="EQ502" s="150"/>
      <c r="ER502" s="150"/>
      <c r="ES502" s="150"/>
      <c r="ET502" s="150"/>
      <c r="EU502" s="150"/>
      <c r="EV502" s="150"/>
      <c r="EW502" s="150"/>
      <c r="EX502" s="150"/>
      <c r="EY502" s="150"/>
      <c r="EZ502" s="150"/>
      <c r="FA502" s="150"/>
      <c r="FB502" s="150"/>
      <c r="FC502" s="150"/>
      <c r="FD502" s="150"/>
      <c r="FE502" s="150"/>
      <c r="FF502" s="150"/>
      <c r="FG502" s="150"/>
      <c r="FH502" s="150"/>
      <c r="FI502" s="150"/>
      <c r="FJ502" s="150"/>
      <c r="FK502" s="150"/>
      <c r="FL502" s="150"/>
      <c r="FM502" s="150"/>
      <c r="FN502" s="150"/>
    </row>
    <row r="503" spans="1:170" s="149" customFormat="1" x14ac:dyDescent="0.25">
      <c r="A503" s="142"/>
      <c r="B503" s="142"/>
      <c r="C503" s="142"/>
      <c r="D503" s="144"/>
      <c r="E503" s="143"/>
      <c r="F503" s="143"/>
      <c r="G503" s="144"/>
      <c r="H503" s="143"/>
      <c r="I503" s="143"/>
      <c r="J503" s="319"/>
      <c r="K503" s="319"/>
      <c r="L503" s="315"/>
      <c r="M503" s="315"/>
      <c r="N503" s="145"/>
      <c r="O503" s="145"/>
      <c r="P503" s="145"/>
      <c r="Q503" s="146"/>
      <c r="R503" s="147"/>
      <c r="S503" s="148"/>
      <c r="T503" s="148"/>
      <c r="U503" s="148"/>
      <c r="V503" s="148"/>
      <c r="W503" s="148"/>
      <c r="X503" s="148"/>
      <c r="Y503" s="148"/>
      <c r="Z503" s="148"/>
      <c r="AA503" s="148"/>
      <c r="AB503" s="148"/>
      <c r="AV503" s="150"/>
      <c r="AW503" s="150"/>
      <c r="AX503" s="150"/>
      <c r="AY503" s="150"/>
      <c r="AZ503" s="150"/>
      <c r="BA503" s="150"/>
      <c r="BB503" s="150"/>
      <c r="BC503" s="150"/>
      <c r="BD503" s="150"/>
      <c r="BE503" s="150"/>
      <c r="BF503" s="150"/>
      <c r="BG503" s="150"/>
      <c r="BH503" s="150"/>
      <c r="BI503" s="150"/>
      <c r="BJ503" s="150"/>
      <c r="BK503" s="150"/>
      <c r="BL503" s="150"/>
      <c r="BM503" s="150"/>
      <c r="BN503" s="150"/>
      <c r="BO503" s="150"/>
      <c r="BP503" s="150"/>
      <c r="BQ503" s="150"/>
      <c r="BR503" s="150"/>
      <c r="BS503" s="150"/>
      <c r="BT503" s="150"/>
      <c r="BU503" s="150"/>
      <c r="BV503" s="150"/>
      <c r="BW503" s="150"/>
      <c r="BX503" s="150"/>
      <c r="BY503" s="150"/>
      <c r="BZ503" s="150"/>
      <c r="CA503" s="150"/>
      <c r="CB503" s="150"/>
      <c r="CC503" s="150"/>
      <c r="CD503" s="150"/>
      <c r="CE503" s="150"/>
      <c r="CF503" s="150"/>
      <c r="CG503" s="150"/>
      <c r="CH503" s="150"/>
      <c r="CI503" s="150"/>
      <c r="CJ503" s="150"/>
      <c r="CK503" s="150"/>
      <c r="CL503" s="150"/>
      <c r="CM503" s="150"/>
      <c r="CN503" s="150"/>
      <c r="CO503" s="150"/>
      <c r="CP503" s="150"/>
      <c r="CQ503" s="150"/>
      <c r="CR503" s="150"/>
      <c r="CS503" s="150"/>
      <c r="CT503" s="150"/>
      <c r="CU503" s="150"/>
      <c r="CV503" s="150"/>
      <c r="CW503" s="150"/>
      <c r="CX503" s="150"/>
      <c r="CY503" s="150"/>
      <c r="CZ503" s="150"/>
      <c r="DA503" s="150"/>
      <c r="DB503" s="150"/>
      <c r="DC503" s="150"/>
      <c r="DD503" s="150"/>
      <c r="DE503" s="150"/>
      <c r="DF503" s="150"/>
      <c r="DG503" s="150"/>
      <c r="DH503" s="150"/>
      <c r="DI503" s="150"/>
      <c r="DJ503" s="150"/>
      <c r="DK503" s="150"/>
      <c r="DL503" s="150"/>
      <c r="DM503" s="150"/>
      <c r="DN503" s="150"/>
      <c r="DO503" s="150"/>
      <c r="DP503" s="150"/>
      <c r="DQ503" s="150"/>
      <c r="DR503" s="150"/>
      <c r="DS503" s="150"/>
      <c r="DT503" s="150"/>
      <c r="DU503" s="150"/>
      <c r="DV503" s="150"/>
      <c r="DW503" s="150"/>
      <c r="DX503" s="150"/>
      <c r="DY503" s="150"/>
      <c r="DZ503" s="150"/>
      <c r="EA503" s="150"/>
      <c r="EB503" s="150"/>
      <c r="EC503" s="150"/>
      <c r="ED503" s="150"/>
      <c r="EE503" s="150"/>
      <c r="EF503" s="150"/>
      <c r="EG503" s="150"/>
      <c r="EH503" s="150"/>
      <c r="EI503" s="150"/>
      <c r="EJ503" s="150"/>
      <c r="EK503" s="150"/>
      <c r="EL503" s="150"/>
      <c r="EM503" s="150"/>
      <c r="EN503" s="150"/>
      <c r="EO503" s="150"/>
      <c r="EP503" s="150"/>
      <c r="EQ503" s="150"/>
      <c r="ER503" s="150"/>
      <c r="ES503" s="150"/>
      <c r="ET503" s="150"/>
      <c r="EU503" s="150"/>
      <c r="EV503" s="150"/>
      <c r="EW503" s="150"/>
      <c r="EX503" s="150"/>
      <c r="EY503" s="150"/>
      <c r="EZ503" s="150"/>
      <c r="FA503" s="150"/>
      <c r="FB503" s="150"/>
      <c r="FC503" s="150"/>
      <c r="FD503" s="150"/>
      <c r="FE503" s="150"/>
      <c r="FF503" s="150"/>
      <c r="FG503" s="150"/>
      <c r="FH503" s="150"/>
      <c r="FI503" s="150"/>
      <c r="FJ503" s="150"/>
      <c r="FK503" s="150"/>
      <c r="FL503" s="150"/>
      <c r="FM503" s="150"/>
      <c r="FN503" s="150"/>
    </row>
    <row r="504" spans="1:170" s="149" customFormat="1" x14ac:dyDescent="0.25">
      <c r="A504" s="142"/>
      <c r="B504" s="142"/>
      <c r="C504" s="142"/>
      <c r="D504" s="144"/>
      <c r="E504" s="143"/>
      <c r="F504" s="143"/>
      <c r="G504" s="144"/>
      <c r="H504" s="143"/>
      <c r="I504" s="143"/>
      <c r="J504" s="319"/>
      <c r="K504" s="319"/>
      <c r="L504" s="315"/>
      <c r="M504" s="315"/>
      <c r="N504" s="145"/>
      <c r="O504" s="145"/>
      <c r="P504" s="145"/>
      <c r="Q504" s="146"/>
      <c r="R504" s="147"/>
      <c r="S504" s="148"/>
      <c r="T504" s="148"/>
      <c r="U504" s="148"/>
      <c r="V504" s="148"/>
      <c r="W504" s="148"/>
      <c r="X504" s="148"/>
      <c r="Y504" s="148"/>
      <c r="Z504" s="148"/>
      <c r="AA504" s="148"/>
      <c r="AB504" s="148"/>
      <c r="AV504" s="150"/>
      <c r="AW504" s="150"/>
      <c r="AX504" s="150"/>
      <c r="AY504" s="150"/>
      <c r="AZ504" s="150"/>
      <c r="BA504" s="150"/>
      <c r="BB504" s="150"/>
      <c r="BC504" s="150"/>
      <c r="BD504" s="150"/>
      <c r="BE504" s="150"/>
      <c r="BF504" s="150"/>
      <c r="BG504" s="150"/>
      <c r="BH504" s="150"/>
      <c r="BI504" s="150"/>
      <c r="BJ504" s="150"/>
      <c r="BK504" s="150"/>
      <c r="BL504" s="150"/>
      <c r="BM504" s="150"/>
      <c r="BN504" s="150"/>
      <c r="BO504" s="150"/>
      <c r="BP504" s="150"/>
      <c r="BQ504" s="150"/>
      <c r="BR504" s="150"/>
      <c r="BS504" s="150"/>
      <c r="BT504" s="150"/>
      <c r="BU504" s="150"/>
      <c r="BV504" s="150"/>
      <c r="BW504" s="150"/>
      <c r="BX504" s="150"/>
      <c r="BY504" s="150"/>
      <c r="BZ504" s="150"/>
      <c r="CA504" s="150"/>
      <c r="CB504" s="150"/>
      <c r="CC504" s="150"/>
      <c r="CD504" s="150"/>
      <c r="CE504" s="150"/>
      <c r="CF504" s="150"/>
      <c r="CG504" s="150"/>
      <c r="CH504" s="150"/>
      <c r="CI504" s="150"/>
      <c r="CJ504" s="150"/>
      <c r="CK504" s="150"/>
      <c r="CL504" s="150"/>
      <c r="CM504" s="150"/>
      <c r="CN504" s="150"/>
      <c r="CO504" s="150"/>
      <c r="CP504" s="150"/>
      <c r="CQ504" s="150"/>
      <c r="CR504" s="150"/>
      <c r="CS504" s="150"/>
      <c r="CT504" s="150"/>
      <c r="CU504" s="150"/>
      <c r="CV504" s="150"/>
      <c r="CW504" s="150"/>
      <c r="CX504" s="150"/>
      <c r="CY504" s="150"/>
      <c r="CZ504" s="150"/>
      <c r="DA504" s="150"/>
      <c r="DB504" s="150"/>
      <c r="DC504" s="150"/>
      <c r="DD504" s="150"/>
      <c r="DE504" s="150"/>
      <c r="DF504" s="150"/>
      <c r="DG504" s="150"/>
      <c r="DH504" s="150"/>
      <c r="DI504" s="150"/>
      <c r="DJ504" s="150"/>
      <c r="DK504" s="150"/>
      <c r="DL504" s="150"/>
      <c r="DM504" s="150"/>
      <c r="DN504" s="150"/>
      <c r="DO504" s="150"/>
      <c r="DP504" s="150"/>
      <c r="DQ504" s="150"/>
      <c r="DR504" s="150"/>
      <c r="DS504" s="150"/>
      <c r="DT504" s="150"/>
      <c r="DU504" s="150"/>
      <c r="DV504" s="150"/>
      <c r="DW504" s="150"/>
      <c r="DX504" s="150"/>
      <c r="DY504" s="150"/>
      <c r="DZ504" s="150"/>
      <c r="EA504" s="150"/>
      <c r="EB504" s="150"/>
      <c r="EC504" s="150"/>
      <c r="ED504" s="150"/>
      <c r="EE504" s="150"/>
      <c r="EF504" s="150"/>
      <c r="EG504" s="150"/>
      <c r="EH504" s="150"/>
      <c r="EI504" s="150"/>
      <c r="EJ504" s="150"/>
      <c r="EK504" s="150"/>
      <c r="EL504" s="150"/>
      <c r="EM504" s="150"/>
      <c r="EN504" s="150"/>
      <c r="EO504" s="150"/>
      <c r="EP504" s="150"/>
      <c r="EQ504" s="150"/>
      <c r="ER504" s="150"/>
      <c r="ES504" s="150"/>
      <c r="ET504" s="150"/>
      <c r="EU504" s="150"/>
      <c r="EV504" s="150"/>
      <c r="EW504" s="150"/>
      <c r="EX504" s="150"/>
      <c r="EY504" s="150"/>
      <c r="EZ504" s="150"/>
      <c r="FA504" s="150"/>
      <c r="FB504" s="150"/>
      <c r="FC504" s="150"/>
      <c r="FD504" s="150"/>
      <c r="FE504" s="150"/>
      <c r="FF504" s="150"/>
      <c r="FG504" s="150"/>
      <c r="FH504" s="150"/>
      <c r="FI504" s="150"/>
      <c r="FJ504" s="150"/>
      <c r="FK504" s="150"/>
      <c r="FL504" s="150"/>
      <c r="FM504" s="150"/>
      <c r="FN504" s="150"/>
    </row>
    <row r="505" spans="1:170" s="149" customFormat="1" x14ac:dyDescent="0.25">
      <c r="A505" s="142"/>
      <c r="B505" s="142"/>
      <c r="C505" s="142"/>
      <c r="D505" s="144"/>
      <c r="E505" s="143"/>
      <c r="F505" s="143"/>
      <c r="G505" s="144"/>
      <c r="H505" s="143"/>
      <c r="I505" s="143"/>
      <c r="J505" s="319"/>
      <c r="K505" s="319"/>
      <c r="L505" s="315"/>
      <c r="M505" s="315"/>
      <c r="N505" s="145"/>
      <c r="O505" s="145"/>
      <c r="P505" s="145"/>
      <c r="Q505" s="146"/>
      <c r="R505" s="147"/>
      <c r="S505" s="148"/>
      <c r="T505" s="148"/>
      <c r="U505" s="148"/>
      <c r="V505" s="148"/>
      <c r="W505" s="148"/>
      <c r="X505" s="148"/>
      <c r="Y505" s="148"/>
      <c r="Z505" s="148"/>
      <c r="AA505" s="148"/>
      <c r="AB505" s="148"/>
      <c r="AV505" s="150"/>
      <c r="AW505" s="150"/>
      <c r="AX505" s="150"/>
      <c r="AY505" s="150"/>
      <c r="AZ505" s="150"/>
      <c r="BA505" s="150"/>
      <c r="BB505" s="150"/>
      <c r="BC505" s="150"/>
      <c r="BD505" s="150"/>
      <c r="BE505" s="150"/>
      <c r="BF505" s="150"/>
      <c r="BG505" s="150"/>
      <c r="BH505" s="150"/>
      <c r="BI505" s="150"/>
      <c r="BJ505" s="150"/>
      <c r="BK505" s="150"/>
      <c r="BL505" s="150"/>
      <c r="BM505" s="150"/>
      <c r="BN505" s="150"/>
      <c r="BO505" s="150"/>
      <c r="BP505" s="150"/>
      <c r="BQ505" s="150"/>
      <c r="BR505" s="150"/>
      <c r="BS505" s="150"/>
      <c r="BT505" s="150"/>
      <c r="BU505" s="150"/>
      <c r="BV505" s="150"/>
      <c r="BW505" s="150"/>
      <c r="BX505" s="150"/>
      <c r="BY505" s="150"/>
      <c r="BZ505" s="150"/>
      <c r="CA505" s="150"/>
      <c r="CB505" s="150"/>
      <c r="CC505" s="150"/>
      <c r="CD505" s="150"/>
      <c r="CE505" s="150"/>
      <c r="CF505" s="150"/>
      <c r="CG505" s="150"/>
      <c r="CH505" s="150"/>
      <c r="CI505" s="150"/>
      <c r="CJ505" s="150"/>
      <c r="CK505" s="150"/>
      <c r="CL505" s="150"/>
      <c r="CM505" s="150"/>
      <c r="CN505" s="150"/>
      <c r="CO505" s="150"/>
      <c r="CP505" s="150"/>
      <c r="CQ505" s="150"/>
      <c r="CR505" s="150"/>
      <c r="CS505" s="150"/>
      <c r="CT505" s="150"/>
      <c r="CU505" s="150"/>
      <c r="CV505" s="150"/>
      <c r="CW505" s="150"/>
      <c r="CX505" s="150"/>
      <c r="CY505" s="150"/>
      <c r="CZ505" s="150"/>
      <c r="DA505" s="150"/>
      <c r="DB505" s="150"/>
      <c r="DC505" s="150"/>
      <c r="DD505" s="150"/>
      <c r="DE505" s="150"/>
      <c r="DF505" s="150"/>
      <c r="DG505" s="150"/>
      <c r="DH505" s="150"/>
      <c r="DI505" s="150"/>
      <c r="DJ505" s="150"/>
      <c r="DK505" s="150"/>
      <c r="DL505" s="150"/>
      <c r="DM505" s="150"/>
      <c r="DN505" s="150"/>
      <c r="DO505" s="150"/>
      <c r="DP505" s="150"/>
      <c r="DQ505" s="150"/>
      <c r="DR505" s="150"/>
      <c r="DS505" s="150"/>
      <c r="DT505" s="150"/>
      <c r="DU505" s="150"/>
      <c r="DV505" s="150"/>
      <c r="DW505" s="150"/>
      <c r="DX505" s="150"/>
      <c r="DY505" s="150"/>
      <c r="DZ505" s="150"/>
      <c r="EA505" s="150"/>
      <c r="EB505" s="150"/>
      <c r="EC505" s="150"/>
      <c r="ED505" s="150"/>
      <c r="EE505" s="150"/>
      <c r="EF505" s="150"/>
      <c r="EG505" s="150"/>
      <c r="EH505" s="150"/>
      <c r="EI505" s="150"/>
      <c r="EJ505" s="150"/>
      <c r="EK505" s="150"/>
      <c r="EL505" s="150"/>
      <c r="EM505" s="150"/>
      <c r="EN505" s="150"/>
      <c r="EO505" s="150"/>
      <c r="EP505" s="150"/>
      <c r="EQ505" s="150"/>
      <c r="ER505" s="150"/>
      <c r="ES505" s="150"/>
      <c r="ET505" s="150"/>
      <c r="EU505" s="150"/>
      <c r="EV505" s="150"/>
      <c r="EW505" s="150"/>
      <c r="EX505" s="150"/>
      <c r="EY505" s="150"/>
      <c r="EZ505" s="150"/>
      <c r="FA505" s="150"/>
      <c r="FB505" s="150"/>
      <c r="FC505" s="150"/>
      <c r="FD505" s="150"/>
      <c r="FE505" s="150"/>
      <c r="FF505" s="150"/>
      <c r="FG505" s="150"/>
      <c r="FH505" s="150"/>
      <c r="FI505" s="150"/>
      <c r="FJ505" s="150"/>
      <c r="FK505" s="150"/>
      <c r="FL505" s="150"/>
      <c r="FM505" s="150"/>
      <c r="FN505" s="150"/>
    </row>
    <row r="506" spans="1:170" s="149" customFormat="1" x14ac:dyDescent="0.25">
      <c r="A506" s="142"/>
      <c r="B506" s="142"/>
      <c r="C506" s="142"/>
      <c r="D506" s="144"/>
      <c r="E506" s="143"/>
      <c r="F506" s="143"/>
      <c r="G506" s="144"/>
      <c r="H506" s="143"/>
      <c r="I506" s="143"/>
      <c r="J506" s="319"/>
      <c r="K506" s="319"/>
      <c r="L506" s="315"/>
      <c r="M506" s="315"/>
      <c r="N506" s="145"/>
      <c r="O506" s="145"/>
      <c r="P506" s="145"/>
      <c r="Q506" s="146"/>
      <c r="R506" s="147"/>
      <c r="S506" s="148"/>
      <c r="T506" s="148"/>
      <c r="U506" s="148"/>
      <c r="V506" s="148"/>
      <c r="W506" s="148"/>
      <c r="X506" s="148"/>
      <c r="Y506" s="148"/>
      <c r="Z506" s="148"/>
      <c r="AA506" s="148"/>
      <c r="AB506" s="148"/>
      <c r="AV506" s="150"/>
      <c r="AW506" s="150"/>
      <c r="AX506" s="150"/>
      <c r="AY506" s="150"/>
      <c r="AZ506" s="150"/>
      <c r="BA506" s="150"/>
      <c r="BB506" s="150"/>
      <c r="BC506" s="150"/>
      <c r="BD506" s="150"/>
      <c r="BE506" s="150"/>
      <c r="BF506" s="150"/>
      <c r="BG506" s="150"/>
      <c r="BH506" s="150"/>
      <c r="BI506" s="150"/>
      <c r="BJ506" s="150"/>
      <c r="BK506" s="150"/>
      <c r="BL506" s="150"/>
      <c r="BM506" s="150"/>
      <c r="BN506" s="150"/>
      <c r="BO506" s="150"/>
      <c r="BP506" s="150"/>
      <c r="BQ506" s="150"/>
      <c r="BR506" s="150"/>
      <c r="BS506" s="150"/>
      <c r="BT506" s="150"/>
      <c r="BU506" s="150"/>
      <c r="BV506" s="150"/>
      <c r="BW506" s="150"/>
      <c r="BX506" s="150"/>
      <c r="BY506" s="150"/>
      <c r="BZ506" s="150"/>
      <c r="CA506" s="150"/>
      <c r="CB506" s="150"/>
      <c r="CC506" s="150"/>
      <c r="CD506" s="150"/>
      <c r="CE506" s="150"/>
      <c r="CF506" s="150"/>
      <c r="CG506" s="150"/>
      <c r="CH506" s="150"/>
      <c r="CI506" s="150"/>
      <c r="CJ506" s="150"/>
      <c r="CK506" s="150"/>
      <c r="CL506" s="150"/>
      <c r="CM506" s="150"/>
      <c r="CN506" s="150"/>
      <c r="CO506" s="150"/>
      <c r="CP506" s="150"/>
      <c r="CQ506" s="150"/>
      <c r="CR506" s="150"/>
      <c r="CS506" s="150"/>
      <c r="CT506" s="150"/>
      <c r="CU506" s="150"/>
      <c r="CV506" s="150"/>
      <c r="CW506" s="150"/>
      <c r="CX506" s="150"/>
      <c r="CY506" s="150"/>
      <c r="CZ506" s="150"/>
      <c r="DA506" s="150"/>
      <c r="DB506" s="150"/>
      <c r="DC506" s="150"/>
      <c r="DD506" s="150"/>
      <c r="DE506" s="150"/>
      <c r="DF506" s="150"/>
      <c r="DG506" s="150"/>
      <c r="DH506" s="150"/>
      <c r="DI506" s="150"/>
      <c r="DJ506" s="150"/>
      <c r="DK506" s="150"/>
      <c r="DL506" s="150"/>
      <c r="DM506" s="150"/>
      <c r="DN506" s="150"/>
      <c r="DO506" s="150"/>
      <c r="DP506" s="150"/>
      <c r="DQ506" s="150"/>
      <c r="DR506" s="150"/>
      <c r="DS506" s="150"/>
      <c r="DT506" s="150"/>
      <c r="DU506" s="150"/>
      <c r="DV506" s="150"/>
      <c r="DW506" s="150"/>
      <c r="DX506" s="150"/>
      <c r="DY506" s="150"/>
      <c r="DZ506" s="150"/>
      <c r="EA506" s="150"/>
      <c r="EB506" s="150"/>
      <c r="EC506" s="150"/>
      <c r="ED506" s="150"/>
      <c r="EE506" s="150"/>
      <c r="EF506" s="150"/>
      <c r="EG506" s="150"/>
      <c r="EH506" s="150"/>
      <c r="EI506" s="150"/>
      <c r="EJ506" s="150"/>
      <c r="EK506" s="150"/>
      <c r="EL506" s="150"/>
      <c r="EM506" s="150"/>
      <c r="EN506" s="150"/>
      <c r="EO506" s="150"/>
      <c r="EP506" s="150"/>
      <c r="EQ506" s="150"/>
      <c r="ER506" s="150"/>
      <c r="ES506" s="150"/>
      <c r="ET506" s="150"/>
      <c r="EU506" s="150"/>
      <c r="EV506" s="150"/>
      <c r="EW506" s="150"/>
      <c r="EX506" s="150"/>
      <c r="EY506" s="150"/>
      <c r="EZ506" s="150"/>
      <c r="FA506" s="150"/>
      <c r="FB506" s="150"/>
      <c r="FC506" s="150"/>
      <c r="FD506" s="150"/>
      <c r="FE506" s="150"/>
      <c r="FF506" s="150"/>
      <c r="FG506" s="150"/>
      <c r="FH506" s="150"/>
      <c r="FI506" s="150"/>
      <c r="FJ506" s="150"/>
      <c r="FK506" s="150"/>
      <c r="FL506" s="150"/>
      <c r="FM506" s="150"/>
      <c r="FN506" s="150"/>
    </row>
    <row r="507" spans="1:170" s="149" customFormat="1" x14ac:dyDescent="0.25">
      <c r="A507" s="142"/>
      <c r="B507" s="142"/>
      <c r="C507" s="142"/>
      <c r="D507" s="144"/>
      <c r="E507" s="143"/>
      <c r="F507" s="143"/>
      <c r="G507" s="144"/>
      <c r="H507" s="143"/>
      <c r="I507" s="143"/>
      <c r="J507" s="319"/>
      <c r="K507" s="319"/>
      <c r="L507" s="315"/>
      <c r="M507" s="315"/>
      <c r="N507" s="145"/>
      <c r="O507" s="145"/>
      <c r="P507" s="145"/>
      <c r="Q507" s="146"/>
      <c r="R507" s="147"/>
      <c r="S507" s="148"/>
      <c r="T507" s="148"/>
      <c r="U507" s="148"/>
      <c r="V507" s="148"/>
      <c r="W507" s="148"/>
      <c r="X507" s="148"/>
      <c r="Y507" s="148"/>
      <c r="Z507" s="148"/>
      <c r="AA507" s="148"/>
      <c r="AB507" s="148"/>
      <c r="AV507" s="150"/>
      <c r="AW507" s="150"/>
      <c r="AX507" s="150"/>
      <c r="AY507" s="150"/>
      <c r="AZ507" s="150"/>
      <c r="BA507" s="150"/>
      <c r="BB507" s="150"/>
      <c r="BC507" s="150"/>
      <c r="BD507" s="150"/>
      <c r="BE507" s="150"/>
      <c r="BF507" s="150"/>
      <c r="BG507" s="150"/>
      <c r="BH507" s="150"/>
      <c r="BI507" s="150"/>
      <c r="BJ507" s="150"/>
      <c r="BK507" s="150"/>
      <c r="BL507" s="150"/>
      <c r="BM507" s="150"/>
      <c r="BN507" s="150"/>
      <c r="BO507" s="150"/>
      <c r="BP507" s="150"/>
      <c r="BQ507" s="150"/>
      <c r="BR507" s="150"/>
      <c r="BS507" s="150"/>
      <c r="BT507" s="150"/>
      <c r="BU507" s="150"/>
      <c r="BV507" s="150"/>
      <c r="BW507" s="150"/>
      <c r="BX507" s="150"/>
      <c r="BY507" s="150"/>
      <c r="BZ507" s="150"/>
      <c r="CA507" s="150"/>
      <c r="CB507" s="150"/>
      <c r="CC507" s="150"/>
      <c r="CD507" s="150"/>
      <c r="CE507" s="150"/>
      <c r="CF507" s="150"/>
      <c r="CG507" s="150"/>
      <c r="CH507" s="150"/>
      <c r="CI507" s="150"/>
      <c r="CJ507" s="150"/>
      <c r="CK507" s="150"/>
      <c r="CL507" s="150"/>
      <c r="CM507" s="150"/>
      <c r="CN507" s="150"/>
      <c r="CO507" s="150"/>
      <c r="CP507" s="150"/>
      <c r="CQ507" s="150"/>
      <c r="CR507" s="150"/>
      <c r="CS507" s="150"/>
      <c r="CT507" s="150"/>
      <c r="CU507" s="150"/>
      <c r="CV507" s="150"/>
      <c r="CW507" s="150"/>
      <c r="CX507" s="150"/>
      <c r="CY507" s="150"/>
      <c r="CZ507" s="150"/>
      <c r="DA507" s="150"/>
      <c r="DB507" s="150"/>
      <c r="DC507" s="150"/>
      <c r="DD507" s="150"/>
      <c r="DE507" s="150"/>
      <c r="DF507" s="150"/>
      <c r="DG507" s="150"/>
      <c r="DH507" s="150"/>
      <c r="DI507" s="150"/>
      <c r="DJ507" s="150"/>
      <c r="DK507" s="150"/>
      <c r="DL507" s="150"/>
      <c r="DM507" s="150"/>
      <c r="DN507" s="150"/>
      <c r="DO507" s="150"/>
      <c r="DP507" s="150"/>
      <c r="DQ507" s="150"/>
      <c r="DR507" s="150"/>
      <c r="DS507" s="150"/>
      <c r="DT507" s="150"/>
      <c r="DU507" s="150"/>
      <c r="DV507" s="150"/>
      <c r="DW507" s="150"/>
      <c r="DX507" s="150"/>
      <c r="DY507" s="150"/>
      <c r="DZ507" s="150"/>
      <c r="EA507" s="150"/>
      <c r="EB507" s="150"/>
      <c r="EC507" s="150"/>
      <c r="ED507" s="150"/>
      <c r="EE507" s="150"/>
      <c r="EF507" s="150"/>
      <c r="EG507" s="150"/>
      <c r="EH507" s="150"/>
      <c r="EI507" s="150"/>
      <c r="EJ507" s="150"/>
      <c r="EK507" s="150"/>
      <c r="EL507" s="150"/>
      <c r="EM507" s="150"/>
      <c r="EN507" s="150"/>
      <c r="EO507" s="150"/>
      <c r="EP507" s="150"/>
      <c r="EQ507" s="150"/>
      <c r="ER507" s="150"/>
      <c r="ES507" s="150"/>
      <c r="ET507" s="150"/>
      <c r="EU507" s="150"/>
      <c r="EV507" s="150"/>
      <c r="EW507" s="150"/>
      <c r="EX507" s="150"/>
      <c r="EY507" s="150"/>
      <c r="EZ507" s="150"/>
      <c r="FA507" s="150"/>
      <c r="FB507" s="150"/>
      <c r="FC507" s="150"/>
      <c r="FD507" s="150"/>
      <c r="FE507" s="150"/>
      <c r="FF507" s="150"/>
      <c r="FG507" s="150"/>
      <c r="FH507" s="150"/>
      <c r="FI507" s="150"/>
      <c r="FJ507" s="150"/>
      <c r="FK507" s="150"/>
      <c r="FL507" s="150"/>
      <c r="FM507" s="150"/>
      <c r="FN507" s="150"/>
    </row>
    <row r="508" spans="1:170" s="149" customFormat="1" x14ac:dyDescent="0.25">
      <c r="A508" s="142"/>
      <c r="B508" s="142"/>
      <c r="C508" s="142"/>
      <c r="D508" s="144"/>
      <c r="E508" s="143"/>
      <c r="F508" s="143"/>
      <c r="G508" s="144"/>
      <c r="H508" s="143"/>
      <c r="I508" s="143"/>
      <c r="J508" s="319"/>
      <c r="K508" s="319"/>
      <c r="L508" s="315"/>
      <c r="M508" s="315"/>
      <c r="N508" s="145"/>
      <c r="O508" s="145"/>
      <c r="P508" s="145"/>
      <c r="Q508" s="146"/>
      <c r="R508" s="147"/>
      <c r="S508" s="148"/>
      <c r="T508" s="148"/>
      <c r="U508" s="148"/>
      <c r="V508" s="148"/>
      <c r="W508" s="148"/>
      <c r="X508" s="148"/>
      <c r="Y508" s="148"/>
      <c r="Z508" s="148"/>
      <c r="AA508" s="148"/>
      <c r="AB508" s="148"/>
      <c r="AV508" s="150"/>
      <c r="AW508" s="150"/>
      <c r="AX508" s="150"/>
      <c r="AY508" s="150"/>
      <c r="AZ508" s="150"/>
      <c r="BA508" s="150"/>
      <c r="BB508" s="150"/>
      <c r="BC508" s="150"/>
      <c r="BD508" s="150"/>
      <c r="BE508" s="150"/>
      <c r="BF508" s="150"/>
      <c r="BG508" s="150"/>
      <c r="BH508" s="150"/>
      <c r="BI508" s="150"/>
      <c r="BJ508" s="150"/>
      <c r="BK508" s="150"/>
      <c r="BL508" s="150"/>
      <c r="BM508" s="150"/>
      <c r="BN508" s="150"/>
      <c r="BO508" s="150"/>
      <c r="BP508" s="150"/>
      <c r="BQ508" s="150"/>
      <c r="BR508" s="150"/>
      <c r="BS508" s="150"/>
      <c r="BT508" s="150"/>
      <c r="BU508" s="150"/>
      <c r="BV508" s="150"/>
      <c r="BW508" s="150"/>
      <c r="BX508" s="150"/>
      <c r="BY508" s="150"/>
      <c r="BZ508" s="150"/>
      <c r="CA508" s="150"/>
      <c r="CB508" s="150"/>
      <c r="CC508" s="150"/>
      <c r="CD508" s="150"/>
      <c r="CE508" s="150"/>
      <c r="CF508" s="150"/>
      <c r="CG508" s="150"/>
      <c r="CH508" s="150"/>
      <c r="CI508" s="150"/>
      <c r="CJ508" s="150"/>
      <c r="CK508" s="150"/>
      <c r="CL508" s="150"/>
      <c r="CM508" s="150"/>
      <c r="CN508" s="150"/>
      <c r="CO508" s="150"/>
      <c r="CP508" s="150"/>
      <c r="CQ508" s="150"/>
      <c r="CR508" s="150"/>
      <c r="CS508" s="150"/>
      <c r="CT508" s="150"/>
      <c r="CU508" s="150"/>
      <c r="CV508" s="150"/>
      <c r="CW508" s="150"/>
      <c r="CX508" s="150"/>
      <c r="CY508" s="150"/>
      <c r="CZ508" s="150"/>
      <c r="DA508" s="150"/>
      <c r="DB508" s="150"/>
      <c r="DC508" s="150"/>
      <c r="DD508" s="150"/>
      <c r="DE508" s="150"/>
      <c r="DF508" s="150"/>
      <c r="DG508" s="150"/>
      <c r="DH508" s="150"/>
      <c r="DI508" s="150"/>
      <c r="DJ508" s="150"/>
      <c r="DK508" s="150"/>
      <c r="DL508" s="150"/>
      <c r="DM508" s="150"/>
      <c r="DN508" s="150"/>
      <c r="DO508" s="150"/>
      <c r="DP508" s="150"/>
      <c r="DQ508" s="150"/>
      <c r="DR508" s="150"/>
      <c r="DS508" s="150"/>
      <c r="DT508" s="150"/>
      <c r="DU508" s="150"/>
      <c r="DV508" s="150"/>
      <c r="DW508" s="150"/>
      <c r="DX508" s="150"/>
      <c r="DY508" s="150"/>
      <c r="DZ508" s="150"/>
      <c r="EA508" s="150"/>
      <c r="EB508" s="150"/>
      <c r="EC508" s="150"/>
      <c r="ED508" s="150"/>
      <c r="EE508" s="150"/>
      <c r="EF508" s="150"/>
      <c r="EG508" s="150"/>
      <c r="EH508" s="150"/>
      <c r="EI508" s="150"/>
      <c r="EJ508" s="150"/>
      <c r="EK508" s="150"/>
      <c r="EL508" s="150"/>
      <c r="EM508" s="150"/>
      <c r="EN508" s="150"/>
      <c r="EO508" s="150"/>
      <c r="EP508" s="150"/>
      <c r="EQ508" s="150"/>
      <c r="ER508" s="150"/>
      <c r="ES508" s="150"/>
      <c r="ET508" s="150"/>
      <c r="EU508" s="150"/>
      <c r="EV508" s="150"/>
      <c r="EW508" s="150"/>
      <c r="EX508" s="150"/>
      <c r="EY508" s="150"/>
      <c r="EZ508" s="150"/>
      <c r="FA508" s="150"/>
      <c r="FB508" s="150"/>
      <c r="FC508" s="150"/>
      <c r="FD508" s="150"/>
      <c r="FE508" s="150"/>
      <c r="FF508" s="150"/>
      <c r="FG508" s="150"/>
      <c r="FH508" s="150"/>
      <c r="FI508" s="150"/>
      <c r="FJ508" s="150"/>
      <c r="FK508" s="150"/>
      <c r="FL508" s="150"/>
      <c r="FM508" s="150"/>
      <c r="FN508" s="150"/>
    </row>
    <row r="509" spans="1:170" s="149" customFormat="1" x14ac:dyDescent="0.25">
      <c r="A509" s="142"/>
      <c r="B509" s="142"/>
      <c r="C509" s="142"/>
      <c r="D509" s="144"/>
      <c r="E509" s="143"/>
      <c r="F509" s="143"/>
      <c r="G509" s="144"/>
      <c r="H509" s="143"/>
      <c r="I509" s="143"/>
      <c r="J509" s="319"/>
      <c r="K509" s="319"/>
      <c r="L509" s="315"/>
      <c r="M509" s="315"/>
      <c r="N509" s="145"/>
      <c r="O509" s="145"/>
      <c r="P509" s="145"/>
      <c r="Q509" s="146"/>
      <c r="R509" s="147"/>
      <c r="S509" s="148"/>
      <c r="T509" s="148"/>
      <c r="U509" s="148"/>
      <c r="V509" s="148"/>
      <c r="W509" s="148"/>
      <c r="X509" s="148"/>
      <c r="Y509" s="148"/>
      <c r="Z509" s="148"/>
      <c r="AA509" s="148"/>
      <c r="AB509" s="148"/>
      <c r="AV509" s="150"/>
      <c r="AW509" s="150"/>
      <c r="AX509" s="150"/>
      <c r="AY509" s="150"/>
      <c r="AZ509" s="150"/>
      <c r="BA509" s="150"/>
      <c r="BB509" s="150"/>
      <c r="BC509" s="150"/>
      <c r="BD509" s="150"/>
      <c r="BE509" s="150"/>
      <c r="BF509" s="150"/>
      <c r="BG509" s="150"/>
      <c r="BH509" s="150"/>
      <c r="BI509" s="150"/>
      <c r="BJ509" s="150"/>
      <c r="BK509" s="150"/>
      <c r="BL509" s="150"/>
      <c r="BM509" s="150"/>
      <c r="BN509" s="150"/>
      <c r="BO509" s="150"/>
      <c r="BP509" s="150"/>
      <c r="BQ509" s="150"/>
      <c r="BR509" s="150"/>
      <c r="BS509" s="150"/>
      <c r="BT509" s="150"/>
      <c r="BU509" s="150"/>
      <c r="BV509" s="150"/>
      <c r="BW509" s="150"/>
      <c r="BX509" s="150"/>
      <c r="BY509" s="150"/>
      <c r="BZ509" s="150"/>
      <c r="CA509" s="150"/>
      <c r="CB509" s="150"/>
      <c r="CC509" s="150"/>
      <c r="CD509" s="150"/>
      <c r="CE509" s="150"/>
      <c r="CF509" s="150"/>
      <c r="CG509" s="150"/>
      <c r="CH509" s="150"/>
      <c r="CI509" s="150"/>
      <c r="CJ509" s="150"/>
      <c r="CK509" s="150"/>
      <c r="CL509" s="150"/>
      <c r="CM509" s="150"/>
      <c r="CN509" s="150"/>
      <c r="CO509" s="150"/>
      <c r="CP509" s="150"/>
      <c r="CQ509" s="150"/>
      <c r="CR509" s="150"/>
      <c r="CS509" s="150"/>
      <c r="CT509" s="150"/>
      <c r="CU509" s="150"/>
      <c r="CV509" s="150"/>
      <c r="CW509" s="150"/>
      <c r="CX509" s="150"/>
      <c r="CY509" s="150"/>
      <c r="CZ509" s="150"/>
      <c r="DA509" s="150"/>
      <c r="DB509" s="150"/>
      <c r="DC509" s="150"/>
      <c r="DD509" s="150"/>
      <c r="DE509" s="150"/>
      <c r="DF509" s="150"/>
      <c r="DG509" s="150"/>
      <c r="DH509" s="150"/>
      <c r="DI509" s="150"/>
      <c r="DJ509" s="150"/>
      <c r="DK509" s="150"/>
      <c r="DL509" s="150"/>
      <c r="DM509" s="150"/>
      <c r="DN509" s="150"/>
      <c r="DO509" s="150"/>
      <c r="DP509" s="150"/>
      <c r="DQ509" s="150"/>
      <c r="DR509" s="150"/>
      <c r="DS509" s="150"/>
      <c r="DT509" s="150"/>
      <c r="DU509" s="150"/>
      <c r="DV509" s="150"/>
      <c r="DW509" s="150"/>
      <c r="DX509" s="150"/>
      <c r="DY509" s="150"/>
      <c r="DZ509" s="150"/>
      <c r="EA509" s="150"/>
      <c r="EB509" s="150"/>
      <c r="EC509" s="150"/>
      <c r="ED509" s="150"/>
      <c r="EE509" s="150"/>
      <c r="EF509" s="150"/>
      <c r="EG509" s="150"/>
      <c r="EH509" s="150"/>
      <c r="EI509" s="150"/>
      <c r="EJ509" s="150"/>
      <c r="EK509" s="150"/>
      <c r="EL509" s="150"/>
      <c r="EM509" s="150"/>
      <c r="EN509" s="150"/>
      <c r="EO509" s="150"/>
      <c r="EP509" s="150"/>
      <c r="EQ509" s="150"/>
      <c r="ER509" s="150"/>
      <c r="ES509" s="150"/>
      <c r="ET509" s="150"/>
      <c r="EU509" s="150"/>
      <c r="EV509" s="150"/>
      <c r="EW509" s="150"/>
      <c r="EX509" s="150"/>
      <c r="EY509" s="150"/>
      <c r="EZ509" s="150"/>
      <c r="FA509" s="150"/>
      <c r="FB509" s="150"/>
      <c r="FC509" s="150"/>
      <c r="FD509" s="150"/>
      <c r="FE509" s="150"/>
      <c r="FF509" s="150"/>
      <c r="FG509" s="150"/>
      <c r="FH509" s="150"/>
      <c r="FI509" s="150"/>
      <c r="FJ509" s="150"/>
      <c r="FK509" s="150"/>
      <c r="FL509" s="150"/>
      <c r="FM509" s="150"/>
      <c r="FN509" s="150"/>
    </row>
    <row r="510" spans="1:170" s="149" customFormat="1" x14ac:dyDescent="0.25">
      <c r="A510" s="142"/>
      <c r="B510" s="142"/>
      <c r="C510" s="142"/>
      <c r="D510" s="144"/>
      <c r="E510" s="143"/>
      <c r="F510" s="143"/>
      <c r="G510" s="144"/>
      <c r="H510" s="143"/>
      <c r="I510" s="143"/>
      <c r="J510" s="319"/>
      <c r="K510" s="319"/>
      <c r="L510" s="315"/>
      <c r="M510" s="315"/>
      <c r="N510" s="145"/>
      <c r="O510" s="145"/>
      <c r="P510" s="145"/>
      <c r="Q510" s="146"/>
      <c r="R510" s="147"/>
      <c r="S510" s="148"/>
      <c r="T510" s="148"/>
      <c r="U510" s="148"/>
      <c r="V510" s="148"/>
      <c r="W510" s="148"/>
      <c r="X510" s="148"/>
      <c r="Y510" s="148"/>
      <c r="Z510" s="148"/>
      <c r="AA510" s="148"/>
      <c r="AB510" s="148"/>
      <c r="AV510" s="150"/>
      <c r="AW510" s="150"/>
      <c r="AX510" s="150"/>
      <c r="AY510" s="150"/>
      <c r="AZ510" s="150"/>
      <c r="BA510" s="150"/>
      <c r="BB510" s="150"/>
      <c r="BC510" s="150"/>
      <c r="BD510" s="150"/>
      <c r="BE510" s="150"/>
      <c r="BF510" s="150"/>
      <c r="BG510" s="150"/>
      <c r="BH510" s="150"/>
      <c r="BI510" s="150"/>
      <c r="BJ510" s="150"/>
      <c r="BK510" s="150"/>
      <c r="BL510" s="150"/>
      <c r="BM510" s="150"/>
      <c r="BN510" s="150"/>
      <c r="BO510" s="150"/>
      <c r="BP510" s="150"/>
      <c r="BQ510" s="150"/>
      <c r="BR510" s="150"/>
      <c r="BS510" s="150"/>
      <c r="BT510" s="150"/>
      <c r="BU510" s="150"/>
      <c r="BV510" s="150"/>
      <c r="BW510" s="150"/>
      <c r="BX510" s="150"/>
      <c r="BY510" s="150"/>
      <c r="BZ510" s="150"/>
      <c r="CA510" s="150"/>
      <c r="CB510" s="150"/>
      <c r="CC510" s="150"/>
      <c r="CD510" s="150"/>
      <c r="CE510" s="150"/>
      <c r="CF510" s="150"/>
      <c r="CG510" s="150"/>
      <c r="CH510" s="150"/>
      <c r="CI510" s="150"/>
      <c r="CJ510" s="150"/>
      <c r="CK510" s="150"/>
      <c r="CL510" s="150"/>
      <c r="CM510" s="150"/>
      <c r="CN510" s="150"/>
      <c r="CO510" s="150"/>
      <c r="CP510" s="150"/>
      <c r="CQ510" s="150"/>
      <c r="CR510" s="150"/>
      <c r="CS510" s="150"/>
      <c r="CT510" s="150"/>
      <c r="CU510" s="150"/>
      <c r="CV510" s="150"/>
      <c r="CW510" s="150"/>
      <c r="CX510" s="150"/>
      <c r="CY510" s="150"/>
      <c r="CZ510" s="150"/>
      <c r="DA510" s="150"/>
      <c r="DB510" s="150"/>
      <c r="DC510" s="150"/>
      <c r="DD510" s="150"/>
      <c r="DE510" s="150"/>
      <c r="DF510" s="150"/>
      <c r="DG510" s="150"/>
      <c r="DH510" s="150"/>
      <c r="DI510" s="150"/>
      <c r="DJ510" s="150"/>
      <c r="DK510" s="150"/>
      <c r="DL510" s="150"/>
      <c r="DM510" s="150"/>
      <c r="DN510" s="150"/>
      <c r="DO510" s="150"/>
      <c r="DP510" s="150"/>
      <c r="DQ510" s="150"/>
      <c r="DR510" s="150"/>
      <c r="DS510" s="150"/>
      <c r="DT510" s="150"/>
      <c r="DU510" s="150"/>
      <c r="DV510" s="150"/>
      <c r="DW510" s="150"/>
      <c r="DX510" s="150"/>
      <c r="DY510" s="150"/>
      <c r="DZ510" s="150"/>
      <c r="EA510" s="150"/>
      <c r="EB510" s="150"/>
      <c r="EC510" s="150"/>
      <c r="ED510" s="150"/>
      <c r="EE510" s="150"/>
      <c r="EF510" s="150"/>
      <c r="EG510" s="150"/>
      <c r="EH510" s="150"/>
      <c r="EI510" s="150"/>
      <c r="EJ510" s="150"/>
      <c r="EK510" s="150"/>
      <c r="EL510" s="150"/>
      <c r="EM510" s="150"/>
      <c r="EN510" s="150"/>
      <c r="EO510" s="150"/>
      <c r="EP510" s="150"/>
      <c r="EQ510" s="150"/>
      <c r="ER510" s="150"/>
      <c r="ES510" s="150"/>
      <c r="ET510" s="150"/>
      <c r="EU510" s="150"/>
      <c r="EV510" s="150"/>
      <c r="EW510" s="150"/>
      <c r="EX510" s="150"/>
      <c r="EY510" s="150"/>
      <c r="EZ510" s="150"/>
      <c r="FA510" s="150"/>
      <c r="FB510" s="150"/>
      <c r="FC510" s="150"/>
      <c r="FD510" s="150"/>
      <c r="FE510" s="150"/>
      <c r="FF510" s="150"/>
      <c r="FG510" s="150"/>
      <c r="FH510" s="150"/>
      <c r="FI510" s="150"/>
      <c r="FJ510" s="150"/>
      <c r="FK510" s="150"/>
      <c r="FL510" s="150"/>
      <c r="FM510" s="150"/>
      <c r="FN510" s="150"/>
    </row>
    <row r="511" spans="1:170" s="149" customFormat="1" x14ac:dyDescent="0.25">
      <c r="A511" s="142"/>
      <c r="B511" s="142"/>
      <c r="C511" s="142"/>
      <c r="D511" s="144"/>
      <c r="E511" s="143"/>
      <c r="F511" s="143"/>
      <c r="G511" s="144"/>
      <c r="H511" s="143"/>
      <c r="I511" s="143"/>
      <c r="J511" s="319"/>
      <c r="K511" s="319"/>
      <c r="L511" s="315"/>
      <c r="M511" s="315"/>
      <c r="N511" s="145"/>
      <c r="O511" s="145"/>
      <c r="P511" s="145"/>
      <c r="Q511" s="146"/>
      <c r="R511" s="147"/>
      <c r="S511" s="148"/>
      <c r="T511" s="148"/>
      <c r="U511" s="148"/>
      <c r="V511" s="148"/>
      <c r="W511" s="148"/>
      <c r="X511" s="148"/>
      <c r="Y511" s="148"/>
      <c r="Z511" s="148"/>
      <c r="AA511" s="148"/>
      <c r="AB511" s="148"/>
      <c r="AV511" s="150"/>
      <c r="AW511" s="150"/>
      <c r="AX511" s="150"/>
      <c r="AY511" s="150"/>
      <c r="AZ511" s="150"/>
      <c r="BA511" s="150"/>
      <c r="BB511" s="150"/>
      <c r="BC511" s="150"/>
      <c r="BD511" s="150"/>
      <c r="BE511" s="150"/>
      <c r="BF511" s="150"/>
      <c r="BG511" s="150"/>
      <c r="BH511" s="150"/>
      <c r="BI511" s="150"/>
      <c r="BJ511" s="150"/>
      <c r="BK511" s="150"/>
      <c r="BL511" s="150"/>
      <c r="BM511" s="150"/>
      <c r="BN511" s="150"/>
      <c r="BO511" s="150"/>
      <c r="BP511" s="150"/>
      <c r="BQ511" s="150"/>
      <c r="BR511" s="150"/>
      <c r="BS511" s="150"/>
      <c r="BT511" s="150"/>
      <c r="BU511" s="150"/>
      <c r="BV511" s="150"/>
      <c r="BW511" s="150"/>
      <c r="BX511" s="150"/>
      <c r="BY511" s="150"/>
      <c r="BZ511" s="150"/>
      <c r="CA511" s="150"/>
      <c r="CB511" s="150"/>
      <c r="CC511" s="150"/>
      <c r="CD511" s="150"/>
      <c r="CE511" s="150"/>
      <c r="CF511" s="150"/>
      <c r="CG511" s="150"/>
      <c r="CH511" s="150"/>
      <c r="CI511" s="150"/>
      <c r="CJ511" s="150"/>
      <c r="CK511" s="150"/>
      <c r="CL511" s="150"/>
      <c r="CM511" s="150"/>
      <c r="CN511" s="150"/>
      <c r="CO511" s="150"/>
      <c r="CP511" s="150"/>
      <c r="CQ511" s="150"/>
      <c r="CR511" s="150"/>
      <c r="CS511" s="150"/>
      <c r="CT511" s="150"/>
      <c r="CU511" s="150"/>
      <c r="CV511" s="150"/>
      <c r="CW511" s="150"/>
      <c r="CX511" s="150"/>
      <c r="CY511" s="150"/>
      <c r="CZ511" s="150"/>
      <c r="DA511" s="150"/>
      <c r="DB511" s="150"/>
      <c r="DC511" s="150"/>
      <c r="DD511" s="150"/>
      <c r="DE511" s="150"/>
      <c r="DF511" s="150"/>
      <c r="DG511" s="150"/>
      <c r="DH511" s="150"/>
      <c r="DI511" s="150"/>
      <c r="DJ511" s="150"/>
      <c r="DK511" s="150"/>
      <c r="DL511" s="150"/>
      <c r="DM511" s="150"/>
      <c r="DN511" s="150"/>
      <c r="DO511" s="150"/>
      <c r="DP511" s="150"/>
      <c r="DQ511" s="150"/>
      <c r="DR511" s="150"/>
      <c r="DS511" s="150"/>
      <c r="DT511" s="150"/>
      <c r="DU511" s="150"/>
      <c r="DV511" s="150"/>
      <c r="DW511" s="150"/>
      <c r="DX511" s="150"/>
      <c r="DY511" s="150"/>
      <c r="DZ511" s="150"/>
      <c r="EA511" s="150"/>
      <c r="EB511" s="150"/>
      <c r="EC511" s="150"/>
      <c r="ED511" s="150"/>
      <c r="EE511" s="150"/>
      <c r="EF511" s="150"/>
      <c r="EG511" s="150"/>
      <c r="EH511" s="150"/>
      <c r="EI511" s="150"/>
      <c r="EJ511" s="150"/>
      <c r="EK511" s="150"/>
      <c r="EL511" s="150"/>
      <c r="EM511" s="150"/>
      <c r="EN511" s="150"/>
      <c r="EO511" s="150"/>
      <c r="EP511" s="150"/>
      <c r="EQ511" s="150"/>
      <c r="ER511" s="150"/>
      <c r="ES511" s="150"/>
      <c r="ET511" s="150"/>
      <c r="EU511" s="150"/>
      <c r="EV511" s="150"/>
      <c r="EW511" s="150"/>
      <c r="EX511" s="150"/>
      <c r="EY511" s="150"/>
      <c r="EZ511" s="150"/>
      <c r="FA511" s="150"/>
      <c r="FB511" s="150"/>
      <c r="FC511" s="150"/>
      <c r="FD511" s="150"/>
      <c r="FE511" s="150"/>
      <c r="FF511" s="150"/>
      <c r="FG511" s="150"/>
      <c r="FH511" s="150"/>
      <c r="FI511" s="150"/>
      <c r="FJ511" s="150"/>
      <c r="FK511" s="150"/>
      <c r="FL511" s="150"/>
      <c r="FM511" s="150"/>
      <c r="FN511" s="150"/>
    </row>
    <row r="512" spans="1:170" s="149" customFormat="1" x14ac:dyDescent="0.25">
      <c r="A512" s="142"/>
      <c r="B512" s="142"/>
      <c r="C512" s="142"/>
      <c r="D512" s="144"/>
      <c r="E512" s="143"/>
      <c r="F512" s="143"/>
      <c r="G512" s="144"/>
      <c r="H512" s="143"/>
      <c r="I512" s="143"/>
      <c r="J512" s="319"/>
      <c r="K512" s="319"/>
      <c r="L512" s="315"/>
      <c r="M512" s="315"/>
      <c r="N512" s="145"/>
      <c r="O512" s="145"/>
      <c r="P512" s="145"/>
      <c r="Q512" s="146"/>
      <c r="R512" s="147"/>
      <c r="S512" s="148"/>
      <c r="T512" s="148"/>
      <c r="U512" s="148"/>
      <c r="V512" s="148"/>
      <c r="W512" s="148"/>
      <c r="X512" s="148"/>
      <c r="Y512" s="148"/>
      <c r="Z512" s="148"/>
      <c r="AA512" s="148"/>
      <c r="AB512" s="148"/>
      <c r="AV512" s="150"/>
      <c r="AW512" s="150"/>
      <c r="AX512" s="150"/>
      <c r="AY512" s="150"/>
      <c r="AZ512" s="150"/>
      <c r="BA512" s="150"/>
      <c r="BB512" s="150"/>
      <c r="BC512" s="150"/>
      <c r="BD512" s="150"/>
      <c r="BE512" s="150"/>
      <c r="BF512" s="150"/>
      <c r="BG512" s="150"/>
      <c r="BH512" s="150"/>
      <c r="BI512" s="150"/>
      <c r="BJ512" s="150"/>
      <c r="BK512" s="150"/>
      <c r="BL512" s="150"/>
      <c r="BM512" s="150"/>
      <c r="BN512" s="150"/>
      <c r="BO512" s="150"/>
      <c r="BP512" s="150"/>
      <c r="BQ512" s="150"/>
      <c r="BR512" s="150"/>
      <c r="BS512" s="150"/>
      <c r="BT512" s="150"/>
      <c r="BU512" s="150"/>
      <c r="BV512" s="150"/>
      <c r="BW512" s="150"/>
      <c r="BX512" s="150"/>
      <c r="BY512" s="150"/>
      <c r="BZ512" s="150"/>
      <c r="CA512" s="150"/>
      <c r="CB512" s="150"/>
      <c r="CC512" s="150"/>
      <c r="CD512" s="150"/>
      <c r="CE512" s="150"/>
      <c r="CF512" s="150"/>
      <c r="CG512" s="150"/>
      <c r="CH512" s="150"/>
      <c r="CI512" s="150"/>
      <c r="CJ512" s="150"/>
      <c r="CK512" s="150"/>
      <c r="CL512" s="150"/>
      <c r="CM512" s="150"/>
      <c r="CN512" s="150"/>
      <c r="CO512" s="150"/>
      <c r="CP512" s="150"/>
      <c r="CQ512" s="150"/>
      <c r="CR512" s="150"/>
      <c r="CS512" s="150"/>
      <c r="CT512" s="150"/>
      <c r="CU512" s="150"/>
      <c r="CV512" s="150"/>
      <c r="CW512" s="150"/>
      <c r="CX512" s="150"/>
      <c r="CY512" s="150"/>
      <c r="CZ512" s="150"/>
      <c r="DA512" s="150"/>
      <c r="DB512" s="150"/>
      <c r="DC512" s="150"/>
      <c r="DD512" s="150"/>
      <c r="DE512" s="150"/>
      <c r="DF512" s="150"/>
      <c r="DG512" s="150"/>
      <c r="DH512" s="150"/>
      <c r="DI512" s="150"/>
      <c r="DJ512" s="150"/>
      <c r="DK512" s="150"/>
      <c r="DL512" s="150"/>
      <c r="DM512" s="150"/>
      <c r="DN512" s="150"/>
      <c r="DO512" s="150"/>
      <c r="DP512" s="150"/>
      <c r="DQ512" s="150"/>
      <c r="DR512" s="150"/>
      <c r="DS512" s="150"/>
      <c r="DT512" s="150"/>
      <c r="DU512" s="150"/>
      <c r="DV512" s="150"/>
      <c r="DW512" s="150"/>
      <c r="DX512" s="150"/>
      <c r="DY512" s="150"/>
      <c r="DZ512" s="150"/>
      <c r="EA512" s="150"/>
      <c r="EB512" s="150"/>
      <c r="EC512" s="150"/>
      <c r="ED512" s="150"/>
      <c r="EE512" s="150"/>
      <c r="EF512" s="150"/>
      <c r="EG512" s="150"/>
      <c r="EH512" s="150"/>
      <c r="EI512" s="150"/>
      <c r="EJ512" s="150"/>
      <c r="EK512" s="150"/>
      <c r="EL512" s="150"/>
      <c r="EM512" s="150"/>
      <c r="EN512" s="150"/>
      <c r="EO512" s="150"/>
      <c r="EP512" s="150"/>
      <c r="EQ512" s="150"/>
      <c r="ER512" s="150"/>
      <c r="ES512" s="150"/>
      <c r="ET512" s="150"/>
      <c r="EU512" s="150"/>
      <c r="EV512" s="150"/>
      <c r="EW512" s="150"/>
      <c r="EX512" s="150"/>
      <c r="EY512" s="150"/>
      <c r="EZ512" s="150"/>
      <c r="FA512" s="150"/>
      <c r="FB512" s="150"/>
      <c r="FC512" s="150"/>
      <c r="FD512" s="150"/>
      <c r="FE512" s="150"/>
      <c r="FF512" s="150"/>
      <c r="FG512" s="150"/>
      <c r="FH512" s="150"/>
      <c r="FI512" s="150"/>
      <c r="FJ512" s="150"/>
      <c r="FK512" s="150"/>
      <c r="FL512" s="150"/>
      <c r="FM512" s="150"/>
      <c r="FN512" s="150"/>
    </row>
    <row r="513" spans="1:170" s="149" customFormat="1" x14ac:dyDescent="0.25">
      <c r="A513" s="142"/>
      <c r="B513" s="142"/>
      <c r="C513" s="142"/>
      <c r="D513" s="144"/>
      <c r="E513" s="143"/>
      <c r="F513" s="143"/>
      <c r="G513" s="144"/>
      <c r="H513" s="143"/>
      <c r="I513" s="143"/>
      <c r="J513" s="319"/>
      <c r="K513" s="319"/>
      <c r="L513" s="315"/>
      <c r="M513" s="315"/>
      <c r="N513" s="145"/>
      <c r="O513" s="145"/>
      <c r="P513" s="145"/>
      <c r="Q513" s="146"/>
      <c r="R513" s="147"/>
      <c r="S513" s="148"/>
      <c r="T513" s="148"/>
      <c r="U513" s="148"/>
      <c r="V513" s="148"/>
      <c r="W513" s="148"/>
      <c r="X513" s="148"/>
      <c r="Y513" s="148"/>
      <c r="Z513" s="148"/>
      <c r="AA513" s="148"/>
      <c r="AB513" s="148"/>
      <c r="AV513" s="150"/>
      <c r="AW513" s="150"/>
      <c r="AX513" s="150"/>
      <c r="AY513" s="150"/>
      <c r="AZ513" s="150"/>
      <c r="BA513" s="150"/>
      <c r="BB513" s="150"/>
      <c r="BC513" s="150"/>
      <c r="BD513" s="150"/>
      <c r="BE513" s="150"/>
      <c r="BF513" s="150"/>
      <c r="BG513" s="150"/>
      <c r="BH513" s="150"/>
      <c r="BI513" s="150"/>
      <c r="BJ513" s="150"/>
      <c r="BK513" s="150"/>
      <c r="BL513" s="150"/>
      <c r="BM513" s="150"/>
      <c r="BN513" s="150"/>
      <c r="BO513" s="150"/>
      <c r="BP513" s="150"/>
      <c r="BQ513" s="150"/>
      <c r="BR513" s="150"/>
      <c r="BS513" s="150"/>
      <c r="BT513" s="150"/>
      <c r="BU513" s="150"/>
      <c r="BV513" s="150"/>
      <c r="BW513" s="150"/>
      <c r="BX513" s="150"/>
      <c r="BY513" s="150"/>
      <c r="BZ513" s="150"/>
      <c r="CA513" s="150"/>
      <c r="CB513" s="150"/>
      <c r="CC513" s="150"/>
      <c r="CD513" s="150"/>
      <c r="CE513" s="150"/>
      <c r="CF513" s="150"/>
      <c r="CG513" s="150"/>
      <c r="CH513" s="150"/>
      <c r="CI513" s="150"/>
      <c r="CJ513" s="150"/>
      <c r="CK513" s="150"/>
      <c r="CL513" s="150"/>
      <c r="CM513" s="150"/>
      <c r="CN513" s="150"/>
      <c r="CO513" s="150"/>
      <c r="CP513" s="150"/>
      <c r="CQ513" s="150"/>
      <c r="CR513" s="150"/>
      <c r="CS513" s="150"/>
      <c r="CT513" s="150"/>
      <c r="CU513" s="150"/>
      <c r="CV513" s="150"/>
      <c r="CW513" s="150"/>
      <c r="CX513" s="150"/>
      <c r="CY513" s="150"/>
      <c r="CZ513" s="150"/>
      <c r="DA513" s="150"/>
      <c r="DB513" s="150"/>
      <c r="DC513" s="150"/>
      <c r="DD513" s="150"/>
      <c r="DE513" s="150"/>
      <c r="DF513" s="150"/>
      <c r="DG513" s="150"/>
      <c r="DH513" s="150"/>
      <c r="DI513" s="150"/>
      <c r="DJ513" s="150"/>
      <c r="DK513" s="150"/>
      <c r="DL513" s="150"/>
      <c r="DM513" s="150"/>
      <c r="DN513" s="150"/>
      <c r="DO513" s="150"/>
      <c r="DP513" s="150"/>
      <c r="DQ513" s="150"/>
      <c r="DR513" s="150"/>
      <c r="DS513" s="150"/>
      <c r="DT513" s="150"/>
      <c r="DU513" s="150"/>
      <c r="DV513" s="150"/>
      <c r="DW513" s="150"/>
      <c r="DX513" s="150"/>
      <c r="DY513" s="150"/>
      <c r="DZ513" s="150"/>
      <c r="EA513" s="150"/>
      <c r="EB513" s="150"/>
      <c r="EC513" s="150"/>
      <c r="ED513" s="150"/>
      <c r="EE513" s="150"/>
      <c r="EF513" s="150"/>
      <c r="EG513" s="150"/>
      <c r="EH513" s="150"/>
      <c r="EI513" s="150"/>
      <c r="EJ513" s="150"/>
      <c r="EK513" s="150"/>
      <c r="EL513" s="150"/>
      <c r="EM513" s="150"/>
      <c r="EN513" s="150"/>
      <c r="EO513" s="150"/>
      <c r="EP513" s="150"/>
      <c r="EQ513" s="150"/>
      <c r="ER513" s="150"/>
      <c r="ES513" s="150"/>
      <c r="ET513" s="150"/>
      <c r="EU513" s="150"/>
      <c r="EV513" s="150"/>
      <c r="EW513" s="150"/>
      <c r="EX513" s="150"/>
      <c r="EY513" s="150"/>
      <c r="EZ513" s="150"/>
      <c r="FA513" s="150"/>
      <c r="FB513" s="150"/>
      <c r="FC513" s="150"/>
      <c r="FD513" s="150"/>
      <c r="FE513" s="150"/>
      <c r="FF513" s="150"/>
      <c r="FG513" s="150"/>
      <c r="FH513" s="150"/>
      <c r="FI513" s="150"/>
      <c r="FJ513" s="150"/>
      <c r="FK513" s="150"/>
      <c r="FL513" s="150"/>
      <c r="FM513" s="150"/>
      <c r="FN513" s="150"/>
    </row>
    <row r="514" spans="1:170" s="149" customFormat="1" x14ac:dyDescent="0.25">
      <c r="A514" s="142"/>
      <c r="B514" s="142"/>
      <c r="C514" s="142"/>
      <c r="D514" s="144"/>
      <c r="E514" s="143"/>
      <c r="F514" s="143"/>
      <c r="G514" s="144"/>
      <c r="H514" s="143"/>
      <c r="I514" s="143"/>
      <c r="J514" s="319"/>
      <c r="K514" s="319"/>
      <c r="L514" s="315"/>
      <c r="M514" s="315"/>
      <c r="N514" s="145"/>
      <c r="O514" s="145"/>
      <c r="P514" s="145"/>
      <c r="Q514" s="146"/>
      <c r="R514" s="147"/>
      <c r="S514" s="148"/>
      <c r="T514" s="148"/>
      <c r="U514" s="148"/>
      <c r="V514" s="148"/>
      <c r="W514" s="148"/>
      <c r="X514" s="148"/>
      <c r="Y514" s="148"/>
      <c r="Z514" s="148"/>
      <c r="AA514" s="148"/>
      <c r="AB514" s="148"/>
      <c r="AV514" s="150"/>
      <c r="AW514" s="150"/>
      <c r="AX514" s="150"/>
      <c r="AY514" s="150"/>
      <c r="AZ514" s="150"/>
      <c r="BA514" s="150"/>
      <c r="BB514" s="150"/>
      <c r="BC514" s="150"/>
      <c r="BD514" s="150"/>
      <c r="BE514" s="150"/>
      <c r="BF514" s="150"/>
      <c r="BG514" s="150"/>
      <c r="BH514" s="150"/>
      <c r="BI514" s="150"/>
      <c r="BJ514" s="150"/>
      <c r="BK514" s="150"/>
      <c r="BL514" s="150"/>
      <c r="BM514" s="150"/>
      <c r="BN514" s="150"/>
      <c r="BO514" s="150"/>
      <c r="BP514" s="150"/>
      <c r="BQ514" s="150"/>
      <c r="BR514" s="150"/>
      <c r="BS514" s="150"/>
      <c r="BT514" s="150"/>
      <c r="BU514" s="150"/>
      <c r="BV514" s="150"/>
      <c r="BW514" s="150"/>
      <c r="BX514" s="150"/>
      <c r="BY514" s="150"/>
      <c r="BZ514" s="150"/>
      <c r="CA514" s="150"/>
      <c r="CB514" s="150"/>
      <c r="CC514" s="150"/>
      <c r="CD514" s="150"/>
      <c r="CE514" s="150"/>
      <c r="CF514" s="150"/>
      <c r="CG514" s="150"/>
      <c r="CH514" s="150"/>
      <c r="CI514" s="150"/>
      <c r="CJ514" s="150"/>
      <c r="CK514" s="150"/>
      <c r="CL514" s="150"/>
      <c r="CM514" s="150"/>
      <c r="CN514" s="150"/>
      <c r="CO514" s="150"/>
      <c r="CP514" s="150"/>
      <c r="CQ514" s="150"/>
      <c r="CR514" s="150"/>
      <c r="CS514" s="150"/>
      <c r="CT514" s="150"/>
      <c r="CU514" s="150"/>
      <c r="CV514" s="150"/>
      <c r="CW514" s="150"/>
      <c r="CX514" s="150"/>
      <c r="CY514" s="150"/>
      <c r="CZ514" s="150"/>
      <c r="DA514" s="150"/>
      <c r="DB514" s="150"/>
      <c r="DC514" s="150"/>
      <c r="DD514" s="150"/>
      <c r="DE514" s="150"/>
      <c r="DF514" s="150"/>
      <c r="DG514" s="150"/>
      <c r="DH514" s="150"/>
      <c r="DI514" s="150"/>
      <c r="DJ514" s="150"/>
      <c r="DK514" s="150"/>
      <c r="DL514" s="150"/>
      <c r="DM514" s="150"/>
      <c r="DN514" s="150"/>
      <c r="DO514" s="150"/>
      <c r="DP514" s="150"/>
      <c r="DQ514" s="150"/>
      <c r="DR514" s="150"/>
      <c r="DS514" s="150"/>
      <c r="DT514" s="150"/>
      <c r="DU514" s="150"/>
      <c r="DV514" s="150"/>
      <c r="DW514" s="150"/>
      <c r="DX514" s="150"/>
      <c r="DY514" s="150"/>
      <c r="DZ514" s="150"/>
      <c r="EA514" s="150"/>
      <c r="EB514" s="150"/>
      <c r="EC514" s="150"/>
      <c r="ED514" s="150"/>
      <c r="EE514" s="150"/>
      <c r="EF514" s="150"/>
      <c r="EG514" s="150"/>
      <c r="EH514" s="150"/>
      <c r="EI514" s="150"/>
      <c r="EJ514" s="150"/>
      <c r="EK514" s="150"/>
      <c r="EL514" s="150"/>
      <c r="EM514" s="150"/>
      <c r="EN514" s="150"/>
      <c r="EO514" s="150"/>
      <c r="EP514" s="150"/>
      <c r="EQ514" s="150"/>
      <c r="ER514" s="150"/>
      <c r="ES514" s="150"/>
      <c r="ET514" s="150"/>
      <c r="EU514" s="150"/>
      <c r="EV514" s="150"/>
      <c r="EW514" s="150"/>
      <c r="EX514" s="150"/>
      <c r="EY514" s="150"/>
      <c r="EZ514" s="150"/>
      <c r="FA514" s="150"/>
      <c r="FB514" s="150"/>
      <c r="FC514" s="150"/>
      <c r="FD514" s="150"/>
      <c r="FE514" s="150"/>
      <c r="FF514" s="150"/>
      <c r="FG514" s="150"/>
      <c r="FH514" s="150"/>
      <c r="FI514" s="150"/>
      <c r="FJ514" s="150"/>
      <c r="FK514" s="150"/>
      <c r="FL514" s="150"/>
      <c r="FM514" s="150"/>
      <c r="FN514" s="150"/>
    </row>
    <row r="515" spans="1:170" s="149" customFormat="1" x14ac:dyDescent="0.25">
      <c r="A515" s="142"/>
      <c r="B515" s="142"/>
      <c r="C515" s="142"/>
      <c r="D515" s="144"/>
      <c r="E515" s="143"/>
      <c r="F515" s="143"/>
      <c r="G515" s="144"/>
      <c r="H515" s="143"/>
      <c r="I515" s="143"/>
      <c r="J515" s="319"/>
      <c r="K515" s="319"/>
      <c r="L515" s="315"/>
      <c r="M515" s="315"/>
      <c r="N515" s="145"/>
      <c r="O515" s="145"/>
      <c r="P515" s="145"/>
      <c r="Q515" s="146"/>
      <c r="R515" s="147"/>
      <c r="S515" s="148"/>
      <c r="T515" s="148"/>
      <c r="U515" s="148"/>
      <c r="V515" s="148"/>
      <c r="W515" s="148"/>
      <c r="X515" s="148"/>
      <c r="Y515" s="148"/>
      <c r="Z515" s="148"/>
      <c r="AA515" s="148"/>
      <c r="AB515" s="148"/>
      <c r="AV515" s="150"/>
      <c r="AW515" s="150"/>
      <c r="AX515" s="150"/>
      <c r="AY515" s="150"/>
      <c r="AZ515" s="150"/>
      <c r="BA515" s="150"/>
      <c r="BB515" s="150"/>
      <c r="BC515" s="150"/>
      <c r="BD515" s="150"/>
      <c r="BE515" s="150"/>
      <c r="BF515" s="150"/>
      <c r="BG515" s="150"/>
      <c r="BH515" s="150"/>
      <c r="BI515" s="150"/>
      <c r="BJ515" s="150"/>
      <c r="BK515" s="150"/>
      <c r="BL515" s="150"/>
      <c r="BM515" s="150"/>
      <c r="BN515" s="150"/>
      <c r="BO515" s="150"/>
      <c r="BP515" s="150"/>
      <c r="BQ515" s="150"/>
      <c r="BR515" s="150"/>
      <c r="BS515" s="150"/>
      <c r="BT515" s="150"/>
      <c r="BU515" s="150"/>
      <c r="BV515" s="150"/>
      <c r="BW515" s="150"/>
      <c r="BX515" s="150"/>
      <c r="BY515" s="150"/>
      <c r="BZ515" s="150"/>
      <c r="CA515" s="150"/>
      <c r="CB515" s="150"/>
      <c r="CC515" s="150"/>
      <c r="CD515" s="150"/>
      <c r="CE515" s="150"/>
      <c r="CF515" s="150"/>
      <c r="CG515" s="150"/>
      <c r="CH515" s="150"/>
      <c r="CI515" s="150"/>
      <c r="CJ515" s="150"/>
      <c r="CK515" s="150"/>
      <c r="CL515" s="150"/>
      <c r="CM515" s="150"/>
      <c r="CN515" s="150"/>
      <c r="CO515" s="150"/>
      <c r="CP515" s="150"/>
      <c r="CQ515" s="150"/>
      <c r="CR515" s="150"/>
      <c r="CS515" s="150"/>
      <c r="CT515" s="150"/>
      <c r="CU515" s="150"/>
      <c r="CV515" s="150"/>
      <c r="CW515" s="150"/>
      <c r="CX515" s="150"/>
      <c r="CY515" s="150"/>
      <c r="CZ515" s="150"/>
      <c r="DA515" s="150"/>
      <c r="DB515" s="150"/>
      <c r="DC515" s="150"/>
      <c r="DD515" s="150"/>
      <c r="DE515" s="150"/>
      <c r="DF515" s="150"/>
      <c r="DG515" s="150"/>
      <c r="DH515" s="150"/>
      <c r="DI515" s="150"/>
      <c r="DJ515" s="150"/>
      <c r="DK515" s="150"/>
      <c r="DL515" s="150"/>
      <c r="DM515" s="150"/>
      <c r="DN515" s="150"/>
      <c r="DO515" s="150"/>
      <c r="DP515" s="150"/>
      <c r="DQ515" s="150"/>
      <c r="DR515" s="150"/>
      <c r="DS515" s="150"/>
      <c r="DT515" s="150"/>
      <c r="DU515" s="150"/>
      <c r="DV515" s="150"/>
      <c r="DW515" s="150"/>
      <c r="DX515" s="150"/>
      <c r="DY515" s="150"/>
      <c r="DZ515" s="150"/>
      <c r="EA515" s="150"/>
      <c r="EB515" s="150"/>
      <c r="EC515" s="150"/>
      <c r="ED515" s="150"/>
      <c r="EE515" s="150"/>
      <c r="EF515" s="150"/>
      <c r="EG515" s="150"/>
      <c r="EH515" s="150"/>
      <c r="EI515" s="150"/>
      <c r="EJ515" s="150"/>
      <c r="EK515" s="150"/>
      <c r="EL515" s="150"/>
      <c r="EM515" s="150"/>
      <c r="EN515" s="150"/>
      <c r="EO515" s="150"/>
      <c r="EP515" s="150"/>
      <c r="EQ515" s="150"/>
      <c r="ER515" s="150"/>
      <c r="ES515" s="150"/>
      <c r="ET515" s="150"/>
      <c r="EU515" s="150"/>
      <c r="EV515" s="150"/>
      <c r="EW515" s="150"/>
      <c r="EX515" s="150"/>
      <c r="EY515" s="150"/>
      <c r="EZ515" s="150"/>
      <c r="FA515" s="150"/>
      <c r="FB515" s="150"/>
      <c r="FC515" s="150"/>
      <c r="FD515" s="150"/>
      <c r="FE515" s="150"/>
      <c r="FF515" s="150"/>
      <c r="FG515" s="150"/>
      <c r="FH515" s="150"/>
      <c r="FI515" s="150"/>
      <c r="FJ515" s="150"/>
      <c r="FK515" s="150"/>
      <c r="FL515" s="150"/>
      <c r="FM515" s="150"/>
      <c r="FN515" s="150"/>
    </row>
    <row r="516" spans="1:170" s="149" customFormat="1" x14ac:dyDescent="0.25">
      <c r="A516" s="142"/>
      <c r="B516" s="142"/>
      <c r="C516" s="142"/>
      <c r="D516" s="144"/>
      <c r="E516" s="143"/>
      <c r="F516" s="143"/>
      <c r="G516" s="144"/>
      <c r="H516" s="143"/>
      <c r="I516" s="143"/>
      <c r="J516" s="319"/>
      <c r="K516" s="319"/>
      <c r="L516" s="315"/>
      <c r="M516" s="315"/>
      <c r="N516" s="145"/>
      <c r="O516" s="145"/>
      <c r="P516" s="145"/>
      <c r="Q516" s="146"/>
      <c r="R516" s="147"/>
      <c r="S516" s="148"/>
      <c r="T516" s="148"/>
      <c r="U516" s="148"/>
      <c r="V516" s="148"/>
      <c r="W516" s="148"/>
      <c r="X516" s="148"/>
      <c r="Y516" s="148"/>
      <c r="Z516" s="148"/>
      <c r="AA516" s="148"/>
      <c r="AB516" s="148"/>
      <c r="AV516" s="150"/>
      <c r="AW516" s="150"/>
      <c r="AX516" s="150"/>
      <c r="AY516" s="150"/>
      <c r="AZ516" s="150"/>
      <c r="BA516" s="150"/>
      <c r="BB516" s="150"/>
      <c r="BC516" s="150"/>
      <c r="BD516" s="150"/>
      <c r="BE516" s="150"/>
      <c r="BF516" s="150"/>
      <c r="BG516" s="150"/>
      <c r="BH516" s="150"/>
      <c r="BI516" s="150"/>
      <c r="BJ516" s="150"/>
      <c r="BK516" s="150"/>
      <c r="BL516" s="150"/>
      <c r="BM516" s="150"/>
      <c r="BN516" s="150"/>
      <c r="BO516" s="150"/>
      <c r="BP516" s="150"/>
      <c r="BQ516" s="150"/>
      <c r="BR516" s="150"/>
      <c r="BS516" s="150"/>
      <c r="BT516" s="150"/>
      <c r="BU516" s="150"/>
      <c r="BV516" s="150"/>
      <c r="BW516" s="150"/>
      <c r="BX516" s="150"/>
      <c r="BY516" s="150"/>
      <c r="BZ516" s="150"/>
      <c r="CA516" s="150"/>
      <c r="CB516" s="150"/>
      <c r="CC516" s="150"/>
      <c r="CD516" s="150"/>
      <c r="CE516" s="150"/>
      <c r="CF516" s="150"/>
      <c r="CG516" s="150"/>
      <c r="CH516" s="150"/>
      <c r="CI516" s="150"/>
      <c r="CJ516" s="150"/>
      <c r="CK516" s="150"/>
      <c r="CL516" s="150"/>
      <c r="CM516" s="150"/>
      <c r="CN516" s="150"/>
      <c r="CO516" s="150"/>
      <c r="CP516" s="150"/>
      <c r="CQ516" s="150"/>
      <c r="CR516" s="150"/>
      <c r="CS516" s="150"/>
      <c r="CT516" s="150"/>
      <c r="CU516" s="150"/>
      <c r="CV516" s="150"/>
      <c r="CW516" s="150"/>
      <c r="CX516" s="150"/>
      <c r="CY516" s="150"/>
      <c r="CZ516" s="150"/>
      <c r="DA516" s="150"/>
      <c r="DB516" s="150"/>
      <c r="DC516" s="150"/>
      <c r="DD516" s="150"/>
      <c r="DE516" s="150"/>
      <c r="DF516" s="150"/>
      <c r="DG516" s="150"/>
      <c r="DH516" s="150"/>
      <c r="DI516" s="150"/>
      <c r="DJ516" s="150"/>
      <c r="DK516" s="150"/>
      <c r="DL516" s="150"/>
      <c r="DM516" s="150"/>
      <c r="DN516" s="150"/>
      <c r="DO516" s="150"/>
      <c r="DP516" s="150"/>
      <c r="DQ516" s="150"/>
      <c r="DR516" s="150"/>
      <c r="DS516" s="150"/>
      <c r="DT516" s="150"/>
      <c r="DU516" s="150"/>
      <c r="DV516" s="150"/>
      <c r="DW516" s="150"/>
      <c r="DX516" s="150"/>
      <c r="DY516" s="150"/>
      <c r="DZ516" s="150"/>
      <c r="EA516" s="150"/>
      <c r="EB516" s="150"/>
      <c r="EC516" s="150"/>
      <c r="ED516" s="150"/>
      <c r="EE516" s="150"/>
      <c r="EF516" s="150"/>
      <c r="EG516" s="150"/>
      <c r="EH516" s="150"/>
      <c r="EI516" s="150"/>
      <c r="EJ516" s="150"/>
      <c r="EK516" s="150"/>
      <c r="EL516" s="150"/>
      <c r="EM516" s="150"/>
      <c r="EN516" s="150"/>
      <c r="EO516" s="150"/>
      <c r="EP516" s="150"/>
      <c r="EQ516" s="150"/>
      <c r="ER516" s="150"/>
      <c r="ES516" s="150"/>
      <c r="ET516" s="150"/>
      <c r="EU516" s="150"/>
      <c r="EV516" s="150"/>
      <c r="EW516" s="150"/>
      <c r="EX516" s="150"/>
      <c r="EY516" s="150"/>
      <c r="EZ516" s="150"/>
      <c r="FA516" s="150"/>
      <c r="FB516" s="150"/>
      <c r="FC516" s="150"/>
      <c r="FD516" s="150"/>
      <c r="FE516" s="150"/>
      <c r="FF516" s="150"/>
      <c r="FG516" s="150"/>
      <c r="FH516" s="150"/>
      <c r="FI516" s="150"/>
      <c r="FJ516" s="150"/>
      <c r="FK516" s="150"/>
      <c r="FL516" s="150"/>
      <c r="FM516" s="150"/>
      <c r="FN516" s="150"/>
    </row>
    <row r="517" spans="1:170" s="149" customFormat="1" x14ac:dyDescent="0.25">
      <c r="A517" s="142"/>
      <c r="B517" s="142"/>
      <c r="C517" s="142"/>
      <c r="D517" s="144"/>
      <c r="E517" s="143"/>
      <c r="F517" s="143"/>
      <c r="G517" s="144"/>
      <c r="H517" s="143"/>
      <c r="I517" s="143"/>
      <c r="J517" s="319"/>
      <c r="K517" s="319"/>
      <c r="L517" s="315"/>
      <c r="M517" s="315"/>
      <c r="N517" s="145"/>
      <c r="O517" s="145"/>
      <c r="P517" s="145"/>
      <c r="Q517" s="146"/>
      <c r="R517" s="147"/>
      <c r="S517" s="148"/>
      <c r="T517" s="148"/>
      <c r="U517" s="148"/>
      <c r="V517" s="148"/>
      <c r="W517" s="148"/>
      <c r="X517" s="148"/>
      <c r="Y517" s="148"/>
      <c r="Z517" s="148"/>
      <c r="AA517" s="148"/>
      <c r="AB517" s="148"/>
      <c r="AV517" s="150"/>
      <c r="AW517" s="150"/>
      <c r="AX517" s="150"/>
      <c r="AY517" s="150"/>
      <c r="AZ517" s="150"/>
      <c r="BA517" s="150"/>
      <c r="BB517" s="150"/>
      <c r="BC517" s="150"/>
      <c r="BD517" s="150"/>
      <c r="BE517" s="150"/>
      <c r="BF517" s="150"/>
      <c r="BG517" s="150"/>
      <c r="BH517" s="150"/>
      <c r="BI517" s="150"/>
      <c r="BJ517" s="150"/>
      <c r="BK517" s="150"/>
      <c r="BL517" s="150"/>
      <c r="BM517" s="150"/>
      <c r="BN517" s="150"/>
      <c r="BO517" s="150"/>
      <c r="BP517" s="150"/>
      <c r="BQ517" s="150"/>
      <c r="BR517" s="150"/>
      <c r="BS517" s="150"/>
      <c r="BT517" s="150"/>
      <c r="BU517" s="150"/>
      <c r="BV517" s="150"/>
      <c r="BW517" s="150"/>
      <c r="BX517" s="150"/>
      <c r="BY517" s="150"/>
      <c r="BZ517" s="150"/>
      <c r="CA517" s="150"/>
      <c r="CB517" s="150"/>
      <c r="CC517" s="150"/>
      <c r="CD517" s="150"/>
      <c r="CE517" s="150"/>
      <c r="CF517" s="150"/>
      <c r="CG517" s="150"/>
      <c r="CH517" s="150"/>
      <c r="CI517" s="150"/>
      <c r="CJ517" s="150"/>
      <c r="CK517" s="150"/>
      <c r="CL517" s="150"/>
      <c r="CM517" s="150"/>
      <c r="CN517" s="150"/>
      <c r="CO517" s="150"/>
      <c r="CP517" s="150"/>
      <c r="CQ517" s="150"/>
      <c r="CR517" s="150"/>
      <c r="CS517" s="150"/>
      <c r="CT517" s="150"/>
      <c r="CU517" s="150"/>
      <c r="CV517" s="150"/>
      <c r="CW517" s="150"/>
      <c r="CX517" s="150"/>
      <c r="CY517" s="150"/>
      <c r="CZ517" s="150"/>
      <c r="DA517" s="150"/>
      <c r="DB517" s="150"/>
      <c r="DC517" s="150"/>
      <c r="DD517" s="150"/>
      <c r="DE517" s="150"/>
      <c r="DF517" s="150"/>
      <c r="DG517" s="150"/>
      <c r="DH517" s="150"/>
      <c r="DI517" s="150"/>
      <c r="DJ517" s="150"/>
      <c r="DK517" s="150"/>
      <c r="DL517" s="150"/>
      <c r="DM517" s="150"/>
      <c r="DN517" s="150"/>
      <c r="DO517" s="150"/>
      <c r="DP517" s="150"/>
      <c r="DQ517" s="150"/>
      <c r="DR517" s="150"/>
      <c r="DS517" s="150"/>
      <c r="DT517" s="150"/>
      <c r="DU517" s="150"/>
      <c r="DV517" s="150"/>
      <c r="DW517" s="150"/>
      <c r="DX517" s="150"/>
      <c r="DY517" s="150"/>
      <c r="DZ517" s="150"/>
      <c r="EA517" s="150"/>
      <c r="EB517" s="150"/>
      <c r="EC517" s="150"/>
      <c r="ED517" s="150"/>
      <c r="EE517" s="150"/>
      <c r="EF517" s="150"/>
      <c r="EG517" s="150"/>
      <c r="EH517" s="150"/>
      <c r="EI517" s="150"/>
      <c r="EJ517" s="150"/>
      <c r="EK517" s="150"/>
      <c r="EL517" s="150"/>
      <c r="EM517" s="150"/>
      <c r="EN517" s="150"/>
      <c r="EO517" s="150"/>
      <c r="EP517" s="150"/>
      <c r="EQ517" s="150"/>
      <c r="ER517" s="150"/>
      <c r="ES517" s="150"/>
      <c r="ET517" s="150"/>
      <c r="EU517" s="150"/>
      <c r="EV517" s="150"/>
      <c r="EW517" s="150"/>
      <c r="EX517" s="150"/>
      <c r="EY517" s="150"/>
      <c r="EZ517" s="150"/>
      <c r="FA517" s="150"/>
      <c r="FB517" s="150"/>
      <c r="FC517" s="150"/>
      <c r="FD517" s="150"/>
      <c r="FE517" s="150"/>
      <c r="FF517" s="150"/>
      <c r="FG517" s="150"/>
      <c r="FH517" s="150"/>
      <c r="FI517" s="150"/>
      <c r="FJ517" s="150"/>
      <c r="FK517" s="150"/>
      <c r="FL517" s="150"/>
      <c r="FM517" s="150"/>
      <c r="FN517" s="150"/>
    </row>
    <row r="518" spans="1:170" s="149" customFormat="1" x14ac:dyDescent="0.25">
      <c r="A518" s="142"/>
      <c r="B518" s="142"/>
      <c r="C518" s="142"/>
      <c r="D518" s="144"/>
      <c r="E518" s="143"/>
      <c r="F518" s="143"/>
      <c r="G518" s="144"/>
      <c r="H518" s="143"/>
      <c r="I518" s="143"/>
      <c r="J518" s="319"/>
      <c r="K518" s="319"/>
      <c r="L518" s="315"/>
      <c r="M518" s="315"/>
      <c r="N518" s="145"/>
      <c r="O518" s="145"/>
      <c r="P518" s="145"/>
      <c r="Q518" s="146"/>
      <c r="R518" s="147"/>
      <c r="S518" s="148"/>
      <c r="T518" s="148"/>
      <c r="U518" s="148"/>
      <c r="V518" s="148"/>
      <c r="W518" s="148"/>
      <c r="X518" s="148"/>
      <c r="Y518" s="148"/>
      <c r="Z518" s="148"/>
      <c r="AA518" s="148"/>
      <c r="AB518" s="148"/>
      <c r="AV518" s="150"/>
      <c r="AW518" s="150"/>
      <c r="AX518" s="150"/>
      <c r="AY518" s="150"/>
      <c r="AZ518" s="150"/>
      <c r="BA518" s="150"/>
      <c r="BB518" s="150"/>
      <c r="BC518" s="150"/>
      <c r="BD518" s="150"/>
      <c r="BE518" s="150"/>
      <c r="BF518" s="150"/>
      <c r="BG518" s="150"/>
      <c r="BH518" s="150"/>
      <c r="BI518" s="150"/>
      <c r="BJ518" s="150"/>
      <c r="BK518" s="150"/>
      <c r="BL518" s="150"/>
      <c r="BM518" s="150"/>
      <c r="BN518" s="150"/>
      <c r="BO518" s="150"/>
      <c r="BP518" s="150"/>
      <c r="BQ518" s="150"/>
      <c r="BR518" s="150"/>
      <c r="BS518" s="150"/>
      <c r="BT518" s="150"/>
      <c r="BU518" s="150"/>
      <c r="BV518" s="150"/>
      <c r="BW518" s="150"/>
      <c r="BX518" s="150"/>
      <c r="BY518" s="150"/>
      <c r="BZ518" s="150"/>
      <c r="CA518" s="150"/>
      <c r="CB518" s="150"/>
      <c r="CC518" s="150"/>
      <c r="CD518" s="150"/>
      <c r="CE518" s="150"/>
      <c r="CF518" s="150"/>
      <c r="CG518" s="150"/>
      <c r="CH518" s="150"/>
      <c r="CI518" s="150"/>
      <c r="CJ518" s="150"/>
      <c r="CK518" s="150"/>
      <c r="CL518" s="150"/>
      <c r="CM518" s="150"/>
      <c r="CN518" s="150"/>
      <c r="CO518" s="150"/>
      <c r="CP518" s="150"/>
      <c r="CQ518" s="150"/>
      <c r="CR518" s="150"/>
      <c r="CS518" s="150"/>
      <c r="CT518" s="150"/>
      <c r="CU518" s="150"/>
      <c r="CV518" s="150"/>
      <c r="CW518" s="150"/>
      <c r="CX518" s="150"/>
      <c r="CY518" s="150"/>
      <c r="CZ518" s="150"/>
      <c r="DA518" s="150"/>
      <c r="DB518" s="150"/>
      <c r="DC518" s="150"/>
      <c r="DD518" s="150"/>
      <c r="DE518" s="150"/>
      <c r="DF518" s="150"/>
      <c r="DG518" s="150"/>
      <c r="DH518" s="150"/>
      <c r="DI518" s="150"/>
      <c r="DJ518" s="150"/>
      <c r="DK518" s="150"/>
      <c r="DL518" s="150"/>
      <c r="DM518" s="150"/>
      <c r="DN518" s="150"/>
      <c r="DO518" s="150"/>
      <c r="DP518" s="150"/>
      <c r="DQ518" s="150"/>
      <c r="DR518" s="150"/>
      <c r="DS518" s="150"/>
      <c r="DT518" s="150"/>
      <c r="DU518" s="150"/>
      <c r="DV518" s="150"/>
      <c r="DW518" s="150"/>
      <c r="DX518" s="150"/>
      <c r="DY518" s="150"/>
      <c r="DZ518" s="150"/>
      <c r="EA518" s="150"/>
      <c r="EB518" s="150"/>
      <c r="EC518" s="150"/>
      <c r="ED518" s="150"/>
      <c r="EE518" s="150"/>
      <c r="EF518" s="150"/>
      <c r="EG518" s="150"/>
      <c r="EH518" s="150"/>
      <c r="EI518" s="150"/>
      <c r="EJ518" s="150"/>
      <c r="EK518" s="150"/>
      <c r="EL518" s="150"/>
      <c r="EM518" s="150"/>
      <c r="EN518" s="150"/>
      <c r="EO518" s="150"/>
      <c r="EP518" s="150"/>
      <c r="EQ518" s="150"/>
      <c r="ER518" s="150"/>
      <c r="ES518" s="150"/>
      <c r="ET518" s="150"/>
      <c r="EU518" s="150"/>
      <c r="EV518" s="150"/>
      <c r="EW518" s="150"/>
      <c r="EX518" s="150"/>
      <c r="EY518" s="150"/>
      <c r="EZ518" s="150"/>
      <c r="FA518" s="150"/>
      <c r="FB518" s="150"/>
      <c r="FC518" s="150"/>
      <c r="FD518" s="150"/>
      <c r="FE518" s="150"/>
      <c r="FF518" s="150"/>
      <c r="FG518" s="150"/>
      <c r="FH518" s="150"/>
      <c r="FI518" s="150"/>
      <c r="FJ518" s="150"/>
      <c r="FK518" s="150"/>
      <c r="FL518" s="150"/>
      <c r="FM518" s="150"/>
      <c r="FN518" s="150"/>
    </row>
    <row r="519" spans="1:170" s="149" customFormat="1" x14ac:dyDescent="0.25">
      <c r="A519" s="142"/>
      <c r="B519" s="142"/>
      <c r="C519" s="142"/>
      <c r="D519" s="144"/>
      <c r="E519" s="143"/>
      <c r="F519" s="143"/>
      <c r="G519" s="144"/>
      <c r="H519" s="143"/>
      <c r="I519" s="143"/>
      <c r="J519" s="319"/>
      <c r="K519" s="319"/>
      <c r="L519" s="315"/>
      <c r="M519" s="315"/>
      <c r="N519" s="145"/>
      <c r="O519" s="145"/>
      <c r="P519" s="145"/>
      <c r="Q519" s="146"/>
      <c r="R519" s="147"/>
      <c r="S519" s="148"/>
      <c r="T519" s="148"/>
      <c r="U519" s="148"/>
      <c r="V519" s="148"/>
      <c r="W519" s="148"/>
      <c r="X519" s="148"/>
      <c r="Y519" s="148"/>
      <c r="Z519" s="148"/>
      <c r="AA519" s="148"/>
      <c r="AB519" s="148"/>
      <c r="AV519" s="150"/>
      <c r="AW519" s="150"/>
      <c r="AX519" s="150"/>
      <c r="AY519" s="150"/>
      <c r="AZ519" s="150"/>
      <c r="BA519" s="150"/>
      <c r="BB519" s="150"/>
      <c r="BC519" s="150"/>
      <c r="BD519" s="150"/>
      <c r="BE519" s="150"/>
      <c r="BF519" s="150"/>
      <c r="BG519" s="150"/>
      <c r="BH519" s="150"/>
      <c r="BI519" s="150"/>
      <c r="BJ519" s="150"/>
      <c r="BK519" s="150"/>
      <c r="BL519" s="150"/>
      <c r="BM519" s="150"/>
      <c r="BN519" s="150"/>
      <c r="BO519" s="150"/>
      <c r="BP519" s="150"/>
      <c r="BQ519" s="150"/>
      <c r="BR519" s="150"/>
      <c r="BS519" s="150"/>
      <c r="BT519" s="150"/>
      <c r="BU519" s="150"/>
      <c r="BV519" s="150"/>
      <c r="BW519" s="150"/>
      <c r="BX519" s="150"/>
      <c r="BY519" s="150"/>
      <c r="BZ519" s="150"/>
      <c r="CA519" s="150"/>
      <c r="CB519" s="150"/>
      <c r="CC519" s="150"/>
      <c r="CD519" s="150"/>
      <c r="CE519" s="150"/>
      <c r="CF519" s="150"/>
      <c r="CG519" s="150"/>
      <c r="CH519" s="150"/>
      <c r="CI519" s="150"/>
      <c r="CJ519" s="150"/>
      <c r="CK519" s="150"/>
      <c r="CL519" s="150"/>
      <c r="CM519" s="150"/>
      <c r="CN519" s="150"/>
      <c r="CO519" s="150"/>
      <c r="CP519" s="150"/>
      <c r="CQ519" s="150"/>
      <c r="CR519" s="150"/>
      <c r="CS519" s="150"/>
      <c r="CT519" s="150"/>
      <c r="CU519" s="150"/>
      <c r="CV519" s="150"/>
      <c r="CW519" s="150"/>
      <c r="CX519" s="150"/>
      <c r="CY519" s="150"/>
      <c r="CZ519" s="150"/>
      <c r="DA519" s="150"/>
      <c r="DB519" s="150"/>
      <c r="DC519" s="150"/>
      <c r="DD519" s="150"/>
      <c r="DE519" s="150"/>
      <c r="DF519" s="150"/>
      <c r="DG519" s="150"/>
      <c r="DH519" s="150"/>
      <c r="DI519" s="150"/>
      <c r="DJ519" s="150"/>
      <c r="DK519" s="150"/>
      <c r="DL519" s="150"/>
      <c r="DM519" s="150"/>
      <c r="DN519" s="150"/>
      <c r="DO519" s="150"/>
      <c r="DP519" s="150"/>
      <c r="DQ519" s="150"/>
      <c r="DR519" s="150"/>
      <c r="DS519" s="150"/>
      <c r="DT519" s="150"/>
      <c r="DU519" s="150"/>
      <c r="DV519" s="150"/>
      <c r="DW519" s="150"/>
      <c r="DX519" s="150"/>
      <c r="DY519" s="150"/>
      <c r="DZ519" s="150"/>
      <c r="EA519" s="150"/>
      <c r="EB519" s="150"/>
      <c r="EC519" s="150"/>
      <c r="ED519" s="150"/>
      <c r="EE519" s="150"/>
      <c r="EF519" s="150"/>
      <c r="EG519" s="150"/>
      <c r="EH519" s="150"/>
      <c r="EI519" s="150"/>
      <c r="EJ519" s="150"/>
      <c r="EK519" s="150"/>
      <c r="EL519" s="150"/>
      <c r="EM519" s="150"/>
      <c r="EN519" s="150"/>
      <c r="EO519" s="150"/>
      <c r="EP519" s="150"/>
      <c r="EQ519" s="150"/>
      <c r="ER519" s="150"/>
      <c r="ES519" s="150"/>
      <c r="ET519" s="150"/>
      <c r="EU519" s="150"/>
      <c r="EV519" s="150"/>
      <c r="EW519" s="150"/>
      <c r="EX519" s="150"/>
      <c r="EY519" s="150"/>
      <c r="EZ519" s="150"/>
      <c r="FA519" s="150"/>
      <c r="FB519" s="150"/>
      <c r="FC519" s="150"/>
      <c r="FD519" s="150"/>
      <c r="FE519" s="150"/>
      <c r="FF519" s="150"/>
      <c r="FG519" s="150"/>
      <c r="FH519" s="150"/>
      <c r="FI519" s="150"/>
      <c r="FJ519" s="150"/>
      <c r="FK519" s="150"/>
      <c r="FL519" s="150"/>
      <c r="FM519" s="150"/>
      <c r="FN519" s="150"/>
    </row>
    <row r="520" spans="1:170" s="149" customFormat="1" x14ac:dyDescent="0.25">
      <c r="A520" s="142"/>
      <c r="B520" s="142"/>
      <c r="C520" s="142"/>
      <c r="D520" s="144"/>
      <c r="E520" s="143"/>
      <c r="F520" s="143"/>
      <c r="G520" s="144"/>
      <c r="H520" s="143"/>
      <c r="I520" s="143"/>
      <c r="J520" s="319"/>
      <c r="K520" s="319"/>
      <c r="L520" s="315"/>
      <c r="M520" s="315"/>
      <c r="N520" s="145"/>
      <c r="O520" s="145"/>
      <c r="P520" s="145"/>
      <c r="Q520" s="146"/>
      <c r="R520" s="147"/>
      <c r="S520" s="148"/>
      <c r="T520" s="148"/>
      <c r="U520" s="148"/>
      <c r="V520" s="148"/>
      <c r="W520" s="148"/>
      <c r="X520" s="148"/>
      <c r="Y520" s="148"/>
      <c r="Z520" s="148"/>
      <c r="AA520" s="148"/>
      <c r="AB520" s="148"/>
      <c r="AV520" s="150"/>
      <c r="AW520" s="150"/>
      <c r="AX520" s="150"/>
      <c r="AY520" s="150"/>
      <c r="AZ520" s="150"/>
      <c r="BA520" s="150"/>
      <c r="BB520" s="150"/>
      <c r="BC520" s="150"/>
      <c r="BD520" s="150"/>
      <c r="BE520" s="150"/>
      <c r="BF520" s="150"/>
      <c r="BG520" s="150"/>
      <c r="BH520" s="150"/>
      <c r="BI520" s="150"/>
      <c r="BJ520" s="150"/>
      <c r="BK520" s="150"/>
      <c r="BL520" s="150"/>
      <c r="BM520" s="150"/>
      <c r="BN520" s="150"/>
      <c r="BO520" s="150"/>
      <c r="BP520" s="150"/>
      <c r="BQ520" s="150"/>
      <c r="BR520" s="150"/>
      <c r="BS520" s="150"/>
      <c r="BT520" s="150"/>
      <c r="BU520" s="150"/>
      <c r="BV520" s="150"/>
      <c r="BW520" s="150"/>
      <c r="BX520" s="150"/>
      <c r="BY520" s="150"/>
      <c r="BZ520" s="150"/>
      <c r="CA520" s="150"/>
      <c r="CB520" s="150"/>
      <c r="CC520" s="150"/>
      <c r="CD520" s="150"/>
      <c r="CE520" s="150"/>
      <c r="CF520" s="150"/>
      <c r="CG520" s="150"/>
      <c r="CH520" s="150"/>
      <c r="CI520" s="150"/>
      <c r="CJ520" s="150"/>
      <c r="CK520" s="150"/>
      <c r="CL520" s="150"/>
      <c r="CM520" s="150"/>
      <c r="CN520" s="150"/>
      <c r="CO520" s="150"/>
      <c r="CP520" s="150"/>
      <c r="CQ520" s="150"/>
      <c r="CR520" s="150"/>
      <c r="CS520" s="150"/>
      <c r="CT520" s="150"/>
      <c r="CU520" s="150"/>
      <c r="CV520" s="150"/>
      <c r="CW520" s="150"/>
      <c r="CX520" s="150"/>
      <c r="CY520" s="150"/>
      <c r="CZ520" s="150"/>
      <c r="DA520" s="150"/>
      <c r="DB520" s="150"/>
      <c r="DC520" s="150"/>
      <c r="DD520" s="150"/>
      <c r="DE520" s="150"/>
      <c r="DF520" s="150"/>
      <c r="DG520" s="150"/>
      <c r="DH520" s="150"/>
      <c r="DI520" s="150"/>
      <c r="DJ520" s="150"/>
      <c r="DK520" s="150"/>
      <c r="DL520" s="150"/>
      <c r="DM520" s="150"/>
      <c r="DN520" s="150"/>
      <c r="DO520" s="150"/>
      <c r="DP520" s="150"/>
      <c r="DQ520" s="150"/>
      <c r="DR520" s="150"/>
      <c r="DS520" s="150"/>
      <c r="DT520" s="150"/>
      <c r="DU520" s="150"/>
      <c r="DV520" s="150"/>
      <c r="DW520" s="150"/>
      <c r="DX520" s="150"/>
      <c r="DY520" s="150"/>
      <c r="DZ520" s="150"/>
      <c r="EA520" s="150"/>
      <c r="EB520" s="150"/>
      <c r="EC520" s="150"/>
      <c r="ED520" s="150"/>
      <c r="EE520" s="150"/>
      <c r="EF520" s="150"/>
      <c r="EG520" s="150"/>
      <c r="EH520" s="150"/>
      <c r="EI520" s="150"/>
      <c r="EJ520" s="150"/>
      <c r="EK520" s="150"/>
      <c r="EL520" s="150"/>
      <c r="EM520" s="150"/>
      <c r="EN520" s="150"/>
      <c r="EO520" s="150"/>
      <c r="EP520" s="150"/>
      <c r="EQ520" s="150"/>
      <c r="ER520" s="150"/>
      <c r="ES520" s="150"/>
      <c r="ET520" s="150"/>
      <c r="EU520" s="150"/>
      <c r="EV520" s="150"/>
      <c r="EW520" s="150"/>
      <c r="EX520" s="150"/>
      <c r="EY520" s="150"/>
      <c r="EZ520" s="150"/>
      <c r="FA520" s="150"/>
      <c r="FB520" s="150"/>
      <c r="FC520" s="150"/>
      <c r="FD520" s="150"/>
      <c r="FE520" s="150"/>
      <c r="FF520" s="150"/>
      <c r="FG520" s="150"/>
      <c r="FH520" s="150"/>
      <c r="FI520" s="150"/>
      <c r="FJ520" s="150"/>
      <c r="FK520" s="150"/>
      <c r="FL520" s="150"/>
      <c r="FM520" s="150"/>
      <c r="FN520" s="150"/>
    </row>
    <row r="521" spans="1:170" s="149" customFormat="1" x14ac:dyDescent="0.25">
      <c r="A521" s="142"/>
      <c r="B521" s="142"/>
      <c r="C521" s="142"/>
      <c r="D521" s="144"/>
      <c r="E521" s="143"/>
      <c r="F521" s="143"/>
      <c r="G521" s="144"/>
      <c r="H521" s="143"/>
      <c r="I521" s="143"/>
      <c r="J521" s="319"/>
      <c r="K521" s="319"/>
      <c r="L521" s="315"/>
      <c r="M521" s="315"/>
      <c r="N521" s="145"/>
      <c r="O521" s="145"/>
      <c r="P521" s="145"/>
      <c r="Q521" s="146"/>
      <c r="R521" s="147"/>
      <c r="S521" s="148"/>
      <c r="T521" s="148"/>
      <c r="U521" s="148"/>
      <c r="V521" s="148"/>
      <c r="W521" s="148"/>
      <c r="X521" s="148"/>
      <c r="Y521" s="148"/>
      <c r="Z521" s="148"/>
      <c r="AA521" s="148"/>
      <c r="AB521" s="148"/>
      <c r="AV521" s="150"/>
      <c r="AW521" s="150"/>
      <c r="AX521" s="150"/>
      <c r="AY521" s="150"/>
      <c r="AZ521" s="150"/>
      <c r="BA521" s="150"/>
      <c r="BB521" s="150"/>
      <c r="BC521" s="150"/>
      <c r="BD521" s="150"/>
      <c r="BE521" s="150"/>
      <c r="BF521" s="150"/>
      <c r="BG521" s="150"/>
      <c r="BH521" s="150"/>
      <c r="BI521" s="150"/>
      <c r="BJ521" s="150"/>
      <c r="BK521" s="150"/>
      <c r="BL521" s="150"/>
      <c r="BM521" s="150"/>
      <c r="BN521" s="150"/>
      <c r="BO521" s="150"/>
      <c r="BP521" s="150"/>
      <c r="BQ521" s="150"/>
      <c r="BR521" s="150"/>
      <c r="BS521" s="150"/>
      <c r="BT521" s="150"/>
      <c r="BU521" s="150"/>
      <c r="BV521" s="150"/>
      <c r="BW521" s="150"/>
      <c r="BX521" s="150"/>
      <c r="BY521" s="150"/>
      <c r="BZ521" s="150"/>
      <c r="CA521" s="150"/>
      <c r="CB521" s="150"/>
      <c r="CC521" s="150"/>
      <c r="CD521" s="150"/>
      <c r="CE521" s="150"/>
      <c r="CF521" s="150"/>
      <c r="CG521" s="150"/>
      <c r="CH521" s="150"/>
      <c r="CI521" s="150"/>
      <c r="CJ521" s="150"/>
      <c r="CK521" s="150"/>
      <c r="CL521" s="150"/>
      <c r="CM521" s="150"/>
      <c r="CN521" s="150"/>
      <c r="CO521" s="150"/>
      <c r="CP521" s="150"/>
      <c r="CQ521" s="150"/>
      <c r="CR521" s="150"/>
      <c r="CS521" s="150"/>
      <c r="CT521" s="150"/>
      <c r="CU521" s="150"/>
      <c r="CV521" s="150"/>
      <c r="CW521" s="150"/>
      <c r="CX521" s="150"/>
      <c r="CY521" s="150"/>
      <c r="CZ521" s="150"/>
      <c r="DA521" s="150"/>
      <c r="DB521" s="150"/>
      <c r="DC521" s="150"/>
      <c r="DD521" s="150"/>
      <c r="DE521" s="150"/>
      <c r="DF521" s="150"/>
      <c r="DG521" s="150"/>
      <c r="DH521" s="150"/>
      <c r="DI521" s="150"/>
      <c r="DJ521" s="150"/>
      <c r="DK521" s="150"/>
      <c r="DL521" s="150"/>
      <c r="DM521" s="150"/>
      <c r="DN521" s="150"/>
      <c r="DO521" s="150"/>
      <c r="DP521" s="150"/>
      <c r="DQ521" s="150"/>
      <c r="DR521" s="150"/>
      <c r="DS521" s="150"/>
      <c r="DT521" s="150"/>
      <c r="DU521" s="150"/>
      <c r="DV521" s="150"/>
      <c r="DW521" s="150"/>
      <c r="DX521" s="150"/>
      <c r="DY521" s="150"/>
      <c r="DZ521" s="150"/>
      <c r="EA521" s="150"/>
      <c r="EB521" s="150"/>
      <c r="EC521" s="150"/>
      <c r="ED521" s="150"/>
      <c r="EE521" s="150"/>
      <c r="EF521" s="150"/>
      <c r="EG521" s="150"/>
      <c r="EH521" s="150"/>
      <c r="EI521" s="150"/>
      <c r="EJ521" s="150"/>
      <c r="EK521" s="150"/>
      <c r="EL521" s="150"/>
      <c r="EM521" s="150"/>
      <c r="EN521" s="150"/>
      <c r="EO521" s="150"/>
      <c r="EP521" s="150"/>
      <c r="EQ521" s="150"/>
      <c r="ER521" s="150"/>
      <c r="ES521" s="150"/>
      <c r="ET521" s="150"/>
      <c r="EU521" s="150"/>
      <c r="EV521" s="150"/>
      <c r="EW521" s="150"/>
      <c r="EX521" s="150"/>
      <c r="EY521" s="150"/>
      <c r="EZ521" s="150"/>
      <c r="FA521" s="150"/>
      <c r="FB521" s="150"/>
      <c r="FC521" s="150"/>
      <c r="FD521" s="150"/>
      <c r="FE521" s="150"/>
      <c r="FF521" s="150"/>
      <c r="FG521" s="150"/>
      <c r="FH521" s="150"/>
      <c r="FI521" s="150"/>
      <c r="FJ521" s="150"/>
      <c r="FK521" s="150"/>
      <c r="FL521" s="150"/>
      <c r="FM521" s="150"/>
      <c r="FN521" s="150"/>
    </row>
    <row r="522" spans="1:170" s="149" customFormat="1" x14ac:dyDescent="0.25">
      <c r="A522" s="142"/>
      <c r="B522" s="142"/>
      <c r="C522" s="142"/>
      <c r="D522" s="144"/>
      <c r="E522" s="143"/>
      <c r="F522" s="143"/>
      <c r="G522" s="144"/>
      <c r="H522" s="143"/>
      <c r="I522" s="143"/>
      <c r="J522" s="319"/>
      <c r="K522" s="319"/>
      <c r="L522" s="315"/>
      <c r="M522" s="315"/>
      <c r="N522" s="145"/>
      <c r="O522" s="145"/>
      <c r="P522" s="145"/>
      <c r="Q522" s="146"/>
      <c r="R522" s="147"/>
      <c r="S522" s="148"/>
      <c r="T522" s="148"/>
      <c r="U522" s="148"/>
      <c r="V522" s="148"/>
      <c r="W522" s="148"/>
      <c r="X522" s="148"/>
      <c r="Y522" s="148"/>
      <c r="Z522" s="148"/>
      <c r="AA522" s="148"/>
      <c r="AB522" s="148"/>
      <c r="AV522" s="150"/>
      <c r="AW522" s="150"/>
      <c r="AX522" s="150"/>
      <c r="AY522" s="150"/>
      <c r="AZ522" s="150"/>
      <c r="BA522" s="150"/>
      <c r="BB522" s="150"/>
      <c r="BC522" s="150"/>
      <c r="BD522" s="150"/>
      <c r="BE522" s="150"/>
      <c r="BF522" s="150"/>
      <c r="BG522" s="150"/>
      <c r="BH522" s="150"/>
      <c r="BI522" s="150"/>
      <c r="BJ522" s="150"/>
      <c r="BK522" s="150"/>
      <c r="BL522" s="150"/>
      <c r="BM522" s="150"/>
      <c r="BN522" s="150"/>
      <c r="BO522" s="150"/>
      <c r="BP522" s="150"/>
      <c r="BQ522" s="150"/>
      <c r="BR522" s="150"/>
      <c r="BS522" s="150"/>
      <c r="BT522" s="150"/>
      <c r="BU522" s="150"/>
      <c r="BV522" s="150"/>
      <c r="BW522" s="150"/>
      <c r="BX522" s="150"/>
      <c r="BY522" s="150"/>
      <c r="BZ522" s="150"/>
      <c r="CA522" s="150"/>
      <c r="CB522" s="150"/>
      <c r="CC522" s="150"/>
      <c r="CD522" s="150"/>
      <c r="CE522" s="150"/>
      <c r="CF522" s="150"/>
      <c r="CG522" s="150"/>
      <c r="CH522" s="150"/>
      <c r="CI522" s="150"/>
      <c r="CJ522" s="150"/>
      <c r="CK522" s="150"/>
      <c r="CL522" s="150"/>
      <c r="CM522" s="150"/>
      <c r="CN522" s="150"/>
      <c r="CO522" s="150"/>
      <c r="CP522" s="150"/>
      <c r="CQ522" s="150"/>
      <c r="CR522" s="150"/>
      <c r="CS522" s="150"/>
      <c r="CT522" s="150"/>
      <c r="CU522" s="150"/>
      <c r="CV522" s="150"/>
      <c r="CW522" s="150"/>
      <c r="CX522" s="150"/>
      <c r="CY522" s="150"/>
      <c r="CZ522" s="150"/>
      <c r="DA522" s="150"/>
      <c r="DB522" s="150"/>
      <c r="DC522" s="150"/>
      <c r="DD522" s="150"/>
      <c r="DE522" s="150"/>
      <c r="DF522" s="150"/>
      <c r="DG522" s="150"/>
      <c r="DH522" s="150"/>
      <c r="DI522" s="150"/>
      <c r="DJ522" s="150"/>
      <c r="DK522" s="150"/>
      <c r="DL522" s="150"/>
      <c r="DM522" s="150"/>
      <c r="DN522" s="150"/>
      <c r="DO522" s="150"/>
      <c r="DP522" s="150"/>
      <c r="DQ522" s="150"/>
      <c r="DR522" s="150"/>
      <c r="DS522" s="150"/>
      <c r="DT522" s="150"/>
      <c r="DU522" s="150"/>
      <c r="DV522" s="150"/>
      <c r="DW522" s="150"/>
      <c r="DX522" s="150"/>
      <c r="DY522" s="150"/>
      <c r="DZ522" s="150"/>
      <c r="EA522" s="150"/>
      <c r="EB522" s="150"/>
      <c r="EC522" s="150"/>
      <c r="ED522" s="150"/>
      <c r="EE522" s="150"/>
      <c r="EF522" s="150"/>
      <c r="EG522" s="150"/>
      <c r="EH522" s="150"/>
      <c r="EI522" s="150"/>
      <c r="EJ522" s="150"/>
      <c r="EK522" s="150"/>
      <c r="EL522" s="150"/>
      <c r="EM522" s="150"/>
      <c r="EN522" s="150"/>
      <c r="EO522" s="150"/>
      <c r="EP522" s="150"/>
      <c r="EQ522" s="150"/>
      <c r="ER522" s="150"/>
      <c r="ES522" s="150"/>
      <c r="ET522" s="150"/>
      <c r="EU522" s="150"/>
      <c r="EV522" s="150"/>
      <c r="EW522" s="150"/>
      <c r="EX522" s="150"/>
      <c r="EY522" s="150"/>
      <c r="EZ522" s="150"/>
      <c r="FA522" s="150"/>
      <c r="FB522" s="150"/>
      <c r="FC522" s="150"/>
      <c r="FD522" s="150"/>
      <c r="FE522" s="150"/>
      <c r="FF522" s="150"/>
      <c r="FG522" s="150"/>
      <c r="FH522" s="150"/>
      <c r="FI522" s="150"/>
      <c r="FJ522" s="150"/>
      <c r="FK522" s="150"/>
      <c r="FL522" s="150"/>
      <c r="FM522" s="150"/>
      <c r="FN522" s="150"/>
    </row>
    <row r="523" spans="1:170" s="149" customFormat="1" x14ac:dyDescent="0.25">
      <c r="A523" s="142"/>
      <c r="B523" s="142"/>
      <c r="C523" s="142"/>
      <c r="D523" s="144"/>
      <c r="E523" s="143"/>
      <c r="F523" s="143"/>
      <c r="G523" s="144"/>
      <c r="H523" s="143"/>
      <c r="I523" s="143"/>
      <c r="J523" s="319"/>
      <c r="K523" s="319"/>
      <c r="L523" s="315"/>
      <c r="M523" s="315"/>
      <c r="N523" s="145"/>
      <c r="O523" s="145"/>
      <c r="P523" s="145"/>
      <c r="Q523" s="146"/>
      <c r="R523" s="147"/>
      <c r="S523" s="148"/>
      <c r="T523" s="148"/>
      <c r="U523" s="148"/>
      <c r="V523" s="148"/>
      <c r="W523" s="148"/>
      <c r="X523" s="148"/>
      <c r="Y523" s="148"/>
      <c r="Z523" s="148"/>
      <c r="AA523" s="148"/>
      <c r="AB523" s="148"/>
      <c r="AV523" s="150"/>
      <c r="AW523" s="150"/>
      <c r="AX523" s="150"/>
      <c r="AY523" s="150"/>
      <c r="AZ523" s="150"/>
      <c r="BA523" s="150"/>
      <c r="BB523" s="150"/>
      <c r="BC523" s="150"/>
      <c r="BD523" s="150"/>
      <c r="BE523" s="150"/>
      <c r="BF523" s="150"/>
      <c r="BG523" s="150"/>
      <c r="BH523" s="150"/>
      <c r="BI523" s="150"/>
      <c r="BJ523" s="150"/>
      <c r="BK523" s="150"/>
      <c r="BL523" s="150"/>
      <c r="BM523" s="150"/>
      <c r="BN523" s="150"/>
      <c r="BO523" s="150"/>
      <c r="BP523" s="150"/>
      <c r="BQ523" s="150"/>
      <c r="BR523" s="150"/>
      <c r="BS523" s="150"/>
      <c r="BT523" s="150"/>
      <c r="BU523" s="150"/>
      <c r="BV523" s="150"/>
      <c r="BW523" s="150"/>
      <c r="BX523" s="150"/>
      <c r="BY523" s="150"/>
      <c r="BZ523" s="150"/>
      <c r="CA523" s="150"/>
      <c r="CB523" s="150"/>
      <c r="CC523" s="150"/>
      <c r="CD523" s="150"/>
      <c r="CE523" s="150"/>
      <c r="CF523" s="150"/>
      <c r="CG523" s="150"/>
      <c r="CH523" s="150"/>
      <c r="CI523" s="150"/>
      <c r="CJ523" s="150"/>
      <c r="CK523" s="150"/>
      <c r="CL523" s="150"/>
      <c r="CM523" s="150"/>
      <c r="CN523" s="150"/>
      <c r="CO523" s="150"/>
      <c r="CP523" s="150"/>
      <c r="CQ523" s="150"/>
      <c r="CR523" s="150"/>
      <c r="CS523" s="150"/>
      <c r="CT523" s="150"/>
      <c r="CU523" s="150"/>
      <c r="CV523" s="150"/>
      <c r="CW523" s="150"/>
      <c r="CX523" s="150"/>
      <c r="CY523" s="150"/>
      <c r="CZ523" s="150"/>
      <c r="DA523" s="150"/>
      <c r="DB523" s="150"/>
      <c r="DC523" s="150"/>
      <c r="DD523" s="150"/>
      <c r="DE523" s="150"/>
      <c r="DF523" s="150"/>
      <c r="DG523" s="150"/>
      <c r="DH523" s="150"/>
      <c r="DI523" s="150"/>
      <c r="DJ523" s="150"/>
      <c r="DK523" s="150"/>
      <c r="DL523" s="150"/>
      <c r="DM523" s="150"/>
      <c r="DN523" s="150"/>
      <c r="DO523" s="150"/>
      <c r="DP523" s="150"/>
      <c r="DQ523" s="150"/>
      <c r="DR523" s="150"/>
      <c r="DS523" s="150"/>
      <c r="DT523" s="150"/>
      <c r="DU523" s="150"/>
      <c r="DV523" s="150"/>
      <c r="DW523" s="150"/>
      <c r="DX523" s="150"/>
      <c r="DY523" s="150"/>
      <c r="DZ523" s="150"/>
      <c r="EA523" s="150"/>
      <c r="EB523" s="150"/>
      <c r="EC523" s="150"/>
      <c r="ED523" s="150"/>
      <c r="EE523" s="150"/>
      <c r="EF523" s="150"/>
      <c r="EG523" s="150"/>
      <c r="EH523" s="150"/>
      <c r="EI523" s="150"/>
      <c r="EJ523" s="150"/>
      <c r="EK523" s="150"/>
      <c r="EL523" s="150"/>
      <c r="EM523" s="150"/>
      <c r="EN523" s="150"/>
      <c r="EO523" s="150"/>
      <c r="EP523" s="150"/>
      <c r="EQ523" s="150"/>
      <c r="ER523" s="150"/>
      <c r="ES523" s="150"/>
      <c r="ET523" s="150"/>
      <c r="EU523" s="150"/>
      <c r="EV523" s="150"/>
      <c r="EW523" s="150"/>
      <c r="EX523" s="150"/>
      <c r="EY523" s="150"/>
      <c r="EZ523" s="150"/>
      <c r="FA523" s="150"/>
      <c r="FB523" s="150"/>
      <c r="FC523" s="150"/>
      <c r="FD523" s="150"/>
      <c r="FE523" s="150"/>
      <c r="FF523" s="150"/>
      <c r="FG523" s="150"/>
      <c r="FH523" s="150"/>
      <c r="FI523" s="150"/>
      <c r="FJ523" s="150"/>
      <c r="FK523" s="150"/>
      <c r="FL523" s="150"/>
      <c r="FM523" s="150"/>
      <c r="FN523" s="150"/>
    </row>
    <row r="524" spans="1:170" s="149" customFormat="1" x14ac:dyDescent="0.25">
      <c r="A524" s="142"/>
      <c r="B524" s="142"/>
      <c r="C524" s="142"/>
      <c r="D524" s="144"/>
      <c r="E524" s="143"/>
      <c r="F524" s="143"/>
      <c r="G524" s="144"/>
      <c r="H524" s="143"/>
      <c r="I524" s="143"/>
      <c r="J524" s="319"/>
      <c r="K524" s="319"/>
      <c r="L524" s="315"/>
      <c r="M524" s="315"/>
      <c r="N524" s="145"/>
      <c r="O524" s="145"/>
      <c r="P524" s="145"/>
      <c r="Q524" s="146"/>
      <c r="R524" s="147"/>
      <c r="S524" s="148"/>
      <c r="T524" s="148"/>
      <c r="U524" s="148"/>
      <c r="V524" s="148"/>
      <c r="W524" s="148"/>
      <c r="X524" s="148"/>
      <c r="Y524" s="148"/>
      <c r="Z524" s="148"/>
      <c r="AA524" s="148"/>
      <c r="AB524" s="148"/>
      <c r="AV524" s="150"/>
      <c r="AW524" s="150"/>
      <c r="AX524" s="150"/>
      <c r="AY524" s="150"/>
      <c r="AZ524" s="150"/>
      <c r="BA524" s="150"/>
      <c r="BB524" s="150"/>
      <c r="BC524" s="150"/>
      <c r="BD524" s="150"/>
      <c r="BE524" s="150"/>
      <c r="BF524" s="150"/>
      <c r="BG524" s="150"/>
      <c r="BH524" s="150"/>
      <c r="BI524" s="150"/>
      <c r="BJ524" s="150"/>
      <c r="BK524" s="150"/>
      <c r="BL524" s="150"/>
      <c r="BM524" s="150"/>
      <c r="BN524" s="150"/>
      <c r="BO524" s="150"/>
      <c r="BP524" s="150"/>
      <c r="BQ524" s="150"/>
      <c r="BR524" s="150"/>
      <c r="BS524" s="150"/>
      <c r="BT524" s="150"/>
      <c r="BU524" s="150"/>
      <c r="BV524" s="150"/>
      <c r="BW524" s="150"/>
      <c r="BX524" s="150"/>
      <c r="BY524" s="150"/>
      <c r="BZ524" s="150"/>
      <c r="CA524" s="150"/>
      <c r="CB524" s="150"/>
      <c r="CC524" s="150"/>
      <c r="CD524" s="150"/>
      <c r="CE524" s="150"/>
      <c r="CF524" s="150"/>
      <c r="CG524" s="150"/>
      <c r="CH524" s="150"/>
      <c r="CI524" s="150"/>
      <c r="CJ524" s="150"/>
      <c r="CK524" s="150"/>
      <c r="CL524" s="150"/>
      <c r="CM524" s="150"/>
      <c r="CN524" s="150"/>
      <c r="CO524" s="150"/>
      <c r="CP524" s="150"/>
      <c r="CQ524" s="150"/>
      <c r="CR524" s="150"/>
      <c r="CS524" s="150"/>
      <c r="CT524" s="150"/>
      <c r="CU524" s="150"/>
      <c r="CV524" s="150"/>
      <c r="CW524" s="150"/>
      <c r="CX524" s="150"/>
      <c r="CY524" s="150"/>
      <c r="CZ524" s="150"/>
      <c r="DA524" s="150"/>
      <c r="DB524" s="150"/>
      <c r="DC524" s="150"/>
      <c r="DD524" s="150"/>
      <c r="DE524" s="150"/>
      <c r="DF524" s="150"/>
      <c r="DG524" s="150"/>
      <c r="DH524" s="150"/>
      <c r="DI524" s="150"/>
      <c r="DJ524" s="150"/>
      <c r="DK524" s="150"/>
      <c r="DL524" s="150"/>
      <c r="DM524" s="150"/>
      <c r="DN524" s="150"/>
      <c r="DO524" s="150"/>
      <c r="DP524" s="150"/>
      <c r="DQ524" s="150"/>
      <c r="DR524" s="150"/>
      <c r="DS524" s="150"/>
      <c r="DT524" s="150"/>
      <c r="DU524" s="150"/>
      <c r="DV524" s="150"/>
      <c r="DW524" s="150"/>
      <c r="DX524" s="150"/>
      <c r="DY524" s="150"/>
      <c r="DZ524" s="150"/>
      <c r="EA524" s="150"/>
      <c r="EB524" s="150"/>
      <c r="EC524" s="150"/>
      <c r="ED524" s="150"/>
      <c r="EE524" s="150"/>
      <c r="EF524" s="150"/>
      <c r="EG524" s="150"/>
      <c r="EH524" s="150"/>
      <c r="EI524" s="150"/>
      <c r="EJ524" s="150"/>
      <c r="EK524" s="150"/>
      <c r="EL524" s="150"/>
      <c r="EM524" s="150"/>
      <c r="EN524" s="150"/>
      <c r="EO524" s="150"/>
      <c r="EP524" s="150"/>
      <c r="EQ524" s="150"/>
      <c r="ER524" s="150"/>
      <c r="ES524" s="150"/>
      <c r="ET524" s="150"/>
      <c r="EU524" s="150"/>
      <c r="EV524" s="150"/>
      <c r="EW524" s="150"/>
      <c r="EX524" s="150"/>
      <c r="EY524" s="150"/>
      <c r="EZ524" s="150"/>
      <c r="FA524" s="150"/>
      <c r="FB524" s="150"/>
      <c r="FC524" s="150"/>
      <c r="FD524" s="150"/>
      <c r="FE524" s="150"/>
      <c r="FF524" s="150"/>
      <c r="FG524" s="150"/>
      <c r="FH524" s="150"/>
      <c r="FI524" s="150"/>
      <c r="FJ524" s="150"/>
      <c r="FK524" s="150"/>
      <c r="FL524" s="150"/>
      <c r="FM524" s="150"/>
      <c r="FN524" s="150"/>
    </row>
    <row r="525" spans="1:170" s="149" customFormat="1" x14ac:dyDescent="0.25">
      <c r="A525" s="142"/>
      <c r="B525" s="142"/>
      <c r="C525" s="142"/>
      <c r="D525" s="144"/>
      <c r="E525" s="143"/>
      <c r="F525" s="143"/>
      <c r="G525" s="144"/>
      <c r="H525" s="143"/>
      <c r="I525" s="143"/>
      <c r="J525" s="319"/>
      <c r="K525" s="319"/>
      <c r="L525" s="315"/>
      <c r="M525" s="315"/>
      <c r="N525" s="145"/>
      <c r="O525" s="145"/>
      <c r="P525" s="145"/>
      <c r="Q525" s="146"/>
      <c r="R525" s="147"/>
      <c r="S525" s="148"/>
      <c r="T525" s="148"/>
      <c r="U525" s="148"/>
      <c r="V525" s="148"/>
      <c r="W525" s="148"/>
      <c r="X525" s="148"/>
      <c r="Y525" s="148"/>
      <c r="Z525" s="148"/>
      <c r="AA525" s="148"/>
      <c r="AB525" s="148"/>
      <c r="AV525" s="150"/>
      <c r="AW525" s="150"/>
      <c r="AX525" s="150"/>
      <c r="AY525" s="150"/>
      <c r="AZ525" s="150"/>
      <c r="BA525" s="150"/>
      <c r="BB525" s="150"/>
      <c r="BC525" s="150"/>
      <c r="BD525" s="150"/>
      <c r="BE525" s="150"/>
      <c r="BF525" s="150"/>
      <c r="BG525" s="150"/>
      <c r="BH525" s="150"/>
      <c r="BI525" s="150"/>
      <c r="BJ525" s="150"/>
      <c r="BK525" s="150"/>
      <c r="BL525" s="150"/>
      <c r="BM525" s="150"/>
      <c r="BN525" s="150"/>
      <c r="BO525" s="150"/>
      <c r="BP525" s="150"/>
      <c r="BQ525" s="150"/>
      <c r="BR525" s="150"/>
      <c r="BS525" s="150"/>
      <c r="BT525" s="150"/>
      <c r="BU525" s="150"/>
      <c r="BV525" s="150"/>
      <c r="BW525" s="150"/>
      <c r="BX525" s="150"/>
      <c r="BY525" s="150"/>
      <c r="BZ525" s="150"/>
      <c r="CA525" s="150"/>
      <c r="CB525" s="150"/>
      <c r="CC525" s="150"/>
      <c r="CD525" s="150"/>
      <c r="CE525" s="150"/>
      <c r="CF525" s="150"/>
      <c r="CG525" s="150"/>
      <c r="CH525" s="150"/>
      <c r="CI525" s="150"/>
      <c r="CJ525" s="150"/>
      <c r="CK525" s="150"/>
      <c r="CL525" s="150"/>
      <c r="CM525" s="150"/>
      <c r="CN525" s="150"/>
      <c r="CO525" s="150"/>
      <c r="CP525" s="150"/>
      <c r="CQ525" s="150"/>
      <c r="CR525" s="150"/>
      <c r="CS525" s="150"/>
      <c r="CT525" s="150"/>
      <c r="CU525" s="150"/>
      <c r="CV525" s="150"/>
      <c r="CW525" s="150"/>
      <c r="CX525" s="150"/>
      <c r="CY525" s="150"/>
      <c r="CZ525" s="150"/>
      <c r="DA525" s="150"/>
      <c r="DB525" s="150"/>
      <c r="DC525" s="150"/>
      <c r="DD525" s="150"/>
      <c r="DE525" s="150"/>
      <c r="DF525" s="150"/>
      <c r="DG525" s="150"/>
      <c r="DH525" s="150"/>
      <c r="DI525" s="150"/>
      <c r="DJ525" s="150"/>
      <c r="DK525" s="150"/>
      <c r="DL525" s="150"/>
      <c r="DM525" s="150"/>
      <c r="DN525" s="150"/>
      <c r="DO525" s="150"/>
      <c r="DP525" s="150"/>
      <c r="DQ525" s="150"/>
      <c r="DR525" s="150"/>
      <c r="DS525" s="150"/>
      <c r="DT525" s="150"/>
      <c r="DU525" s="150"/>
      <c r="DV525" s="150"/>
      <c r="DW525" s="150"/>
      <c r="DX525" s="150"/>
      <c r="DY525" s="150"/>
      <c r="DZ525" s="150"/>
      <c r="EA525" s="150"/>
      <c r="EB525" s="150"/>
      <c r="EC525" s="150"/>
      <c r="ED525" s="150"/>
      <c r="EE525" s="150"/>
      <c r="EF525" s="150"/>
      <c r="EG525" s="150"/>
      <c r="EH525" s="150"/>
      <c r="EI525" s="150"/>
      <c r="EJ525" s="150"/>
      <c r="EK525" s="150"/>
      <c r="EL525" s="150"/>
      <c r="EM525" s="150"/>
      <c r="EN525" s="150"/>
      <c r="EO525" s="150"/>
      <c r="EP525" s="150"/>
      <c r="EQ525" s="150"/>
      <c r="ER525" s="150"/>
      <c r="ES525" s="150"/>
      <c r="ET525" s="150"/>
      <c r="EU525" s="150"/>
      <c r="EV525" s="150"/>
      <c r="EW525" s="150"/>
      <c r="EX525" s="150"/>
      <c r="EY525" s="150"/>
      <c r="EZ525" s="150"/>
      <c r="FA525" s="150"/>
      <c r="FB525" s="150"/>
      <c r="FC525" s="150"/>
      <c r="FD525" s="150"/>
      <c r="FE525" s="150"/>
      <c r="FF525" s="150"/>
      <c r="FG525" s="150"/>
      <c r="FH525" s="150"/>
      <c r="FI525" s="150"/>
      <c r="FJ525" s="150"/>
      <c r="FK525" s="150"/>
      <c r="FL525" s="150"/>
      <c r="FM525" s="150"/>
      <c r="FN525" s="150"/>
    </row>
    <row r="526" spans="1:170" s="149" customFormat="1" x14ac:dyDescent="0.25">
      <c r="A526" s="142"/>
      <c r="B526" s="142"/>
      <c r="C526" s="142"/>
      <c r="D526" s="144"/>
      <c r="E526" s="143"/>
      <c r="F526" s="143"/>
      <c r="G526" s="144"/>
      <c r="H526" s="143"/>
      <c r="I526" s="143"/>
      <c r="J526" s="319"/>
      <c r="K526" s="319"/>
      <c r="L526" s="315"/>
      <c r="M526" s="315"/>
      <c r="N526" s="145"/>
      <c r="O526" s="145"/>
      <c r="P526" s="145"/>
      <c r="Q526" s="146"/>
      <c r="R526" s="147"/>
      <c r="S526" s="148"/>
      <c r="T526" s="148"/>
      <c r="U526" s="148"/>
      <c r="V526" s="148"/>
      <c r="W526" s="148"/>
      <c r="X526" s="148"/>
      <c r="Y526" s="148"/>
      <c r="Z526" s="148"/>
      <c r="AA526" s="148"/>
      <c r="AB526" s="148"/>
      <c r="AV526" s="150"/>
      <c r="AW526" s="150"/>
      <c r="AX526" s="150"/>
      <c r="AY526" s="150"/>
      <c r="AZ526" s="150"/>
      <c r="BA526" s="150"/>
      <c r="BB526" s="150"/>
      <c r="BC526" s="150"/>
      <c r="BD526" s="150"/>
      <c r="BE526" s="150"/>
      <c r="BF526" s="150"/>
      <c r="BG526" s="150"/>
      <c r="BH526" s="150"/>
      <c r="BI526" s="150"/>
      <c r="BJ526" s="150"/>
      <c r="BK526" s="150"/>
      <c r="BL526" s="150"/>
      <c r="BM526" s="150"/>
      <c r="BN526" s="150"/>
      <c r="BO526" s="150"/>
      <c r="BP526" s="150"/>
      <c r="BQ526" s="150"/>
      <c r="BR526" s="150"/>
      <c r="BS526" s="150"/>
      <c r="BT526" s="150"/>
      <c r="BU526" s="150"/>
      <c r="BV526" s="150"/>
      <c r="BW526" s="150"/>
      <c r="BX526" s="150"/>
      <c r="BY526" s="150"/>
      <c r="BZ526" s="150"/>
      <c r="CA526" s="150"/>
      <c r="CB526" s="150"/>
      <c r="CC526" s="150"/>
      <c r="CD526" s="150"/>
      <c r="CE526" s="150"/>
      <c r="CF526" s="150"/>
      <c r="CG526" s="150"/>
      <c r="CH526" s="150"/>
      <c r="CI526" s="150"/>
      <c r="CJ526" s="150"/>
      <c r="CK526" s="150"/>
      <c r="CL526" s="150"/>
      <c r="CM526" s="150"/>
      <c r="CN526" s="150"/>
      <c r="CO526" s="150"/>
      <c r="CP526" s="150"/>
      <c r="CQ526" s="150"/>
      <c r="CR526" s="150"/>
      <c r="CS526" s="150"/>
      <c r="CT526" s="150"/>
      <c r="CU526" s="150"/>
      <c r="CV526" s="150"/>
      <c r="CW526" s="150"/>
      <c r="CX526" s="150"/>
      <c r="CY526" s="150"/>
      <c r="CZ526" s="150"/>
      <c r="DA526" s="150"/>
      <c r="DB526" s="150"/>
      <c r="DC526" s="150"/>
      <c r="DD526" s="150"/>
      <c r="DE526" s="150"/>
      <c r="DF526" s="150"/>
      <c r="DG526" s="150"/>
      <c r="DH526" s="150"/>
      <c r="DI526" s="150"/>
      <c r="DJ526" s="150"/>
      <c r="DK526" s="150"/>
      <c r="DL526" s="150"/>
      <c r="DM526" s="150"/>
      <c r="DN526" s="150"/>
      <c r="DO526" s="150"/>
      <c r="DP526" s="150"/>
      <c r="DQ526" s="150"/>
      <c r="DR526" s="150"/>
      <c r="DS526" s="150"/>
      <c r="DT526" s="150"/>
      <c r="DU526" s="150"/>
      <c r="DV526" s="150"/>
      <c r="DW526" s="150"/>
      <c r="DX526" s="150"/>
      <c r="DY526" s="150"/>
      <c r="DZ526" s="150"/>
      <c r="EA526" s="150"/>
      <c r="EB526" s="150"/>
      <c r="EC526" s="150"/>
      <c r="ED526" s="150"/>
      <c r="EE526" s="150"/>
      <c r="EF526" s="150"/>
      <c r="EG526" s="150"/>
      <c r="EH526" s="150"/>
      <c r="EI526" s="150"/>
      <c r="EJ526" s="150"/>
      <c r="EK526" s="150"/>
      <c r="EL526" s="150"/>
      <c r="EM526" s="150"/>
      <c r="EN526" s="150"/>
      <c r="EO526" s="150"/>
      <c r="EP526" s="150"/>
      <c r="EQ526" s="150"/>
      <c r="ER526" s="150"/>
      <c r="ES526" s="150"/>
      <c r="ET526" s="150"/>
      <c r="EU526" s="150"/>
      <c r="EV526" s="150"/>
      <c r="EW526" s="150"/>
      <c r="EX526" s="150"/>
      <c r="EY526" s="150"/>
      <c r="EZ526" s="150"/>
      <c r="FA526" s="150"/>
      <c r="FB526" s="150"/>
      <c r="FC526" s="150"/>
      <c r="FD526" s="150"/>
      <c r="FE526" s="150"/>
      <c r="FF526" s="150"/>
      <c r="FG526" s="150"/>
      <c r="FH526" s="150"/>
      <c r="FI526" s="150"/>
      <c r="FJ526" s="150"/>
      <c r="FK526" s="150"/>
      <c r="FL526" s="150"/>
      <c r="FM526" s="150"/>
      <c r="FN526" s="150"/>
    </row>
    <row r="527" spans="1:170" s="149" customFormat="1" x14ac:dyDescent="0.25">
      <c r="A527" s="142"/>
      <c r="B527" s="142"/>
      <c r="C527" s="142"/>
      <c r="D527" s="144"/>
      <c r="E527" s="143"/>
      <c r="F527" s="143"/>
      <c r="G527" s="144"/>
      <c r="H527" s="143"/>
      <c r="I527" s="143"/>
      <c r="J527" s="319"/>
      <c r="K527" s="319"/>
      <c r="L527" s="315"/>
      <c r="M527" s="315"/>
      <c r="N527" s="145"/>
      <c r="O527" s="145"/>
      <c r="P527" s="145"/>
      <c r="Q527" s="146"/>
      <c r="R527" s="147"/>
      <c r="S527" s="148"/>
      <c r="T527" s="148"/>
      <c r="U527" s="148"/>
      <c r="V527" s="148"/>
      <c r="W527" s="148"/>
      <c r="X527" s="148"/>
      <c r="Y527" s="148"/>
      <c r="Z527" s="148"/>
      <c r="AA527" s="148"/>
      <c r="AB527" s="148"/>
      <c r="AV527" s="150"/>
      <c r="AW527" s="150"/>
      <c r="AX527" s="150"/>
      <c r="AY527" s="150"/>
      <c r="AZ527" s="150"/>
      <c r="BA527" s="150"/>
      <c r="BB527" s="150"/>
      <c r="BC527" s="150"/>
      <c r="BD527" s="150"/>
      <c r="BE527" s="150"/>
      <c r="BF527" s="150"/>
      <c r="BG527" s="150"/>
      <c r="BH527" s="150"/>
      <c r="BI527" s="150"/>
      <c r="BJ527" s="150"/>
      <c r="BK527" s="150"/>
      <c r="BL527" s="150"/>
      <c r="BM527" s="150"/>
      <c r="BN527" s="150"/>
      <c r="BO527" s="150"/>
      <c r="BP527" s="150"/>
      <c r="BQ527" s="150"/>
      <c r="BR527" s="150"/>
      <c r="BS527" s="150"/>
      <c r="BT527" s="150"/>
      <c r="BU527" s="150"/>
      <c r="BV527" s="150"/>
      <c r="BW527" s="150"/>
      <c r="BX527" s="150"/>
      <c r="BY527" s="150"/>
      <c r="BZ527" s="150"/>
      <c r="CA527" s="150"/>
      <c r="CB527" s="150"/>
      <c r="CC527" s="150"/>
      <c r="CD527" s="150"/>
      <c r="CE527" s="150"/>
      <c r="CF527" s="150"/>
      <c r="CG527" s="150"/>
      <c r="CH527" s="150"/>
      <c r="CI527" s="150"/>
      <c r="CJ527" s="150"/>
      <c r="CK527" s="150"/>
      <c r="CL527" s="150"/>
      <c r="CM527" s="150"/>
      <c r="CN527" s="150"/>
      <c r="CO527" s="150"/>
      <c r="CP527" s="150"/>
      <c r="CQ527" s="150"/>
      <c r="CR527" s="150"/>
      <c r="CS527" s="150"/>
      <c r="CT527" s="150"/>
      <c r="CU527" s="150"/>
      <c r="CV527" s="150"/>
      <c r="CW527" s="150"/>
      <c r="CX527" s="150"/>
      <c r="CY527" s="150"/>
      <c r="CZ527" s="150"/>
      <c r="DA527" s="150"/>
      <c r="DB527" s="150"/>
      <c r="DC527" s="150"/>
      <c r="DD527" s="150"/>
      <c r="DE527" s="150"/>
      <c r="DF527" s="150"/>
      <c r="DG527" s="150"/>
      <c r="DH527" s="150"/>
      <c r="DI527" s="150"/>
      <c r="DJ527" s="150"/>
      <c r="DK527" s="150"/>
      <c r="DL527" s="150"/>
      <c r="DM527" s="150"/>
      <c r="DN527" s="150"/>
      <c r="DO527" s="150"/>
      <c r="DP527" s="150"/>
      <c r="DQ527" s="150"/>
      <c r="DR527" s="150"/>
      <c r="DS527" s="150"/>
      <c r="DT527" s="150"/>
      <c r="DU527" s="150"/>
      <c r="DV527" s="150"/>
      <c r="DW527" s="150"/>
      <c r="DX527" s="150"/>
      <c r="DY527" s="150"/>
      <c r="DZ527" s="150"/>
      <c r="EA527" s="150"/>
      <c r="EB527" s="150"/>
      <c r="EC527" s="150"/>
      <c r="ED527" s="150"/>
      <c r="EE527" s="150"/>
      <c r="EF527" s="150"/>
      <c r="EG527" s="150"/>
      <c r="EH527" s="150"/>
      <c r="EI527" s="150"/>
      <c r="EJ527" s="150"/>
      <c r="EK527" s="150"/>
      <c r="EL527" s="150"/>
      <c r="EM527" s="150"/>
      <c r="EN527" s="150"/>
      <c r="EO527" s="150"/>
      <c r="EP527" s="150"/>
      <c r="EQ527" s="150"/>
      <c r="ER527" s="150"/>
      <c r="ES527" s="150"/>
      <c r="ET527" s="150"/>
      <c r="EU527" s="150"/>
      <c r="EV527" s="150"/>
      <c r="EW527" s="150"/>
      <c r="EX527" s="150"/>
      <c r="EY527" s="150"/>
      <c r="EZ527" s="150"/>
      <c r="FA527" s="150"/>
      <c r="FB527" s="150"/>
      <c r="FC527" s="150"/>
      <c r="FD527" s="150"/>
      <c r="FE527" s="150"/>
      <c r="FF527" s="150"/>
      <c r="FG527" s="150"/>
      <c r="FH527" s="150"/>
      <c r="FI527" s="150"/>
      <c r="FJ527" s="150"/>
      <c r="FK527" s="150"/>
      <c r="FL527" s="150"/>
      <c r="FM527" s="150"/>
      <c r="FN527" s="150"/>
    </row>
    <row r="528" spans="1:170" s="149" customFormat="1" x14ac:dyDescent="0.25">
      <c r="A528" s="142"/>
      <c r="B528" s="142"/>
      <c r="C528" s="142"/>
      <c r="D528" s="144"/>
      <c r="E528" s="143"/>
      <c r="F528" s="143"/>
      <c r="G528" s="144"/>
      <c r="H528" s="143"/>
      <c r="I528" s="143"/>
      <c r="J528" s="319"/>
      <c r="K528" s="319"/>
      <c r="L528" s="315"/>
      <c r="M528" s="315"/>
      <c r="N528" s="145"/>
      <c r="O528" s="145"/>
      <c r="P528" s="145"/>
      <c r="Q528" s="146"/>
      <c r="R528" s="147"/>
      <c r="S528" s="148"/>
      <c r="T528" s="148"/>
      <c r="U528" s="148"/>
      <c r="V528" s="148"/>
      <c r="W528" s="148"/>
      <c r="X528" s="148"/>
      <c r="Y528" s="148"/>
      <c r="Z528" s="148"/>
      <c r="AA528" s="148"/>
      <c r="AB528" s="148"/>
      <c r="AV528" s="150"/>
      <c r="AW528" s="150"/>
      <c r="AX528" s="150"/>
      <c r="AY528" s="150"/>
      <c r="AZ528" s="150"/>
      <c r="BA528" s="150"/>
      <c r="BB528" s="150"/>
      <c r="BC528" s="150"/>
      <c r="BD528" s="150"/>
      <c r="BE528" s="150"/>
      <c r="BF528" s="150"/>
      <c r="BG528" s="150"/>
      <c r="BH528" s="150"/>
      <c r="BI528" s="150"/>
      <c r="BJ528" s="150"/>
      <c r="BK528" s="150"/>
      <c r="BL528" s="150"/>
      <c r="BM528" s="150"/>
      <c r="BN528" s="150"/>
      <c r="BO528" s="150"/>
      <c r="BP528" s="150"/>
      <c r="BQ528" s="150"/>
      <c r="BR528" s="150"/>
      <c r="BS528" s="150"/>
      <c r="BT528" s="150"/>
      <c r="BU528" s="150"/>
      <c r="BV528" s="150"/>
      <c r="BW528" s="150"/>
      <c r="BX528" s="150"/>
      <c r="BY528" s="150"/>
      <c r="BZ528" s="150"/>
      <c r="CA528" s="150"/>
      <c r="CB528" s="150"/>
      <c r="CC528" s="150"/>
      <c r="CD528" s="150"/>
      <c r="CE528" s="150"/>
      <c r="CF528" s="150"/>
      <c r="CG528" s="150"/>
      <c r="CH528" s="150"/>
      <c r="CI528" s="150"/>
      <c r="CJ528" s="150"/>
      <c r="CK528" s="150"/>
      <c r="CL528" s="150"/>
      <c r="CM528" s="150"/>
      <c r="CN528" s="150"/>
      <c r="CO528" s="150"/>
      <c r="CP528" s="150"/>
      <c r="CQ528" s="150"/>
      <c r="CR528" s="150"/>
      <c r="CS528" s="150"/>
      <c r="CT528" s="150"/>
      <c r="CU528" s="150"/>
      <c r="CV528" s="150"/>
      <c r="CW528" s="150"/>
      <c r="CX528" s="150"/>
      <c r="CY528" s="150"/>
      <c r="CZ528" s="150"/>
      <c r="DA528" s="150"/>
      <c r="DB528" s="150"/>
      <c r="DC528" s="150"/>
      <c r="DD528" s="150"/>
      <c r="DE528" s="150"/>
      <c r="DF528" s="150"/>
      <c r="DG528" s="150"/>
      <c r="DH528" s="150"/>
      <c r="DI528" s="150"/>
      <c r="DJ528" s="150"/>
      <c r="DK528" s="150"/>
      <c r="DL528" s="150"/>
      <c r="DM528" s="150"/>
      <c r="DN528" s="150"/>
      <c r="DO528" s="150"/>
      <c r="DP528" s="150"/>
      <c r="DQ528" s="150"/>
      <c r="DR528" s="150"/>
      <c r="DS528" s="150"/>
      <c r="DT528" s="150"/>
      <c r="DU528" s="150"/>
      <c r="DV528" s="150"/>
      <c r="DW528" s="150"/>
      <c r="DX528" s="150"/>
      <c r="DY528" s="150"/>
      <c r="DZ528" s="150"/>
      <c r="EA528" s="150"/>
      <c r="EB528" s="150"/>
      <c r="EC528" s="150"/>
      <c r="ED528" s="150"/>
      <c r="EE528" s="150"/>
      <c r="EF528" s="150"/>
      <c r="EG528" s="150"/>
      <c r="EH528" s="150"/>
      <c r="EI528" s="150"/>
      <c r="EJ528" s="150"/>
      <c r="EK528" s="150"/>
      <c r="EL528" s="150"/>
      <c r="EM528" s="150"/>
      <c r="EN528" s="150"/>
      <c r="EO528" s="150"/>
      <c r="EP528" s="150"/>
      <c r="EQ528" s="150"/>
      <c r="ER528" s="150"/>
      <c r="ES528" s="150"/>
      <c r="ET528" s="150"/>
      <c r="EU528" s="150"/>
      <c r="EV528" s="150"/>
      <c r="EW528" s="150"/>
      <c r="EX528" s="150"/>
      <c r="EY528" s="150"/>
      <c r="EZ528" s="150"/>
      <c r="FA528" s="150"/>
      <c r="FB528" s="150"/>
      <c r="FC528" s="150"/>
      <c r="FD528" s="150"/>
      <c r="FE528" s="150"/>
      <c r="FF528" s="150"/>
      <c r="FG528" s="150"/>
      <c r="FH528" s="150"/>
      <c r="FI528" s="150"/>
      <c r="FJ528" s="150"/>
      <c r="FK528" s="150"/>
      <c r="FL528" s="150"/>
      <c r="FM528" s="150"/>
      <c r="FN528" s="150"/>
    </row>
    <row r="529" spans="1:170" s="149" customFormat="1" x14ac:dyDescent="0.25">
      <c r="A529" s="142"/>
      <c r="B529" s="142"/>
      <c r="C529" s="142"/>
      <c r="D529" s="144"/>
      <c r="E529" s="143"/>
      <c r="F529" s="143"/>
      <c r="G529" s="144"/>
      <c r="H529" s="143"/>
      <c r="I529" s="143"/>
      <c r="J529" s="319"/>
      <c r="K529" s="319"/>
      <c r="L529" s="315"/>
      <c r="M529" s="315"/>
      <c r="N529" s="145"/>
      <c r="O529" s="145"/>
      <c r="P529" s="145"/>
      <c r="Q529" s="146"/>
      <c r="R529" s="147"/>
      <c r="S529" s="148"/>
      <c r="T529" s="148"/>
      <c r="U529" s="148"/>
      <c r="V529" s="148"/>
      <c r="W529" s="148"/>
      <c r="X529" s="148"/>
      <c r="Y529" s="148"/>
      <c r="Z529" s="148"/>
      <c r="AA529" s="148"/>
      <c r="AB529" s="148"/>
      <c r="AV529" s="150"/>
      <c r="AW529" s="150"/>
      <c r="AX529" s="150"/>
      <c r="AY529" s="150"/>
      <c r="AZ529" s="150"/>
      <c r="BA529" s="150"/>
      <c r="BB529" s="150"/>
      <c r="BC529" s="150"/>
      <c r="BD529" s="150"/>
      <c r="BE529" s="150"/>
      <c r="BF529" s="150"/>
      <c r="BG529" s="150"/>
      <c r="BH529" s="150"/>
      <c r="BI529" s="150"/>
      <c r="BJ529" s="150"/>
      <c r="BK529" s="150"/>
      <c r="BL529" s="150"/>
      <c r="BM529" s="150"/>
      <c r="BN529" s="150"/>
      <c r="BO529" s="150"/>
      <c r="BP529" s="150"/>
      <c r="BQ529" s="150"/>
      <c r="BR529" s="150"/>
      <c r="BS529" s="150"/>
      <c r="BT529" s="150"/>
      <c r="BU529" s="150"/>
      <c r="BV529" s="150"/>
      <c r="BW529" s="150"/>
      <c r="BX529" s="150"/>
      <c r="BY529" s="150"/>
      <c r="BZ529" s="150"/>
      <c r="CA529" s="150"/>
      <c r="CB529" s="150"/>
      <c r="CC529" s="150"/>
      <c r="CD529" s="150"/>
      <c r="CE529" s="150"/>
      <c r="CF529" s="150"/>
      <c r="CG529" s="150"/>
      <c r="CH529" s="150"/>
      <c r="CI529" s="150"/>
      <c r="CJ529" s="150"/>
      <c r="CK529" s="150"/>
      <c r="CL529" s="150"/>
      <c r="CM529" s="150"/>
      <c r="CN529" s="150"/>
      <c r="CO529" s="150"/>
      <c r="CP529" s="150"/>
      <c r="CQ529" s="150"/>
      <c r="CR529" s="150"/>
      <c r="CS529" s="150"/>
      <c r="CT529" s="150"/>
      <c r="CU529" s="150"/>
      <c r="CV529" s="150"/>
      <c r="CW529" s="150"/>
      <c r="CX529" s="150"/>
      <c r="CY529" s="150"/>
      <c r="CZ529" s="150"/>
      <c r="DA529" s="150"/>
      <c r="DB529" s="150"/>
      <c r="DC529" s="150"/>
      <c r="DD529" s="150"/>
      <c r="DE529" s="150"/>
      <c r="DF529" s="150"/>
      <c r="DG529" s="150"/>
      <c r="DH529" s="150"/>
      <c r="DI529" s="150"/>
      <c r="DJ529" s="150"/>
      <c r="DK529" s="150"/>
      <c r="DL529" s="150"/>
      <c r="DM529" s="150"/>
      <c r="DN529" s="150"/>
      <c r="DO529" s="150"/>
      <c r="DP529" s="150"/>
      <c r="DQ529" s="150"/>
      <c r="DR529" s="150"/>
      <c r="DS529" s="150"/>
      <c r="DT529" s="150"/>
      <c r="DU529" s="150"/>
      <c r="DV529" s="150"/>
      <c r="DW529" s="150"/>
      <c r="DX529" s="150"/>
      <c r="DY529" s="150"/>
      <c r="DZ529" s="150"/>
      <c r="EA529" s="150"/>
      <c r="EB529" s="150"/>
      <c r="EC529" s="150"/>
      <c r="ED529" s="150"/>
      <c r="EE529" s="150"/>
      <c r="EF529" s="150"/>
      <c r="EG529" s="150"/>
      <c r="EH529" s="150"/>
      <c r="EI529" s="150"/>
      <c r="EJ529" s="150"/>
      <c r="EK529" s="150"/>
      <c r="EL529" s="150"/>
      <c r="EM529" s="150"/>
      <c r="EN529" s="150"/>
      <c r="EO529" s="150"/>
      <c r="EP529" s="150"/>
      <c r="EQ529" s="150"/>
      <c r="ER529" s="150"/>
      <c r="ES529" s="150"/>
      <c r="ET529" s="150"/>
      <c r="EU529" s="150"/>
      <c r="EV529" s="150"/>
      <c r="EW529" s="150"/>
      <c r="EX529" s="150"/>
      <c r="EY529" s="150"/>
      <c r="EZ529" s="150"/>
      <c r="FA529" s="150"/>
      <c r="FB529" s="150"/>
      <c r="FC529" s="150"/>
      <c r="FD529" s="150"/>
      <c r="FE529" s="150"/>
      <c r="FF529" s="150"/>
      <c r="FG529" s="150"/>
      <c r="FH529" s="150"/>
      <c r="FI529" s="150"/>
      <c r="FJ529" s="150"/>
      <c r="FK529" s="150"/>
      <c r="FL529" s="150"/>
      <c r="FM529" s="150"/>
      <c r="FN529" s="150"/>
    </row>
    <row r="530" spans="1:170" s="149" customFormat="1" x14ac:dyDescent="0.25">
      <c r="A530" s="142"/>
      <c r="B530" s="142"/>
      <c r="C530" s="142"/>
      <c r="D530" s="144"/>
      <c r="E530" s="143"/>
      <c r="F530" s="143"/>
      <c r="G530" s="144"/>
      <c r="H530" s="143"/>
      <c r="I530" s="143"/>
      <c r="J530" s="319"/>
      <c r="K530" s="319"/>
      <c r="L530" s="315"/>
      <c r="M530" s="315"/>
      <c r="N530" s="145"/>
      <c r="O530" s="145"/>
      <c r="P530" s="145"/>
      <c r="Q530" s="146"/>
      <c r="R530" s="147"/>
      <c r="S530" s="148"/>
      <c r="T530" s="148"/>
      <c r="U530" s="148"/>
      <c r="V530" s="148"/>
      <c r="W530" s="148"/>
      <c r="X530" s="148"/>
      <c r="Y530" s="148"/>
      <c r="Z530" s="148"/>
      <c r="AA530" s="148"/>
      <c r="AB530" s="148"/>
      <c r="AV530" s="150"/>
      <c r="AW530" s="150"/>
      <c r="AX530" s="150"/>
      <c r="AY530" s="150"/>
      <c r="AZ530" s="150"/>
      <c r="BA530" s="150"/>
      <c r="BB530" s="150"/>
      <c r="BC530" s="150"/>
      <c r="BD530" s="150"/>
      <c r="BE530" s="150"/>
      <c r="BF530" s="150"/>
      <c r="BG530" s="150"/>
      <c r="BH530" s="150"/>
      <c r="BI530" s="150"/>
      <c r="BJ530" s="150"/>
      <c r="BK530" s="150"/>
      <c r="BL530" s="150"/>
      <c r="BM530" s="150"/>
      <c r="BN530" s="150"/>
      <c r="BO530" s="150"/>
      <c r="BP530" s="150"/>
      <c r="BQ530" s="150"/>
      <c r="BR530" s="150"/>
      <c r="BS530" s="150"/>
      <c r="BT530" s="150"/>
      <c r="BU530" s="150"/>
      <c r="BV530" s="150"/>
      <c r="BW530" s="150"/>
      <c r="BX530" s="150"/>
      <c r="BY530" s="150"/>
      <c r="BZ530" s="150"/>
      <c r="CA530" s="150"/>
      <c r="CB530" s="150"/>
      <c r="CC530" s="150"/>
      <c r="CD530" s="150"/>
      <c r="CE530" s="150"/>
      <c r="CF530" s="150"/>
      <c r="CG530" s="150"/>
      <c r="CH530" s="150"/>
      <c r="CI530" s="150"/>
      <c r="CJ530" s="150"/>
      <c r="CK530" s="150"/>
      <c r="CL530" s="150"/>
      <c r="CM530" s="150"/>
      <c r="CN530" s="150"/>
      <c r="CO530" s="150"/>
      <c r="CP530" s="150"/>
      <c r="CQ530" s="150"/>
      <c r="CR530" s="150"/>
      <c r="CS530" s="150"/>
      <c r="CT530" s="150"/>
      <c r="CU530" s="150"/>
      <c r="CV530" s="150"/>
      <c r="CW530" s="150"/>
      <c r="CX530" s="150"/>
      <c r="CY530" s="150"/>
      <c r="CZ530" s="150"/>
      <c r="DA530" s="150"/>
      <c r="DB530" s="150"/>
      <c r="DC530" s="150"/>
      <c r="DD530" s="150"/>
      <c r="DE530" s="150"/>
      <c r="DF530" s="150"/>
      <c r="DG530" s="150"/>
      <c r="DH530" s="150"/>
      <c r="DI530" s="150"/>
      <c r="DJ530" s="150"/>
      <c r="DK530" s="150"/>
      <c r="DL530" s="150"/>
      <c r="DM530" s="150"/>
      <c r="DN530" s="150"/>
      <c r="DO530" s="150"/>
      <c r="DP530" s="150"/>
      <c r="DQ530" s="150"/>
      <c r="DR530" s="150"/>
      <c r="DS530" s="150"/>
      <c r="DT530" s="150"/>
      <c r="DU530" s="150"/>
      <c r="DV530" s="150"/>
      <c r="DW530" s="150"/>
      <c r="DX530" s="150"/>
      <c r="DY530" s="150"/>
      <c r="DZ530" s="150"/>
      <c r="EA530" s="150"/>
      <c r="EB530" s="150"/>
      <c r="EC530" s="150"/>
      <c r="ED530" s="150"/>
      <c r="EE530" s="150"/>
      <c r="EF530" s="150"/>
      <c r="EG530" s="150"/>
      <c r="EH530" s="150"/>
      <c r="EI530" s="150"/>
      <c r="EJ530" s="150"/>
      <c r="EK530" s="150"/>
      <c r="EL530" s="150"/>
      <c r="EM530" s="150"/>
      <c r="EN530" s="150"/>
      <c r="EO530" s="150"/>
      <c r="EP530" s="150"/>
      <c r="EQ530" s="150"/>
      <c r="ER530" s="150"/>
      <c r="ES530" s="150"/>
      <c r="ET530" s="150"/>
      <c r="EU530" s="150"/>
      <c r="EV530" s="150"/>
      <c r="EW530" s="150"/>
      <c r="EX530" s="150"/>
      <c r="EY530" s="150"/>
      <c r="EZ530" s="150"/>
      <c r="FA530" s="150"/>
      <c r="FB530" s="150"/>
      <c r="FC530" s="150"/>
      <c r="FD530" s="150"/>
      <c r="FE530" s="150"/>
      <c r="FF530" s="150"/>
      <c r="FG530" s="150"/>
      <c r="FH530" s="150"/>
      <c r="FI530" s="150"/>
      <c r="FJ530" s="150"/>
      <c r="FK530" s="150"/>
      <c r="FL530" s="150"/>
      <c r="FM530" s="150"/>
      <c r="FN530" s="150"/>
    </row>
    <row r="531" spans="1:170" s="149" customFormat="1" x14ac:dyDescent="0.25">
      <c r="A531" s="142"/>
      <c r="B531" s="142"/>
      <c r="C531" s="142"/>
      <c r="D531" s="144"/>
      <c r="E531" s="143"/>
      <c r="F531" s="143"/>
      <c r="G531" s="144"/>
      <c r="H531" s="143"/>
      <c r="I531" s="143"/>
      <c r="J531" s="319"/>
      <c r="K531" s="319"/>
      <c r="L531" s="315"/>
      <c r="M531" s="315"/>
      <c r="N531" s="145"/>
      <c r="O531" s="145"/>
      <c r="P531" s="145"/>
      <c r="Q531" s="146"/>
      <c r="R531" s="147"/>
      <c r="S531" s="148"/>
      <c r="T531" s="148"/>
      <c r="U531" s="148"/>
      <c r="V531" s="148"/>
      <c r="W531" s="148"/>
      <c r="X531" s="148"/>
      <c r="Y531" s="148"/>
      <c r="Z531" s="148"/>
      <c r="AA531" s="148"/>
      <c r="AB531" s="148"/>
      <c r="AV531" s="150"/>
      <c r="AW531" s="150"/>
      <c r="AX531" s="150"/>
      <c r="AY531" s="150"/>
      <c r="AZ531" s="150"/>
      <c r="BA531" s="150"/>
      <c r="BB531" s="150"/>
      <c r="BC531" s="150"/>
      <c r="BD531" s="150"/>
      <c r="BE531" s="150"/>
      <c r="BF531" s="150"/>
      <c r="BG531" s="150"/>
      <c r="BH531" s="150"/>
      <c r="BI531" s="150"/>
      <c r="BJ531" s="150"/>
      <c r="BK531" s="150"/>
      <c r="BL531" s="150"/>
      <c r="BM531" s="150"/>
      <c r="BN531" s="150"/>
      <c r="BO531" s="150"/>
      <c r="BP531" s="150"/>
      <c r="BQ531" s="150"/>
      <c r="BR531" s="150"/>
      <c r="BS531" s="150"/>
      <c r="BT531" s="150"/>
      <c r="BU531" s="150"/>
      <c r="BV531" s="150"/>
      <c r="BW531" s="150"/>
      <c r="BX531" s="150"/>
      <c r="BY531" s="150"/>
      <c r="BZ531" s="150"/>
      <c r="CA531" s="150"/>
      <c r="CB531" s="150"/>
      <c r="CC531" s="150"/>
      <c r="CD531" s="150"/>
      <c r="CE531" s="150"/>
      <c r="CF531" s="150"/>
      <c r="CG531" s="150"/>
      <c r="CH531" s="150"/>
      <c r="CI531" s="150"/>
      <c r="CJ531" s="150"/>
      <c r="CK531" s="150"/>
      <c r="CL531" s="150"/>
      <c r="CM531" s="150"/>
      <c r="CN531" s="150"/>
      <c r="CO531" s="150"/>
      <c r="CP531" s="150"/>
      <c r="CQ531" s="150"/>
      <c r="CR531" s="150"/>
      <c r="CS531" s="150"/>
      <c r="CT531" s="150"/>
      <c r="CU531" s="150"/>
      <c r="CV531" s="150"/>
      <c r="CW531" s="150"/>
      <c r="CX531" s="150"/>
      <c r="CY531" s="150"/>
      <c r="CZ531" s="150"/>
      <c r="DA531" s="150"/>
      <c r="DB531" s="150"/>
      <c r="DC531" s="150"/>
      <c r="DD531" s="150"/>
      <c r="DE531" s="150"/>
      <c r="DF531" s="150"/>
      <c r="DG531" s="150"/>
      <c r="DH531" s="150"/>
      <c r="DI531" s="150"/>
      <c r="DJ531" s="150"/>
      <c r="DK531" s="150"/>
      <c r="DL531" s="150"/>
      <c r="DM531" s="150"/>
      <c r="DN531" s="150"/>
      <c r="DO531" s="150"/>
      <c r="DP531" s="150"/>
      <c r="DQ531" s="150"/>
      <c r="DR531" s="150"/>
      <c r="DS531" s="150"/>
      <c r="DT531" s="150"/>
      <c r="DU531" s="150"/>
      <c r="DV531" s="150"/>
      <c r="DW531" s="150"/>
      <c r="DX531" s="150"/>
      <c r="DY531" s="150"/>
      <c r="DZ531" s="150"/>
      <c r="EA531" s="150"/>
      <c r="EB531" s="150"/>
      <c r="EC531" s="150"/>
      <c r="ED531" s="150"/>
      <c r="EE531" s="150"/>
      <c r="EF531" s="150"/>
      <c r="EG531" s="150"/>
      <c r="EH531" s="150"/>
      <c r="EI531" s="150"/>
      <c r="EJ531" s="150"/>
      <c r="EK531" s="150"/>
      <c r="EL531" s="150"/>
      <c r="EM531" s="150"/>
      <c r="EN531" s="150"/>
      <c r="EO531" s="150"/>
      <c r="EP531" s="150"/>
      <c r="EQ531" s="150"/>
      <c r="ER531" s="150"/>
      <c r="ES531" s="150"/>
      <c r="ET531" s="150"/>
      <c r="EU531" s="150"/>
      <c r="EV531" s="150"/>
      <c r="EW531" s="150"/>
      <c r="EX531" s="150"/>
      <c r="EY531" s="150"/>
      <c r="EZ531" s="150"/>
      <c r="FA531" s="150"/>
      <c r="FB531" s="150"/>
      <c r="FC531" s="150"/>
      <c r="FD531" s="150"/>
      <c r="FE531" s="150"/>
      <c r="FF531" s="150"/>
      <c r="FG531" s="150"/>
      <c r="FH531" s="150"/>
      <c r="FI531" s="150"/>
      <c r="FJ531" s="150"/>
      <c r="FK531" s="150"/>
      <c r="FL531" s="150"/>
      <c r="FM531" s="150"/>
      <c r="FN531" s="150"/>
    </row>
    <row r="532" spans="1:170" s="149" customFormat="1" x14ac:dyDescent="0.25">
      <c r="A532" s="142"/>
      <c r="B532" s="142"/>
      <c r="C532" s="142"/>
      <c r="D532" s="144"/>
      <c r="E532" s="143"/>
      <c r="F532" s="143"/>
      <c r="G532" s="144"/>
      <c r="H532" s="143"/>
      <c r="I532" s="143"/>
      <c r="J532" s="319"/>
      <c r="K532" s="319"/>
      <c r="L532" s="315"/>
      <c r="M532" s="315"/>
      <c r="N532" s="145"/>
      <c r="O532" s="145"/>
      <c r="P532" s="145"/>
      <c r="Q532" s="146"/>
      <c r="R532" s="147"/>
      <c r="S532" s="148"/>
      <c r="T532" s="148"/>
      <c r="U532" s="148"/>
      <c r="V532" s="148"/>
      <c r="W532" s="148"/>
      <c r="X532" s="148"/>
      <c r="Y532" s="148"/>
      <c r="Z532" s="148"/>
      <c r="AA532" s="148"/>
      <c r="AB532" s="148"/>
      <c r="AV532" s="150"/>
      <c r="AW532" s="150"/>
      <c r="AX532" s="150"/>
      <c r="AY532" s="150"/>
      <c r="AZ532" s="150"/>
      <c r="BA532" s="150"/>
      <c r="BB532" s="150"/>
      <c r="BC532" s="150"/>
      <c r="BD532" s="150"/>
      <c r="BE532" s="150"/>
      <c r="BF532" s="150"/>
      <c r="BG532" s="150"/>
      <c r="BH532" s="150"/>
      <c r="BI532" s="150"/>
      <c r="BJ532" s="150"/>
      <c r="BK532" s="150"/>
      <c r="BL532" s="150"/>
      <c r="BM532" s="150"/>
      <c r="BN532" s="150"/>
      <c r="BO532" s="150"/>
      <c r="BP532" s="150"/>
      <c r="BQ532" s="150"/>
      <c r="BR532" s="150"/>
      <c r="BS532" s="150"/>
      <c r="BT532" s="150"/>
      <c r="BU532" s="150"/>
      <c r="BV532" s="150"/>
      <c r="BW532" s="150"/>
      <c r="BX532" s="150"/>
      <c r="BY532" s="150"/>
      <c r="BZ532" s="150"/>
      <c r="CA532" s="150"/>
      <c r="CB532" s="150"/>
      <c r="CC532" s="150"/>
      <c r="CD532" s="150"/>
      <c r="CE532" s="150"/>
      <c r="CF532" s="150"/>
      <c r="CG532" s="150"/>
      <c r="CH532" s="150"/>
      <c r="CI532" s="150"/>
      <c r="CJ532" s="150"/>
      <c r="CK532" s="150"/>
      <c r="CL532" s="150"/>
      <c r="CM532" s="150"/>
      <c r="CN532" s="150"/>
      <c r="CO532" s="150"/>
      <c r="CP532" s="150"/>
      <c r="CQ532" s="150"/>
      <c r="CR532" s="150"/>
      <c r="CS532" s="150"/>
      <c r="CT532" s="150"/>
      <c r="CU532" s="150"/>
      <c r="CV532" s="150"/>
      <c r="CW532" s="150"/>
      <c r="CX532" s="150"/>
      <c r="CY532" s="150"/>
      <c r="CZ532" s="150"/>
      <c r="DA532" s="150"/>
      <c r="DB532" s="150"/>
      <c r="DC532" s="150"/>
      <c r="DD532" s="150"/>
      <c r="DE532" s="150"/>
      <c r="DF532" s="150"/>
      <c r="DG532" s="150"/>
      <c r="DH532" s="150"/>
      <c r="DI532" s="150"/>
      <c r="DJ532" s="150"/>
      <c r="DK532" s="150"/>
      <c r="DL532" s="150"/>
      <c r="DM532" s="150"/>
      <c r="DN532" s="150"/>
      <c r="DO532" s="150"/>
      <c r="DP532" s="150"/>
      <c r="DQ532" s="150"/>
      <c r="DR532" s="150"/>
      <c r="DS532" s="150"/>
      <c r="DT532" s="150"/>
      <c r="DU532" s="150"/>
      <c r="DV532" s="150"/>
      <c r="DW532" s="150"/>
      <c r="DX532" s="150"/>
      <c r="DY532" s="150"/>
      <c r="DZ532" s="150"/>
      <c r="EA532" s="150"/>
      <c r="EB532" s="150"/>
      <c r="EC532" s="150"/>
      <c r="ED532" s="150"/>
      <c r="EE532" s="150"/>
      <c r="EF532" s="150"/>
      <c r="EG532" s="150"/>
      <c r="EH532" s="150"/>
      <c r="EI532" s="150"/>
      <c r="EJ532" s="150"/>
      <c r="EK532" s="150"/>
      <c r="EL532" s="150"/>
      <c r="EM532" s="150"/>
      <c r="EN532" s="150"/>
      <c r="EO532" s="150"/>
      <c r="EP532" s="150"/>
      <c r="EQ532" s="150"/>
      <c r="ER532" s="150"/>
      <c r="ES532" s="150"/>
      <c r="ET532" s="150"/>
      <c r="EU532" s="150"/>
      <c r="EV532" s="150"/>
      <c r="EW532" s="150"/>
      <c r="EX532" s="150"/>
      <c r="EY532" s="150"/>
      <c r="EZ532" s="150"/>
      <c r="FA532" s="150"/>
      <c r="FB532" s="150"/>
      <c r="FC532" s="150"/>
      <c r="FD532" s="150"/>
      <c r="FE532" s="150"/>
      <c r="FF532" s="150"/>
      <c r="FG532" s="150"/>
      <c r="FH532" s="150"/>
      <c r="FI532" s="150"/>
      <c r="FJ532" s="150"/>
      <c r="FK532" s="150"/>
      <c r="FL532" s="150"/>
      <c r="FM532" s="150"/>
      <c r="FN532" s="150"/>
    </row>
    <row r="533" spans="1:170" s="149" customFormat="1" x14ac:dyDescent="0.25">
      <c r="A533" s="142"/>
      <c r="B533" s="142"/>
      <c r="C533" s="142"/>
      <c r="D533" s="144"/>
      <c r="E533" s="143"/>
      <c r="F533" s="143"/>
      <c r="G533" s="144"/>
      <c r="H533" s="143"/>
      <c r="I533" s="143"/>
      <c r="J533" s="319"/>
      <c r="K533" s="319"/>
      <c r="L533" s="315"/>
      <c r="M533" s="315"/>
      <c r="N533" s="145"/>
      <c r="O533" s="145"/>
      <c r="P533" s="145"/>
      <c r="Q533" s="146"/>
      <c r="R533" s="147"/>
      <c r="S533" s="148"/>
      <c r="T533" s="148"/>
      <c r="U533" s="148"/>
      <c r="V533" s="148"/>
      <c r="W533" s="148"/>
      <c r="X533" s="148"/>
      <c r="Y533" s="148"/>
      <c r="Z533" s="148"/>
      <c r="AA533" s="148"/>
      <c r="AB533" s="148"/>
      <c r="AV533" s="150"/>
      <c r="AW533" s="150"/>
      <c r="AX533" s="150"/>
      <c r="AY533" s="150"/>
      <c r="AZ533" s="150"/>
      <c r="BA533" s="150"/>
      <c r="BB533" s="150"/>
      <c r="BC533" s="150"/>
      <c r="BD533" s="150"/>
      <c r="BE533" s="150"/>
      <c r="BF533" s="150"/>
      <c r="BG533" s="150"/>
      <c r="BH533" s="150"/>
      <c r="BI533" s="150"/>
      <c r="BJ533" s="150"/>
      <c r="BK533" s="150"/>
      <c r="BL533" s="150"/>
      <c r="BM533" s="150"/>
      <c r="BN533" s="150"/>
      <c r="BO533" s="150"/>
      <c r="BP533" s="150"/>
      <c r="BQ533" s="150"/>
      <c r="BR533" s="150"/>
      <c r="BS533" s="150"/>
      <c r="BT533" s="150"/>
      <c r="BU533" s="150"/>
      <c r="BV533" s="150"/>
      <c r="BW533" s="150"/>
      <c r="BX533" s="150"/>
      <c r="BY533" s="150"/>
      <c r="BZ533" s="150"/>
      <c r="CA533" s="150"/>
      <c r="CB533" s="150"/>
      <c r="CC533" s="150"/>
      <c r="CD533" s="150"/>
      <c r="CE533" s="150"/>
      <c r="CF533" s="150"/>
      <c r="CG533" s="150"/>
      <c r="CH533" s="150"/>
      <c r="CI533" s="150"/>
      <c r="CJ533" s="150"/>
      <c r="CK533" s="150"/>
      <c r="CL533" s="150"/>
      <c r="CM533" s="150"/>
      <c r="CN533" s="150"/>
      <c r="CO533" s="150"/>
      <c r="CP533" s="150"/>
      <c r="CQ533" s="150"/>
      <c r="CR533" s="150"/>
      <c r="CS533" s="150"/>
      <c r="CT533" s="150"/>
      <c r="CU533" s="150"/>
      <c r="CV533" s="150"/>
      <c r="CW533" s="150"/>
      <c r="CX533" s="150"/>
      <c r="CY533" s="150"/>
      <c r="CZ533" s="150"/>
      <c r="DA533" s="150"/>
      <c r="DB533" s="150"/>
      <c r="DC533" s="150"/>
      <c r="DD533" s="150"/>
      <c r="DE533" s="150"/>
      <c r="DF533" s="150"/>
      <c r="DG533" s="150"/>
      <c r="DH533" s="150"/>
      <c r="DI533" s="150"/>
      <c r="DJ533" s="150"/>
      <c r="DK533" s="150"/>
      <c r="DL533" s="150"/>
      <c r="DM533" s="150"/>
      <c r="DN533" s="150"/>
      <c r="DO533" s="150"/>
      <c r="DP533" s="150"/>
      <c r="DQ533" s="150"/>
      <c r="DR533" s="150"/>
      <c r="DS533" s="150"/>
      <c r="DT533" s="150"/>
      <c r="DU533" s="150"/>
      <c r="DV533" s="150"/>
      <c r="DW533" s="150"/>
      <c r="DX533" s="150"/>
      <c r="DY533" s="150"/>
      <c r="DZ533" s="150"/>
      <c r="EA533" s="150"/>
      <c r="EB533" s="150"/>
      <c r="EC533" s="150"/>
      <c r="ED533" s="150"/>
      <c r="EE533" s="150"/>
      <c r="EF533" s="150"/>
      <c r="EG533" s="150"/>
      <c r="EH533" s="150"/>
      <c r="EI533" s="150"/>
      <c r="EJ533" s="150"/>
      <c r="EK533" s="150"/>
      <c r="EL533" s="150"/>
      <c r="EM533" s="150"/>
      <c r="EN533" s="150"/>
      <c r="EO533" s="150"/>
      <c r="EP533" s="150"/>
      <c r="EQ533" s="150"/>
      <c r="ER533" s="150"/>
      <c r="ES533" s="150"/>
      <c r="ET533" s="150"/>
      <c r="EU533" s="150"/>
      <c r="EV533" s="150"/>
      <c r="EW533" s="150"/>
      <c r="EX533" s="150"/>
      <c r="EY533" s="150"/>
      <c r="EZ533" s="150"/>
      <c r="FA533" s="150"/>
      <c r="FB533" s="150"/>
      <c r="FC533" s="150"/>
      <c r="FD533" s="150"/>
      <c r="FE533" s="150"/>
      <c r="FF533" s="150"/>
      <c r="FG533" s="150"/>
      <c r="FH533" s="150"/>
      <c r="FI533" s="150"/>
      <c r="FJ533" s="150"/>
      <c r="FK533" s="150"/>
      <c r="FL533" s="150"/>
      <c r="FM533" s="150"/>
      <c r="FN533" s="150"/>
    </row>
    <row r="534" spans="1:170" s="149" customFormat="1" x14ac:dyDescent="0.25">
      <c r="A534" s="142"/>
      <c r="B534" s="142"/>
      <c r="C534" s="142"/>
      <c r="D534" s="144"/>
      <c r="E534" s="143"/>
      <c r="F534" s="143"/>
      <c r="G534" s="144"/>
      <c r="H534" s="143"/>
      <c r="I534" s="143"/>
      <c r="J534" s="319"/>
      <c r="K534" s="319"/>
      <c r="L534" s="315"/>
      <c r="M534" s="315"/>
      <c r="N534" s="145"/>
      <c r="O534" s="145"/>
      <c r="P534" s="145"/>
      <c r="Q534" s="146"/>
      <c r="R534" s="147"/>
      <c r="S534" s="148"/>
      <c r="T534" s="148"/>
      <c r="U534" s="148"/>
      <c r="V534" s="148"/>
      <c r="W534" s="148"/>
      <c r="X534" s="148"/>
      <c r="Y534" s="148"/>
      <c r="Z534" s="148"/>
      <c r="AA534" s="148"/>
      <c r="AB534" s="148"/>
      <c r="AV534" s="150"/>
      <c r="AW534" s="150"/>
      <c r="AX534" s="150"/>
      <c r="AY534" s="150"/>
      <c r="AZ534" s="150"/>
      <c r="BA534" s="150"/>
      <c r="BB534" s="150"/>
      <c r="BC534" s="150"/>
      <c r="BD534" s="150"/>
      <c r="BE534" s="150"/>
      <c r="BF534" s="150"/>
      <c r="BG534" s="150"/>
      <c r="BH534" s="150"/>
      <c r="BI534" s="150"/>
      <c r="BJ534" s="150"/>
      <c r="BK534" s="150"/>
      <c r="BL534" s="150"/>
      <c r="BM534" s="150"/>
      <c r="BN534" s="150"/>
      <c r="BO534" s="150"/>
      <c r="BP534" s="150"/>
      <c r="BQ534" s="150"/>
      <c r="BR534" s="150"/>
      <c r="BS534" s="150"/>
      <c r="BT534" s="150"/>
      <c r="BU534" s="150"/>
      <c r="BV534" s="150"/>
      <c r="BW534" s="150"/>
      <c r="BX534" s="150"/>
      <c r="BY534" s="150"/>
      <c r="BZ534" s="150"/>
      <c r="CA534" s="150"/>
      <c r="CB534" s="150"/>
      <c r="CC534" s="150"/>
      <c r="CD534" s="150"/>
      <c r="CE534" s="150"/>
      <c r="CF534" s="150"/>
      <c r="CG534" s="150"/>
      <c r="CH534" s="150"/>
      <c r="CI534" s="150"/>
      <c r="CJ534" s="150"/>
      <c r="CK534" s="150"/>
      <c r="CL534" s="150"/>
      <c r="CM534" s="150"/>
      <c r="CN534" s="150"/>
      <c r="CO534" s="150"/>
      <c r="CP534" s="150"/>
      <c r="CQ534" s="150"/>
      <c r="CR534" s="150"/>
      <c r="CS534" s="150"/>
      <c r="CT534" s="150"/>
      <c r="CU534" s="150"/>
      <c r="CV534" s="150"/>
      <c r="CW534" s="150"/>
      <c r="CX534" s="150"/>
      <c r="CY534" s="150"/>
      <c r="CZ534" s="150"/>
      <c r="DA534" s="150"/>
      <c r="DB534" s="150"/>
      <c r="DC534" s="150"/>
      <c r="DD534" s="150"/>
      <c r="DE534" s="150"/>
      <c r="DF534" s="150"/>
      <c r="DG534" s="150"/>
      <c r="DH534" s="150"/>
      <c r="DI534" s="150"/>
      <c r="DJ534" s="150"/>
      <c r="DK534" s="150"/>
      <c r="DL534" s="150"/>
      <c r="DM534" s="150"/>
      <c r="DN534" s="150"/>
      <c r="DO534" s="150"/>
      <c r="DP534" s="150"/>
      <c r="DQ534" s="150"/>
      <c r="DR534" s="150"/>
      <c r="DS534" s="150"/>
      <c r="DT534" s="150"/>
      <c r="DU534" s="150"/>
      <c r="DV534" s="150"/>
      <c r="DW534" s="150"/>
      <c r="DX534" s="150"/>
      <c r="DY534" s="150"/>
      <c r="DZ534" s="150"/>
      <c r="EA534" s="150"/>
      <c r="EB534" s="150"/>
      <c r="EC534" s="150"/>
      <c r="ED534" s="150"/>
      <c r="EE534" s="150"/>
      <c r="EF534" s="150"/>
      <c r="EG534" s="150"/>
      <c r="EH534" s="150"/>
      <c r="EI534" s="150"/>
      <c r="EJ534" s="150"/>
      <c r="EK534" s="150"/>
      <c r="EL534" s="150"/>
      <c r="EM534" s="150"/>
      <c r="EN534" s="150"/>
      <c r="EO534" s="150"/>
      <c r="EP534" s="150"/>
      <c r="EQ534" s="150"/>
      <c r="ER534" s="150"/>
      <c r="ES534" s="150"/>
      <c r="ET534" s="150"/>
      <c r="EU534" s="150"/>
      <c r="EV534" s="150"/>
      <c r="EW534" s="150"/>
      <c r="EX534" s="150"/>
      <c r="EY534" s="150"/>
      <c r="EZ534" s="150"/>
      <c r="FA534" s="150"/>
      <c r="FB534" s="150"/>
      <c r="FC534" s="150"/>
      <c r="FD534" s="150"/>
      <c r="FE534" s="150"/>
      <c r="FF534" s="150"/>
      <c r="FG534" s="150"/>
      <c r="FH534" s="150"/>
      <c r="FI534" s="150"/>
      <c r="FJ534" s="150"/>
      <c r="FK534" s="150"/>
      <c r="FL534" s="150"/>
      <c r="FM534" s="150"/>
      <c r="FN534" s="150"/>
    </row>
    <row r="535" spans="1:170" s="149" customFormat="1" x14ac:dyDescent="0.25">
      <c r="A535" s="142"/>
      <c r="B535" s="142"/>
      <c r="C535" s="142"/>
      <c r="D535" s="144"/>
      <c r="E535" s="143"/>
      <c r="F535" s="143"/>
      <c r="G535" s="144"/>
      <c r="H535" s="143"/>
      <c r="I535" s="143"/>
      <c r="J535" s="319"/>
      <c r="K535" s="319"/>
      <c r="L535" s="315"/>
      <c r="M535" s="315"/>
      <c r="N535" s="145"/>
      <c r="O535" s="145"/>
      <c r="P535" s="145"/>
      <c r="Q535" s="146"/>
      <c r="R535" s="147"/>
      <c r="S535" s="148"/>
      <c r="T535" s="148"/>
      <c r="U535" s="148"/>
      <c r="V535" s="148"/>
      <c r="W535" s="148"/>
      <c r="X535" s="148"/>
      <c r="Y535" s="148"/>
      <c r="Z535" s="148"/>
      <c r="AA535" s="148"/>
      <c r="AB535" s="148"/>
      <c r="AV535" s="150"/>
      <c r="AW535" s="150"/>
      <c r="AX535" s="150"/>
      <c r="AY535" s="150"/>
      <c r="AZ535" s="150"/>
      <c r="BA535" s="150"/>
      <c r="BB535" s="150"/>
      <c r="BC535" s="150"/>
      <c r="BD535" s="150"/>
      <c r="BE535" s="150"/>
      <c r="BF535" s="150"/>
      <c r="BG535" s="150"/>
      <c r="BH535" s="150"/>
      <c r="BI535" s="150"/>
      <c r="BJ535" s="150"/>
      <c r="BK535" s="150"/>
      <c r="BL535" s="150"/>
      <c r="BM535" s="150"/>
      <c r="BN535" s="150"/>
      <c r="BO535" s="150"/>
      <c r="BP535" s="150"/>
      <c r="BQ535" s="150"/>
      <c r="BR535" s="150"/>
      <c r="BS535" s="150"/>
      <c r="BT535" s="150"/>
      <c r="BU535" s="150"/>
      <c r="BV535" s="150"/>
      <c r="BW535" s="150"/>
      <c r="BX535" s="150"/>
      <c r="BY535" s="150"/>
      <c r="BZ535" s="150"/>
      <c r="CA535" s="150"/>
      <c r="CB535" s="150"/>
      <c r="CC535" s="150"/>
      <c r="CD535" s="150"/>
      <c r="CE535" s="150"/>
      <c r="CF535" s="150"/>
      <c r="CG535" s="150"/>
      <c r="CH535" s="150"/>
      <c r="CI535" s="150"/>
      <c r="CJ535" s="150"/>
      <c r="CK535" s="150"/>
      <c r="CL535" s="150"/>
      <c r="CM535" s="150"/>
      <c r="CN535" s="150"/>
      <c r="CO535" s="150"/>
      <c r="CP535" s="150"/>
      <c r="CQ535" s="150"/>
      <c r="CR535" s="150"/>
      <c r="CS535" s="150"/>
      <c r="CT535" s="150"/>
      <c r="CU535" s="150"/>
      <c r="CV535" s="150"/>
      <c r="CW535" s="150"/>
      <c r="CX535" s="150"/>
      <c r="CY535" s="150"/>
      <c r="CZ535" s="150"/>
      <c r="DA535" s="150"/>
      <c r="DB535" s="150"/>
      <c r="DC535" s="150"/>
      <c r="DD535" s="150"/>
      <c r="DE535" s="150"/>
      <c r="DF535" s="150"/>
      <c r="DG535" s="150"/>
      <c r="DH535" s="150"/>
      <c r="DI535" s="150"/>
      <c r="DJ535" s="150"/>
      <c r="DK535" s="150"/>
      <c r="DL535" s="150"/>
      <c r="DM535" s="150"/>
      <c r="DN535" s="150"/>
      <c r="DO535" s="150"/>
      <c r="DP535" s="150"/>
      <c r="DQ535" s="150"/>
      <c r="DR535" s="150"/>
      <c r="DS535" s="150"/>
      <c r="DT535" s="150"/>
      <c r="DU535" s="150"/>
      <c r="DV535" s="150"/>
      <c r="DW535" s="150"/>
      <c r="DX535" s="150"/>
      <c r="DY535" s="150"/>
      <c r="DZ535" s="150"/>
      <c r="EA535" s="150"/>
      <c r="EB535" s="150"/>
      <c r="EC535" s="150"/>
      <c r="ED535" s="150"/>
      <c r="EE535" s="150"/>
      <c r="EF535" s="150"/>
      <c r="EG535" s="150"/>
      <c r="EH535" s="150"/>
      <c r="EI535" s="150"/>
      <c r="EJ535" s="150"/>
      <c r="EK535" s="150"/>
      <c r="EL535" s="150"/>
      <c r="EM535" s="150"/>
      <c r="EN535" s="150"/>
      <c r="EO535" s="150"/>
      <c r="EP535" s="150"/>
      <c r="EQ535" s="150"/>
      <c r="ER535" s="150"/>
      <c r="ES535" s="150"/>
      <c r="ET535" s="150"/>
      <c r="EU535" s="150"/>
      <c r="EV535" s="150"/>
      <c r="EW535" s="150"/>
      <c r="EX535" s="150"/>
      <c r="EY535" s="150"/>
      <c r="EZ535" s="150"/>
      <c r="FA535" s="150"/>
      <c r="FB535" s="150"/>
      <c r="FC535" s="150"/>
      <c r="FD535" s="150"/>
      <c r="FE535" s="150"/>
      <c r="FF535" s="150"/>
      <c r="FG535" s="150"/>
      <c r="FH535" s="150"/>
      <c r="FI535" s="150"/>
      <c r="FJ535" s="150"/>
      <c r="FK535" s="150"/>
      <c r="FL535" s="150"/>
      <c r="FM535" s="150"/>
      <c r="FN535" s="150"/>
    </row>
    <row r="536" spans="1:170" s="149" customFormat="1" x14ac:dyDescent="0.25">
      <c r="A536" s="142"/>
      <c r="B536" s="142"/>
      <c r="C536" s="142"/>
      <c r="D536" s="144"/>
      <c r="E536" s="143"/>
      <c r="F536" s="143"/>
      <c r="G536" s="144"/>
      <c r="H536" s="143"/>
      <c r="I536" s="143"/>
      <c r="J536" s="319"/>
      <c r="K536" s="319"/>
      <c r="L536" s="315"/>
      <c r="M536" s="315"/>
      <c r="N536" s="145"/>
      <c r="O536" s="145"/>
      <c r="P536" s="145"/>
      <c r="Q536" s="146"/>
      <c r="R536" s="147"/>
      <c r="S536" s="148"/>
      <c r="T536" s="148"/>
      <c r="U536" s="148"/>
      <c r="V536" s="148"/>
      <c r="W536" s="148"/>
      <c r="X536" s="148"/>
      <c r="Y536" s="148"/>
      <c r="Z536" s="148"/>
      <c r="AA536" s="148"/>
      <c r="AB536" s="148"/>
      <c r="AV536" s="150"/>
      <c r="AW536" s="150"/>
      <c r="AX536" s="150"/>
      <c r="AY536" s="150"/>
      <c r="AZ536" s="150"/>
      <c r="BA536" s="150"/>
      <c r="BB536" s="150"/>
      <c r="BC536" s="150"/>
      <c r="BD536" s="150"/>
      <c r="BE536" s="150"/>
      <c r="BF536" s="150"/>
      <c r="BG536" s="150"/>
      <c r="BH536" s="150"/>
      <c r="BI536" s="150"/>
      <c r="BJ536" s="150"/>
      <c r="BK536" s="150"/>
      <c r="BL536" s="150"/>
      <c r="BM536" s="150"/>
      <c r="BN536" s="150"/>
      <c r="BO536" s="150"/>
      <c r="BP536" s="150"/>
      <c r="BQ536" s="150"/>
      <c r="BR536" s="150"/>
      <c r="BS536" s="150"/>
      <c r="BT536" s="150"/>
      <c r="BU536" s="150"/>
      <c r="BV536" s="150"/>
      <c r="BW536" s="150"/>
      <c r="BX536" s="150"/>
      <c r="BY536" s="150"/>
      <c r="BZ536" s="150"/>
      <c r="CA536" s="150"/>
      <c r="CB536" s="150"/>
      <c r="CC536" s="150"/>
      <c r="CD536" s="150"/>
      <c r="CE536" s="150"/>
      <c r="CF536" s="150"/>
      <c r="CG536" s="150"/>
      <c r="CH536" s="150"/>
      <c r="CI536" s="150"/>
      <c r="CJ536" s="150"/>
      <c r="CK536" s="150"/>
      <c r="CL536" s="150"/>
      <c r="CM536" s="150"/>
      <c r="CN536" s="150"/>
      <c r="CO536" s="150"/>
      <c r="CP536" s="150"/>
      <c r="CQ536" s="150"/>
      <c r="CR536" s="150"/>
      <c r="CS536" s="150"/>
      <c r="CT536" s="150"/>
      <c r="CU536" s="150"/>
      <c r="CV536" s="150"/>
      <c r="CW536" s="150"/>
      <c r="CX536" s="150"/>
      <c r="CY536" s="150"/>
      <c r="CZ536" s="150"/>
      <c r="DA536" s="150"/>
      <c r="DB536" s="150"/>
      <c r="DC536" s="150"/>
      <c r="DD536" s="150"/>
      <c r="DE536" s="150"/>
      <c r="DF536" s="150"/>
      <c r="DG536" s="150"/>
      <c r="DH536" s="150"/>
      <c r="DI536" s="150"/>
      <c r="DJ536" s="150"/>
      <c r="DK536" s="150"/>
      <c r="DL536" s="150"/>
      <c r="DM536" s="150"/>
      <c r="DN536" s="150"/>
      <c r="DO536" s="150"/>
      <c r="DP536" s="150"/>
      <c r="DQ536" s="150"/>
      <c r="DR536" s="150"/>
      <c r="DS536" s="150"/>
      <c r="DT536" s="150"/>
      <c r="DU536" s="150"/>
      <c r="DV536" s="150"/>
      <c r="DW536" s="150"/>
      <c r="DX536" s="150"/>
      <c r="DY536" s="150"/>
      <c r="DZ536" s="150"/>
      <c r="EA536" s="150"/>
      <c r="EB536" s="150"/>
      <c r="EC536" s="150"/>
      <c r="ED536" s="150"/>
      <c r="EE536" s="150"/>
      <c r="EF536" s="150"/>
      <c r="EG536" s="150"/>
      <c r="EH536" s="150"/>
      <c r="EI536" s="150"/>
      <c r="EJ536" s="150"/>
      <c r="EK536" s="150"/>
      <c r="EL536" s="150"/>
      <c r="EM536" s="150"/>
      <c r="EN536" s="150"/>
      <c r="EO536" s="150"/>
      <c r="EP536" s="150"/>
      <c r="EQ536" s="150"/>
      <c r="ER536" s="150"/>
      <c r="ES536" s="150"/>
      <c r="ET536" s="150"/>
      <c r="EU536" s="150"/>
      <c r="EV536" s="150"/>
      <c r="EW536" s="150"/>
      <c r="EX536" s="150"/>
      <c r="EY536" s="150"/>
      <c r="EZ536" s="150"/>
      <c r="FA536" s="150"/>
      <c r="FB536" s="150"/>
      <c r="FC536" s="150"/>
      <c r="FD536" s="150"/>
      <c r="FE536" s="150"/>
      <c r="FF536" s="150"/>
      <c r="FG536" s="150"/>
      <c r="FH536" s="150"/>
      <c r="FI536" s="150"/>
      <c r="FJ536" s="150"/>
      <c r="FK536" s="150"/>
      <c r="FL536" s="150"/>
      <c r="FM536" s="150"/>
      <c r="FN536" s="150"/>
    </row>
    <row r="537" spans="1:170" s="149" customFormat="1" x14ac:dyDescent="0.25">
      <c r="A537" s="142"/>
      <c r="B537" s="142"/>
      <c r="C537" s="142"/>
      <c r="D537" s="144"/>
      <c r="E537" s="143"/>
      <c r="F537" s="143"/>
      <c r="G537" s="144"/>
      <c r="H537" s="143"/>
      <c r="I537" s="143"/>
      <c r="J537" s="319"/>
      <c r="K537" s="319"/>
      <c r="L537" s="315"/>
      <c r="M537" s="315"/>
      <c r="N537" s="145"/>
      <c r="O537" s="145"/>
      <c r="P537" s="145"/>
      <c r="Q537" s="146"/>
      <c r="R537" s="147"/>
      <c r="S537" s="148"/>
      <c r="T537" s="148"/>
      <c r="U537" s="148"/>
      <c r="V537" s="148"/>
      <c r="W537" s="148"/>
      <c r="X537" s="148"/>
      <c r="Y537" s="148"/>
      <c r="Z537" s="148"/>
      <c r="AA537" s="148"/>
      <c r="AB537" s="148"/>
      <c r="AV537" s="150"/>
      <c r="AW537" s="150"/>
      <c r="AX537" s="150"/>
      <c r="AY537" s="150"/>
      <c r="AZ537" s="150"/>
      <c r="BA537" s="150"/>
      <c r="BB537" s="150"/>
      <c r="BC537" s="150"/>
      <c r="BD537" s="150"/>
      <c r="BE537" s="150"/>
      <c r="BF537" s="150"/>
      <c r="BG537" s="150"/>
      <c r="BH537" s="150"/>
      <c r="BI537" s="150"/>
      <c r="BJ537" s="150"/>
      <c r="BK537" s="150"/>
      <c r="BL537" s="150"/>
      <c r="BM537" s="150"/>
      <c r="BN537" s="150"/>
      <c r="BO537" s="150"/>
      <c r="BP537" s="150"/>
      <c r="BQ537" s="150"/>
      <c r="BR537" s="150"/>
      <c r="BS537" s="150"/>
      <c r="BT537" s="150"/>
      <c r="BU537" s="150"/>
      <c r="BV537" s="150"/>
      <c r="BW537" s="150"/>
      <c r="BX537" s="150"/>
      <c r="BY537" s="150"/>
      <c r="BZ537" s="150"/>
      <c r="CA537" s="150"/>
      <c r="CB537" s="150"/>
      <c r="CC537" s="150"/>
      <c r="CD537" s="150"/>
      <c r="CE537" s="150"/>
      <c r="CF537" s="150"/>
      <c r="CG537" s="150"/>
      <c r="CH537" s="150"/>
      <c r="CI537" s="150"/>
      <c r="CJ537" s="150"/>
      <c r="CK537" s="150"/>
      <c r="CL537" s="150"/>
      <c r="CM537" s="150"/>
      <c r="CN537" s="150"/>
      <c r="CO537" s="150"/>
      <c r="CP537" s="150"/>
      <c r="CQ537" s="150"/>
      <c r="CR537" s="150"/>
      <c r="CS537" s="150"/>
      <c r="CT537" s="150"/>
      <c r="CU537" s="150"/>
      <c r="CV537" s="150"/>
      <c r="CW537" s="150"/>
      <c r="CX537" s="150"/>
      <c r="CY537" s="150"/>
      <c r="CZ537" s="150"/>
      <c r="DA537" s="150"/>
      <c r="DB537" s="150"/>
      <c r="DC537" s="150"/>
      <c r="DD537" s="150"/>
      <c r="DE537" s="150"/>
      <c r="DF537" s="150"/>
      <c r="DG537" s="150"/>
      <c r="DH537" s="150"/>
      <c r="DI537" s="150"/>
      <c r="DJ537" s="150"/>
      <c r="DK537" s="150"/>
      <c r="DL537" s="150"/>
      <c r="DM537" s="150"/>
      <c r="DN537" s="150"/>
      <c r="DO537" s="150"/>
      <c r="DP537" s="150"/>
      <c r="DQ537" s="150"/>
      <c r="DR537" s="150"/>
      <c r="DS537" s="150"/>
      <c r="DT537" s="150"/>
      <c r="DU537" s="150"/>
      <c r="DV537" s="150"/>
      <c r="DW537" s="150"/>
      <c r="DX537" s="150"/>
      <c r="DY537" s="150"/>
      <c r="DZ537" s="150"/>
      <c r="EA537" s="150"/>
      <c r="EB537" s="150"/>
      <c r="EC537" s="150"/>
      <c r="ED537" s="150"/>
      <c r="EE537" s="150"/>
      <c r="EF537" s="150"/>
      <c r="EG537" s="150"/>
      <c r="EH537" s="150"/>
      <c r="EI537" s="150"/>
      <c r="EJ537" s="150"/>
      <c r="EK537" s="150"/>
      <c r="EL537" s="150"/>
      <c r="EM537" s="150"/>
      <c r="EN537" s="150"/>
      <c r="EO537" s="150"/>
      <c r="EP537" s="150"/>
      <c r="EQ537" s="150"/>
      <c r="ER537" s="150"/>
      <c r="ES537" s="150"/>
      <c r="ET537" s="150"/>
      <c r="EU537" s="150"/>
      <c r="EV537" s="150"/>
      <c r="EW537" s="150"/>
      <c r="EX537" s="150"/>
      <c r="EY537" s="150"/>
      <c r="EZ537" s="150"/>
      <c r="FA537" s="150"/>
      <c r="FB537" s="150"/>
      <c r="FC537" s="150"/>
      <c r="FD537" s="150"/>
      <c r="FE537" s="150"/>
      <c r="FF537" s="150"/>
      <c r="FG537" s="150"/>
      <c r="FH537" s="150"/>
      <c r="FI537" s="150"/>
      <c r="FJ537" s="150"/>
      <c r="FK537" s="150"/>
      <c r="FL537" s="150"/>
      <c r="FM537" s="150"/>
      <c r="FN537" s="150"/>
    </row>
    <row r="538" spans="1:170" s="149" customFormat="1" x14ac:dyDescent="0.25">
      <c r="A538" s="142"/>
      <c r="B538" s="142"/>
      <c r="C538" s="142"/>
      <c r="D538" s="144"/>
      <c r="E538" s="143"/>
      <c r="F538" s="143"/>
      <c r="G538" s="144"/>
      <c r="H538" s="143"/>
      <c r="I538" s="143"/>
      <c r="J538" s="319"/>
      <c r="K538" s="319"/>
      <c r="L538" s="315"/>
      <c r="M538" s="315"/>
      <c r="N538" s="145"/>
      <c r="O538" s="145"/>
      <c r="P538" s="145"/>
      <c r="Q538" s="146"/>
      <c r="R538" s="147"/>
      <c r="S538" s="148"/>
      <c r="T538" s="148"/>
      <c r="U538" s="148"/>
      <c r="V538" s="148"/>
      <c r="W538" s="148"/>
      <c r="X538" s="148"/>
      <c r="Y538" s="148"/>
      <c r="Z538" s="148"/>
      <c r="AA538" s="148"/>
      <c r="AB538" s="148"/>
      <c r="AV538" s="150"/>
      <c r="AW538" s="150"/>
      <c r="AX538" s="150"/>
      <c r="AY538" s="150"/>
      <c r="AZ538" s="150"/>
      <c r="BA538" s="150"/>
      <c r="BB538" s="150"/>
      <c r="BC538" s="150"/>
      <c r="BD538" s="150"/>
      <c r="BE538" s="150"/>
      <c r="BF538" s="150"/>
      <c r="BG538" s="150"/>
      <c r="BH538" s="150"/>
      <c r="BI538" s="150"/>
      <c r="BJ538" s="150"/>
      <c r="BK538" s="150"/>
      <c r="BL538" s="150"/>
      <c r="BM538" s="150"/>
      <c r="BN538" s="150"/>
      <c r="BO538" s="150"/>
      <c r="BP538" s="150"/>
      <c r="BQ538" s="150"/>
      <c r="BR538" s="150"/>
      <c r="BS538" s="150"/>
      <c r="BT538" s="150"/>
      <c r="BU538" s="150"/>
      <c r="BV538" s="150"/>
      <c r="BW538" s="150"/>
      <c r="BX538" s="150"/>
      <c r="BY538" s="150"/>
      <c r="BZ538" s="150"/>
      <c r="CA538" s="150"/>
      <c r="CB538" s="150"/>
      <c r="CC538" s="150"/>
      <c r="CD538" s="150"/>
      <c r="CE538" s="150"/>
      <c r="CF538" s="150"/>
      <c r="CG538" s="150"/>
      <c r="CH538" s="150"/>
      <c r="CI538" s="150"/>
      <c r="CJ538" s="150"/>
      <c r="CK538" s="150"/>
      <c r="CL538" s="150"/>
      <c r="CM538" s="150"/>
      <c r="CN538" s="150"/>
      <c r="CO538" s="150"/>
      <c r="CP538" s="150"/>
      <c r="CQ538" s="150"/>
      <c r="CR538" s="150"/>
      <c r="CS538" s="150"/>
      <c r="CT538" s="150"/>
      <c r="CU538" s="150"/>
      <c r="CV538" s="150"/>
      <c r="CW538" s="150"/>
      <c r="CX538" s="150"/>
      <c r="CY538" s="150"/>
      <c r="CZ538" s="150"/>
      <c r="DA538" s="150"/>
      <c r="DB538" s="150"/>
      <c r="DC538" s="150"/>
      <c r="DD538" s="150"/>
      <c r="DE538" s="150"/>
      <c r="DF538" s="150"/>
      <c r="DG538" s="150"/>
      <c r="DH538" s="150"/>
      <c r="DI538" s="150"/>
      <c r="DJ538" s="150"/>
      <c r="DK538" s="150"/>
      <c r="DL538" s="150"/>
      <c r="DM538" s="150"/>
      <c r="DN538" s="150"/>
      <c r="DO538" s="150"/>
      <c r="DP538" s="150"/>
      <c r="DQ538" s="150"/>
      <c r="DR538" s="150"/>
      <c r="DS538" s="150"/>
      <c r="DT538" s="150"/>
      <c r="DU538" s="150"/>
      <c r="DV538" s="150"/>
      <c r="DW538" s="150"/>
      <c r="DX538" s="150"/>
      <c r="DY538" s="150"/>
      <c r="DZ538" s="150"/>
      <c r="EA538" s="150"/>
      <c r="EB538" s="150"/>
      <c r="EC538" s="150"/>
      <c r="ED538" s="150"/>
      <c r="EE538" s="150"/>
      <c r="EF538" s="150"/>
      <c r="EG538" s="150"/>
      <c r="EH538" s="150"/>
      <c r="EI538" s="150"/>
      <c r="EJ538" s="150"/>
      <c r="EK538" s="150"/>
      <c r="EL538" s="150"/>
      <c r="EM538" s="150"/>
      <c r="EN538" s="150"/>
      <c r="EO538" s="150"/>
      <c r="EP538" s="150"/>
      <c r="EQ538" s="150"/>
      <c r="ER538" s="150"/>
      <c r="ES538" s="150"/>
      <c r="ET538" s="150"/>
      <c r="EU538" s="150"/>
      <c r="EV538" s="150"/>
      <c r="EW538" s="150"/>
      <c r="EX538" s="150"/>
      <c r="EY538" s="150"/>
      <c r="EZ538" s="150"/>
      <c r="FA538" s="150"/>
      <c r="FB538" s="150"/>
      <c r="FC538" s="150"/>
      <c r="FD538" s="150"/>
      <c r="FE538" s="150"/>
      <c r="FF538" s="150"/>
      <c r="FG538" s="150"/>
      <c r="FH538" s="150"/>
      <c r="FI538" s="150"/>
      <c r="FJ538" s="150"/>
      <c r="FK538" s="150"/>
      <c r="FL538" s="150"/>
      <c r="FM538" s="150"/>
      <c r="FN538" s="150"/>
    </row>
    <row r="539" spans="1:170" s="149" customFormat="1" x14ac:dyDescent="0.25">
      <c r="A539" s="142"/>
      <c r="B539" s="142"/>
      <c r="C539" s="142"/>
      <c r="D539" s="144"/>
      <c r="E539" s="143"/>
      <c r="F539" s="143"/>
      <c r="G539" s="144"/>
      <c r="H539" s="143"/>
      <c r="I539" s="143"/>
      <c r="J539" s="319"/>
      <c r="K539" s="319"/>
      <c r="L539" s="315"/>
      <c r="M539" s="315"/>
      <c r="N539" s="145"/>
      <c r="O539" s="145"/>
      <c r="P539" s="145"/>
      <c r="Q539" s="146"/>
      <c r="R539" s="147"/>
      <c r="S539" s="148"/>
      <c r="T539" s="148"/>
      <c r="U539" s="148"/>
      <c r="V539" s="148"/>
      <c r="W539" s="148"/>
      <c r="X539" s="148"/>
      <c r="Y539" s="148"/>
      <c r="Z539" s="148"/>
      <c r="AA539" s="148"/>
      <c r="AB539" s="148"/>
      <c r="AV539" s="150"/>
      <c r="AW539" s="150"/>
      <c r="AX539" s="150"/>
      <c r="AY539" s="150"/>
      <c r="AZ539" s="150"/>
      <c r="BA539" s="150"/>
      <c r="BB539" s="150"/>
      <c r="BC539" s="150"/>
      <c r="BD539" s="150"/>
      <c r="BE539" s="150"/>
      <c r="BF539" s="150"/>
      <c r="BG539" s="150"/>
      <c r="BH539" s="150"/>
      <c r="BI539" s="150"/>
      <c r="BJ539" s="150"/>
      <c r="BK539" s="150"/>
      <c r="BL539" s="150"/>
      <c r="BM539" s="150"/>
      <c r="BN539" s="150"/>
      <c r="BO539" s="150"/>
      <c r="BP539" s="150"/>
      <c r="BQ539" s="150"/>
      <c r="BR539" s="150"/>
      <c r="BS539" s="150"/>
      <c r="BT539" s="150"/>
      <c r="BU539" s="150"/>
      <c r="BV539" s="150"/>
      <c r="BW539" s="150"/>
      <c r="BX539" s="150"/>
      <c r="BY539" s="150"/>
      <c r="BZ539" s="150"/>
      <c r="CA539" s="150"/>
      <c r="CB539" s="150"/>
      <c r="CC539" s="150"/>
      <c r="CD539" s="150"/>
      <c r="CE539" s="150"/>
      <c r="CF539" s="150"/>
      <c r="CG539" s="150"/>
      <c r="CH539" s="150"/>
      <c r="CI539" s="150"/>
      <c r="CJ539" s="150"/>
      <c r="CK539" s="150"/>
      <c r="CL539" s="150"/>
      <c r="CM539" s="150"/>
      <c r="CN539" s="150"/>
      <c r="CO539" s="150"/>
      <c r="CP539" s="150"/>
      <c r="CQ539" s="150"/>
      <c r="CR539" s="150"/>
      <c r="CS539" s="150"/>
      <c r="CT539" s="150"/>
      <c r="CU539" s="150"/>
      <c r="CV539" s="150"/>
      <c r="CW539" s="150"/>
      <c r="CX539" s="150"/>
      <c r="CY539" s="150"/>
      <c r="CZ539" s="150"/>
      <c r="DA539" s="150"/>
      <c r="DB539" s="150"/>
      <c r="DC539" s="150"/>
      <c r="DD539" s="150"/>
      <c r="DE539" s="150"/>
      <c r="DF539" s="150"/>
      <c r="DG539" s="150"/>
      <c r="DH539" s="150"/>
      <c r="DI539" s="150"/>
      <c r="DJ539" s="150"/>
      <c r="DK539" s="150"/>
      <c r="DL539" s="150"/>
      <c r="DM539" s="150"/>
      <c r="DN539" s="150"/>
      <c r="DO539" s="150"/>
      <c r="DP539" s="150"/>
      <c r="DQ539" s="150"/>
      <c r="DR539" s="150"/>
      <c r="DS539" s="150"/>
      <c r="DT539" s="150"/>
      <c r="DU539" s="150"/>
      <c r="DV539" s="150"/>
      <c r="DW539" s="150"/>
      <c r="DX539" s="150"/>
      <c r="DY539" s="150"/>
      <c r="DZ539" s="150"/>
      <c r="EA539" s="150"/>
      <c r="EB539" s="150"/>
      <c r="EC539" s="150"/>
      <c r="ED539" s="150"/>
      <c r="EE539" s="150"/>
      <c r="EF539" s="150"/>
      <c r="EG539" s="150"/>
      <c r="EH539" s="150"/>
      <c r="EI539" s="150"/>
      <c r="EJ539" s="150"/>
      <c r="EK539" s="150"/>
      <c r="EL539" s="150"/>
      <c r="EM539" s="150"/>
      <c r="EN539" s="150"/>
      <c r="EO539" s="150"/>
      <c r="EP539" s="150"/>
      <c r="EQ539" s="150"/>
      <c r="ER539" s="150"/>
      <c r="ES539" s="150"/>
      <c r="ET539" s="150"/>
      <c r="EU539" s="150"/>
      <c r="EV539" s="150"/>
      <c r="EW539" s="150"/>
      <c r="EX539" s="150"/>
      <c r="EY539" s="150"/>
      <c r="EZ539" s="150"/>
      <c r="FA539" s="150"/>
      <c r="FB539" s="150"/>
      <c r="FC539" s="150"/>
      <c r="FD539" s="150"/>
      <c r="FE539" s="150"/>
      <c r="FF539" s="150"/>
      <c r="FG539" s="150"/>
      <c r="FH539" s="150"/>
      <c r="FI539" s="150"/>
      <c r="FJ539" s="150"/>
      <c r="FK539" s="150"/>
      <c r="FL539" s="150"/>
      <c r="FM539" s="150"/>
      <c r="FN539" s="150"/>
    </row>
    <row r="540" spans="1:170" s="149" customFormat="1" x14ac:dyDescent="0.25">
      <c r="A540" s="142"/>
      <c r="B540" s="142"/>
      <c r="C540" s="142"/>
      <c r="D540" s="144"/>
      <c r="E540" s="143"/>
      <c r="F540" s="143"/>
      <c r="G540" s="144"/>
      <c r="H540" s="143"/>
      <c r="I540" s="143"/>
      <c r="J540" s="319"/>
      <c r="K540" s="319"/>
      <c r="L540" s="315"/>
      <c r="M540" s="315"/>
      <c r="N540" s="145"/>
      <c r="O540" s="145"/>
      <c r="P540" s="145"/>
      <c r="Q540" s="146"/>
      <c r="R540" s="147"/>
      <c r="S540" s="148"/>
      <c r="T540" s="148"/>
      <c r="U540" s="148"/>
      <c r="V540" s="148"/>
      <c r="W540" s="148"/>
      <c r="X540" s="148"/>
      <c r="Y540" s="148"/>
      <c r="Z540" s="148"/>
      <c r="AA540" s="148"/>
      <c r="AB540" s="148"/>
      <c r="AV540" s="150"/>
      <c r="AW540" s="150"/>
      <c r="AX540" s="150"/>
      <c r="AY540" s="150"/>
      <c r="AZ540" s="150"/>
      <c r="BA540" s="150"/>
      <c r="BB540" s="150"/>
      <c r="BC540" s="150"/>
      <c r="BD540" s="150"/>
      <c r="BE540" s="150"/>
      <c r="BF540" s="150"/>
      <c r="BG540" s="150"/>
      <c r="BH540" s="150"/>
      <c r="BI540" s="150"/>
      <c r="BJ540" s="150"/>
      <c r="BK540" s="150"/>
      <c r="BL540" s="150"/>
      <c r="BM540" s="150"/>
      <c r="BN540" s="150"/>
      <c r="BO540" s="150"/>
      <c r="BP540" s="150"/>
      <c r="BQ540" s="150"/>
      <c r="BR540" s="150"/>
      <c r="BS540" s="150"/>
      <c r="BT540" s="150"/>
      <c r="BU540" s="150"/>
      <c r="BV540" s="150"/>
      <c r="BW540" s="150"/>
      <c r="BX540" s="150"/>
      <c r="BY540" s="150"/>
      <c r="BZ540" s="150"/>
      <c r="CA540" s="150"/>
      <c r="CB540" s="150"/>
      <c r="CC540" s="150"/>
      <c r="CD540" s="150"/>
      <c r="CE540" s="150"/>
      <c r="CF540" s="150"/>
      <c r="CG540" s="150"/>
      <c r="CH540" s="150"/>
      <c r="CI540" s="150"/>
      <c r="CJ540" s="150"/>
      <c r="CK540" s="150"/>
      <c r="CL540" s="150"/>
      <c r="CM540" s="150"/>
      <c r="CN540" s="150"/>
      <c r="CO540" s="150"/>
      <c r="CP540" s="150"/>
      <c r="CQ540" s="150"/>
      <c r="CR540" s="150"/>
      <c r="CS540" s="150"/>
      <c r="CT540" s="150"/>
      <c r="CU540" s="150"/>
      <c r="CV540" s="150"/>
      <c r="CW540" s="150"/>
      <c r="CX540" s="150"/>
      <c r="CY540" s="150"/>
      <c r="CZ540" s="150"/>
      <c r="DA540" s="150"/>
      <c r="DB540" s="150"/>
      <c r="DC540" s="150"/>
      <c r="DD540" s="150"/>
      <c r="DE540" s="150"/>
      <c r="DF540" s="150"/>
      <c r="DG540" s="150"/>
      <c r="DH540" s="150"/>
      <c r="DI540" s="150"/>
      <c r="DJ540" s="150"/>
      <c r="DK540" s="150"/>
      <c r="DL540" s="150"/>
      <c r="DM540" s="150"/>
      <c r="DN540" s="150"/>
      <c r="DO540" s="150"/>
      <c r="DP540" s="150"/>
      <c r="DQ540" s="150"/>
      <c r="DR540" s="150"/>
      <c r="DS540" s="150"/>
      <c r="DT540" s="150"/>
      <c r="DU540" s="150"/>
      <c r="DV540" s="150"/>
      <c r="DW540" s="150"/>
      <c r="DX540" s="150"/>
      <c r="DY540" s="150"/>
      <c r="DZ540" s="150"/>
      <c r="EA540" s="150"/>
      <c r="EB540" s="150"/>
      <c r="EC540" s="150"/>
      <c r="ED540" s="150"/>
      <c r="EE540" s="150"/>
      <c r="EF540" s="150"/>
      <c r="EG540" s="150"/>
      <c r="EH540" s="150"/>
      <c r="EI540" s="150"/>
      <c r="EJ540" s="150"/>
      <c r="EK540" s="150"/>
      <c r="EL540" s="150"/>
      <c r="EM540" s="150"/>
      <c r="EN540" s="150"/>
      <c r="EO540" s="150"/>
      <c r="EP540" s="150"/>
      <c r="EQ540" s="150"/>
      <c r="ER540" s="150"/>
      <c r="ES540" s="150"/>
      <c r="ET540" s="150"/>
      <c r="EU540" s="150"/>
      <c r="EV540" s="150"/>
      <c r="EW540" s="150"/>
      <c r="EX540" s="150"/>
      <c r="EY540" s="150"/>
      <c r="EZ540" s="150"/>
      <c r="FA540" s="150"/>
      <c r="FB540" s="150"/>
      <c r="FC540" s="150"/>
      <c r="FD540" s="150"/>
      <c r="FE540" s="150"/>
      <c r="FF540" s="150"/>
      <c r="FG540" s="150"/>
      <c r="FH540" s="150"/>
      <c r="FI540" s="150"/>
      <c r="FJ540" s="150"/>
      <c r="FK540" s="150"/>
      <c r="FL540" s="150"/>
      <c r="FM540" s="150"/>
      <c r="FN540" s="150"/>
    </row>
    <row r="541" spans="1:170" s="149" customFormat="1" x14ac:dyDescent="0.25">
      <c r="A541" s="142"/>
      <c r="B541" s="142"/>
      <c r="C541" s="142"/>
      <c r="D541" s="144"/>
      <c r="E541" s="143"/>
      <c r="F541" s="143"/>
      <c r="G541" s="144"/>
      <c r="H541" s="143"/>
      <c r="I541" s="143"/>
      <c r="J541" s="319"/>
      <c r="K541" s="319"/>
      <c r="L541" s="315"/>
      <c r="M541" s="315"/>
      <c r="N541" s="145"/>
      <c r="O541" s="145"/>
      <c r="P541" s="145"/>
      <c r="Q541" s="146"/>
      <c r="R541" s="147"/>
      <c r="S541" s="148"/>
      <c r="T541" s="148"/>
      <c r="U541" s="148"/>
      <c r="V541" s="148"/>
      <c r="W541" s="148"/>
      <c r="X541" s="148"/>
      <c r="Y541" s="148"/>
      <c r="Z541" s="148"/>
      <c r="AA541" s="148"/>
      <c r="AB541" s="148"/>
      <c r="AV541" s="150"/>
      <c r="AW541" s="150"/>
      <c r="AX541" s="150"/>
      <c r="AY541" s="150"/>
      <c r="AZ541" s="150"/>
      <c r="BA541" s="150"/>
      <c r="BB541" s="150"/>
      <c r="BC541" s="150"/>
      <c r="BD541" s="150"/>
      <c r="BE541" s="150"/>
      <c r="BF541" s="150"/>
      <c r="BG541" s="150"/>
      <c r="BH541" s="150"/>
      <c r="BI541" s="150"/>
      <c r="BJ541" s="150"/>
      <c r="BK541" s="150"/>
      <c r="BL541" s="150"/>
      <c r="BM541" s="150"/>
      <c r="BN541" s="150"/>
      <c r="BO541" s="150"/>
      <c r="BP541" s="150"/>
      <c r="BQ541" s="150"/>
      <c r="BR541" s="150"/>
      <c r="BS541" s="150"/>
      <c r="BT541" s="150"/>
      <c r="BU541" s="150"/>
      <c r="BV541" s="150"/>
      <c r="BW541" s="150"/>
      <c r="BX541" s="150"/>
      <c r="BY541" s="150"/>
      <c r="BZ541" s="150"/>
      <c r="CA541" s="150"/>
      <c r="CB541" s="150"/>
      <c r="CC541" s="150"/>
      <c r="CD541" s="150"/>
      <c r="CE541" s="150"/>
      <c r="CF541" s="150"/>
      <c r="CG541" s="150"/>
      <c r="CH541" s="150"/>
      <c r="CI541" s="150"/>
      <c r="CJ541" s="150"/>
      <c r="CK541" s="150"/>
      <c r="CL541" s="150"/>
      <c r="CM541" s="150"/>
      <c r="CN541" s="150"/>
      <c r="CO541" s="150"/>
      <c r="CP541" s="150"/>
      <c r="CQ541" s="150"/>
      <c r="CR541" s="150"/>
      <c r="CS541" s="150"/>
      <c r="CT541" s="150"/>
      <c r="CU541" s="150"/>
      <c r="CV541" s="150"/>
      <c r="CW541" s="150"/>
      <c r="CX541" s="150"/>
      <c r="CY541" s="150"/>
      <c r="CZ541" s="150"/>
      <c r="DA541" s="150"/>
      <c r="DB541" s="150"/>
      <c r="DC541" s="150"/>
      <c r="DD541" s="150"/>
      <c r="DE541" s="150"/>
      <c r="DF541" s="150"/>
      <c r="DG541" s="150"/>
      <c r="DH541" s="150"/>
      <c r="DI541" s="150"/>
      <c r="DJ541" s="150"/>
      <c r="DK541" s="150"/>
      <c r="DL541" s="150"/>
      <c r="DM541" s="150"/>
      <c r="DN541" s="150"/>
      <c r="DO541" s="150"/>
      <c r="DP541" s="150"/>
      <c r="DQ541" s="150"/>
      <c r="DR541" s="150"/>
      <c r="DS541" s="150"/>
      <c r="DT541" s="150"/>
      <c r="DU541" s="150"/>
      <c r="DV541" s="150"/>
      <c r="DW541" s="150"/>
      <c r="DX541" s="150"/>
      <c r="DY541" s="150"/>
      <c r="DZ541" s="150"/>
      <c r="EA541" s="150"/>
      <c r="EB541" s="150"/>
      <c r="EC541" s="150"/>
      <c r="ED541" s="150"/>
      <c r="EE541" s="150"/>
      <c r="EF541" s="150"/>
      <c r="EG541" s="150"/>
      <c r="EH541" s="150"/>
      <c r="EI541" s="150"/>
      <c r="EJ541" s="150"/>
      <c r="EK541" s="150"/>
      <c r="EL541" s="150"/>
      <c r="EM541" s="150"/>
      <c r="EN541" s="150"/>
      <c r="EO541" s="150"/>
      <c r="EP541" s="150"/>
      <c r="EQ541" s="150"/>
      <c r="ER541" s="150"/>
      <c r="ES541" s="150"/>
      <c r="ET541" s="150"/>
      <c r="EU541" s="150"/>
      <c r="EV541" s="150"/>
      <c r="EW541" s="150"/>
      <c r="EX541" s="150"/>
      <c r="EY541" s="150"/>
      <c r="EZ541" s="150"/>
      <c r="FA541" s="150"/>
      <c r="FB541" s="150"/>
      <c r="FC541" s="150"/>
      <c r="FD541" s="150"/>
      <c r="FE541" s="150"/>
      <c r="FF541" s="150"/>
      <c r="FG541" s="150"/>
      <c r="FH541" s="150"/>
      <c r="FI541" s="150"/>
      <c r="FJ541" s="150"/>
      <c r="FK541" s="150"/>
      <c r="FL541" s="150"/>
      <c r="FM541" s="150"/>
      <c r="FN541" s="150"/>
    </row>
    <row r="542" spans="1:170" s="149" customFormat="1" x14ac:dyDescent="0.25">
      <c r="A542" s="142"/>
      <c r="B542" s="142"/>
      <c r="C542" s="142"/>
      <c r="D542" s="144"/>
      <c r="E542" s="143"/>
      <c r="F542" s="143"/>
      <c r="G542" s="144"/>
      <c r="H542" s="143"/>
      <c r="I542" s="143"/>
      <c r="J542" s="319"/>
      <c r="K542" s="319"/>
      <c r="L542" s="315"/>
      <c r="M542" s="315"/>
      <c r="N542" s="145"/>
      <c r="O542" s="145"/>
      <c r="P542" s="145"/>
      <c r="Q542" s="146"/>
      <c r="R542" s="147"/>
      <c r="S542" s="148"/>
      <c r="T542" s="148"/>
      <c r="U542" s="148"/>
      <c r="V542" s="148"/>
      <c r="W542" s="148"/>
      <c r="X542" s="148"/>
      <c r="Y542" s="148"/>
      <c r="Z542" s="148"/>
      <c r="AA542" s="148"/>
      <c r="AB542" s="148"/>
      <c r="AV542" s="150"/>
      <c r="AW542" s="150"/>
      <c r="AX542" s="150"/>
      <c r="AY542" s="150"/>
      <c r="AZ542" s="150"/>
      <c r="BA542" s="150"/>
      <c r="BB542" s="150"/>
      <c r="BC542" s="150"/>
      <c r="BD542" s="150"/>
      <c r="BE542" s="150"/>
      <c r="BF542" s="150"/>
      <c r="BG542" s="150"/>
      <c r="BH542" s="150"/>
      <c r="BI542" s="150"/>
      <c r="BJ542" s="150"/>
      <c r="BK542" s="150"/>
      <c r="BL542" s="150"/>
      <c r="BM542" s="150"/>
      <c r="BN542" s="150"/>
      <c r="BO542" s="150"/>
      <c r="BP542" s="150"/>
      <c r="BQ542" s="150"/>
      <c r="BR542" s="150"/>
      <c r="BS542" s="150"/>
      <c r="BT542" s="150"/>
      <c r="BU542" s="150"/>
      <c r="BV542" s="150"/>
      <c r="BW542" s="150"/>
      <c r="BX542" s="150"/>
      <c r="BY542" s="150"/>
      <c r="BZ542" s="150"/>
      <c r="CA542" s="150"/>
      <c r="CB542" s="150"/>
      <c r="CC542" s="150"/>
      <c r="CD542" s="150"/>
      <c r="CE542" s="150"/>
      <c r="CF542" s="150"/>
      <c r="CG542" s="150"/>
      <c r="CH542" s="150"/>
      <c r="CI542" s="150"/>
      <c r="CJ542" s="150"/>
      <c r="CK542" s="150"/>
      <c r="CL542" s="150"/>
      <c r="CM542" s="150"/>
      <c r="CN542" s="150"/>
      <c r="CO542" s="150"/>
      <c r="CP542" s="150"/>
      <c r="CQ542" s="150"/>
      <c r="CR542" s="150"/>
      <c r="CS542" s="150"/>
      <c r="CT542" s="150"/>
      <c r="CU542" s="150"/>
      <c r="CV542" s="150"/>
      <c r="CW542" s="150"/>
      <c r="CX542" s="150"/>
      <c r="CY542" s="150"/>
      <c r="CZ542" s="150"/>
      <c r="DA542" s="150"/>
      <c r="DB542" s="150"/>
      <c r="DC542" s="150"/>
      <c r="DD542" s="150"/>
      <c r="DE542" s="150"/>
      <c r="DF542" s="150"/>
      <c r="DG542" s="150"/>
      <c r="DH542" s="150"/>
      <c r="DI542" s="150"/>
      <c r="DJ542" s="150"/>
      <c r="DK542" s="150"/>
      <c r="DL542" s="150"/>
      <c r="DM542" s="150"/>
      <c r="DN542" s="150"/>
      <c r="DO542" s="150"/>
      <c r="DP542" s="150"/>
      <c r="DQ542" s="150"/>
      <c r="DR542" s="150"/>
      <c r="DS542" s="150"/>
      <c r="DT542" s="150"/>
      <c r="DU542" s="150"/>
      <c r="DV542" s="150"/>
      <c r="DW542" s="150"/>
      <c r="DX542" s="150"/>
      <c r="DY542" s="150"/>
      <c r="DZ542" s="150"/>
      <c r="EA542" s="150"/>
      <c r="EB542" s="150"/>
      <c r="EC542" s="150"/>
      <c r="ED542" s="150"/>
      <c r="EE542" s="150"/>
      <c r="EF542" s="150"/>
      <c r="EG542" s="150"/>
      <c r="EH542" s="150"/>
      <c r="EI542" s="150"/>
      <c r="EJ542" s="150"/>
      <c r="EK542" s="150"/>
      <c r="EL542" s="150"/>
      <c r="EM542" s="150"/>
      <c r="EN542" s="150"/>
      <c r="EO542" s="150"/>
      <c r="EP542" s="150"/>
      <c r="EQ542" s="150"/>
      <c r="ER542" s="150"/>
      <c r="ES542" s="150"/>
      <c r="ET542" s="150"/>
      <c r="EU542" s="150"/>
      <c r="EV542" s="150"/>
      <c r="EW542" s="150"/>
      <c r="EX542" s="150"/>
      <c r="EY542" s="150"/>
      <c r="EZ542" s="150"/>
      <c r="FA542" s="150"/>
      <c r="FB542" s="150"/>
      <c r="FC542" s="150"/>
      <c r="FD542" s="150"/>
      <c r="FE542" s="150"/>
      <c r="FF542" s="150"/>
      <c r="FG542" s="150"/>
      <c r="FH542" s="150"/>
      <c r="FI542" s="150"/>
      <c r="FJ542" s="150"/>
      <c r="FK542" s="150"/>
      <c r="FL542" s="150"/>
      <c r="FM542" s="150"/>
      <c r="FN542" s="150"/>
    </row>
    <row r="543" spans="1:170" s="149" customFormat="1" x14ac:dyDescent="0.25">
      <c r="A543" s="142"/>
      <c r="B543" s="142"/>
      <c r="C543" s="142"/>
      <c r="D543" s="144"/>
      <c r="E543" s="143"/>
      <c r="F543" s="143"/>
      <c r="G543" s="144"/>
      <c r="H543" s="143"/>
      <c r="I543" s="143"/>
      <c r="J543" s="319"/>
      <c r="K543" s="319"/>
      <c r="L543" s="315"/>
      <c r="M543" s="315"/>
      <c r="N543" s="145"/>
      <c r="O543" s="145"/>
      <c r="P543" s="145"/>
      <c r="Q543" s="146"/>
      <c r="R543" s="147"/>
      <c r="S543" s="148"/>
      <c r="T543" s="148"/>
      <c r="U543" s="148"/>
      <c r="V543" s="148"/>
      <c r="W543" s="148"/>
      <c r="X543" s="148"/>
      <c r="Y543" s="148"/>
      <c r="Z543" s="148"/>
      <c r="AA543" s="148"/>
      <c r="AB543" s="148"/>
      <c r="AV543" s="150"/>
      <c r="AW543" s="150"/>
      <c r="AX543" s="150"/>
      <c r="AY543" s="150"/>
      <c r="AZ543" s="150"/>
      <c r="BA543" s="150"/>
      <c r="BB543" s="150"/>
      <c r="BC543" s="150"/>
      <c r="BD543" s="150"/>
      <c r="BE543" s="150"/>
      <c r="BF543" s="150"/>
      <c r="BG543" s="150"/>
      <c r="BH543" s="150"/>
      <c r="BI543" s="150"/>
      <c r="BJ543" s="150"/>
      <c r="BK543" s="150"/>
      <c r="BL543" s="150"/>
      <c r="BM543" s="150"/>
      <c r="BN543" s="150"/>
      <c r="BO543" s="150"/>
      <c r="BP543" s="150"/>
      <c r="BQ543" s="150"/>
      <c r="BR543" s="150"/>
      <c r="BS543" s="150"/>
      <c r="BT543" s="150"/>
      <c r="BU543" s="150"/>
      <c r="BV543" s="150"/>
      <c r="BW543" s="150"/>
      <c r="BX543" s="150"/>
      <c r="BY543" s="150"/>
      <c r="BZ543" s="150"/>
      <c r="CA543" s="150"/>
      <c r="CB543" s="150"/>
      <c r="CC543" s="150"/>
      <c r="CD543" s="150"/>
      <c r="CE543" s="150"/>
      <c r="CF543" s="150"/>
      <c r="CG543" s="150"/>
      <c r="CH543" s="150"/>
      <c r="CI543" s="150"/>
      <c r="CJ543" s="150"/>
      <c r="CK543" s="150"/>
      <c r="CL543" s="150"/>
      <c r="CM543" s="150"/>
      <c r="CN543" s="150"/>
      <c r="CO543" s="150"/>
      <c r="CP543" s="150"/>
      <c r="CQ543" s="150"/>
      <c r="CR543" s="150"/>
      <c r="CS543" s="150"/>
      <c r="CT543" s="150"/>
      <c r="CU543" s="150"/>
      <c r="CV543" s="150"/>
      <c r="CW543" s="150"/>
      <c r="CX543" s="150"/>
      <c r="CY543" s="150"/>
      <c r="CZ543" s="150"/>
      <c r="DA543" s="150"/>
      <c r="DB543" s="150"/>
      <c r="DC543" s="150"/>
      <c r="DD543" s="150"/>
      <c r="DE543" s="150"/>
      <c r="DF543" s="150"/>
      <c r="DG543" s="150"/>
      <c r="DH543" s="150"/>
      <c r="DI543" s="150"/>
      <c r="DJ543" s="150"/>
      <c r="DK543" s="150"/>
      <c r="DL543" s="150"/>
      <c r="DM543" s="150"/>
      <c r="DN543" s="150"/>
      <c r="DO543" s="150"/>
      <c r="DP543" s="150"/>
      <c r="DQ543" s="150"/>
      <c r="DR543" s="150"/>
      <c r="DS543" s="150"/>
      <c r="DT543" s="150"/>
      <c r="DU543" s="150"/>
      <c r="DV543" s="150"/>
      <c r="DW543" s="150"/>
      <c r="DX543" s="150"/>
      <c r="DY543" s="150"/>
      <c r="DZ543" s="150"/>
      <c r="EA543" s="150"/>
      <c r="EB543" s="150"/>
      <c r="EC543" s="150"/>
      <c r="ED543" s="150"/>
      <c r="EE543" s="150"/>
      <c r="EF543" s="150"/>
      <c r="EG543" s="150"/>
      <c r="EH543" s="150"/>
      <c r="EI543" s="150"/>
      <c r="EJ543" s="150"/>
      <c r="EK543" s="150"/>
      <c r="EL543" s="150"/>
      <c r="EM543" s="150"/>
      <c r="EN543" s="150"/>
      <c r="EO543" s="150"/>
      <c r="EP543" s="150"/>
      <c r="EQ543" s="150"/>
      <c r="ER543" s="150"/>
      <c r="ES543" s="150"/>
      <c r="ET543" s="150"/>
      <c r="EU543" s="150"/>
      <c r="EV543" s="150"/>
      <c r="EW543" s="150"/>
      <c r="EX543" s="150"/>
      <c r="EY543" s="150"/>
      <c r="EZ543" s="150"/>
      <c r="FA543" s="150"/>
      <c r="FB543" s="150"/>
      <c r="FC543" s="150"/>
      <c r="FD543" s="150"/>
      <c r="FE543" s="150"/>
      <c r="FF543" s="150"/>
      <c r="FG543" s="150"/>
      <c r="FH543" s="150"/>
      <c r="FI543" s="150"/>
      <c r="FJ543" s="150"/>
      <c r="FK543" s="150"/>
      <c r="FL543" s="150"/>
      <c r="FM543" s="150"/>
      <c r="FN543" s="150"/>
    </row>
    <row r="544" spans="1:170" s="149" customFormat="1" x14ac:dyDescent="0.25">
      <c r="A544" s="142"/>
      <c r="B544" s="142"/>
      <c r="C544" s="142"/>
      <c r="D544" s="144"/>
      <c r="E544" s="143"/>
      <c r="F544" s="143"/>
      <c r="G544" s="144"/>
      <c r="H544" s="143"/>
      <c r="I544" s="143"/>
      <c r="J544" s="319"/>
      <c r="K544" s="319"/>
      <c r="L544" s="315"/>
      <c r="M544" s="315"/>
      <c r="N544" s="145"/>
      <c r="O544" s="145"/>
      <c r="P544" s="145"/>
      <c r="Q544" s="146"/>
      <c r="R544" s="147"/>
      <c r="S544" s="148"/>
      <c r="T544" s="148"/>
      <c r="U544" s="148"/>
      <c r="V544" s="148"/>
      <c r="W544" s="148"/>
      <c r="X544" s="148"/>
      <c r="Y544" s="148"/>
      <c r="Z544" s="148"/>
      <c r="AA544" s="148"/>
      <c r="AB544" s="148"/>
      <c r="AV544" s="150"/>
      <c r="AW544" s="150"/>
      <c r="AX544" s="150"/>
      <c r="AY544" s="150"/>
      <c r="AZ544" s="150"/>
      <c r="BA544" s="150"/>
      <c r="BB544" s="150"/>
      <c r="BC544" s="150"/>
      <c r="BD544" s="150"/>
      <c r="BE544" s="150"/>
      <c r="BF544" s="150"/>
      <c r="BG544" s="150"/>
      <c r="BH544" s="150"/>
      <c r="BI544" s="150"/>
      <c r="BJ544" s="150"/>
      <c r="BK544" s="150"/>
      <c r="BL544" s="150"/>
      <c r="BM544" s="150"/>
      <c r="BN544" s="150"/>
      <c r="BO544" s="150"/>
      <c r="BP544" s="150"/>
      <c r="BQ544" s="150"/>
      <c r="BR544" s="150"/>
      <c r="BS544" s="150"/>
      <c r="BT544" s="150"/>
      <c r="BU544" s="150"/>
      <c r="BV544" s="150"/>
      <c r="BW544" s="150"/>
      <c r="BX544" s="150"/>
      <c r="BY544" s="150"/>
      <c r="BZ544" s="150"/>
      <c r="CA544" s="150"/>
      <c r="CB544" s="150"/>
      <c r="CC544" s="150"/>
      <c r="CD544" s="150"/>
      <c r="CE544" s="150"/>
      <c r="CF544" s="150"/>
      <c r="CG544" s="150"/>
      <c r="CH544" s="150"/>
      <c r="CI544" s="150"/>
      <c r="CJ544" s="150"/>
      <c r="CK544" s="150"/>
      <c r="CL544" s="150"/>
      <c r="CM544" s="150"/>
      <c r="CN544" s="150"/>
      <c r="CO544" s="150"/>
      <c r="CP544" s="150"/>
      <c r="CQ544" s="150"/>
      <c r="CR544" s="150"/>
      <c r="CS544" s="150"/>
      <c r="CT544" s="150"/>
      <c r="CU544" s="150"/>
      <c r="CV544" s="150"/>
      <c r="CW544" s="150"/>
      <c r="CX544" s="150"/>
      <c r="CY544" s="150"/>
      <c r="CZ544" s="150"/>
      <c r="DA544" s="150"/>
      <c r="DB544" s="150"/>
      <c r="DC544" s="150"/>
      <c r="DD544" s="150"/>
      <c r="DE544" s="150"/>
      <c r="DF544" s="150"/>
      <c r="DG544" s="150"/>
      <c r="DH544" s="150"/>
      <c r="DI544" s="150"/>
      <c r="DJ544" s="150"/>
      <c r="DK544" s="150"/>
      <c r="DL544" s="150"/>
      <c r="DM544" s="150"/>
      <c r="DN544" s="150"/>
      <c r="DO544" s="150"/>
      <c r="DP544" s="150"/>
      <c r="DQ544" s="150"/>
      <c r="DR544" s="150"/>
      <c r="DS544" s="150"/>
      <c r="DT544" s="150"/>
      <c r="DU544" s="150"/>
      <c r="DV544" s="150"/>
      <c r="DW544" s="150"/>
      <c r="DX544" s="150"/>
      <c r="DY544" s="150"/>
      <c r="DZ544" s="150"/>
      <c r="EA544" s="150"/>
      <c r="EB544" s="150"/>
      <c r="EC544" s="150"/>
      <c r="ED544" s="150"/>
      <c r="EE544" s="150"/>
      <c r="EF544" s="150"/>
      <c r="EG544" s="150"/>
      <c r="EH544" s="150"/>
      <c r="EI544" s="150"/>
      <c r="EJ544" s="150"/>
      <c r="EK544" s="150"/>
      <c r="EL544" s="150"/>
      <c r="EM544" s="150"/>
      <c r="EN544" s="150"/>
      <c r="EO544" s="150"/>
      <c r="EP544" s="150"/>
      <c r="EQ544" s="150"/>
      <c r="ER544" s="150"/>
      <c r="ES544" s="150"/>
      <c r="ET544" s="150"/>
      <c r="EU544" s="150"/>
      <c r="EV544" s="150"/>
      <c r="EW544" s="150"/>
      <c r="EX544" s="150"/>
      <c r="EY544" s="150"/>
      <c r="EZ544" s="150"/>
      <c r="FA544" s="150"/>
      <c r="FB544" s="150"/>
      <c r="FC544" s="150"/>
      <c r="FD544" s="150"/>
      <c r="FE544" s="150"/>
      <c r="FF544" s="150"/>
      <c r="FG544" s="150"/>
      <c r="FH544" s="150"/>
      <c r="FI544" s="150"/>
      <c r="FJ544" s="150"/>
      <c r="FK544" s="150"/>
      <c r="FL544" s="150"/>
      <c r="FM544" s="150"/>
      <c r="FN544" s="150"/>
    </row>
    <row r="545" spans="1:170" s="149" customFormat="1" x14ac:dyDescent="0.25">
      <c r="A545" s="142"/>
      <c r="B545" s="142"/>
      <c r="C545" s="142"/>
      <c r="D545" s="144"/>
      <c r="E545" s="143"/>
      <c r="F545" s="143"/>
      <c r="G545" s="144"/>
      <c r="H545" s="143"/>
      <c r="I545" s="143"/>
      <c r="J545" s="319"/>
      <c r="K545" s="319"/>
      <c r="L545" s="315"/>
      <c r="M545" s="315"/>
      <c r="N545" s="145"/>
      <c r="O545" s="145"/>
      <c r="P545" s="145"/>
      <c r="Q545" s="146"/>
      <c r="R545" s="147"/>
      <c r="S545" s="148"/>
      <c r="T545" s="148"/>
      <c r="U545" s="148"/>
      <c r="V545" s="148"/>
      <c r="W545" s="148"/>
      <c r="X545" s="148"/>
      <c r="Y545" s="148"/>
      <c r="Z545" s="148"/>
      <c r="AA545" s="148"/>
      <c r="AB545" s="148"/>
      <c r="AV545" s="150"/>
      <c r="AW545" s="150"/>
      <c r="AX545" s="150"/>
      <c r="AY545" s="150"/>
      <c r="AZ545" s="150"/>
      <c r="BA545" s="150"/>
      <c r="BB545" s="150"/>
      <c r="BC545" s="150"/>
      <c r="BD545" s="150"/>
      <c r="BE545" s="150"/>
      <c r="BF545" s="150"/>
      <c r="BG545" s="150"/>
      <c r="BH545" s="150"/>
      <c r="BI545" s="150"/>
      <c r="BJ545" s="150"/>
      <c r="BK545" s="150"/>
      <c r="BL545" s="150"/>
      <c r="BM545" s="150"/>
      <c r="BN545" s="150"/>
      <c r="BO545" s="150"/>
      <c r="BP545" s="150"/>
      <c r="BQ545" s="150"/>
      <c r="BR545" s="150"/>
      <c r="BS545" s="150"/>
      <c r="BT545" s="150"/>
      <c r="BU545" s="150"/>
      <c r="BV545" s="150"/>
      <c r="BW545" s="150"/>
      <c r="BX545" s="150"/>
      <c r="BY545" s="150"/>
      <c r="BZ545" s="150"/>
      <c r="CA545" s="150"/>
      <c r="CB545" s="150"/>
      <c r="CC545" s="150"/>
      <c r="CD545" s="150"/>
      <c r="CE545" s="150"/>
      <c r="CF545" s="150"/>
      <c r="CG545" s="150"/>
      <c r="CH545" s="150"/>
      <c r="CI545" s="150"/>
      <c r="CJ545" s="150"/>
      <c r="CK545" s="150"/>
      <c r="CL545" s="150"/>
      <c r="CM545" s="150"/>
      <c r="CN545" s="150"/>
      <c r="CO545" s="150"/>
      <c r="CP545" s="150"/>
      <c r="CQ545" s="150"/>
      <c r="CR545" s="150"/>
      <c r="CS545" s="150"/>
      <c r="CT545" s="150"/>
      <c r="CU545" s="150"/>
      <c r="CV545" s="150"/>
      <c r="CW545" s="150"/>
      <c r="CX545" s="150"/>
      <c r="CY545" s="150"/>
      <c r="CZ545" s="150"/>
      <c r="DA545" s="150"/>
      <c r="DB545" s="150"/>
      <c r="DC545" s="150"/>
      <c r="DD545" s="150"/>
      <c r="DE545" s="150"/>
      <c r="DF545" s="150"/>
      <c r="DG545" s="150"/>
      <c r="DH545" s="150"/>
      <c r="DI545" s="150"/>
      <c r="DJ545" s="150"/>
      <c r="DK545" s="150"/>
      <c r="DL545" s="150"/>
      <c r="DM545" s="150"/>
      <c r="DN545" s="150"/>
      <c r="DO545" s="150"/>
      <c r="DP545" s="150"/>
      <c r="DQ545" s="150"/>
      <c r="DR545" s="150"/>
      <c r="DS545" s="150"/>
      <c r="DT545" s="150"/>
      <c r="DU545" s="150"/>
      <c r="DV545" s="150"/>
      <c r="DW545" s="150"/>
      <c r="DX545" s="150"/>
      <c r="DY545" s="150"/>
      <c r="DZ545" s="150"/>
      <c r="EA545" s="150"/>
      <c r="EB545" s="150"/>
      <c r="EC545" s="150"/>
      <c r="ED545" s="150"/>
      <c r="EE545" s="150"/>
      <c r="EF545" s="150"/>
      <c r="EG545" s="150"/>
      <c r="EH545" s="150"/>
      <c r="EI545" s="150"/>
      <c r="EJ545" s="150"/>
      <c r="EK545" s="150"/>
      <c r="EL545" s="150"/>
      <c r="EM545" s="150"/>
      <c r="EN545" s="150"/>
      <c r="EO545" s="150"/>
      <c r="EP545" s="150"/>
      <c r="EQ545" s="150"/>
      <c r="ER545" s="150"/>
      <c r="ES545" s="150"/>
      <c r="ET545" s="150"/>
      <c r="EU545" s="150"/>
      <c r="EV545" s="150"/>
      <c r="EW545" s="150"/>
      <c r="EX545" s="150"/>
      <c r="EY545" s="150"/>
      <c r="EZ545" s="150"/>
      <c r="FA545" s="150"/>
      <c r="FB545" s="150"/>
      <c r="FC545" s="150"/>
      <c r="FD545" s="150"/>
      <c r="FE545" s="150"/>
      <c r="FF545" s="150"/>
      <c r="FG545" s="150"/>
      <c r="FH545" s="150"/>
      <c r="FI545" s="150"/>
      <c r="FJ545" s="150"/>
      <c r="FK545" s="150"/>
      <c r="FL545" s="150"/>
      <c r="FM545" s="150"/>
      <c r="FN545" s="150"/>
    </row>
    <row r="546" spans="1:170" s="149" customFormat="1" x14ac:dyDescent="0.25">
      <c r="A546" s="142"/>
      <c r="B546" s="142"/>
      <c r="C546" s="142"/>
      <c r="D546" s="144"/>
      <c r="E546" s="143"/>
      <c r="F546" s="143"/>
      <c r="G546" s="144"/>
      <c r="H546" s="143"/>
      <c r="I546" s="143"/>
      <c r="J546" s="319"/>
      <c r="K546" s="319"/>
      <c r="L546" s="315"/>
      <c r="M546" s="315"/>
      <c r="N546" s="145"/>
      <c r="O546" s="145"/>
      <c r="P546" s="145"/>
      <c r="Q546" s="146"/>
      <c r="R546" s="147"/>
      <c r="S546" s="148"/>
      <c r="T546" s="148"/>
      <c r="U546" s="148"/>
      <c r="V546" s="148"/>
      <c r="W546" s="148"/>
      <c r="X546" s="148"/>
      <c r="Y546" s="148"/>
      <c r="Z546" s="148"/>
      <c r="AA546" s="148"/>
      <c r="AB546" s="148"/>
      <c r="AV546" s="150"/>
      <c r="AW546" s="150"/>
      <c r="AX546" s="150"/>
      <c r="AY546" s="150"/>
      <c r="AZ546" s="150"/>
      <c r="BA546" s="150"/>
      <c r="BB546" s="150"/>
      <c r="BC546" s="150"/>
      <c r="BD546" s="150"/>
      <c r="BE546" s="150"/>
      <c r="BF546" s="150"/>
      <c r="BG546" s="150"/>
      <c r="BH546" s="150"/>
      <c r="BI546" s="150"/>
      <c r="BJ546" s="150"/>
      <c r="BK546" s="150"/>
      <c r="BL546" s="150"/>
      <c r="BM546" s="150"/>
      <c r="BN546" s="150"/>
      <c r="BO546" s="150"/>
      <c r="BP546" s="150"/>
      <c r="BQ546" s="150"/>
      <c r="BR546" s="150"/>
      <c r="BS546" s="150"/>
      <c r="BT546" s="150"/>
      <c r="BU546" s="150"/>
      <c r="BV546" s="150"/>
      <c r="BW546" s="150"/>
      <c r="BX546" s="150"/>
      <c r="BY546" s="150"/>
      <c r="BZ546" s="150"/>
      <c r="CA546" s="150"/>
      <c r="CB546" s="150"/>
      <c r="CC546" s="150"/>
      <c r="CD546" s="150"/>
      <c r="CE546" s="150"/>
      <c r="CF546" s="150"/>
      <c r="CG546" s="150"/>
      <c r="CH546" s="150"/>
      <c r="CI546" s="150"/>
      <c r="CJ546" s="150"/>
      <c r="CK546" s="150"/>
      <c r="CL546" s="150"/>
      <c r="CM546" s="150"/>
      <c r="CN546" s="150"/>
      <c r="CO546" s="150"/>
      <c r="CP546" s="150"/>
      <c r="CQ546" s="150"/>
      <c r="CR546" s="150"/>
      <c r="CS546" s="150"/>
      <c r="CT546" s="150"/>
      <c r="CU546" s="150"/>
      <c r="CV546" s="150"/>
      <c r="CW546" s="150"/>
      <c r="CX546" s="150"/>
      <c r="CY546" s="150"/>
      <c r="CZ546" s="150"/>
      <c r="DA546" s="150"/>
      <c r="DB546" s="150"/>
      <c r="DC546" s="150"/>
      <c r="DD546" s="150"/>
      <c r="DE546" s="150"/>
      <c r="DF546" s="150"/>
      <c r="DG546" s="150"/>
      <c r="DH546" s="150"/>
      <c r="DI546" s="150"/>
      <c r="DJ546" s="150"/>
      <c r="DK546" s="150"/>
      <c r="DL546" s="150"/>
      <c r="DM546" s="150"/>
      <c r="DN546" s="150"/>
      <c r="DO546" s="150"/>
      <c r="DP546" s="150"/>
      <c r="DQ546" s="150"/>
      <c r="DR546" s="150"/>
      <c r="DS546" s="150"/>
      <c r="DT546" s="150"/>
      <c r="DU546" s="150"/>
      <c r="DV546" s="150"/>
      <c r="DW546" s="150"/>
      <c r="DX546" s="150"/>
      <c r="DY546" s="150"/>
      <c r="DZ546" s="150"/>
      <c r="EA546" s="150"/>
      <c r="EB546" s="150"/>
      <c r="EC546" s="150"/>
      <c r="ED546" s="150"/>
      <c r="EE546" s="150"/>
      <c r="EF546" s="150"/>
      <c r="EG546" s="150"/>
      <c r="EH546" s="150"/>
      <c r="EI546" s="150"/>
      <c r="EJ546" s="150"/>
      <c r="EK546" s="150"/>
      <c r="EL546" s="150"/>
      <c r="EM546" s="150"/>
      <c r="EN546" s="150"/>
      <c r="EO546" s="150"/>
      <c r="EP546" s="150"/>
      <c r="EQ546" s="150"/>
      <c r="ER546" s="150"/>
      <c r="ES546" s="150"/>
      <c r="ET546" s="150"/>
      <c r="EU546" s="150"/>
      <c r="EV546" s="150"/>
      <c r="EW546" s="150"/>
      <c r="EX546" s="150"/>
      <c r="EY546" s="150"/>
      <c r="EZ546" s="150"/>
      <c r="FA546" s="150"/>
      <c r="FB546" s="150"/>
      <c r="FC546" s="150"/>
      <c r="FD546" s="150"/>
      <c r="FE546" s="150"/>
      <c r="FF546" s="150"/>
      <c r="FG546" s="150"/>
      <c r="FH546" s="150"/>
      <c r="FI546" s="150"/>
      <c r="FJ546" s="150"/>
      <c r="FK546" s="150"/>
      <c r="FL546" s="150"/>
      <c r="FM546" s="150"/>
      <c r="FN546" s="150"/>
    </row>
    <row r="547" spans="1:170" s="149" customFormat="1" x14ac:dyDescent="0.25">
      <c r="A547" s="142"/>
      <c r="B547" s="142"/>
      <c r="C547" s="142"/>
      <c r="D547" s="144"/>
      <c r="E547" s="143"/>
      <c r="F547" s="143"/>
      <c r="G547" s="144"/>
      <c r="H547" s="143"/>
      <c r="I547" s="143"/>
      <c r="J547" s="319"/>
      <c r="K547" s="319"/>
      <c r="L547" s="315"/>
      <c r="M547" s="315"/>
      <c r="N547" s="145"/>
      <c r="O547" s="145"/>
      <c r="P547" s="145"/>
      <c r="Q547" s="146"/>
      <c r="R547" s="147"/>
      <c r="S547" s="148"/>
      <c r="T547" s="148"/>
      <c r="U547" s="148"/>
      <c r="V547" s="148"/>
      <c r="W547" s="148"/>
      <c r="X547" s="148"/>
      <c r="Y547" s="148"/>
      <c r="Z547" s="148"/>
      <c r="AA547" s="148"/>
      <c r="AB547" s="148"/>
      <c r="AV547" s="150"/>
      <c r="AW547" s="150"/>
      <c r="AX547" s="150"/>
      <c r="AY547" s="150"/>
      <c r="AZ547" s="150"/>
      <c r="BA547" s="150"/>
      <c r="BB547" s="150"/>
      <c r="BC547" s="150"/>
      <c r="BD547" s="150"/>
      <c r="BE547" s="150"/>
      <c r="BF547" s="150"/>
      <c r="BG547" s="150"/>
      <c r="BH547" s="150"/>
      <c r="BI547" s="150"/>
      <c r="BJ547" s="150"/>
      <c r="BK547" s="150"/>
      <c r="BL547" s="150"/>
      <c r="BM547" s="150"/>
      <c r="BN547" s="150"/>
      <c r="BO547" s="150"/>
      <c r="BP547" s="150"/>
      <c r="BQ547" s="150"/>
      <c r="BR547" s="150"/>
      <c r="BS547" s="150"/>
      <c r="BT547" s="150"/>
      <c r="BU547" s="150"/>
      <c r="BV547" s="150"/>
      <c r="BW547" s="150"/>
      <c r="BX547" s="150"/>
      <c r="BY547" s="150"/>
      <c r="BZ547" s="150"/>
      <c r="CA547" s="150"/>
      <c r="CB547" s="150"/>
      <c r="CC547" s="150"/>
      <c r="CD547" s="150"/>
      <c r="CE547" s="150"/>
      <c r="CF547" s="150"/>
      <c r="CG547" s="150"/>
      <c r="CH547" s="150"/>
      <c r="CI547" s="150"/>
      <c r="CJ547" s="150"/>
      <c r="CK547" s="150"/>
      <c r="CL547" s="150"/>
      <c r="CM547" s="150"/>
      <c r="CN547" s="150"/>
      <c r="CO547" s="150"/>
      <c r="CP547" s="150"/>
      <c r="CQ547" s="150"/>
      <c r="CR547" s="150"/>
      <c r="CS547" s="150"/>
      <c r="CT547" s="150"/>
      <c r="CU547" s="150"/>
      <c r="CV547" s="150"/>
      <c r="CW547" s="150"/>
      <c r="CX547" s="150"/>
      <c r="CY547" s="150"/>
      <c r="CZ547" s="150"/>
      <c r="DA547" s="150"/>
      <c r="DB547" s="150"/>
      <c r="DC547" s="150"/>
      <c r="DD547" s="150"/>
      <c r="DE547" s="150"/>
      <c r="DF547" s="150"/>
      <c r="DG547" s="150"/>
      <c r="DH547" s="150"/>
      <c r="DI547" s="150"/>
      <c r="DJ547" s="150"/>
      <c r="DK547" s="150"/>
      <c r="DL547" s="150"/>
      <c r="DM547" s="150"/>
      <c r="DN547" s="150"/>
      <c r="DO547" s="150"/>
      <c r="DP547" s="150"/>
      <c r="DQ547" s="150"/>
      <c r="DR547" s="150"/>
      <c r="DS547" s="150"/>
      <c r="DT547" s="150"/>
      <c r="DU547" s="150"/>
      <c r="DV547" s="150"/>
      <c r="DW547" s="150"/>
      <c r="DX547" s="150"/>
      <c r="DY547" s="150"/>
      <c r="DZ547" s="150"/>
      <c r="EA547" s="150"/>
      <c r="EB547" s="150"/>
      <c r="EC547" s="150"/>
      <c r="ED547" s="150"/>
      <c r="EE547" s="150"/>
      <c r="EF547" s="150"/>
      <c r="EG547" s="150"/>
      <c r="EH547" s="150"/>
      <c r="EI547" s="150"/>
      <c r="EJ547" s="150"/>
      <c r="EK547" s="150"/>
      <c r="EL547" s="150"/>
      <c r="EM547" s="150"/>
      <c r="EN547" s="150"/>
      <c r="EO547" s="150"/>
      <c r="EP547" s="150"/>
      <c r="EQ547" s="150"/>
      <c r="ER547" s="150"/>
      <c r="ES547" s="150"/>
      <c r="ET547" s="150"/>
      <c r="EU547" s="150"/>
      <c r="EV547" s="150"/>
      <c r="EW547" s="150"/>
      <c r="EX547" s="150"/>
      <c r="EY547" s="150"/>
      <c r="EZ547" s="150"/>
      <c r="FA547" s="150"/>
      <c r="FB547" s="150"/>
      <c r="FC547" s="150"/>
      <c r="FD547" s="150"/>
      <c r="FE547" s="150"/>
      <c r="FF547" s="150"/>
      <c r="FG547" s="150"/>
      <c r="FH547" s="150"/>
      <c r="FI547" s="150"/>
      <c r="FJ547" s="150"/>
      <c r="FK547" s="150"/>
      <c r="FL547" s="150"/>
      <c r="FM547" s="150"/>
      <c r="FN547" s="150"/>
    </row>
    <row r="548" spans="1:170" s="149" customFormat="1" x14ac:dyDescent="0.25">
      <c r="A548" s="142"/>
      <c r="B548" s="142"/>
      <c r="C548" s="142"/>
      <c r="D548" s="144"/>
      <c r="E548" s="143"/>
      <c r="F548" s="143"/>
      <c r="G548" s="144"/>
      <c r="H548" s="143"/>
      <c r="I548" s="143"/>
      <c r="J548" s="319"/>
      <c r="K548" s="319"/>
      <c r="L548" s="315"/>
      <c r="M548" s="315"/>
      <c r="N548" s="145"/>
      <c r="O548" s="145"/>
      <c r="P548" s="145"/>
      <c r="Q548" s="146"/>
      <c r="R548" s="147"/>
      <c r="S548" s="148"/>
      <c r="T548" s="148"/>
      <c r="U548" s="148"/>
      <c r="V548" s="148"/>
      <c r="W548" s="148"/>
      <c r="X548" s="148"/>
      <c r="Y548" s="148"/>
      <c r="Z548" s="148"/>
      <c r="AA548" s="148"/>
      <c r="AB548" s="148"/>
      <c r="AV548" s="150"/>
      <c r="AW548" s="150"/>
      <c r="AX548" s="150"/>
      <c r="AY548" s="150"/>
      <c r="AZ548" s="150"/>
      <c r="BA548" s="150"/>
      <c r="BB548" s="150"/>
      <c r="BC548" s="150"/>
      <c r="BD548" s="150"/>
      <c r="BE548" s="150"/>
      <c r="BF548" s="150"/>
      <c r="BG548" s="150"/>
      <c r="BH548" s="150"/>
      <c r="BI548" s="150"/>
      <c r="BJ548" s="150"/>
      <c r="BK548" s="150"/>
      <c r="BL548" s="150"/>
      <c r="BM548" s="150"/>
      <c r="BN548" s="150"/>
      <c r="BO548" s="150"/>
      <c r="BP548" s="150"/>
      <c r="BQ548" s="150"/>
      <c r="BR548" s="150"/>
      <c r="BS548" s="150"/>
      <c r="BT548" s="150"/>
      <c r="BU548" s="150"/>
      <c r="BV548" s="150"/>
      <c r="BW548" s="150"/>
      <c r="BX548" s="150"/>
      <c r="BY548" s="150"/>
      <c r="BZ548" s="150"/>
      <c r="CA548" s="150"/>
      <c r="CB548" s="150"/>
      <c r="CC548" s="150"/>
      <c r="CD548" s="150"/>
      <c r="CE548" s="150"/>
      <c r="CF548" s="150"/>
      <c r="CG548" s="150"/>
      <c r="CH548" s="150"/>
      <c r="CI548" s="150"/>
      <c r="CJ548" s="150"/>
      <c r="CK548" s="150"/>
      <c r="CL548" s="150"/>
      <c r="CM548" s="150"/>
      <c r="CN548" s="150"/>
      <c r="CO548" s="150"/>
      <c r="CP548" s="150"/>
      <c r="CQ548" s="150"/>
      <c r="CR548" s="150"/>
      <c r="CS548" s="150"/>
      <c r="CT548" s="150"/>
      <c r="CU548" s="150"/>
      <c r="CV548" s="150"/>
      <c r="CW548" s="150"/>
      <c r="CX548" s="150"/>
      <c r="CY548" s="150"/>
      <c r="CZ548" s="150"/>
      <c r="DA548" s="150"/>
      <c r="DB548" s="150"/>
      <c r="DC548" s="150"/>
      <c r="DD548" s="150"/>
      <c r="DE548" s="150"/>
      <c r="DF548" s="150"/>
      <c r="DG548" s="150"/>
      <c r="DH548" s="150"/>
      <c r="DI548" s="150"/>
      <c r="DJ548" s="150"/>
      <c r="DK548" s="150"/>
      <c r="DL548" s="150"/>
      <c r="DM548" s="150"/>
      <c r="DN548" s="150"/>
      <c r="DO548" s="150"/>
      <c r="DP548" s="150"/>
      <c r="DQ548" s="150"/>
      <c r="DR548" s="150"/>
      <c r="DS548" s="150"/>
      <c r="DT548" s="150"/>
      <c r="DU548" s="150"/>
      <c r="DV548" s="150"/>
      <c r="DW548" s="150"/>
      <c r="DX548" s="150"/>
      <c r="DY548" s="150"/>
      <c r="DZ548" s="150"/>
      <c r="EA548" s="150"/>
      <c r="EB548" s="150"/>
      <c r="EC548" s="150"/>
      <c r="ED548" s="150"/>
      <c r="EE548" s="150"/>
      <c r="EF548" s="150"/>
      <c r="EG548" s="150"/>
      <c r="EH548" s="150"/>
      <c r="EI548" s="150"/>
      <c r="EJ548" s="150"/>
      <c r="EK548" s="150"/>
      <c r="EL548" s="150"/>
      <c r="EM548" s="150"/>
      <c r="EN548" s="150"/>
      <c r="EO548" s="150"/>
      <c r="EP548" s="150"/>
      <c r="EQ548" s="150"/>
      <c r="ER548" s="150"/>
      <c r="ES548" s="150"/>
      <c r="ET548" s="150"/>
      <c r="EU548" s="150"/>
      <c r="EV548" s="150"/>
      <c r="EW548" s="150"/>
      <c r="EX548" s="150"/>
      <c r="EY548" s="150"/>
      <c r="EZ548" s="150"/>
      <c r="FA548" s="150"/>
      <c r="FB548" s="150"/>
      <c r="FC548" s="150"/>
      <c r="FD548" s="150"/>
      <c r="FE548" s="150"/>
      <c r="FF548" s="150"/>
      <c r="FG548" s="150"/>
      <c r="FH548" s="150"/>
      <c r="FI548" s="150"/>
      <c r="FJ548" s="150"/>
      <c r="FK548" s="150"/>
      <c r="FL548" s="150"/>
      <c r="FM548" s="150"/>
      <c r="FN548" s="150"/>
    </row>
    <row r="549" spans="1:170" s="149" customFormat="1" x14ac:dyDescent="0.25">
      <c r="A549" s="142"/>
      <c r="B549" s="142"/>
      <c r="C549" s="142"/>
      <c r="D549" s="144"/>
      <c r="E549" s="143"/>
      <c r="F549" s="143"/>
      <c r="G549" s="144"/>
      <c r="H549" s="143"/>
      <c r="I549" s="143"/>
      <c r="J549" s="319"/>
      <c r="K549" s="319"/>
      <c r="L549" s="315"/>
      <c r="M549" s="315"/>
      <c r="N549" s="145"/>
      <c r="O549" s="145"/>
      <c r="P549" s="145"/>
      <c r="Q549" s="146"/>
      <c r="R549" s="147"/>
      <c r="S549" s="148"/>
      <c r="T549" s="148"/>
      <c r="U549" s="148"/>
      <c r="V549" s="148"/>
      <c r="W549" s="148"/>
      <c r="X549" s="148"/>
      <c r="Y549" s="148"/>
      <c r="Z549" s="148"/>
      <c r="AA549" s="148"/>
      <c r="AB549" s="148"/>
      <c r="AV549" s="150"/>
      <c r="AW549" s="150"/>
      <c r="AX549" s="150"/>
      <c r="AY549" s="150"/>
      <c r="AZ549" s="150"/>
      <c r="BA549" s="150"/>
      <c r="BB549" s="150"/>
      <c r="BC549" s="150"/>
      <c r="BD549" s="150"/>
      <c r="BE549" s="150"/>
      <c r="BF549" s="150"/>
      <c r="BG549" s="150"/>
      <c r="BH549" s="150"/>
      <c r="BI549" s="150"/>
      <c r="BJ549" s="150"/>
      <c r="BK549" s="150"/>
      <c r="BL549" s="150"/>
      <c r="BM549" s="150"/>
      <c r="BN549" s="150"/>
      <c r="BO549" s="150"/>
      <c r="BP549" s="150"/>
      <c r="BQ549" s="150"/>
      <c r="BR549" s="150"/>
      <c r="BS549" s="150"/>
      <c r="BT549" s="150"/>
      <c r="BU549" s="150"/>
      <c r="BV549" s="150"/>
      <c r="BW549" s="150"/>
      <c r="BX549" s="150"/>
      <c r="BY549" s="150"/>
      <c r="BZ549" s="150"/>
      <c r="CA549" s="150"/>
      <c r="CB549" s="150"/>
      <c r="CC549" s="150"/>
      <c r="CD549" s="150"/>
      <c r="CE549" s="150"/>
      <c r="CF549" s="150"/>
      <c r="CG549" s="150"/>
      <c r="CH549" s="150"/>
      <c r="CI549" s="150"/>
      <c r="CJ549" s="150"/>
      <c r="CK549" s="150"/>
      <c r="CL549" s="150"/>
      <c r="CM549" s="150"/>
      <c r="CN549" s="150"/>
      <c r="CO549" s="150"/>
      <c r="CP549" s="150"/>
      <c r="CQ549" s="150"/>
      <c r="CR549" s="150"/>
      <c r="CS549" s="150"/>
      <c r="CT549" s="150"/>
      <c r="CU549" s="150"/>
      <c r="CV549" s="150"/>
      <c r="CW549" s="150"/>
      <c r="CX549" s="150"/>
      <c r="CY549" s="150"/>
      <c r="CZ549" s="150"/>
      <c r="DA549" s="150"/>
      <c r="DB549" s="150"/>
      <c r="DC549" s="150"/>
      <c r="DD549" s="150"/>
      <c r="DE549" s="150"/>
      <c r="DF549" s="150"/>
      <c r="DG549" s="150"/>
      <c r="DH549" s="150"/>
      <c r="DI549" s="150"/>
      <c r="DJ549" s="150"/>
      <c r="DK549" s="150"/>
      <c r="DL549" s="150"/>
      <c r="DM549" s="150"/>
      <c r="DN549" s="150"/>
      <c r="DO549" s="150"/>
      <c r="DP549" s="150"/>
      <c r="DQ549" s="150"/>
      <c r="DR549" s="150"/>
      <c r="DS549" s="150"/>
      <c r="DT549" s="150"/>
      <c r="DU549" s="150"/>
      <c r="DV549" s="150"/>
      <c r="DW549" s="150"/>
      <c r="DX549" s="150"/>
      <c r="DY549" s="150"/>
      <c r="DZ549" s="150"/>
      <c r="EA549" s="150"/>
      <c r="EB549" s="150"/>
      <c r="EC549" s="150"/>
      <c r="ED549" s="150"/>
      <c r="EE549" s="150"/>
      <c r="EF549" s="150"/>
      <c r="EG549" s="150"/>
      <c r="EH549" s="150"/>
      <c r="EI549" s="150"/>
      <c r="EJ549" s="150"/>
      <c r="EK549" s="150"/>
      <c r="EL549" s="150"/>
      <c r="EM549" s="150"/>
      <c r="EN549" s="150"/>
      <c r="EO549" s="150"/>
      <c r="EP549" s="150"/>
      <c r="EQ549" s="150"/>
      <c r="ER549" s="150"/>
      <c r="ES549" s="150"/>
      <c r="ET549" s="150"/>
      <c r="EU549" s="150"/>
      <c r="EV549" s="150"/>
      <c r="EW549" s="150"/>
      <c r="EX549" s="150"/>
      <c r="EY549" s="150"/>
      <c r="EZ549" s="150"/>
      <c r="FA549" s="150"/>
      <c r="FB549" s="150"/>
      <c r="FC549" s="150"/>
      <c r="FD549" s="150"/>
      <c r="FE549" s="150"/>
      <c r="FF549" s="150"/>
      <c r="FG549" s="150"/>
      <c r="FH549" s="150"/>
      <c r="FI549" s="150"/>
      <c r="FJ549" s="150"/>
      <c r="FK549" s="150"/>
      <c r="FL549" s="150"/>
      <c r="FM549" s="150"/>
      <c r="FN549" s="150"/>
    </row>
    <row r="550" spans="1:170" s="149" customFormat="1" x14ac:dyDescent="0.25">
      <c r="A550" s="142"/>
      <c r="B550" s="142"/>
      <c r="C550" s="142"/>
      <c r="D550" s="144"/>
      <c r="E550" s="143"/>
      <c r="F550" s="143"/>
      <c r="G550" s="144"/>
      <c r="H550" s="143"/>
      <c r="I550" s="143"/>
      <c r="J550" s="319"/>
      <c r="K550" s="319"/>
      <c r="L550" s="315"/>
      <c r="M550" s="315"/>
      <c r="N550" s="145"/>
      <c r="O550" s="145"/>
      <c r="P550" s="145"/>
      <c r="Q550" s="146"/>
      <c r="R550" s="147"/>
      <c r="S550" s="148"/>
      <c r="T550" s="148"/>
      <c r="U550" s="148"/>
      <c r="V550" s="148"/>
      <c r="W550" s="148"/>
      <c r="X550" s="148"/>
      <c r="Y550" s="148"/>
      <c r="Z550" s="148"/>
      <c r="AA550" s="148"/>
      <c r="AB550" s="148"/>
      <c r="AV550" s="150"/>
      <c r="AW550" s="150"/>
      <c r="AX550" s="150"/>
      <c r="AY550" s="150"/>
      <c r="AZ550" s="150"/>
      <c r="BA550" s="150"/>
      <c r="BB550" s="150"/>
      <c r="BC550" s="150"/>
      <c r="BD550" s="150"/>
      <c r="BE550" s="150"/>
      <c r="BF550" s="150"/>
      <c r="BG550" s="150"/>
      <c r="BH550" s="150"/>
      <c r="BI550" s="150"/>
      <c r="BJ550" s="150"/>
      <c r="BK550" s="150"/>
      <c r="BL550" s="150"/>
      <c r="BM550" s="150"/>
      <c r="BN550" s="150"/>
      <c r="BO550" s="150"/>
      <c r="BP550" s="150"/>
      <c r="BQ550" s="150"/>
      <c r="BR550" s="150"/>
      <c r="BS550" s="150"/>
      <c r="BT550" s="150"/>
      <c r="BU550" s="150"/>
      <c r="BV550" s="150"/>
      <c r="BW550" s="150"/>
      <c r="BX550" s="150"/>
      <c r="BY550" s="150"/>
      <c r="BZ550" s="150"/>
      <c r="CA550" s="150"/>
      <c r="CB550" s="150"/>
      <c r="CC550" s="150"/>
      <c r="CD550" s="150"/>
      <c r="CE550" s="150"/>
      <c r="CF550" s="150"/>
      <c r="CG550" s="150"/>
      <c r="CH550" s="150"/>
      <c r="CI550" s="150"/>
      <c r="CJ550" s="150"/>
      <c r="CK550" s="150"/>
      <c r="CL550" s="150"/>
      <c r="CM550" s="150"/>
      <c r="CN550" s="150"/>
      <c r="CO550" s="150"/>
      <c r="CP550" s="150"/>
      <c r="CQ550" s="150"/>
      <c r="CR550" s="150"/>
      <c r="CS550" s="150"/>
      <c r="CT550" s="150"/>
      <c r="CU550" s="150"/>
      <c r="CV550" s="150"/>
      <c r="CW550" s="150"/>
      <c r="CX550" s="150"/>
      <c r="CY550" s="150"/>
      <c r="CZ550" s="150"/>
      <c r="DA550" s="150"/>
      <c r="DB550" s="150"/>
      <c r="DC550" s="150"/>
      <c r="DD550" s="150"/>
      <c r="DE550" s="150"/>
      <c r="DF550" s="150"/>
      <c r="DG550" s="150"/>
      <c r="DH550" s="150"/>
      <c r="DI550" s="150"/>
      <c r="DJ550" s="150"/>
      <c r="DK550" s="150"/>
      <c r="DL550" s="150"/>
      <c r="DM550" s="150"/>
      <c r="DN550" s="150"/>
      <c r="DO550" s="150"/>
      <c r="DP550" s="150"/>
      <c r="DQ550" s="150"/>
      <c r="DR550" s="150"/>
      <c r="DS550" s="150"/>
      <c r="DT550" s="150"/>
      <c r="DU550" s="150"/>
      <c r="DV550" s="150"/>
      <c r="DW550" s="150"/>
      <c r="DX550" s="150"/>
      <c r="DY550" s="150"/>
      <c r="DZ550" s="150"/>
      <c r="EA550" s="150"/>
      <c r="EB550" s="150"/>
      <c r="EC550" s="150"/>
      <c r="ED550" s="150"/>
      <c r="EE550" s="150"/>
      <c r="EF550" s="150"/>
      <c r="EG550" s="150"/>
      <c r="EH550" s="150"/>
      <c r="EI550" s="150"/>
      <c r="EJ550" s="150"/>
      <c r="EK550" s="150"/>
      <c r="EL550" s="150"/>
      <c r="EM550" s="150"/>
      <c r="EN550" s="150"/>
      <c r="EO550" s="150"/>
      <c r="EP550" s="150"/>
      <c r="EQ550" s="150"/>
      <c r="ER550" s="150"/>
      <c r="ES550" s="150"/>
      <c r="ET550" s="150"/>
      <c r="EU550" s="150"/>
      <c r="EV550" s="150"/>
      <c r="EW550" s="150"/>
      <c r="EX550" s="150"/>
      <c r="EY550" s="150"/>
      <c r="EZ550" s="150"/>
      <c r="FA550" s="150"/>
      <c r="FB550" s="150"/>
      <c r="FC550" s="150"/>
      <c r="FD550" s="150"/>
      <c r="FE550" s="150"/>
      <c r="FF550" s="150"/>
      <c r="FG550" s="150"/>
      <c r="FH550" s="150"/>
      <c r="FI550" s="150"/>
      <c r="FJ550" s="150"/>
      <c r="FK550" s="150"/>
      <c r="FL550" s="150"/>
      <c r="FM550" s="150"/>
      <c r="FN550" s="150"/>
    </row>
    <row r="551" spans="1:170" s="149" customFormat="1" x14ac:dyDescent="0.25">
      <c r="A551" s="142"/>
      <c r="B551" s="142"/>
      <c r="C551" s="142"/>
      <c r="D551" s="144"/>
      <c r="E551" s="143"/>
      <c r="F551" s="143"/>
      <c r="G551" s="144"/>
      <c r="H551" s="143"/>
      <c r="I551" s="143"/>
      <c r="J551" s="319"/>
      <c r="K551" s="319"/>
      <c r="L551" s="315"/>
      <c r="M551" s="315"/>
      <c r="N551" s="145"/>
      <c r="O551" s="145"/>
      <c r="P551" s="145"/>
      <c r="Q551" s="146"/>
      <c r="R551" s="147"/>
      <c r="S551" s="148"/>
      <c r="T551" s="148"/>
      <c r="U551" s="148"/>
      <c r="V551" s="148"/>
      <c r="W551" s="148"/>
      <c r="X551" s="148"/>
      <c r="Y551" s="148"/>
      <c r="Z551" s="148"/>
      <c r="AA551" s="148"/>
      <c r="AB551" s="148"/>
      <c r="AV551" s="150"/>
      <c r="AW551" s="150"/>
      <c r="AX551" s="150"/>
      <c r="AY551" s="150"/>
      <c r="AZ551" s="150"/>
      <c r="BA551" s="150"/>
      <c r="BB551" s="150"/>
      <c r="BC551" s="150"/>
      <c r="BD551" s="150"/>
      <c r="BE551" s="150"/>
      <c r="BF551" s="150"/>
      <c r="BG551" s="150"/>
      <c r="BH551" s="150"/>
      <c r="BI551" s="150"/>
      <c r="BJ551" s="150"/>
      <c r="BK551" s="150"/>
      <c r="BL551" s="150"/>
      <c r="BM551" s="150"/>
      <c r="BN551" s="150"/>
      <c r="BO551" s="150"/>
      <c r="BP551" s="150"/>
      <c r="BQ551" s="150"/>
      <c r="BR551" s="150"/>
      <c r="BS551" s="150"/>
      <c r="BT551" s="150"/>
      <c r="BU551" s="150"/>
      <c r="BV551" s="150"/>
      <c r="BW551" s="150"/>
      <c r="BX551" s="150"/>
      <c r="BY551" s="150"/>
      <c r="BZ551" s="150"/>
      <c r="CA551" s="150"/>
      <c r="CB551" s="150"/>
      <c r="CC551" s="150"/>
      <c r="CD551" s="150"/>
      <c r="CE551" s="150"/>
      <c r="CF551" s="150"/>
      <c r="CG551" s="150"/>
      <c r="CH551" s="150"/>
      <c r="CI551" s="150"/>
      <c r="CJ551" s="150"/>
      <c r="CK551" s="150"/>
      <c r="CL551" s="150"/>
      <c r="CM551" s="150"/>
      <c r="CN551" s="150"/>
      <c r="CO551" s="150"/>
      <c r="CP551" s="150"/>
      <c r="CQ551" s="150"/>
      <c r="CR551" s="150"/>
      <c r="CS551" s="150"/>
      <c r="CT551" s="150"/>
      <c r="CU551" s="150"/>
      <c r="CV551" s="150"/>
      <c r="CW551" s="150"/>
      <c r="CX551" s="150"/>
      <c r="CY551" s="150"/>
      <c r="CZ551" s="150"/>
      <c r="DA551" s="150"/>
      <c r="DB551" s="150"/>
      <c r="DC551" s="150"/>
      <c r="DD551" s="150"/>
      <c r="DE551" s="150"/>
      <c r="DF551" s="150"/>
      <c r="DG551" s="150"/>
      <c r="DH551" s="150"/>
      <c r="DI551" s="150"/>
      <c r="DJ551" s="150"/>
      <c r="DK551" s="150"/>
      <c r="DL551" s="150"/>
      <c r="DM551" s="150"/>
      <c r="DN551" s="150"/>
      <c r="DO551" s="150"/>
      <c r="DP551" s="150"/>
      <c r="DQ551" s="150"/>
      <c r="DR551" s="150"/>
      <c r="DS551" s="150"/>
      <c r="DT551" s="150"/>
      <c r="DU551" s="150"/>
      <c r="DV551" s="150"/>
      <c r="DW551" s="150"/>
      <c r="DX551" s="150"/>
      <c r="DY551" s="150"/>
      <c r="DZ551" s="150"/>
      <c r="EA551" s="150"/>
      <c r="EB551" s="150"/>
      <c r="EC551" s="150"/>
      <c r="ED551" s="150"/>
      <c r="EE551" s="150"/>
      <c r="EF551" s="150"/>
      <c r="EG551" s="150"/>
      <c r="EH551" s="150"/>
      <c r="EI551" s="150"/>
      <c r="EJ551" s="150"/>
      <c r="EK551" s="150"/>
      <c r="EL551" s="150"/>
      <c r="EM551" s="150"/>
      <c r="EN551" s="150"/>
      <c r="EO551" s="150"/>
      <c r="EP551" s="150"/>
      <c r="EQ551" s="150"/>
      <c r="ER551" s="150"/>
      <c r="ES551" s="150"/>
      <c r="ET551" s="150"/>
      <c r="EU551" s="150"/>
      <c r="EV551" s="150"/>
      <c r="EW551" s="150"/>
      <c r="EX551" s="150"/>
      <c r="EY551" s="150"/>
      <c r="EZ551" s="150"/>
      <c r="FA551" s="150"/>
      <c r="FB551" s="150"/>
      <c r="FC551" s="150"/>
      <c r="FD551" s="150"/>
      <c r="FE551" s="150"/>
      <c r="FF551" s="150"/>
      <c r="FG551" s="150"/>
      <c r="FH551" s="150"/>
      <c r="FI551" s="150"/>
      <c r="FJ551" s="150"/>
      <c r="FK551" s="150"/>
      <c r="FL551" s="150"/>
      <c r="FM551" s="150"/>
      <c r="FN551" s="150"/>
    </row>
    <row r="552" spans="1:170" s="149" customFormat="1" x14ac:dyDescent="0.25">
      <c r="A552" s="142"/>
      <c r="B552" s="142"/>
      <c r="C552" s="142"/>
      <c r="D552" s="144"/>
      <c r="E552" s="143"/>
      <c r="F552" s="143"/>
      <c r="G552" s="144"/>
      <c r="H552" s="143"/>
      <c r="I552" s="143"/>
      <c r="J552" s="319"/>
      <c r="K552" s="319"/>
      <c r="L552" s="315"/>
      <c r="M552" s="315"/>
      <c r="N552" s="145"/>
      <c r="O552" s="145"/>
      <c r="P552" s="145"/>
      <c r="Q552" s="146"/>
      <c r="R552" s="147"/>
      <c r="S552" s="148"/>
      <c r="T552" s="148"/>
      <c r="U552" s="148"/>
      <c r="V552" s="148"/>
      <c r="W552" s="148"/>
      <c r="X552" s="148"/>
      <c r="Y552" s="148"/>
      <c r="Z552" s="148"/>
      <c r="AA552" s="148"/>
      <c r="AB552" s="148"/>
      <c r="AV552" s="150"/>
      <c r="AW552" s="150"/>
      <c r="AX552" s="150"/>
      <c r="AY552" s="150"/>
      <c r="AZ552" s="150"/>
      <c r="BA552" s="150"/>
      <c r="BB552" s="150"/>
      <c r="BC552" s="150"/>
      <c r="BD552" s="150"/>
      <c r="BE552" s="150"/>
      <c r="BF552" s="150"/>
      <c r="BG552" s="150"/>
      <c r="BH552" s="150"/>
      <c r="BI552" s="150"/>
      <c r="BJ552" s="150"/>
      <c r="BK552" s="150"/>
      <c r="BL552" s="150"/>
      <c r="BM552" s="150"/>
      <c r="BN552" s="150"/>
      <c r="BO552" s="150"/>
      <c r="BP552" s="150"/>
      <c r="BQ552" s="150"/>
      <c r="BR552" s="150"/>
      <c r="BS552" s="150"/>
      <c r="BT552" s="150"/>
      <c r="BU552" s="150"/>
      <c r="BV552" s="150"/>
      <c r="BW552" s="150"/>
      <c r="BX552" s="150"/>
      <c r="BY552" s="150"/>
      <c r="BZ552" s="150"/>
      <c r="CA552" s="150"/>
      <c r="CB552" s="150"/>
      <c r="CC552" s="150"/>
      <c r="CD552" s="150"/>
      <c r="CE552" s="150"/>
      <c r="CF552" s="150"/>
      <c r="CG552" s="150"/>
      <c r="CH552" s="150"/>
      <c r="CI552" s="150"/>
      <c r="CJ552" s="150"/>
      <c r="CK552" s="150"/>
      <c r="CL552" s="150"/>
      <c r="CM552" s="150"/>
      <c r="CN552" s="150"/>
      <c r="CO552" s="150"/>
      <c r="CP552" s="150"/>
      <c r="CQ552" s="150"/>
      <c r="CR552" s="150"/>
      <c r="CS552" s="150"/>
      <c r="CT552" s="150"/>
      <c r="CU552" s="150"/>
      <c r="CV552" s="150"/>
      <c r="CW552" s="150"/>
      <c r="CX552" s="150"/>
      <c r="CY552" s="150"/>
      <c r="CZ552" s="150"/>
      <c r="DA552" s="150"/>
      <c r="DB552" s="150"/>
      <c r="DC552" s="150"/>
      <c r="DD552" s="150"/>
      <c r="DE552" s="150"/>
      <c r="DF552" s="150"/>
      <c r="DG552" s="150"/>
      <c r="DH552" s="150"/>
      <c r="DI552" s="150"/>
      <c r="DJ552" s="150"/>
      <c r="DK552" s="150"/>
      <c r="DL552" s="150"/>
      <c r="DM552" s="150"/>
      <c r="DN552" s="150"/>
      <c r="DO552" s="150"/>
      <c r="DP552" s="150"/>
      <c r="DQ552" s="150"/>
      <c r="DR552" s="150"/>
      <c r="DS552" s="150"/>
      <c r="DT552" s="150"/>
      <c r="DU552" s="150"/>
      <c r="DV552" s="150"/>
      <c r="DW552" s="150"/>
      <c r="DX552" s="150"/>
      <c r="DY552" s="150"/>
      <c r="DZ552" s="150"/>
      <c r="EA552" s="150"/>
      <c r="EB552" s="150"/>
      <c r="EC552" s="150"/>
      <c r="ED552" s="150"/>
      <c r="EE552" s="150"/>
      <c r="EF552" s="150"/>
      <c r="EG552" s="150"/>
      <c r="EH552" s="150"/>
      <c r="EI552" s="150"/>
      <c r="EJ552" s="150"/>
      <c r="EK552" s="150"/>
      <c r="EL552" s="150"/>
      <c r="EM552" s="150"/>
      <c r="EN552" s="150"/>
      <c r="EO552" s="150"/>
      <c r="EP552" s="150"/>
      <c r="EQ552" s="150"/>
      <c r="ER552" s="150"/>
      <c r="ES552" s="150"/>
      <c r="ET552" s="150"/>
      <c r="EU552" s="150"/>
      <c r="EV552" s="150"/>
      <c r="EW552" s="150"/>
      <c r="EX552" s="150"/>
      <c r="EY552" s="150"/>
      <c r="EZ552" s="150"/>
      <c r="FA552" s="150"/>
      <c r="FB552" s="150"/>
      <c r="FC552" s="150"/>
      <c r="FD552" s="150"/>
      <c r="FE552" s="150"/>
      <c r="FF552" s="150"/>
      <c r="FG552" s="150"/>
      <c r="FH552" s="150"/>
      <c r="FI552" s="150"/>
      <c r="FJ552" s="150"/>
      <c r="FK552" s="150"/>
      <c r="FL552" s="150"/>
      <c r="FM552" s="150"/>
      <c r="FN552" s="150"/>
    </row>
    <row r="553" spans="1:170" s="149" customFormat="1" x14ac:dyDescent="0.25">
      <c r="A553" s="142"/>
      <c r="B553" s="142"/>
      <c r="C553" s="142"/>
      <c r="D553" s="144"/>
      <c r="E553" s="143"/>
      <c r="F553" s="143"/>
      <c r="G553" s="144"/>
      <c r="H553" s="143"/>
      <c r="I553" s="143"/>
      <c r="J553" s="319"/>
      <c r="K553" s="319"/>
      <c r="L553" s="315"/>
      <c r="M553" s="315"/>
      <c r="N553" s="145"/>
      <c r="O553" s="145"/>
      <c r="P553" s="145"/>
      <c r="Q553" s="146"/>
      <c r="R553" s="147"/>
      <c r="S553" s="148"/>
      <c r="T553" s="148"/>
      <c r="U553" s="148"/>
      <c r="V553" s="148"/>
      <c r="W553" s="148"/>
      <c r="X553" s="148"/>
      <c r="Y553" s="148"/>
      <c r="Z553" s="148"/>
      <c r="AA553" s="148"/>
      <c r="AB553" s="148"/>
      <c r="AV553" s="150"/>
      <c r="AW553" s="150"/>
      <c r="AX553" s="150"/>
      <c r="AY553" s="150"/>
      <c r="AZ553" s="150"/>
      <c r="BA553" s="150"/>
      <c r="BB553" s="150"/>
      <c r="BC553" s="150"/>
      <c r="BD553" s="150"/>
      <c r="BE553" s="150"/>
      <c r="BF553" s="150"/>
      <c r="BG553" s="150"/>
      <c r="BH553" s="150"/>
      <c r="BI553" s="150"/>
      <c r="BJ553" s="150"/>
      <c r="BK553" s="150"/>
      <c r="BL553" s="150"/>
      <c r="BM553" s="150"/>
      <c r="BN553" s="150"/>
      <c r="BO553" s="150"/>
      <c r="BP553" s="150"/>
      <c r="BQ553" s="150"/>
      <c r="BR553" s="150"/>
      <c r="BS553" s="150"/>
      <c r="BT553" s="150"/>
      <c r="BU553" s="150"/>
      <c r="BV553" s="150"/>
      <c r="BW553" s="150"/>
      <c r="BX553" s="150"/>
      <c r="BY553" s="150"/>
      <c r="BZ553" s="150"/>
      <c r="CA553" s="150"/>
      <c r="CB553" s="150"/>
      <c r="CC553" s="150"/>
      <c r="CD553" s="150"/>
      <c r="CE553" s="150"/>
      <c r="CF553" s="150"/>
      <c r="CG553" s="150"/>
      <c r="CH553" s="150"/>
      <c r="CI553" s="150"/>
      <c r="CJ553" s="150"/>
      <c r="CK553" s="150"/>
      <c r="CL553" s="150"/>
      <c r="CM553" s="150"/>
      <c r="CN553" s="150"/>
      <c r="CO553" s="150"/>
      <c r="CP553" s="150"/>
      <c r="CQ553" s="150"/>
      <c r="CR553" s="150"/>
      <c r="CS553" s="150"/>
      <c r="CT553" s="150"/>
      <c r="CU553" s="150"/>
      <c r="CV553" s="150"/>
      <c r="CW553" s="150"/>
      <c r="CX553" s="150"/>
      <c r="CY553" s="150"/>
      <c r="CZ553" s="150"/>
      <c r="DA553" s="150"/>
      <c r="DB553" s="150"/>
      <c r="DC553" s="150"/>
      <c r="DD553" s="150"/>
      <c r="DE553" s="150"/>
      <c r="DF553" s="150"/>
      <c r="DG553" s="150"/>
      <c r="DH553" s="150"/>
      <c r="DI553" s="150"/>
      <c r="DJ553" s="150"/>
      <c r="DK553" s="150"/>
      <c r="DL553" s="150"/>
      <c r="DM553" s="150"/>
      <c r="DN553" s="150"/>
      <c r="DO553" s="150"/>
      <c r="DP553" s="150"/>
      <c r="DQ553" s="150"/>
      <c r="DR553" s="150"/>
      <c r="DS553" s="150"/>
      <c r="DT553" s="150"/>
      <c r="DU553" s="150"/>
      <c r="DV553" s="150"/>
      <c r="DW553" s="150"/>
      <c r="DX553" s="150"/>
      <c r="DY553" s="150"/>
      <c r="DZ553" s="150"/>
      <c r="EA553" s="150"/>
      <c r="EB553" s="150"/>
      <c r="EC553" s="150"/>
      <c r="ED553" s="150"/>
      <c r="EE553" s="150"/>
      <c r="EF553" s="150"/>
      <c r="EG553" s="150"/>
      <c r="EH553" s="150"/>
      <c r="EI553" s="150"/>
      <c r="EJ553" s="150"/>
      <c r="EK553" s="150"/>
      <c r="EL553" s="150"/>
      <c r="EM553" s="150"/>
      <c r="EN553" s="150"/>
      <c r="EO553" s="150"/>
      <c r="EP553" s="150"/>
      <c r="EQ553" s="150"/>
      <c r="ER553" s="150"/>
      <c r="ES553" s="150"/>
      <c r="ET553" s="150"/>
      <c r="EU553" s="150"/>
      <c r="EV553" s="150"/>
      <c r="EW553" s="150"/>
      <c r="EX553" s="150"/>
      <c r="EY553" s="150"/>
      <c r="EZ553" s="150"/>
      <c r="FA553" s="150"/>
      <c r="FB553" s="150"/>
      <c r="FC553" s="150"/>
      <c r="FD553" s="150"/>
      <c r="FE553" s="150"/>
      <c r="FF553" s="150"/>
      <c r="FG553" s="150"/>
      <c r="FH553" s="150"/>
      <c r="FI553" s="150"/>
      <c r="FJ553" s="150"/>
      <c r="FK553" s="150"/>
      <c r="FL553" s="150"/>
      <c r="FM553" s="150"/>
      <c r="FN553" s="150"/>
    </row>
    <row r="554" spans="1:170" s="149" customFormat="1" x14ac:dyDescent="0.25">
      <c r="A554" s="142"/>
      <c r="B554" s="142"/>
      <c r="C554" s="142"/>
      <c r="D554" s="144"/>
      <c r="E554" s="143"/>
      <c r="F554" s="143"/>
      <c r="G554" s="144"/>
      <c r="H554" s="143"/>
      <c r="I554" s="143"/>
      <c r="J554" s="319"/>
      <c r="K554" s="319"/>
      <c r="L554" s="315"/>
      <c r="M554" s="315"/>
      <c r="N554" s="145"/>
      <c r="O554" s="145"/>
      <c r="P554" s="145"/>
      <c r="Q554" s="146"/>
      <c r="R554" s="147"/>
      <c r="S554" s="148"/>
      <c r="T554" s="148"/>
      <c r="U554" s="148"/>
      <c r="V554" s="148"/>
      <c r="W554" s="148"/>
      <c r="X554" s="148"/>
      <c r="Y554" s="148"/>
      <c r="Z554" s="148"/>
      <c r="AA554" s="148"/>
      <c r="AB554" s="148"/>
      <c r="AV554" s="150"/>
      <c r="AW554" s="150"/>
      <c r="AX554" s="150"/>
      <c r="AY554" s="150"/>
      <c r="AZ554" s="150"/>
      <c r="BA554" s="150"/>
      <c r="BB554" s="150"/>
      <c r="BC554" s="150"/>
      <c r="BD554" s="150"/>
      <c r="BE554" s="150"/>
      <c r="BF554" s="150"/>
      <c r="BG554" s="150"/>
      <c r="BH554" s="150"/>
      <c r="BI554" s="150"/>
      <c r="BJ554" s="150"/>
      <c r="BK554" s="150"/>
      <c r="BL554" s="150"/>
      <c r="BM554" s="150"/>
      <c r="BN554" s="150"/>
      <c r="BO554" s="150"/>
      <c r="BP554" s="150"/>
      <c r="BQ554" s="150"/>
      <c r="BR554" s="150"/>
      <c r="BS554" s="150"/>
      <c r="BT554" s="150"/>
      <c r="BU554" s="150"/>
      <c r="BV554" s="150"/>
      <c r="BW554" s="150"/>
      <c r="BX554" s="150"/>
      <c r="BY554" s="150"/>
      <c r="BZ554" s="150"/>
      <c r="CA554" s="150"/>
      <c r="CB554" s="150"/>
      <c r="CC554" s="150"/>
      <c r="CD554" s="150"/>
      <c r="CE554" s="150"/>
      <c r="CF554" s="150"/>
      <c r="CG554" s="150"/>
      <c r="CH554" s="150"/>
      <c r="CI554" s="150"/>
      <c r="CJ554" s="150"/>
      <c r="CK554" s="150"/>
      <c r="CL554" s="150"/>
      <c r="CM554" s="150"/>
      <c r="CN554" s="150"/>
      <c r="CO554" s="150"/>
      <c r="CP554" s="150"/>
      <c r="CQ554" s="150"/>
      <c r="CR554" s="150"/>
      <c r="CS554" s="150"/>
      <c r="CT554" s="150"/>
      <c r="CU554" s="150"/>
      <c r="CV554" s="150"/>
      <c r="CW554" s="150"/>
      <c r="CX554" s="150"/>
      <c r="CY554" s="150"/>
      <c r="CZ554" s="150"/>
      <c r="DA554" s="150"/>
      <c r="DB554" s="150"/>
      <c r="DC554" s="150"/>
      <c r="DD554" s="150"/>
      <c r="DE554" s="150"/>
      <c r="DF554" s="150"/>
      <c r="DG554" s="150"/>
      <c r="DH554" s="150"/>
      <c r="DI554" s="150"/>
      <c r="DJ554" s="150"/>
      <c r="DK554" s="150"/>
      <c r="DL554" s="150"/>
      <c r="DM554" s="150"/>
      <c r="DN554" s="150"/>
      <c r="DO554" s="150"/>
      <c r="DP554" s="150"/>
      <c r="DQ554" s="150"/>
      <c r="DR554" s="150"/>
      <c r="DS554" s="150"/>
      <c r="DT554" s="150"/>
      <c r="DU554" s="150"/>
      <c r="DV554" s="150"/>
      <c r="DW554" s="150"/>
      <c r="DX554" s="150"/>
      <c r="DY554" s="150"/>
      <c r="DZ554" s="150"/>
      <c r="EA554" s="150"/>
      <c r="EB554" s="150"/>
      <c r="EC554" s="150"/>
      <c r="ED554" s="150"/>
      <c r="EE554" s="150"/>
      <c r="EF554" s="150"/>
      <c r="EG554" s="150"/>
      <c r="EH554" s="150"/>
      <c r="EI554" s="150"/>
      <c r="EJ554" s="150"/>
      <c r="EK554" s="150"/>
      <c r="EL554" s="150"/>
      <c r="EM554" s="150"/>
      <c r="EN554" s="150"/>
      <c r="EO554" s="150"/>
      <c r="EP554" s="150"/>
      <c r="EQ554" s="150"/>
      <c r="ER554" s="150"/>
      <c r="ES554" s="150"/>
      <c r="ET554" s="150"/>
      <c r="EU554" s="150"/>
      <c r="EV554" s="150"/>
      <c r="EW554" s="150"/>
      <c r="EX554" s="150"/>
      <c r="EY554" s="150"/>
      <c r="EZ554" s="150"/>
      <c r="FA554" s="150"/>
      <c r="FB554" s="150"/>
      <c r="FC554" s="150"/>
      <c r="FD554" s="150"/>
      <c r="FE554" s="150"/>
      <c r="FF554" s="150"/>
      <c r="FG554" s="150"/>
      <c r="FH554" s="150"/>
      <c r="FI554" s="150"/>
      <c r="FJ554" s="150"/>
      <c r="FK554" s="150"/>
      <c r="FL554" s="150"/>
      <c r="FM554" s="150"/>
      <c r="FN554" s="150"/>
    </row>
    <row r="555" spans="1:170" s="149" customFormat="1" x14ac:dyDescent="0.25">
      <c r="A555" s="142"/>
      <c r="B555" s="142"/>
      <c r="C555" s="142"/>
      <c r="D555" s="144"/>
      <c r="E555" s="143"/>
      <c r="F555" s="143"/>
      <c r="G555" s="144"/>
      <c r="H555" s="143"/>
      <c r="I555" s="143"/>
      <c r="J555" s="319"/>
      <c r="K555" s="319"/>
      <c r="L555" s="315"/>
      <c r="M555" s="315"/>
      <c r="N555" s="145"/>
      <c r="O555" s="145"/>
      <c r="P555" s="145"/>
      <c r="Q555" s="146"/>
      <c r="R555" s="147"/>
      <c r="S555" s="148"/>
      <c r="T555" s="148"/>
      <c r="U555" s="148"/>
      <c r="V555" s="148"/>
      <c r="W555" s="148"/>
      <c r="X555" s="148"/>
      <c r="Y555" s="148"/>
      <c r="Z555" s="148"/>
      <c r="AA555" s="148"/>
      <c r="AB555" s="148"/>
      <c r="AV555" s="150"/>
      <c r="AW555" s="150"/>
      <c r="AX555" s="150"/>
      <c r="AY555" s="150"/>
      <c r="AZ555" s="150"/>
      <c r="BA555" s="150"/>
      <c r="BB555" s="150"/>
      <c r="BC555" s="150"/>
      <c r="BD555" s="150"/>
      <c r="BE555" s="150"/>
      <c r="BF555" s="150"/>
      <c r="BG555" s="150"/>
      <c r="BH555" s="150"/>
      <c r="BI555" s="150"/>
      <c r="BJ555" s="150"/>
      <c r="BK555" s="150"/>
      <c r="BL555" s="150"/>
      <c r="BM555" s="150"/>
      <c r="BN555" s="150"/>
      <c r="BO555" s="150"/>
      <c r="BP555" s="150"/>
      <c r="BQ555" s="150"/>
      <c r="BR555" s="150"/>
      <c r="BS555" s="150"/>
      <c r="BT555" s="150"/>
      <c r="BU555" s="150"/>
      <c r="BV555" s="150"/>
      <c r="BW555" s="150"/>
      <c r="BX555" s="150"/>
      <c r="BY555" s="150"/>
      <c r="BZ555" s="150"/>
      <c r="CA555" s="150"/>
      <c r="CB555" s="150"/>
      <c r="CC555" s="150"/>
      <c r="CD555" s="150"/>
      <c r="CE555" s="150"/>
      <c r="CF555" s="150"/>
      <c r="CG555" s="150"/>
      <c r="CH555" s="150"/>
      <c r="CI555" s="150"/>
      <c r="CJ555" s="150"/>
      <c r="CK555" s="150"/>
      <c r="CL555" s="150"/>
      <c r="CM555" s="150"/>
      <c r="CN555" s="150"/>
      <c r="CO555" s="150"/>
      <c r="CP555" s="150"/>
      <c r="CQ555" s="150"/>
      <c r="CR555" s="150"/>
      <c r="CS555" s="150"/>
      <c r="CT555" s="150"/>
      <c r="CU555" s="150"/>
      <c r="CV555" s="150"/>
      <c r="CW555" s="150"/>
      <c r="CX555" s="150"/>
      <c r="CY555" s="150"/>
      <c r="CZ555" s="150"/>
      <c r="DA555" s="150"/>
      <c r="DB555" s="150"/>
      <c r="DC555" s="150"/>
      <c r="DD555" s="150"/>
      <c r="DE555" s="150"/>
      <c r="DF555" s="150"/>
      <c r="DG555" s="150"/>
      <c r="DH555" s="150"/>
      <c r="DI555" s="150"/>
      <c r="DJ555" s="150"/>
      <c r="DK555" s="150"/>
      <c r="DL555" s="150"/>
      <c r="DM555" s="150"/>
      <c r="DN555" s="150"/>
      <c r="DO555" s="150"/>
      <c r="DP555" s="150"/>
      <c r="DQ555" s="150"/>
      <c r="DR555" s="150"/>
      <c r="DS555" s="150"/>
      <c r="DT555" s="150"/>
      <c r="DU555" s="150"/>
      <c r="DV555" s="150"/>
      <c r="DW555" s="150"/>
      <c r="DX555" s="150"/>
      <c r="DY555" s="150"/>
      <c r="DZ555" s="150"/>
      <c r="EA555" s="150"/>
      <c r="EB555" s="150"/>
      <c r="EC555" s="150"/>
      <c r="ED555" s="150"/>
      <c r="EE555" s="150"/>
      <c r="EF555" s="150"/>
      <c r="EG555" s="150"/>
      <c r="EH555" s="150"/>
      <c r="EI555" s="150"/>
      <c r="EJ555" s="150"/>
      <c r="EK555" s="150"/>
      <c r="EL555" s="150"/>
      <c r="EM555" s="150"/>
      <c r="EN555" s="150"/>
      <c r="EO555" s="150"/>
      <c r="EP555" s="150"/>
      <c r="EQ555" s="150"/>
      <c r="ER555" s="150"/>
      <c r="ES555" s="150"/>
      <c r="ET555" s="150"/>
      <c r="EU555" s="150"/>
      <c r="EV555" s="150"/>
      <c r="EW555" s="150"/>
      <c r="EX555" s="150"/>
      <c r="EY555" s="150"/>
      <c r="EZ555" s="150"/>
      <c r="FA555" s="150"/>
      <c r="FB555" s="150"/>
      <c r="FC555" s="150"/>
      <c r="FD555" s="150"/>
      <c r="FE555" s="150"/>
      <c r="FF555" s="150"/>
      <c r="FG555" s="150"/>
      <c r="FH555" s="150"/>
      <c r="FI555" s="150"/>
      <c r="FJ555" s="150"/>
      <c r="FK555" s="150"/>
      <c r="FL555" s="150"/>
      <c r="FM555" s="150"/>
      <c r="FN555" s="150"/>
    </row>
    <row r="556" spans="1:170" s="149" customFormat="1" x14ac:dyDescent="0.25">
      <c r="A556" s="142"/>
      <c r="B556" s="142"/>
      <c r="C556" s="142"/>
      <c r="D556" s="144"/>
      <c r="E556" s="143"/>
      <c r="F556" s="143"/>
      <c r="G556" s="144"/>
      <c r="H556" s="143"/>
      <c r="I556" s="143"/>
      <c r="J556" s="319"/>
      <c r="K556" s="319"/>
      <c r="L556" s="315"/>
      <c r="M556" s="315"/>
      <c r="N556" s="145"/>
      <c r="O556" s="145"/>
      <c r="P556" s="145"/>
      <c r="Q556" s="146"/>
      <c r="R556" s="147"/>
      <c r="S556" s="148"/>
      <c r="T556" s="148"/>
      <c r="U556" s="148"/>
      <c r="V556" s="148"/>
      <c r="W556" s="148"/>
      <c r="X556" s="148"/>
      <c r="Y556" s="148"/>
      <c r="Z556" s="148"/>
      <c r="AA556" s="148"/>
      <c r="AB556" s="148"/>
      <c r="AV556" s="150"/>
      <c r="AW556" s="150"/>
      <c r="AX556" s="150"/>
      <c r="AY556" s="150"/>
      <c r="AZ556" s="150"/>
      <c r="BA556" s="150"/>
      <c r="BB556" s="150"/>
      <c r="BC556" s="150"/>
      <c r="BD556" s="150"/>
      <c r="BE556" s="150"/>
      <c r="BF556" s="150"/>
      <c r="BG556" s="150"/>
      <c r="BH556" s="150"/>
      <c r="BI556" s="150"/>
      <c r="BJ556" s="150"/>
      <c r="BK556" s="150"/>
      <c r="BL556" s="150"/>
      <c r="BM556" s="150"/>
      <c r="BN556" s="150"/>
      <c r="BO556" s="150"/>
      <c r="BP556" s="150"/>
      <c r="BQ556" s="150"/>
      <c r="BR556" s="150"/>
      <c r="BS556" s="150"/>
      <c r="BT556" s="150"/>
      <c r="BU556" s="150"/>
      <c r="BV556" s="150"/>
      <c r="BW556" s="150"/>
      <c r="BX556" s="150"/>
      <c r="BY556" s="150"/>
      <c r="BZ556" s="150"/>
      <c r="CA556" s="150"/>
      <c r="CB556" s="150"/>
      <c r="CC556" s="150"/>
      <c r="CD556" s="150"/>
      <c r="CE556" s="150"/>
      <c r="CF556" s="150"/>
      <c r="CG556" s="150"/>
      <c r="CH556" s="150"/>
      <c r="CI556" s="150"/>
      <c r="CJ556" s="150"/>
      <c r="CK556" s="150"/>
      <c r="CL556" s="150"/>
      <c r="CM556" s="150"/>
      <c r="CN556" s="150"/>
      <c r="CO556" s="150"/>
      <c r="CP556" s="150"/>
      <c r="CQ556" s="150"/>
      <c r="CR556" s="150"/>
      <c r="CS556" s="150"/>
      <c r="CT556" s="150"/>
      <c r="CU556" s="150"/>
      <c r="CV556" s="150"/>
      <c r="CW556" s="150"/>
      <c r="CX556" s="150"/>
      <c r="CY556" s="150"/>
      <c r="CZ556" s="150"/>
      <c r="DA556" s="150"/>
      <c r="DB556" s="150"/>
      <c r="DC556" s="150"/>
      <c r="DD556" s="150"/>
      <c r="DE556" s="150"/>
      <c r="DF556" s="150"/>
      <c r="DG556" s="150"/>
      <c r="DH556" s="150"/>
      <c r="DI556" s="150"/>
      <c r="DJ556" s="150"/>
      <c r="DK556" s="150"/>
      <c r="DL556" s="150"/>
      <c r="DM556" s="150"/>
      <c r="DN556" s="150"/>
      <c r="DO556" s="150"/>
      <c r="DP556" s="150"/>
      <c r="DQ556" s="150"/>
      <c r="DR556" s="150"/>
      <c r="DS556" s="150"/>
      <c r="DT556" s="150"/>
      <c r="DU556" s="150"/>
      <c r="DV556" s="150"/>
      <c r="DW556" s="150"/>
      <c r="DX556" s="150"/>
      <c r="DY556" s="150"/>
      <c r="DZ556" s="150"/>
      <c r="EA556" s="150"/>
      <c r="EB556" s="150"/>
      <c r="EC556" s="150"/>
      <c r="ED556" s="150"/>
      <c r="EE556" s="150"/>
      <c r="EF556" s="150"/>
      <c r="EG556" s="150"/>
      <c r="EH556" s="150"/>
      <c r="EI556" s="150"/>
      <c r="EJ556" s="150"/>
      <c r="EK556" s="150"/>
      <c r="EL556" s="150"/>
      <c r="EM556" s="150"/>
      <c r="EN556" s="150"/>
      <c r="EO556" s="150"/>
      <c r="EP556" s="150"/>
      <c r="EQ556" s="150"/>
      <c r="ER556" s="150"/>
      <c r="ES556" s="150"/>
      <c r="ET556" s="150"/>
      <c r="EU556" s="150"/>
      <c r="EV556" s="150"/>
      <c r="EW556" s="150"/>
      <c r="EX556" s="150"/>
      <c r="EY556" s="150"/>
      <c r="EZ556" s="150"/>
      <c r="FA556" s="150"/>
      <c r="FB556" s="150"/>
      <c r="FC556" s="150"/>
      <c r="FD556" s="150"/>
      <c r="FE556" s="150"/>
      <c r="FF556" s="150"/>
      <c r="FG556" s="150"/>
      <c r="FH556" s="150"/>
      <c r="FI556" s="150"/>
      <c r="FJ556" s="150"/>
      <c r="FK556" s="150"/>
      <c r="FL556" s="150"/>
      <c r="FM556" s="150"/>
      <c r="FN556" s="150"/>
    </row>
    <row r="557" spans="1:170" s="149" customFormat="1" x14ac:dyDescent="0.25">
      <c r="A557" s="142"/>
      <c r="B557" s="142"/>
      <c r="C557" s="142"/>
      <c r="D557" s="144"/>
      <c r="E557" s="143"/>
      <c r="F557" s="143"/>
      <c r="G557" s="144"/>
      <c r="H557" s="143"/>
      <c r="I557" s="143"/>
      <c r="J557" s="319"/>
      <c r="K557" s="319"/>
      <c r="L557" s="315"/>
      <c r="M557" s="315"/>
      <c r="N557" s="145"/>
      <c r="O557" s="145"/>
      <c r="P557" s="145"/>
      <c r="Q557" s="146"/>
      <c r="R557" s="147"/>
      <c r="S557" s="148"/>
      <c r="T557" s="148"/>
      <c r="U557" s="148"/>
      <c r="V557" s="148"/>
      <c r="W557" s="148"/>
      <c r="X557" s="148"/>
      <c r="Y557" s="148"/>
      <c r="Z557" s="148"/>
      <c r="AA557" s="148"/>
      <c r="AB557" s="148"/>
      <c r="AV557" s="150"/>
      <c r="AW557" s="150"/>
      <c r="AX557" s="150"/>
      <c r="AY557" s="150"/>
      <c r="AZ557" s="150"/>
      <c r="BA557" s="150"/>
      <c r="BB557" s="150"/>
      <c r="BC557" s="150"/>
      <c r="BD557" s="150"/>
      <c r="BE557" s="150"/>
      <c r="BF557" s="150"/>
      <c r="BG557" s="150"/>
      <c r="BH557" s="150"/>
      <c r="BI557" s="150"/>
      <c r="BJ557" s="150"/>
      <c r="BK557" s="150"/>
      <c r="BL557" s="150"/>
      <c r="BM557" s="150"/>
      <c r="BN557" s="150"/>
      <c r="BO557" s="150"/>
      <c r="BP557" s="150"/>
      <c r="BQ557" s="150"/>
      <c r="BR557" s="150"/>
      <c r="BS557" s="150"/>
      <c r="BT557" s="150"/>
      <c r="BU557" s="150"/>
      <c r="BV557" s="150"/>
      <c r="BW557" s="150"/>
      <c r="BX557" s="150"/>
      <c r="BY557" s="150"/>
      <c r="BZ557" s="150"/>
      <c r="CA557" s="150"/>
      <c r="CB557" s="150"/>
      <c r="CC557" s="150"/>
      <c r="CD557" s="150"/>
      <c r="CE557" s="150"/>
      <c r="CF557" s="150"/>
      <c r="CG557" s="150"/>
      <c r="CH557" s="150"/>
      <c r="CI557" s="150"/>
      <c r="CJ557" s="150"/>
      <c r="CK557" s="150"/>
      <c r="CL557" s="150"/>
      <c r="CM557" s="150"/>
      <c r="CN557" s="150"/>
      <c r="CO557" s="150"/>
      <c r="CP557" s="150"/>
      <c r="CQ557" s="150"/>
      <c r="CR557" s="150"/>
      <c r="CS557" s="150"/>
      <c r="CT557" s="150"/>
      <c r="CU557" s="150"/>
      <c r="CV557" s="150"/>
      <c r="CW557" s="150"/>
      <c r="CX557" s="150"/>
      <c r="CY557" s="150"/>
      <c r="CZ557" s="150"/>
      <c r="DA557" s="150"/>
      <c r="DB557" s="150"/>
      <c r="DC557" s="150"/>
      <c r="DD557" s="150"/>
      <c r="DE557" s="150"/>
      <c r="DF557" s="150"/>
      <c r="DG557" s="150"/>
      <c r="DH557" s="150"/>
      <c r="DI557" s="150"/>
      <c r="DJ557" s="150"/>
      <c r="DK557" s="150"/>
      <c r="DL557" s="150"/>
      <c r="DM557" s="150"/>
      <c r="DN557" s="150"/>
      <c r="DO557" s="150"/>
      <c r="DP557" s="150"/>
      <c r="DQ557" s="150"/>
      <c r="DR557" s="150"/>
      <c r="DS557" s="150"/>
      <c r="DT557" s="150"/>
      <c r="DU557" s="150"/>
      <c r="DV557" s="150"/>
      <c r="DW557" s="150"/>
      <c r="DX557" s="150"/>
      <c r="DY557" s="150"/>
      <c r="DZ557" s="150"/>
      <c r="EA557" s="150"/>
      <c r="EB557" s="150"/>
      <c r="EC557" s="150"/>
      <c r="ED557" s="150"/>
      <c r="EE557" s="150"/>
      <c r="EF557" s="150"/>
      <c r="EG557" s="150"/>
      <c r="EH557" s="150"/>
      <c r="EI557" s="150"/>
      <c r="EJ557" s="150"/>
      <c r="EK557" s="150"/>
      <c r="EL557" s="150"/>
      <c r="EM557" s="150"/>
      <c r="EN557" s="150"/>
      <c r="EO557" s="150"/>
      <c r="EP557" s="150"/>
      <c r="EQ557" s="150"/>
      <c r="ER557" s="150"/>
      <c r="ES557" s="150"/>
      <c r="ET557" s="150"/>
      <c r="EU557" s="150"/>
      <c r="EV557" s="150"/>
      <c r="EW557" s="150"/>
      <c r="EX557" s="150"/>
      <c r="EY557" s="150"/>
      <c r="EZ557" s="150"/>
      <c r="FA557" s="150"/>
      <c r="FB557" s="150"/>
      <c r="FC557" s="150"/>
      <c r="FD557" s="150"/>
      <c r="FE557" s="150"/>
      <c r="FF557" s="150"/>
      <c r="FG557" s="150"/>
      <c r="FH557" s="150"/>
      <c r="FI557" s="150"/>
      <c r="FJ557" s="150"/>
      <c r="FK557" s="150"/>
      <c r="FL557" s="150"/>
      <c r="FM557" s="150"/>
      <c r="FN557" s="150"/>
    </row>
    <row r="558" spans="1:170" s="149" customFormat="1" x14ac:dyDescent="0.25">
      <c r="A558" s="142"/>
      <c r="B558" s="142"/>
      <c r="C558" s="142"/>
      <c r="D558" s="144"/>
      <c r="E558" s="143"/>
      <c r="F558" s="143"/>
      <c r="G558" s="144"/>
      <c r="H558" s="143"/>
      <c r="I558" s="143"/>
      <c r="J558" s="319"/>
      <c r="K558" s="319"/>
      <c r="L558" s="315"/>
      <c r="M558" s="315"/>
      <c r="N558" s="145"/>
      <c r="O558" s="145"/>
      <c r="P558" s="145"/>
      <c r="Q558" s="146"/>
      <c r="R558" s="147"/>
      <c r="S558" s="148"/>
      <c r="T558" s="148"/>
      <c r="U558" s="148"/>
      <c r="V558" s="148"/>
      <c r="W558" s="148"/>
      <c r="X558" s="148"/>
      <c r="Y558" s="148"/>
      <c r="Z558" s="148"/>
      <c r="AA558" s="148"/>
      <c r="AB558" s="148"/>
      <c r="AV558" s="150"/>
      <c r="AW558" s="150"/>
      <c r="AX558" s="150"/>
      <c r="AY558" s="150"/>
      <c r="AZ558" s="150"/>
      <c r="BA558" s="150"/>
      <c r="BB558" s="150"/>
      <c r="BC558" s="150"/>
      <c r="BD558" s="150"/>
      <c r="BE558" s="150"/>
      <c r="BF558" s="150"/>
      <c r="BG558" s="150"/>
      <c r="BH558" s="150"/>
      <c r="BI558" s="150"/>
      <c r="BJ558" s="150"/>
      <c r="BK558" s="150"/>
      <c r="BL558" s="150"/>
      <c r="BM558" s="150"/>
      <c r="BN558" s="150"/>
      <c r="BO558" s="150"/>
      <c r="BP558" s="150"/>
      <c r="BQ558" s="150"/>
      <c r="BR558" s="150"/>
      <c r="BS558" s="150"/>
      <c r="BT558" s="150"/>
      <c r="BU558" s="150"/>
      <c r="BV558" s="150"/>
      <c r="BW558" s="150"/>
      <c r="BX558" s="150"/>
      <c r="BY558" s="150"/>
      <c r="BZ558" s="150"/>
      <c r="CA558" s="150"/>
      <c r="CB558" s="150"/>
      <c r="CC558" s="150"/>
      <c r="CD558" s="150"/>
      <c r="CE558" s="150"/>
      <c r="CF558" s="150"/>
      <c r="CG558" s="150"/>
      <c r="CH558" s="150"/>
      <c r="CI558" s="150"/>
      <c r="CJ558" s="150"/>
      <c r="CK558" s="150"/>
      <c r="CL558" s="150"/>
      <c r="CM558" s="150"/>
      <c r="CN558" s="150"/>
      <c r="CO558" s="150"/>
      <c r="CP558" s="150"/>
      <c r="CQ558" s="150"/>
      <c r="CR558" s="150"/>
      <c r="CS558" s="150"/>
      <c r="CT558" s="150"/>
      <c r="CU558" s="150"/>
      <c r="CV558" s="150"/>
      <c r="CW558" s="150"/>
      <c r="CX558" s="150"/>
      <c r="CY558" s="150"/>
      <c r="CZ558" s="150"/>
      <c r="DA558" s="150"/>
      <c r="DB558" s="150"/>
      <c r="DC558" s="150"/>
      <c r="DD558" s="150"/>
      <c r="DE558" s="150"/>
      <c r="DF558" s="150"/>
      <c r="DG558" s="150"/>
      <c r="DH558" s="150"/>
      <c r="DI558" s="150"/>
      <c r="DJ558" s="150"/>
      <c r="DK558" s="150"/>
      <c r="DL558" s="150"/>
      <c r="DM558" s="150"/>
      <c r="DN558" s="150"/>
      <c r="DO558" s="150"/>
      <c r="DP558" s="150"/>
      <c r="DQ558" s="150"/>
      <c r="DR558" s="150"/>
      <c r="DS558" s="150"/>
      <c r="DT558" s="150"/>
      <c r="DU558" s="150"/>
      <c r="DV558" s="150"/>
      <c r="DW558" s="150"/>
      <c r="DX558" s="150"/>
      <c r="DY558" s="150"/>
      <c r="DZ558" s="150"/>
      <c r="EA558" s="150"/>
      <c r="EB558" s="150"/>
      <c r="EC558" s="150"/>
      <c r="ED558" s="150"/>
      <c r="EE558" s="150"/>
      <c r="EF558" s="150"/>
      <c r="EG558" s="150"/>
      <c r="EH558" s="150"/>
      <c r="EI558" s="150"/>
      <c r="EJ558" s="150"/>
      <c r="EK558" s="150"/>
      <c r="EL558" s="150"/>
      <c r="EM558" s="150"/>
      <c r="EN558" s="150"/>
      <c r="EO558" s="150"/>
      <c r="EP558" s="150"/>
      <c r="EQ558" s="150"/>
      <c r="ER558" s="150"/>
      <c r="ES558" s="150"/>
      <c r="ET558" s="150"/>
      <c r="EU558" s="150"/>
      <c r="EV558" s="150"/>
      <c r="EW558" s="150"/>
      <c r="EX558" s="150"/>
      <c r="EY558" s="150"/>
      <c r="EZ558" s="150"/>
      <c r="FA558" s="150"/>
      <c r="FB558" s="150"/>
      <c r="FC558" s="150"/>
      <c r="FD558" s="150"/>
      <c r="FE558" s="150"/>
      <c r="FF558" s="150"/>
      <c r="FG558" s="150"/>
      <c r="FH558" s="150"/>
      <c r="FI558" s="150"/>
      <c r="FJ558" s="150"/>
      <c r="FK558" s="150"/>
      <c r="FL558" s="150"/>
      <c r="FM558" s="150"/>
      <c r="FN558" s="150"/>
    </row>
    <row r="559" spans="1:170" s="149" customFormat="1" x14ac:dyDescent="0.25">
      <c r="A559" s="142"/>
      <c r="B559" s="142"/>
      <c r="C559" s="142"/>
      <c r="D559" s="144"/>
      <c r="E559" s="143"/>
      <c r="F559" s="143"/>
      <c r="G559" s="144"/>
      <c r="H559" s="143"/>
      <c r="I559" s="143"/>
      <c r="J559" s="319"/>
      <c r="K559" s="319"/>
      <c r="L559" s="315"/>
      <c r="M559" s="315"/>
      <c r="N559" s="145"/>
      <c r="O559" s="145"/>
      <c r="P559" s="145"/>
      <c r="Q559" s="146"/>
      <c r="R559" s="147"/>
      <c r="S559" s="148"/>
      <c r="T559" s="148"/>
      <c r="U559" s="148"/>
      <c r="V559" s="148"/>
      <c r="W559" s="148"/>
      <c r="X559" s="148"/>
      <c r="Y559" s="148"/>
      <c r="Z559" s="148"/>
      <c r="AA559" s="148"/>
      <c r="AB559" s="148"/>
      <c r="AV559" s="150"/>
      <c r="AW559" s="150"/>
      <c r="AX559" s="150"/>
      <c r="AY559" s="150"/>
      <c r="AZ559" s="150"/>
      <c r="BA559" s="150"/>
      <c r="BB559" s="150"/>
      <c r="BC559" s="150"/>
      <c r="BD559" s="150"/>
      <c r="BE559" s="150"/>
      <c r="BF559" s="150"/>
      <c r="BG559" s="150"/>
      <c r="BH559" s="150"/>
      <c r="BI559" s="150"/>
      <c r="BJ559" s="150"/>
      <c r="BK559" s="150"/>
      <c r="BL559" s="150"/>
      <c r="BM559" s="150"/>
      <c r="BN559" s="150"/>
      <c r="BO559" s="150"/>
      <c r="BP559" s="150"/>
      <c r="BQ559" s="150"/>
      <c r="BR559" s="150"/>
      <c r="BS559" s="150"/>
      <c r="BT559" s="150"/>
      <c r="BU559" s="150"/>
      <c r="BV559" s="150"/>
      <c r="BW559" s="150"/>
      <c r="BX559" s="150"/>
      <c r="BY559" s="150"/>
      <c r="BZ559" s="150"/>
      <c r="CA559" s="150"/>
      <c r="CB559" s="150"/>
      <c r="CC559" s="150"/>
      <c r="CD559" s="150"/>
      <c r="CE559" s="150"/>
      <c r="CF559" s="150"/>
      <c r="CG559" s="150"/>
      <c r="CH559" s="150"/>
      <c r="CI559" s="150"/>
      <c r="CJ559" s="150"/>
      <c r="CK559" s="150"/>
      <c r="CL559" s="150"/>
      <c r="CM559" s="150"/>
      <c r="CN559" s="150"/>
      <c r="CO559" s="150"/>
      <c r="CP559" s="150"/>
      <c r="CQ559" s="150"/>
      <c r="CR559" s="150"/>
      <c r="CS559" s="150"/>
      <c r="CT559" s="150"/>
      <c r="CU559" s="150"/>
      <c r="CV559" s="150"/>
      <c r="CW559" s="150"/>
      <c r="CX559" s="150"/>
      <c r="CY559" s="150"/>
      <c r="CZ559" s="150"/>
      <c r="DA559" s="150"/>
      <c r="DB559" s="150"/>
      <c r="DC559" s="150"/>
      <c r="DD559" s="150"/>
      <c r="DE559" s="150"/>
      <c r="DF559" s="150"/>
      <c r="DG559" s="150"/>
      <c r="DH559" s="150"/>
      <c r="DI559" s="150"/>
      <c r="DJ559" s="150"/>
      <c r="DK559" s="150"/>
      <c r="DL559" s="150"/>
      <c r="DM559" s="150"/>
      <c r="DN559" s="150"/>
      <c r="DO559" s="150"/>
      <c r="DP559" s="150"/>
      <c r="DQ559" s="150"/>
      <c r="DR559" s="150"/>
      <c r="DS559" s="150"/>
      <c r="DT559" s="150"/>
      <c r="DU559" s="150"/>
      <c r="DV559" s="150"/>
      <c r="DW559" s="150"/>
      <c r="DX559" s="150"/>
      <c r="DY559" s="150"/>
      <c r="DZ559" s="150"/>
      <c r="EA559" s="150"/>
      <c r="EB559" s="150"/>
      <c r="EC559" s="150"/>
      <c r="ED559" s="150"/>
      <c r="EE559" s="150"/>
      <c r="EF559" s="150"/>
      <c r="EG559" s="150"/>
      <c r="EH559" s="150"/>
      <c r="EI559" s="150"/>
      <c r="EJ559" s="150"/>
      <c r="EK559" s="150"/>
      <c r="EL559" s="150"/>
      <c r="EM559" s="150"/>
      <c r="EN559" s="150"/>
      <c r="EO559" s="150"/>
      <c r="EP559" s="150"/>
      <c r="EQ559" s="150"/>
      <c r="ER559" s="150"/>
      <c r="ES559" s="150"/>
      <c r="ET559" s="150"/>
      <c r="EU559" s="150"/>
      <c r="EV559" s="150"/>
      <c r="EW559" s="150"/>
      <c r="EX559" s="150"/>
      <c r="EY559" s="150"/>
      <c r="EZ559" s="150"/>
      <c r="FA559" s="150"/>
      <c r="FB559" s="150"/>
      <c r="FC559" s="150"/>
      <c r="FD559" s="150"/>
      <c r="FE559" s="150"/>
      <c r="FF559" s="150"/>
      <c r="FG559" s="150"/>
      <c r="FH559" s="150"/>
      <c r="FI559" s="150"/>
      <c r="FJ559" s="150"/>
      <c r="FK559" s="150"/>
      <c r="FL559" s="150"/>
      <c r="FM559" s="150"/>
      <c r="FN559" s="150"/>
    </row>
    <row r="560" spans="1:170" s="149" customFormat="1" x14ac:dyDescent="0.25">
      <c r="A560" s="142"/>
      <c r="B560" s="142"/>
      <c r="C560" s="142"/>
      <c r="D560" s="144"/>
      <c r="E560" s="143"/>
      <c r="F560" s="143"/>
      <c r="G560" s="144"/>
      <c r="H560" s="143"/>
      <c r="I560" s="143"/>
      <c r="J560" s="319"/>
      <c r="K560" s="319"/>
      <c r="L560" s="315"/>
      <c r="M560" s="315"/>
      <c r="N560" s="145"/>
      <c r="O560" s="145"/>
      <c r="P560" s="145"/>
      <c r="Q560" s="146"/>
      <c r="R560" s="147"/>
      <c r="S560" s="148"/>
      <c r="T560" s="148"/>
      <c r="U560" s="148"/>
      <c r="V560" s="148"/>
      <c r="W560" s="148"/>
      <c r="X560" s="148"/>
      <c r="Y560" s="148"/>
      <c r="Z560" s="148"/>
      <c r="AA560" s="148"/>
      <c r="AB560" s="148"/>
      <c r="AV560" s="150"/>
      <c r="AW560" s="150"/>
      <c r="AX560" s="150"/>
      <c r="AY560" s="150"/>
      <c r="AZ560" s="150"/>
      <c r="BA560" s="150"/>
      <c r="BB560" s="150"/>
      <c r="BC560" s="150"/>
      <c r="BD560" s="150"/>
      <c r="BE560" s="150"/>
      <c r="BF560" s="150"/>
      <c r="BG560" s="150"/>
      <c r="BH560" s="150"/>
      <c r="BI560" s="150"/>
      <c r="BJ560" s="150"/>
      <c r="BK560" s="150"/>
      <c r="BL560" s="150"/>
      <c r="BM560" s="150"/>
      <c r="BN560" s="150"/>
      <c r="BO560" s="150"/>
      <c r="BP560" s="150"/>
      <c r="BQ560" s="150"/>
      <c r="BR560" s="150"/>
      <c r="BS560" s="150"/>
      <c r="BT560" s="150"/>
      <c r="BU560" s="150"/>
      <c r="BV560" s="150"/>
      <c r="BW560" s="150"/>
      <c r="BX560" s="150"/>
      <c r="BY560" s="150"/>
      <c r="BZ560" s="150"/>
      <c r="CA560" s="150"/>
      <c r="CB560" s="150"/>
      <c r="CC560" s="150"/>
      <c r="CD560" s="150"/>
      <c r="CE560" s="150"/>
      <c r="CF560" s="150"/>
      <c r="CG560" s="150"/>
      <c r="CH560" s="150"/>
      <c r="CI560" s="150"/>
      <c r="CJ560" s="150"/>
      <c r="CK560" s="150"/>
      <c r="CL560" s="150"/>
      <c r="CM560" s="150"/>
      <c r="CN560" s="150"/>
      <c r="CO560" s="150"/>
      <c r="CP560" s="150"/>
      <c r="CQ560" s="150"/>
      <c r="CR560" s="150"/>
      <c r="CS560" s="150"/>
      <c r="CT560" s="150"/>
      <c r="CU560" s="150"/>
      <c r="CV560" s="150"/>
      <c r="CW560" s="150"/>
      <c r="CX560" s="150"/>
      <c r="CY560" s="150"/>
      <c r="CZ560" s="150"/>
      <c r="DA560" s="150"/>
      <c r="DB560" s="150"/>
      <c r="DC560" s="150"/>
      <c r="DD560" s="150"/>
      <c r="DE560" s="150"/>
      <c r="DF560" s="150"/>
      <c r="DG560" s="150"/>
      <c r="DH560" s="150"/>
      <c r="DI560" s="150"/>
      <c r="DJ560" s="150"/>
      <c r="DK560" s="150"/>
      <c r="DL560" s="150"/>
      <c r="DM560" s="150"/>
      <c r="DN560" s="150"/>
      <c r="DO560" s="150"/>
      <c r="DP560" s="150"/>
      <c r="DQ560" s="150"/>
      <c r="DR560" s="150"/>
      <c r="DS560" s="150"/>
      <c r="DT560" s="150"/>
      <c r="DU560" s="150"/>
      <c r="DV560" s="150"/>
      <c r="DW560" s="150"/>
      <c r="DX560" s="150"/>
      <c r="DY560" s="150"/>
      <c r="DZ560" s="150"/>
      <c r="EA560" s="150"/>
      <c r="EB560" s="150"/>
      <c r="EC560" s="150"/>
      <c r="ED560" s="150"/>
      <c r="EE560" s="150"/>
      <c r="EF560" s="150"/>
      <c r="EG560" s="150"/>
      <c r="EH560" s="150"/>
      <c r="EI560" s="150"/>
      <c r="EJ560" s="150"/>
      <c r="EK560" s="150"/>
      <c r="EL560" s="150"/>
      <c r="EM560" s="150"/>
      <c r="EN560" s="150"/>
      <c r="EO560" s="150"/>
      <c r="EP560" s="150"/>
      <c r="EQ560" s="150"/>
      <c r="ER560" s="150"/>
      <c r="ES560" s="150"/>
      <c r="ET560" s="150"/>
      <c r="EU560" s="150"/>
      <c r="EV560" s="150"/>
      <c r="EW560" s="150"/>
      <c r="EX560" s="150"/>
      <c r="EY560" s="150"/>
      <c r="EZ560" s="150"/>
      <c r="FA560" s="150"/>
      <c r="FB560" s="150"/>
      <c r="FC560" s="150"/>
      <c r="FD560" s="150"/>
      <c r="FE560" s="150"/>
      <c r="FF560" s="150"/>
      <c r="FG560" s="150"/>
      <c r="FH560" s="150"/>
      <c r="FI560" s="150"/>
      <c r="FJ560" s="150"/>
      <c r="FK560" s="150"/>
      <c r="FL560" s="150"/>
      <c r="FM560" s="150"/>
      <c r="FN560" s="150"/>
    </row>
    <row r="561" spans="1:170" s="149" customFormat="1" x14ac:dyDescent="0.25">
      <c r="A561" s="142"/>
      <c r="B561" s="142"/>
      <c r="C561" s="142"/>
      <c r="D561" s="144"/>
      <c r="E561" s="143"/>
      <c r="F561" s="143"/>
      <c r="G561" s="144"/>
      <c r="H561" s="143"/>
      <c r="I561" s="143"/>
      <c r="J561" s="319"/>
      <c r="K561" s="319"/>
      <c r="L561" s="315"/>
      <c r="M561" s="315"/>
      <c r="N561" s="145"/>
      <c r="O561" s="145"/>
      <c r="P561" s="145"/>
      <c r="Q561" s="146"/>
      <c r="R561" s="147"/>
      <c r="S561" s="148"/>
      <c r="T561" s="148"/>
      <c r="U561" s="148"/>
      <c r="V561" s="148"/>
      <c r="W561" s="148"/>
      <c r="X561" s="148"/>
      <c r="Y561" s="148"/>
      <c r="Z561" s="148"/>
      <c r="AA561" s="148"/>
      <c r="AB561" s="148"/>
      <c r="AV561" s="150"/>
      <c r="AW561" s="150"/>
      <c r="AX561" s="150"/>
      <c r="AY561" s="150"/>
      <c r="AZ561" s="150"/>
      <c r="BA561" s="150"/>
      <c r="BB561" s="150"/>
      <c r="BC561" s="150"/>
      <c r="BD561" s="150"/>
      <c r="BE561" s="150"/>
      <c r="BF561" s="150"/>
      <c r="BG561" s="150"/>
      <c r="BH561" s="150"/>
      <c r="BI561" s="150"/>
      <c r="BJ561" s="150"/>
      <c r="BK561" s="150"/>
      <c r="BL561" s="150"/>
      <c r="BM561" s="150"/>
      <c r="BN561" s="150"/>
      <c r="BO561" s="150"/>
      <c r="BP561" s="150"/>
      <c r="BQ561" s="150"/>
      <c r="BR561" s="150"/>
      <c r="BS561" s="150"/>
      <c r="BT561" s="150"/>
      <c r="BU561" s="150"/>
      <c r="BV561" s="150"/>
      <c r="BW561" s="150"/>
      <c r="BX561" s="150"/>
      <c r="BY561" s="150"/>
      <c r="BZ561" s="150"/>
      <c r="CA561" s="150"/>
      <c r="CB561" s="150"/>
      <c r="CC561" s="150"/>
      <c r="CD561" s="150"/>
      <c r="CE561" s="150"/>
      <c r="CF561" s="150"/>
      <c r="CG561" s="150"/>
      <c r="CH561" s="150"/>
      <c r="CI561" s="150"/>
      <c r="CJ561" s="150"/>
      <c r="CK561" s="150"/>
      <c r="CL561" s="150"/>
      <c r="CM561" s="150"/>
      <c r="CN561" s="150"/>
      <c r="CO561" s="150"/>
      <c r="CP561" s="150"/>
      <c r="CQ561" s="150"/>
      <c r="CR561" s="150"/>
      <c r="CS561" s="150"/>
      <c r="CT561" s="150"/>
      <c r="CU561" s="150"/>
      <c r="CV561" s="150"/>
      <c r="CW561" s="150"/>
      <c r="CX561" s="150"/>
      <c r="CY561" s="150"/>
      <c r="CZ561" s="150"/>
      <c r="DA561" s="150"/>
      <c r="DB561" s="150"/>
      <c r="DC561" s="150"/>
      <c r="DD561" s="150"/>
      <c r="DE561" s="150"/>
      <c r="DF561" s="150"/>
      <c r="DG561" s="150"/>
      <c r="DH561" s="150"/>
      <c r="DI561" s="150"/>
      <c r="DJ561" s="150"/>
      <c r="DK561" s="150"/>
      <c r="DL561" s="150"/>
      <c r="DM561" s="150"/>
      <c r="DN561" s="150"/>
      <c r="DO561" s="150"/>
      <c r="DP561" s="150"/>
      <c r="DQ561" s="150"/>
      <c r="DR561" s="150"/>
      <c r="DS561" s="150"/>
      <c r="DT561" s="150"/>
      <c r="DU561" s="150"/>
      <c r="DV561" s="150"/>
      <c r="DW561" s="150"/>
      <c r="DX561" s="150"/>
      <c r="DY561" s="150"/>
      <c r="DZ561" s="150"/>
      <c r="EA561" s="150"/>
      <c r="EB561" s="150"/>
      <c r="EC561" s="150"/>
      <c r="ED561" s="150"/>
      <c r="EE561" s="150"/>
      <c r="EF561" s="150"/>
      <c r="EG561" s="150"/>
      <c r="EH561" s="150"/>
      <c r="EI561" s="150"/>
      <c r="EJ561" s="150"/>
      <c r="EK561" s="150"/>
      <c r="EL561" s="150"/>
      <c r="EM561" s="150"/>
      <c r="EN561" s="150"/>
      <c r="EO561" s="150"/>
      <c r="EP561" s="150"/>
      <c r="EQ561" s="150"/>
      <c r="ER561" s="150"/>
      <c r="ES561" s="150"/>
      <c r="ET561" s="150"/>
      <c r="EU561" s="150"/>
      <c r="EV561" s="150"/>
      <c r="EW561" s="150"/>
      <c r="EX561" s="150"/>
      <c r="EY561" s="150"/>
      <c r="EZ561" s="150"/>
      <c r="FA561" s="150"/>
      <c r="FB561" s="150"/>
      <c r="FC561" s="150"/>
      <c r="FD561" s="150"/>
      <c r="FE561" s="150"/>
      <c r="FF561" s="150"/>
      <c r="FG561" s="150"/>
      <c r="FH561" s="150"/>
      <c r="FI561" s="150"/>
      <c r="FJ561" s="150"/>
      <c r="FK561" s="150"/>
      <c r="FL561" s="150"/>
      <c r="FM561" s="150"/>
      <c r="FN561" s="150"/>
    </row>
    <row r="562" spans="1:170" s="149" customFormat="1" x14ac:dyDescent="0.25">
      <c r="A562" s="142"/>
      <c r="B562" s="142"/>
      <c r="C562" s="142"/>
      <c r="D562" s="144"/>
      <c r="E562" s="143"/>
      <c r="F562" s="143"/>
      <c r="G562" s="144"/>
      <c r="H562" s="143"/>
      <c r="I562" s="143"/>
      <c r="J562" s="319"/>
      <c r="K562" s="319"/>
      <c r="L562" s="315"/>
      <c r="M562" s="315"/>
      <c r="N562" s="145"/>
      <c r="O562" s="145"/>
      <c r="P562" s="145"/>
      <c r="Q562" s="146"/>
      <c r="R562" s="147"/>
      <c r="S562" s="148"/>
      <c r="T562" s="148"/>
      <c r="U562" s="148"/>
      <c r="V562" s="148"/>
      <c r="W562" s="148"/>
      <c r="X562" s="148"/>
      <c r="Y562" s="148"/>
      <c r="Z562" s="148"/>
      <c r="AA562" s="148"/>
      <c r="AB562" s="148"/>
      <c r="AV562" s="150"/>
      <c r="AW562" s="150"/>
      <c r="AX562" s="150"/>
      <c r="AY562" s="150"/>
      <c r="AZ562" s="150"/>
      <c r="BA562" s="150"/>
      <c r="BB562" s="150"/>
      <c r="BC562" s="150"/>
      <c r="BD562" s="150"/>
      <c r="BE562" s="150"/>
      <c r="BF562" s="150"/>
      <c r="BG562" s="150"/>
      <c r="BH562" s="150"/>
      <c r="BI562" s="150"/>
      <c r="BJ562" s="150"/>
      <c r="BK562" s="150"/>
      <c r="BL562" s="150"/>
      <c r="BM562" s="150"/>
      <c r="BN562" s="150"/>
      <c r="BO562" s="150"/>
      <c r="BP562" s="150"/>
      <c r="BQ562" s="150"/>
      <c r="BR562" s="150"/>
      <c r="BS562" s="150"/>
      <c r="BT562" s="150"/>
      <c r="BU562" s="150"/>
      <c r="BV562" s="150"/>
      <c r="BW562" s="150"/>
      <c r="BX562" s="150"/>
      <c r="BY562" s="150"/>
      <c r="BZ562" s="150"/>
      <c r="CA562" s="150"/>
      <c r="CB562" s="150"/>
      <c r="CC562" s="150"/>
      <c r="CD562" s="150"/>
      <c r="CE562" s="150"/>
      <c r="CF562" s="150"/>
      <c r="CG562" s="150"/>
      <c r="CH562" s="150"/>
      <c r="CI562" s="150"/>
      <c r="CJ562" s="150"/>
      <c r="CK562" s="150"/>
      <c r="CL562" s="150"/>
      <c r="CM562" s="150"/>
      <c r="CN562" s="150"/>
      <c r="CO562" s="150"/>
      <c r="CP562" s="150"/>
      <c r="CQ562" s="150"/>
      <c r="CR562" s="150"/>
      <c r="CS562" s="150"/>
      <c r="CT562" s="150"/>
      <c r="CU562" s="150"/>
      <c r="CV562" s="150"/>
      <c r="CW562" s="150"/>
      <c r="CX562" s="150"/>
      <c r="CY562" s="150"/>
      <c r="CZ562" s="150"/>
      <c r="DA562" s="150"/>
      <c r="DB562" s="150"/>
      <c r="DC562" s="150"/>
      <c r="DD562" s="150"/>
      <c r="DE562" s="150"/>
      <c r="DF562" s="150"/>
      <c r="DG562" s="150"/>
      <c r="DH562" s="150"/>
      <c r="DI562" s="150"/>
      <c r="DJ562" s="150"/>
      <c r="DK562" s="150"/>
      <c r="DL562" s="150"/>
      <c r="DM562" s="150"/>
      <c r="DN562" s="150"/>
      <c r="DO562" s="150"/>
      <c r="DP562" s="150"/>
      <c r="DQ562" s="150"/>
      <c r="DR562" s="150"/>
      <c r="DS562" s="150"/>
      <c r="DT562" s="150"/>
      <c r="DU562" s="150"/>
      <c r="DV562" s="150"/>
      <c r="DW562" s="150"/>
      <c r="DX562" s="150"/>
      <c r="DY562" s="150"/>
      <c r="DZ562" s="150"/>
      <c r="EA562" s="150"/>
      <c r="EB562" s="150"/>
      <c r="EC562" s="150"/>
      <c r="ED562" s="150"/>
      <c r="EE562" s="150"/>
      <c r="EF562" s="150"/>
      <c r="EG562" s="150"/>
      <c r="EH562" s="150"/>
      <c r="EI562" s="150"/>
      <c r="EJ562" s="150"/>
      <c r="EK562" s="150"/>
      <c r="EL562" s="150"/>
      <c r="EM562" s="150"/>
      <c r="EN562" s="150"/>
      <c r="EO562" s="150"/>
      <c r="EP562" s="150"/>
      <c r="EQ562" s="150"/>
      <c r="ER562" s="150"/>
      <c r="ES562" s="150"/>
      <c r="ET562" s="150"/>
      <c r="EU562" s="150"/>
      <c r="EV562" s="150"/>
      <c r="EW562" s="150"/>
      <c r="EX562" s="150"/>
      <c r="EY562" s="150"/>
      <c r="EZ562" s="150"/>
      <c r="FA562" s="150"/>
      <c r="FB562" s="150"/>
      <c r="FC562" s="150"/>
      <c r="FD562" s="150"/>
      <c r="FE562" s="150"/>
      <c r="FF562" s="150"/>
      <c r="FG562" s="150"/>
      <c r="FH562" s="150"/>
      <c r="FI562" s="150"/>
      <c r="FJ562" s="150"/>
      <c r="FK562" s="150"/>
      <c r="FL562" s="150"/>
      <c r="FM562" s="150"/>
      <c r="FN562" s="150"/>
    </row>
    <row r="563" spans="1:170" s="149" customFormat="1" x14ac:dyDescent="0.25">
      <c r="A563" s="142"/>
      <c r="B563" s="142"/>
      <c r="C563" s="142"/>
      <c r="D563" s="144"/>
      <c r="E563" s="143"/>
      <c r="F563" s="143"/>
      <c r="G563" s="144"/>
      <c r="H563" s="143"/>
      <c r="I563" s="143"/>
      <c r="J563" s="319"/>
      <c r="K563" s="319"/>
      <c r="L563" s="315"/>
      <c r="M563" s="315"/>
      <c r="N563" s="145"/>
      <c r="O563" s="145"/>
      <c r="P563" s="145"/>
      <c r="Q563" s="146"/>
      <c r="R563" s="147"/>
      <c r="S563" s="148"/>
      <c r="T563" s="148"/>
      <c r="U563" s="148"/>
      <c r="V563" s="148"/>
      <c r="W563" s="148"/>
      <c r="X563" s="148"/>
      <c r="Y563" s="148"/>
      <c r="Z563" s="148"/>
      <c r="AA563" s="148"/>
      <c r="AB563" s="148"/>
      <c r="AV563" s="150"/>
      <c r="AW563" s="150"/>
      <c r="AX563" s="150"/>
      <c r="AY563" s="150"/>
      <c r="AZ563" s="150"/>
      <c r="BA563" s="150"/>
      <c r="BB563" s="150"/>
      <c r="BC563" s="150"/>
      <c r="BD563" s="150"/>
      <c r="BE563" s="150"/>
      <c r="BF563" s="150"/>
      <c r="BG563" s="150"/>
      <c r="BH563" s="150"/>
      <c r="BI563" s="150"/>
      <c r="BJ563" s="150"/>
      <c r="BK563" s="150"/>
      <c r="BL563" s="150"/>
      <c r="BM563" s="150"/>
      <c r="BN563" s="150"/>
      <c r="BO563" s="150"/>
      <c r="BP563" s="150"/>
      <c r="BQ563" s="150"/>
      <c r="BR563" s="150"/>
      <c r="BS563" s="150"/>
      <c r="BT563" s="150"/>
      <c r="BU563" s="150"/>
      <c r="BV563" s="150"/>
      <c r="BW563" s="150"/>
      <c r="BX563" s="150"/>
      <c r="BY563" s="150"/>
      <c r="BZ563" s="150"/>
      <c r="CA563" s="150"/>
      <c r="CB563" s="150"/>
      <c r="CC563" s="150"/>
      <c r="CD563" s="150"/>
      <c r="CE563" s="150"/>
      <c r="CF563" s="150"/>
      <c r="CG563" s="150"/>
      <c r="CH563" s="150"/>
      <c r="CI563" s="150"/>
      <c r="CJ563" s="150"/>
      <c r="CK563" s="150"/>
      <c r="CL563" s="150"/>
      <c r="CM563" s="150"/>
      <c r="CN563" s="150"/>
      <c r="CO563" s="150"/>
      <c r="CP563" s="150"/>
      <c r="CQ563" s="150"/>
      <c r="CR563" s="150"/>
      <c r="CS563" s="150"/>
      <c r="CT563" s="150"/>
      <c r="CU563" s="150"/>
      <c r="CV563" s="150"/>
      <c r="CW563" s="150"/>
      <c r="CX563" s="150"/>
      <c r="CY563" s="150"/>
      <c r="CZ563" s="150"/>
      <c r="DA563" s="150"/>
      <c r="DB563" s="150"/>
      <c r="DC563" s="150"/>
      <c r="DD563" s="150"/>
      <c r="DE563" s="150"/>
      <c r="DF563" s="150"/>
      <c r="DG563" s="150"/>
      <c r="DH563" s="150"/>
      <c r="DI563" s="150"/>
      <c r="DJ563" s="150"/>
      <c r="DK563" s="150"/>
      <c r="DL563" s="150"/>
      <c r="DM563" s="150"/>
      <c r="DN563" s="150"/>
      <c r="DO563" s="150"/>
      <c r="DP563" s="150"/>
      <c r="DQ563" s="150"/>
      <c r="DR563" s="150"/>
      <c r="DS563" s="150"/>
      <c r="DT563" s="150"/>
      <c r="DU563" s="150"/>
      <c r="DV563" s="150"/>
      <c r="DW563" s="150"/>
      <c r="DX563" s="150"/>
      <c r="DY563" s="150"/>
      <c r="DZ563" s="150"/>
      <c r="EA563" s="150"/>
      <c r="EB563" s="150"/>
      <c r="EC563" s="150"/>
      <c r="ED563" s="150"/>
      <c r="EE563" s="150"/>
      <c r="EF563" s="150"/>
      <c r="EG563" s="150"/>
      <c r="EH563" s="150"/>
      <c r="EI563" s="150"/>
      <c r="EJ563" s="150"/>
      <c r="EK563" s="150"/>
      <c r="EL563" s="150"/>
      <c r="EM563" s="150"/>
      <c r="EN563" s="150"/>
      <c r="EO563" s="150"/>
      <c r="EP563" s="150"/>
      <c r="EQ563" s="150"/>
      <c r="ER563" s="150"/>
      <c r="ES563" s="150"/>
      <c r="ET563" s="150"/>
      <c r="EU563" s="150"/>
      <c r="EV563" s="150"/>
      <c r="EW563" s="150"/>
      <c r="EX563" s="150"/>
      <c r="EY563" s="150"/>
      <c r="EZ563" s="150"/>
      <c r="FA563" s="150"/>
      <c r="FB563" s="150"/>
      <c r="FC563" s="150"/>
      <c r="FD563" s="150"/>
      <c r="FE563" s="150"/>
      <c r="FF563" s="150"/>
      <c r="FG563" s="150"/>
      <c r="FH563" s="150"/>
      <c r="FI563" s="150"/>
      <c r="FJ563" s="150"/>
      <c r="FK563" s="150"/>
      <c r="FL563" s="150"/>
      <c r="FM563" s="150"/>
      <c r="FN563" s="150"/>
    </row>
    <row r="564" spans="1:170" s="149" customFormat="1" x14ac:dyDescent="0.25">
      <c r="A564" s="142"/>
      <c r="B564" s="142"/>
      <c r="C564" s="142"/>
      <c r="D564" s="144"/>
      <c r="E564" s="143"/>
      <c r="F564" s="143"/>
      <c r="G564" s="144"/>
      <c r="H564" s="143"/>
      <c r="I564" s="143"/>
      <c r="J564" s="319"/>
      <c r="K564" s="319"/>
      <c r="L564" s="315"/>
      <c r="M564" s="315"/>
      <c r="N564" s="145"/>
      <c r="O564" s="145"/>
      <c r="P564" s="145"/>
      <c r="Q564" s="146"/>
      <c r="R564" s="147"/>
      <c r="S564" s="148"/>
      <c r="T564" s="148"/>
      <c r="U564" s="148"/>
      <c r="V564" s="148"/>
      <c r="W564" s="148"/>
      <c r="X564" s="148"/>
      <c r="Y564" s="148"/>
      <c r="Z564" s="148"/>
      <c r="AA564" s="148"/>
      <c r="AB564" s="148"/>
      <c r="AV564" s="150"/>
      <c r="AW564" s="150"/>
      <c r="AX564" s="150"/>
      <c r="AY564" s="150"/>
      <c r="AZ564" s="150"/>
      <c r="BA564" s="150"/>
      <c r="BB564" s="150"/>
      <c r="BC564" s="150"/>
      <c r="BD564" s="150"/>
      <c r="BE564" s="150"/>
      <c r="BF564" s="150"/>
      <c r="BG564" s="150"/>
      <c r="BH564" s="150"/>
      <c r="BI564" s="150"/>
      <c r="BJ564" s="150"/>
      <c r="BK564" s="150"/>
      <c r="BL564" s="150"/>
      <c r="BM564" s="150"/>
      <c r="BN564" s="150"/>
      <c r="BO564" s="150"/>
      <c r="BP564" s="150"/>
      <c r="BQ564" s="150"/>
      <c r="BR564" s="150"/>
      <c r="BS564" s="150"/>
      <c r="BT564" s="150"/>
      <c r="BU564" s="150"/>
      <c r="BV564" s="150"/>
      <c r="BW564" s="150"/>
      <c r="BX564" s="150"/>
      <c r="BY564" s="150"/>
      <c r="BZ564" s="150"/>
      <c r="CA564" s="150"/>
      <c r="CB564" s="150"/>
      <c r="CC564" s="150"/>
      <c r="CD564" s="150"/>
      <c r="CE564" s="150"/>
      <c r="CF564" s="150"/>
      <c r="CG564" s="150"/>
      <c r="CH564" s="150"/>
      <c r="CI564" s="150"/>
      <c r="CJ564" s="150"/>
      <c r="CK564" s="150"/>
      <c r="CL564" s="150"/>
      <c r="CM564" s="150"/>
      <c r="CN564" s="150"/>
      <c r="CO564" s="150"/>
      <c r="CP564" s="150"/>
      <c r="CQ564" s="150"/>
      <c r="CR564" s="150"/>
      <c r="CS564" s="150"/>
      <c r="CT564" s="150"/>
      <c r="CU564" s="150"/>
      <c r="CV564" s="150"/>
      <c r="CW564" s="150"/>
      <c r="CX564" s="150"/>
      <c r="CY564" s="150"/>
      <c r="CZ564" s="150"/>
      <c r="DA564" s="150"/>
      <c r="DB564" s="150"/>
      <c r="DC564" s="150"/>
      <c r="DD564" s="150"/>
      <c r="DE564" s="150"/>
      <c r="DF564" s="150"/>
      <c r="DG564" s="150"/>
      <c r="DH564" s="150"/>
      <c r="DI564" s="150"/>
      <c r="DJ564" s="150"/>
      <c r="DK564" s="150"/>
      <c r="DL564" s="150"/>
      <c r="DM564" s="150"/>
      <c r="DN564" s="150"/>
      <c r="DO564" s="150"/>
      <c r="DP564" s="150"/>
      <c r="DQ564" s="150"/>
      <c r="DR564" s="150"/>
      <c r="DS564" s="150"/>
      <c r="DT564" s="150"/>
      <c r="DU564" s="150"/>
      <c r="DV564" s="150"/>
      <c r="DW564" s="150"/>
      <c r="DX564" s="150"/>
      <c r="DY564" s="150"/>
      <c r="DZ564" s="150"/>
      <c r="EA564" s="150"/>
      <c r="EB564" s="150"/>
      <c r="EC564" s="150"/>
      <c r="ED564" s="150"/>
      <c r="EE564" s="150"/>
      <c r="EF564" s="150"/>
      <c r="EG564" s="150"/>
      <c r="EH564" s="150"/>
      <c r="EI564" s="150"/>
      <c r="EJ564" s="150"/>
      <c r="EK564" s="150"/>
      <c r="EL564" s="150"/>
      <c r="EM564" s="150"/>
      <c r="EN564" s="150"/>
      <c r="EO564" s="150"/>
      <c r="EP564" s="150"/>
      <c r="EQ564" s="150"/>
      <c r="ER564" s="150"/>
      <c r="ES564" s="150"/>
      <c r="ET564" s="150"/>
      <c r="EU564" s="150"/>
      <c r="EV564" s="150"/>
      <c r="EW564" s="150"/>
      <c r="EX564" s="150"/>
      <c r="EY564" s="150"/>
      <c r="EZ564" s="150"/>
      <c r="FA564" s="150"/>
      <c r="FB564" s="150"/>
      <c r="FC564" s="150"/>
      <c r="FD564" s="150"/>
      <c r="FE564" s="150"/>
      <c r="FF564" s="150"/>
      <c r="FG564" s="150"/>
      <c r="FH564" s="150"/>
      <c r="FI564" s="150"/>
      <c r="FJ564" s="150"/>
      <c r="FK564" s="150"/>
      <c r="FL564" s="150"/>
      <c r="FM564" s="150"/>
      <c r="FN564" s="150"/>
    </row>
    <row r="565" spans="1:170" s="149" customFormat="1" x14ac:dyDescent="0.25">
      <c r="A565" s="142"/>
      <c r="B565" s="142"/>
      <c r="C565" s="142"/>
      <c r="D565" s="144"/>
      <c r="E565" s="143"/>
      <c r="F565" s="143"/>
      <c r="G565" s="144"/>
      <c r="H565" s="143"/>
      <c r="I565" s="143"/>
      <c r="J565" s="319"/>
      <c r="K565" s="319"/>
      <c r="L565" s="315"/>
      <c r="M565" s="315"/>
      <c r="N565" s="145"/>
      <c r="O565" s="145"/>
      <c r="P565" s="145"/>
      <c r="Q565" s="146"/>
      <c r="R565" s="147"/>
      <c r="S565" s="148"/>
      <c r="T565" s="148"/>
      <c r="U565" s="148"/>
      <c r="V565" s="148"/>
      <c r="W565" s="148"/>
      <c r="X565" s="148"/>
      <c r="Y565" s="148"/>
      <c r="Z565" s="148"/>
      <c r="AA565" s="148"/>
      <c r="AB565" s="148"/>
      <c r="AV565" s="150"/>
      <c r="AW565" s="150"/>
      <c r="AX565" s="150"/>
      <c r="AY565" s="150"/>
      <c r="AZ565" s="150"/>
      <c r="BA565" s="150"/>
      <c r="BB565" s="150"/>
      <c r="BC565" s="150"/>
      <c r="BD565" s="150"/>
      <c r="BE565" s="150"/>
      <c r="BF565" s="150"/>
      <c r="BG565" s="150"/>
      <c r="BH565" s="150"/>
      <c r="BI565" s="150"/>
      <c r="BJ565" s="150"/>
      <c r="BK565" s="150"/>
      <c r="BL565" s="150"/>
      <c r="BM565" s="150"/>
      <c r="BN565" s="150"/>
      <c r="BO565" s="150"/>
      <c r="BP565" s="150"/>
      <c r="BQ565" s="150"/>
      <c r="BR565" s="150"/>
      <c r="BS565" s="150"/>
      <c r="BT565" s="150"/>
      <c r="BU565" s="150"/>
      <c r="BV565" s="150"/>
      <c r="BW565" s="150"/>
      <c r="BX565" s="150"/>
      <c r="BY565" s="150"/>
      <c r="BZ565" s="150"/>
      <c r="CA565" s="150"/>
      <c r="CB565" s="150"/>
      <c r="CC565" s="150"/>
      <c r="CD565" s="150"/>
      <c r="CE565" s="150"/>
      <c r="CF565" s="150"/>
      <c r="CG565" s="150"/>
      <c r="CH565" s="150"/>
      <c r="CI565" s="150"/>
      <c r="CJ565" s="150"/>
      <c r="CK565" s="150"/>
      <c r="CL565" s="150"/>
      <c r="CM565" s="150"/>
      <c r="CN565" s="150"/>
      <c r="CO565" s="150"/>
      <c r="CP565" s="150"/>
      <c r="CQ565" s="150"/>
      <c r="CR565" s="150"/>
      <c r="CS565" s="150"/>
      <c r="CT565" s="150"/>
      <c r="CU565" s="150"/>
      <c r="CV565" s="150"/>
      <c r="CW565" s="150"/>
      <c r="CX565" s="150"/>
      <c r="CY565" s="150"/>
      <c r="CZ565" s="150"/>
      <c r="DA565" s="150"/>
      <c r="DB565" s="150"/>
      <c r="DC565" s="150"/>
      <c r="DD565" s="150"/>
      <c r="DE565" s="150"/>
      <c r="DF565" s="150"/>
      <c r="DG565" s="150"/>
      <c r="DH565" s="150"/>
      <c r="DI565" s="150"/>
      <c r="DJ565" s="150"/>
      <c r="DK565" s="150"/>
      <c r="DL565" s="150"/>
      <c r="DM565" s="150"/>
      <c r="DN565" s="150"/>
      <c r="DO565" s="150"/>
      <c r="DP565" s="150"/>
      <c r="DQ565" s="150"/>
      <c r="DR565" s="150"/>
      <c r="DS565" s="150"/>
      <c r="DT565" s="150"/>
      <c r="DU565" s="150"/>
      <c r="DV565" s="150"/>
      <c r="DW565" s="150"/>
      <c r="DX565" s="150"/>
      <c r="DY565" s="150"/>
      <c r="DZ565" s="150"/>
      <c r="EA565" s="150"/>
      <c r="EB565" s="150"/>
      <c r="EC565" s="150"/>
      <c r="ED565" s="150"/>
      <c r="EE565" s="150"/>
      <c r="EF565" s="150"/>
      <c r="EG565" s="150"/>
      <c r="EH565" s="150"/>
      <c r="EI565" s="150"/>
      <c r="EJ565" s="150"/>
      <c r="EK565" s="150"/>
      <c r="EL565" s="150"/>
      <c r="EM565" s="150"/>
      <c r="EN565" s="150"/>
      <c r="EO565" s="150"/>
      <c r="EP565" s="150"/>
      <c r="EQ565" s="150"/>
      <c r="ER565" s="150"/>
      <c r="ES565" s="150"/>
      <c r="ET565" s="150"/>
      <c r="EU565" s="150"/>
      <c r="EV565" s="150"/>
      <c r="EW565" s="150"/>
      <c r="EX565" s="150"/>
      <c r="EY565" s="150"/>
      <c r="EZ565" s="150"/>
      <c r="FA565" s="150"/>
      <c r="FB565" s="150"/>
      <c r="FC565" s="150"/>
      <c r="FD565" s="150"/>
      <c r="FE565" s="150"/>
      <c r="FF565" s="150"/>
      <c r="FG565" s="150"/>
      <c r="FH565" s="150"/>
      <c r="FI565" s="150"/>
      <c r="FJ565" s="150"/>
      <c r="FK565" s="150"/>
      <c r="FL565" s="150"/>
      <c r="FM565" s="150"/>
      <c r="FN565" s="150"/>
    </row>
    <row r="566" spans="1:170" s="149" customFormat="1" x14ac:dyDescent="0.25">
      <c r="A566" s="142"/>
      <c r="B566" s="142"/>
      <c r="C566" s="142"/>
      <c r="D566" s="144"/>
      <c r="E566" s="143"/>
      <c r="F566" s="143"/>
      <c r="G566" s="144"/>
      <c r="H566" s="143"/>
      <c r="I566" s="143"/>
      <c r="J566" s="319"/>
      <c r="K566" s="319"/>
      <c r="L566" s="315"/>
      <c r="M566" s="315"/>
      <c r="N566" s="145"/>
      <c r="O566" s="145"/>
      <c r="P566" s="145"/>
      <c r="Q566" s="146"/>
      <c r="R566" s="147"/>
      <c r="S566" s="148"/>
      <c r="T566" s="148"/>
      <c r="U566" s="148"/>
      <c r="V566" s="148"/>
      <c r="W566" s="148"/>
      <c r="X566" s="148"/>
      <c r="Y566" s="148"/>
      <c r="Z566" s="148"/>
      <c r="AA566" s="148"/>
      <c r="AB566" s="148"/>
      <c r="AV566" s="150"/>
      <c r="AW566" s="150"/>
      <c r="AX566" s="150"/>
      <c r="AY566" s="150"/>
      <c r="AZ566" s="150"/>
      <c r="BA566" s="150"/>
      <c r="BB566" s="150"/>
      <c r="BC566" s="150"/>
      <c r="BD566" s="150"/>
      <c r="BE566" s="150"/>
      <c r="BF566" s="150"/>
      <c r="BG566" s="150"/>
      <c r="BH566" s="150"/>
      <c r="BI566" s="150"/>
      <c r="BJ566" s="150"/>
      <c r="BK566" s="150"/>
      <c r="BL566" s="150"/>
      <c r="BM566" s="150"/>
      <c r="BN566" s="150"/>
      <c r="BO566" s="150"/>
      <c r="BP566" s="150"/>
      <c r="BQ566" s="150"/>
      <c r="BR566" s="150"/>
      <c r="BS566" s="150"/>
      <c r="BT566" s="150"/>
      <c r="BU566" s="150"/>
      <c r="BV566" s="150"/>
      <c r="BW566" s="150"/>
      <c r="BX566" s="150"/>
      <c r="BY566" s="150"/>
      <c r="BZ566" s="150"/>
      <c r="CA566" s="150"/>
      <c r="CB566" s="150"/>
      <c r="CC566" s="150"/>
      <c r="CD566" s="150"/>
      <c r="CE566" s="150"/>
      <c r="CF566" s="150"/>
      <c r="CG566" s="150"/>
      <c r="CH566" s="150"/>
      <c r="CI566" s="150"/>
      <c r="CJ566" s="150"/>
      <c r="CK566" s="150"/>
      <c r="CL566" s="150"/>
      <c r="CM566" s="150"/>
      <c r="CN566" s="150"/>
      <c r="CO566" s="150"/>
      <c r="CP566" s="150"/>
      <c r="CQ566" s="150"/>
      <c r="CR566" s="150"/>
      <c r="CS566" s="150"/>
      <c r="CT566" s="150"/>
      <c r="CU566" s="150"/>
      <c r="CV566" s="150"/>
      <c r="CW566" s="150"/>
      <c r="CX566" s="150"/>
      <c r="CY566" s="150"/>
      <c r="CZ566" s="150"/>
      <c r="DA566" s="150"/>
      <c r="DB566" s="150"/>
      <c r="DC566" s="150"/>
      <c r="DD566" s="150"/>
      <c r="DE566" s="150"/>
      <c r="DF566" s="150"/>
      <c r="DG566" s="150"/>
      <c r="DH566" s="150"/>
      <c r="DI566" s="150"/>
      <c r="DJ566" s="150"/>
      <c r="DK566" s="150"/>
      <c r="DL566" s="150"/>
      <c r="DM566" s="150"/>
      <c r="DN566" s="150"/>
      <c r="DO566" s="150"/>
      <c r="DP566" s="150"/>
      <c r="DQ566" s="150"/>
      <c r="DR566" s="150"/>
      <c r="DS566" s="150"/>
      <c r="DT566" s="150"/>
      <c r="DU566" s="150"/>
      <c r="DV566" s="150"/>
      <c r="DW566" s="150"/>
      <c r="DX566" s="150"/>
      <c r="DY566" s="150"/>
      <c r="DZ566" s="150"/>
      <c r="EA566" s="150"/>
      <c r="EB566" s="150"/>
      <c r="EC566" s="150"/>
      <c r="ED566" s="150"/>
      <c r="EE566" s="150"/>
      <c r="EF566" s="150"/>
      <c r="EG566" s="150"/>
      <c r="EH566" s="150"/>
      <c r="EI566" s="150"/>
      <c r="EJ566" s="150"/>
      <c r="EK566" s="150"/>
      <c r="EL566" s="150"/>
      <c r="EM566" s="150"/>
      <c r="EN566" s="150"/>
      <c r="EO566" s="150"/>
      <c r="EP566" s="150"/>
      <c r="EQ566" s="150"/>
      <c r="ER566" s="150"/>
      <c r="ES566" s="150"/>
      <c r="ET566" s="150"/>
      <c r="EU566" s="150"/>
      <c r="EV566" s="150"/>
      <c r="EW566" s="150"/>
      <c r="EX566" s="150"/>
      <c r="EY566" s="150"/>
      <c r="EZ566" s="150"/>
      <c r="FA566" s="150"/>
      <c r="FB566" s="150"/>
      <c r="FC566" s="150"/>
      <c r="FD566" s="150"/>
      <c r="FE566" s="150"/>
      <c r="FF566" s="150"/>
      <c r="FG566" s="150"/>
      <c r="FH566" s="150"/>
      <c r="FI566" s="150"/>
      <c r="FJ566" s="150"/>
      <c r="FK566" s="150"/>
      <c r="FL566" s="150"/>
      <c r="FM566" s="150"/>
      <c r="FN566" s="150"/>
    </row>
    <row r="567" spans="1:170" s="149" customFormat="1" x14ac:dyDescent="0.25">
      <c r="A567" s="142"/>
      <c r="B567" s="142"/>
      <c r="C567" s="142"/>
      <c r="D567" s="144"/>
      <c r="E567" s="143"/>
      <c r="F567" s="143"/>
      <c r="G567" s="144"/>
      <c r="H567" s="143"/>
      <c r="I567" s="143"/>
      <c r="J567" s="319"/>
      <c r="K567" s="319"/>
      <c r="L567" s="315"/>
      <c r="M567" s="315"/>
      <c r="N567" s="145"/>
      <c r="O567" s="145"/>
      <c r="P567" s="145"/>
      <c r="Q567" s="146"/>
      <c r="R567" s="147"/>
      <c r="S567" s="148"/>
      <c r="T567" s="148"/>
      <c r="U567" s="148"/>
      <c r="V567" s="148"/>
      <c r="W567" s="148"/>
      <c r="X567" s="148"/>
      <c r="Y567" s="148"/>
      <c r="Z567" s="148"/>
      <c r="AA567" s="148"/>
      <c r="AB567" s="148"/>
      <c r="AV567" s="150"/>
      <c r="AW567" s="150"/>
      <c r="AX567" s="150"/>
      <c r="AY567" s="150"/>
      <c r="AZ567" s="150"/>
      <c r="BA567" s="150"/>
      <c r="BB567" s="150"/>
      <c r="BC567" s="150"/>
      <c r="BD567" s="150"/>
      <c r="BE567" s="150"/>
      <c r="BF567" s="150"/>
      <c r="BG567" s="150"/>
      <c r="BH567" s="150"/>
      <c r="BI567" s="150"/>
      <c r="BJ567" s="150"/>
      <c r="BK567" s="150"/>
      <c r="BL567" s="150"/>
      <c r="BM567" s="150"/>
      <c r="BN567" s="150"/>
      <c r="BO567" s="150"/>
      <c r="BP567" s="150"/>
      <c r="BQ567" s="150"/>
      <c r="BR567" s="150"/>
      <c r="BS567" s="150"/>
      <c r="BT567" s="150"/>
      <c r="BU567" s="150"/>
      <c r="BV567" s="150"/>
      <c r="BW567" s="150"/>
      <c r="BX567" s="150"/>
      <c r="BY567" s="150"/>
      <c r="BZ567" s="150"/>
      <c r="CA567" s="150"/>
      <c r="CB567" s="150"/>
      <c r="CC567" s="150"/>
      <c r="CD567" s="150"/>
      <c r="CE567" s="150"/>
      <c r="CF567" s="150"/>
      <c r="CG567" s="150"/>
      <c r="CH567" s="150"/>
      <c r="CI567" s="150"/>
      <c r="CJ567" s="150"/>
      <c r="CK567" s="150"/>
      <c r="CL567" s="150"/>
      <c r="CM567" s="150"/>
      <c r="CN567" s="150"/>
      <c r="CO567" s="150"/>
      <c r="CP567" s="150"/>
      <c r="CQ567" s="150"/>
      <c r="CR567" s="150"/>
      <c r="CS567" s="150"/>
      <c r="CT567" s="150"/>
      <c r="CU567" s="150"/>
      <c r="CV567" s="150"/>
      <c r="CW567" s="150"/>
      <c r="CX567" s="150"/>
      <c r="CY567" s="150"/>
      <c r="CZ567" s="150"/>
      <c r="DA567" s="150"/>
      <c r="DB567" s="150"/>
      <c r="DC567" s="150"/>
      <c r="DD567" s="150"/>
      <c r="DE567" s="150"/>
      <c r="DF567" s="150"/>
      <c r="DG567" s="150"/>
      <c r="DH567" s="150"/>
      <c r="DI567" s="150"/>
      <c r="DJ567" s="150"/>
      <c r="DK567" s="150"/>
      <c r="DL567" s="150"/>
      <c r="DM567" s="150"/>
      <c r="DN567" s="150"/>
      <c r="DO567" s="150"/>
      <c r="DP567" s="150"/>
      <c r="DQ567" s="150"/>
      <c r="DR567" s="150"/>
      <c r="DS567" s="150"/>
      <c r="DT567" s="150"/>
      <c r="DU567" s="150"/>
      <c r="DV567" s="150"/>
      <c r="DW567" s="150"/>
      <c r="DX567" s="150"/>
      <c r="DY567" s="150"/>
      <c r="DZ567" s="150"/>
      <c r="EA567" s="150"/>
      <c r="EB567" s="150"/>
      <c r="EC567" s="150"/>
      <c r="ED567" s="150"/>
      <c r="EE567" s="150"/>
      <c r="EF567" s="150"/>
      <c r="EG567" s="150"/>
      <c r="EH567" s="150"/>
      <c r="EI567" s="150"/>
      <c r="EJ567" s="150"/>
      <c r="EK567" s="150"/>
      <c r="EL567" s="150"/>
      <c r="EM567" s="150"/>
      <c r="EN567" s="150"/>
      <c r="EO567" s="150"/>
      <c r="EP567" s="150"/>
      <c r="EQ567" s="150"/>
      <c r="ER567" s="150"/>
      <c r="ES567" s="150"/>
      <c r="ET567" s="150"/>
      <c r="EU567" s="150"/>
      <c r="EV567" s="150"/>
      <c r="EW567" s="150"/>
      <c r="EX567" s="150"/>
      <c r="EY567" s="150"/>
      <c r="EZ567" s="150"/>
      <c r="FA567" s="150"/>
      <c r="FB567" s="150"/>
      <c r="FC567" s="150"/>
      <c r="FD567" s="150"/>
      <c r="FE567" s="150"/>
      <c r="FF567" s="150"/>
      <c r="FG567" s="150"/>
      <c r="FH567" s="150"/>
      <c r="FI567" s="150"/>
      <c r="FJ567" s="150"/>
      <c r="FK567" s="150"/>
      <c r="FL567" s="150"/>
      <c r="FM567" s="150"/>
      <c r="FN567" s="150"/>
    </row>
    <row r="568" spans="1:170" s="149" customFormat="1" x14ac:dyDescent="0.25">
      <c r="A568" s="142"/>
      <c r="B568" s="142"/>
      <c r="C568" s="142"/>
      <c r="D568" s="144"/>
      <c r="E568" s="143"/>
      <c r="F568" s="143"/>
      <c r="G568" s="144"/>
      <c r="H568" s="143"/>
      <c r="I568" s="143"/>
      <c r="J568" s="319"/>
      <c r="K568" s="319"/>
      <c r="L568" s="315"/>
      <c r="M568" s="315"/>
      <c r="N568" s="145"/>
      <c r="O568" s="145"/>
      <c r="P568" s="145"/>
      <c r="Q568" s="146"/>
      <c r="R568" s="147"/>
      <c r="S568" s="148"/>
      <c r="T568" s="148"/>
      <c r="U568" s="148"/>
      <c r="V568" s="148"/>
      <c r="W568" s="148"/>
      <c r="X568" s="148"/>
      <c r="Y568" s="148"/>
      <c r="Z568" s="148"/>
      <c r="AA568" s="148"/>
      <c r="AB568" s="148"/>
      <c r="AV568" s="150"/>
      <c r="AW568" s="150"/>
      <c r="AX568" s="150"/>
      <c r="AY568" s="150"/>
      <c r="AZ568" s="150"/>
      <c r="BA568" s="150"/>
      <c r="BB568" s="150"/>
      <c r="BC568" s="150"/>
      <c r="BD568" s="150"/>
      <c r="BE568" s="150"/>
      <c r="BF568" s="150"/>
      <c r="BG568" s="150"/>
      <c r="BH568" s="150"/>
      <c r="BI568" s="150"/>
      <c r="BJ568" s="150"/>
      <c r="BK568" s="150"/>
      <c r="BL568" s="150"/>
      <c r="BM568" s="150"/>
      <c r="BN568" s="150"/>
      <c r="BO568" s="150"/>
      <c r="BP568" s="150"/>
      <c r="BQ568" s="150"/>
      <c r="BR568" s="150"/>
      <c r="BS568" s="150"/>
      <c r="BT568" s="150"/>
      <c r="BU568" s="150"/>
      <c r="BV568" s="150"/>
      <c r="BW568" s="150"/>
      <c r="BX568" s="150"/>
      <c r="BY568" s="150"/>
      <c r="BZ568" s="150"/>
      <c r="CA568" s="150"/>
      <c r="CB568" s="150"/>
      <c r="CC568" s="150"/>
      <c r="CD568" s="150"/>
      <c r="CE568" s="150"/>
      <c r="CF568" s="150"/>
      <c r="CG568" s="150"/>
      <c r="CH568" s="150"/>
      <c r="CI568" s="150"/>
      <c r="CJ568" s="150"/>
      <c r="CK568" s="150"/>
      <c r="CL568" s="150"/>
      <c r="CM568" s="150"/>
      <c r="CN568" s="150"/>
      <c r="CO568" s="150"/>
      <c r="CP568" s="150"/>
      <c r="CQ568" s="150"/>
      <c r="CR568" s="150"/>
      <c r="CS568" s="150"/>
      <c r="CT568" s="150"/>
      <c r="CU568" s="150"/>
      <c r="CV568" s="150"/>
      <c r="CW568" s="150"/>
      <c r="CX568" s="150"/>
      <c r="CY568" s="150"/>
      <c r="CZ568" s="150"/>
      <c r="DA568" s="150"/>
      <c r="DB568" s="150"/>
      <c r="DC568" s="150"/>
      <c r="DD568" s="150"/>
      <c r="DE568" s="150"/>
      <c r="DF568" s="150"/>
      <c r="DG568" s="150"/>
      <c r="DH568" s="150"/>
      <c r="DI568" s="150"/>
      <c r="DJ568" s="150"/>
      <c r="DK568" s="150"/>
      <c r="DL568" s="150"/>
      <c r="DM568" s="150"/>
      <c r="DN568" s="150"/>
      <c r="DO568" s="150"/>
      <c r="DP568" s="150"/>
      <c r="DQ568" s="150"/>
      <c r="DR568" s="150"/>
      <c r="DS568" s="150"/>
      <c r="DT568" s="150"/>
      <c r="DU568" s="150"/>
      <c r="DV568" s="150"/>
      <c r="DW568" s="150"/>
      <c r="DX568" s="150"/>
      <c r="DY568" s="150"/>
      <c r="DZ568" s="150"/>
      <c r="EA568" s="150"/>
      <c r="EB568" s="150"/>
      <c r="EC568" s="150"/>
      <c r="ED568" s="150"/>
      <c r="EE568" s="150"/>
      <c r="EF568" s="150"/>
      <c r="EG568" s="150"/>
      <c r="EH568" s="150"/>
      <c r="EI568" s="150"/>
      <c r="EJ568" s="150"/>
      <c r="EK568" s="150"/>
      <c r="EL568" s="150"/>
      <c r="EM568" s="150"/>
      <c r="EN568" s="150"/>
      <c r="EO568" s="150"/>
      <c r="EP568" s="150"/>
      <c r="EQ568" s="150"/>
      <c r="ER568" s="150"/>
      <c r="ES568" s="150"/>
      <c r="ET568" s="150"/>
      <c r="EU568" s="150"/>
      <c r="EV568" s="150"/>
      <c r="EW568" s="150"/>
      <c r="EX568" s="150"/>
      <c r="EY568" s="150"/>
      <c r="EZ568" s="150"/>
      <c r="FA568" s="150"/>
      <c r="FB568" s="150"/>
      <c r="FC568" s="150"/>
      <c r="FD568" s="150"/>
      <c r="FE568" s="150"/>
      <c r="FF568" s="150"/>
      <c r="FG568" s="150"/>
      <c r="FH568" s="150"/>
      <c r="FI568" s="150"/>
      <c r="FJ568" s="150"/>
      <c r="FK568" s="150"/>
      <c r="FL568" s="150"/>
      <c r="FM568" s="150"/>
      <c r="FN568" s="150"/>
    </row>
    <row r="569" spans="1:170" s="149" customFormat="1" x14ac:dyDescent="0.25">
      <c r="A569" s="142"/>
      <c r="B569" s="142"/>
      <c r="C569" s="142"/>
      <c r="D569" s="144"/>
      <c r="E569" s="143"/>
      <c r="F569" s="143"/>
      <c r="G569" s="144"/>
      <c r="H569" s="143"/>
      <c r="I569" s="143"/>
      <c r="J569" s="319"/>
      <c r="K569" s="319"/>
      <c r="L569" s="315"/>
      <c r="M569" s="315"/>
      <c r="N569" s="145"/>
      <c r="O569" s="145"/>
      <c r="P569" s="145"/>
      <c r="Q569" s="146"/>
      <c r="R569" s="147"/>
      <c r="S569" s="148"/>
      <c r="T569" s="148"/>
      <c r="U569" s="148"/>
      <c r="V569" s="148"/>
      <c r="W569" s="148"/>
      <c r="X569" s="148"/>
      <c r="Y569" s="148"/>
      <c r="Z569" s="148"/>
      <c r="AA569" s="148"/>
      <c r="AB569" s="148"/>
      <c r="AV569" s="150"/>
      <c r="AW569" s="150"/>
      <c r="AX569" s="150"/>
      <c r="AY569" s="150"/>
      <c r="AZ569" s="150"/>
      <c r="BA569" s="150"/>
      <c r="BB569" s="150"/>
      <c r="BC569" s="150"/>
      <c r="BD569" s="150"/>
      <c r="BE569" s="150"/>
      <c r="BF569" s="150"/>
      <c r="BG569" s="150"/>
      <c r="BH569" s="150"/>
      <c r="BI569" s="150"/>
      <c r="BJ569" s="150"/>
      <c r="BK569" s="150"/>
      <c r="BL569" s="150"/>
      <c r="BM569" s="150"/>
      <c r="BN569" s="150"/>
      <c r="BO569" s="150"/>
      <c r="BP569" s="150"/>
      <c r="BQ569" s="150"/>
      <c r="BR569" s="150"/>
      <c r="BS569" s="150"/>
      <c r="BT569" s="150"/>
      <c r="BU569" s="150"/>
      <c r="BV569" s="150"/>
      <c r="BW569" s="150"/>
      <c r="BX569" s="150"/>
      <c r="BY569" s="150"/>
      <c r="BZ569" s="150"/>
      <c r="CA569" s="150"/>
      <c r="CB569" s="150"/>
      <c r="CC569" s="150"/>
      <c r="CD569" s="150"/>
      <c r="CE569" s="150"/>
      <c r="CF569" s="150"/>
      <c r="CG569" s="150"/>
      <c r="CH569" s="150"/>
      <c r="CI569" s="150"/>
      <c r="CJ569" s="150"/>
      <c r="CK569" s="150"/>
      <c r="CL569" s="150"/>
      <c r="CM569" s="150"/>
      <c r="CN569" s="150"/>
      <c r="CO569" s="150"/>
      <c r="CP569" s="150"/>
      <c r="CQ569" s="150"/>
      <c r="CR569" s="150"/>
      <c r="CS569" s="150"/>
      <c r="CT569" s="150"/>
      <c r="CU569" s="150"/>
      <c r="CV569" s="150"/>
      <c r="CW569" s="150"/>
      <c r="CX569" s="150"/>
      <c r="CY569" s="150"/>
      <c r="CZ569" s="150"/>
      <c r="DA569" s="150"/>
      <c r="DB569" s="150"/>
      <c r="DC569" s="150"/>
      <c r="DD569" s="150"/>
      <c r="DE569" s="150"/>
      <c r="DF569" s="150"/>
      <c r="DG569" s="150"/>
      <c r="DH569" s="150"/>
      <c r="DI569" s="150"/>
      <c r="DJ569" s="150"/>
      <c r="DK569" s="150"/>
      <c r="DL569" s="150"/>
      <c r="DM569" s="150"/>
      <c r="DN569" s="150"/>
      <c r="DO569" s="150"/>
      <c r="DP569" s="150"/>
      <c r="DQ569" s="150"/>
      <c r="DR569" s="150"/>
      <c r="DS569" s="150"/>
      <c r="DT569" s="150"/>
      <c r="DU569" s="150"/>
      <c r="DV569" s="150"/>
      <c r="DW569" s="150"/>
      <c r="DX569" s="150"/>
      <c r="DY569" s="150"/>
      <c r="DZ569" s="150"/>
      <c r="EA569" s="150"/>
      <c r="EB569" s="150"/>
      <c r="EC569" s="150"/>
      <c r="ED569" s="150"/>
      <c r="EE569" s="150"/>
      <c r="EF569" s="150"/>
      <c r="EG569" s="150"/>
      <c r="EH569" s="150"/>
      <c r="EI569" s="150"/>
      <c r="EJ569" s="150"/>
      <c r="EK569" s="150"/>
      <c r="EL569" s="150"/>
      <c r="EM569" s="150"/>
      <c r="EN569" s="150"/>
      <c r="EO569" s="150"/>
      <c r="EP569" s="150"/>
      <c r="EQ569" s="150"/>
      <c r="ER569" s="150"/>
      <c r="ES569" s="150"/>
      <c r="ET569" s="150"/>
      <c r="EU569" s="150"/>
      <c r="EV569" s="150"/>
      <c r="EW569" s="150"/>
      <c r="EX569" s="150"/>
      <c r="EY569" s="150"/>
      <c r="EZ569" s="150"/>
      <c r="FA569" s="150"/>
      <c r="FB569" s="150"/>
      <c r="FC569" s="150"/>
      <c r="FD569" s="150"/>
      <c r="FE569" s="150"/>
      <c r="FF569" s="150"/>
      <c r="FG569" s="150"/>
      <c r="FH569" s="150"/>
      <c r="FI569" s="150"/>
      <c r="FJ569" s="150"/>
      <c r="FK569" s="150"/>
      <c r="FL569" s="150"/>
      <c r="FM569" s="150"/>
      <c r="FN569" s="150"/>
    </row>
    <row r="570" spans="1:170" s="149" customFormat="1" x14ac:dyDescent="0.25">
      <c r="A570" s="142"/>
      <c r="B570" s="142"/>
      <c r="C570" s="142"/>
      <c r="D570" s="144"/>
      <c r="E570" s="143"/>
      <c r="F570" s="143"/>
      <c r="G570" s="144"/>
      <c r="H570" s="143"/>
      <c r="I570" s="143"/>
      <c r="J570" s="319"/>
      <c r="K570" s="319"/>
      <c r="L570" s="315"/>
      <c r="M570" s="315"/>
      <c r="N570" s="145"/>
      <c r="O570" s="145"/>
      <c r="P570" s="145"/>
      <c r="Q570" s="146"/>
      <c r="R570" s="147"/>
      <c r="S570" s="148"/>
      <c r="T570" s="148"/>
      <c r="U570" s="148"/>
      <c r="V570" s="148"/>
      <c r="W570" s="148"/>
      <c r="X570" s="148"/>
      <c r="Y570" s="148"/>
      <c r="Z570" s="148"/>
      <c r="AA570" s="148"/>
      <c r="AB570" s="148"/>
      <c r="AV570" s="150"/>
      <c r="AW570" s="150"/>
      <c r="AX570" s="150"/>
      <c r="AY570" s="150"/>
      <c r="AZ570" s="150"/>
      <c r="BA570" s="150"/>
      <c r="BB570" s="150"/>
      <c r="BC570" s="150"/>
      <c r="BD570" s="150"/>
      <c r="BE570" s="150"/>
      <c r="BF570" s="150"/>
      <c r="BG570" s="150"/>
      <c r="BH570" s="150"/>
      <c r="BI570" s="150"/>
      <c r="BJ570" s="150"/>
      <c r="BK570" s="150"/>
      <c r="BL570" s="150"/>
      <c r="BM570" s="150"/>
      <c r="BN570" s="150"/>
      <c r="BO570" s="150"/>
      <c r="BP570" s="150"/>
      <c r="BQ570" s="150"/>
      <c r="BR570" s="150"/>
      <c r="BS570" s="150"/>
      <c r="BT570" s="150"/>
      <c r="BU570" s="150"/>
      <c r="BV570" s="150"/>
      <c r="BW570" s="150"/>
      <c r="BX570" s="150"/>
      <c r="BY570" s="150"/>
      <c r="BZ570" s="150"/>
      <c r="CA570" s="150"/>
      <c r="CB570" s="150"/>
      <c r="CC570" s="150"/>
      <c r="CD570" s="150"/>
      <c r="CE570" s="150"/>
      <c r="CF570" s="150"/>
      <c r="CG570" s="150"/>
      <c r="CH570" s="150"/>
      <c r="CI570" s="150"/>
      <c r="CJ570" s="150"/>
      <c r="CK570" s="150"/>
      <c r="CL570" s="150"/>
      <c r="CM570" s="150"/>
      <c r="CN570" s="150"/>
      <c r="CO570" s="150"/>
      <c r="CP570" s="150"/>
      <c r="CQ570" s="150"/>
      <c r="CR570" s="150"/>
      <c r="CS570" s="150"/>
      <c r="CT570" s="150"/>
      <c r="CU570" s="150"/>
      <c r="CV570" s="150"/>
      <c r="CW570" s="150"/>
      <c r="CX570" s="150"/>
      <c r="CY570" s="150"/>
      <c r="CZ570" s="150"/>
      <c r="DA570" s="150"/>
      <c r="DB570" s="150"/>
      <c r="DC570" s="150"/>
      <c r="DD570" s="150"/>
      <c r="DE570" s="150"/>
      <c r="DF570" s="150"/>
      <c r="DG570" s="150"/>
      <c r="DH570" s="150"/>
      <c r="DI570" s="150"/>
      <c r="DJ570" s="150"/>
      <c r="DK570" s="150"/>
      <c r="DL570" s="150"/>
      <c r="DM570" s="150"/>
      <c r="DN570" s="150"/>
      <c r="DO570" s="150"/>
      <c r="DP570" s="150"/>
      <c r="DQ570" s="150"/>
      <c r="DR570" s="150"/>
      <c r="DS570" s="150"/>
      <c r="DT570" s="150"/>
      <c r="DU570" s="150"/>
      <c r="DV570" s="150"/>
      <c r="DW570" s="150"/>
      <c r="DX570" s="150"/>
      <c r="DY570" s="150"/>
      <c r="DZ570" s="150"/>
      <c r="EA570" s="150"/>
      <c r="EB570" s="150"/>
      <c r="EC570" s="150"/>
      <c r="ED570" s="150"/>
      <c r="EE570" s="150"/>
      <c r="EF570" s="150"/>
      <c r="EG570" s="150"/>
      <c r="EH570" s="150"/>
      <c r="EI570" s="150"/>
      <c r="EJ570" s="150"/>
      <c r="EK570" s="150"/>
      <c r="EL570" s="150"/>
      <c r="EM570" s="150"/>
      <c r="EN570" s="150"/>
      <c r="EO570" s="150"/>
      <c r="EP570" s="150"/>
      <c r="EQ570" s="150"/>
      <c r="ER570" s="150"/>
      <c r="ES570" s="150"/>
      <c r="ET570" s="150"/>
      <c r="EU570" s="150"/>
      <c r="EV570" s="150"/>
      <c r="EW570" s="150"/>
      <c r="EX570" s="150"/>
      <c r="EY570" s="150"/>
      <c r="EZ570" s="150"/>
      <c r="FA570" s="150"/>
      <c r="FB570" s="150"/>
      <c r="FC570" s="150"/>
      <c r="FD570" s="150"/>
      <c r="FE570" s="150"/>
      <c r="FF570" s="150"/>
      <c r="FG570" s="150"/>
      <c r="FH570" s="150"/>
      <c r="FI570" s="150"/>
      <c r="FJ570" s="150"/>
      <c r="FK570" s="150"/>
      <c r="FL570" s="150"/>
      <c r="FM570" s="150"/>
      <c r="FN570" s="150"/>
    </row>
    <row r="571" spans="1:170" s="149" customFormat="1" x14ac:dyDescent="0.25">
      <c r="A571" s="142"/>
      <c r="B571" s="142"/>
      <c r="C571" s="142"/>
      <c r="D571" s="144"/>
      <c r="E571" s="143"/>
      <c r="F571" s="143"/>
      <c r="G571" s="144"/>
      <c r="H571" s="143"/>
      <c r="I571" s="143"/>
      <c r="J571" s="319"/>
      <c r="K571" s="319"/>
      <c r="L571" s="315"/>
      <c r="M571" s="315"/>
      <c r="N571" s="145"/>
      <c r="O571" s="145"/>
      <c r="P571" s="145"/>
      <c r="Q571" s="146"/>
      <c r="R571" s="147"/>
      <c r="S571" s="148"/>
      <c r="T571" s="148"/>
      <c r="U571" s="148"/>
      <c r="V571" s="148"/>
      <c r="W571" s="148"/>
      <c r="X571" s="148"/>
      <c r="Y571" s="148"/>
      <c r="Z571" s="148"/>
      <c r="AA571" s="148"/>
      <c r="AB571" s="148"/>
      <c r="AV571" s="150"/>
      <c r="AW571" s="150"/>
      <c r="AX571" s="150"/>
      <c r="AY571" s="150"/>
      <c r="AZ571" s="150"/>
      <c r="BA571" s="150"/>
      <c r="BB571" s="150"/>
      <c r="BC571" s="150"/>
      <c r="BD571" s="150"/>
      <c r="BE571" s="150"/>
      <c r="BF571" s="150"/>
      <c r="BG571" s="150"/>
      <c r="BH571" s="150"/>
      <c r="BI571" s="150"/>
      <c r="BJ571" s="150"/>
      <c r="BK571" s="150"/>
      <c r="BL571" s="150"/>
      <c r="BM571" s="150"/>
      <c r="BN571" s="150"/>
      <c r="BO571" s="150"/>
      <c r="BP571" s="150"/>
      <c r="BQ571" s="150"/>
      <c r="BR571" s="150"/>
      <c r="BS571" s="150"/>
      <c r="BT571" s="150"/>
      <c r="BU571" s="150"/>
      <c r="BV571" s="150"/>
      <c r="BW571" s="150"/>
      <c r="BX571" s="150"/>
      <c r="BY571" s="150"/>
      <c r="BZ571" s="150"/>
      <c r="CA571" s="150"/>
      <c r="CB571" s="150"/>
      <c r="CC571" s="150"/>
      <c r="CD571" s="150"/>
      <c r="CE571" s="150"/>
      <c r="CF571" s="150"/>
      <c r="CG571" s="150"/>
      <c r="CH571" s="150"/>
      <c r="CI571" s="150"/>
      <c r="CJ571" s="150"/>
      <c r="CK571" s="150"/>
      <c r="CL571" s="150"/>
      <c r="CM571" s="150"/>
      <c r="CN571" s="150"/>
      <c r="CO571" s="150"/>
      <c r="CP571" s="150"/>
      <c r="CQ571" s="150"/>
      <c r="CR571" s="150"/>
      <c r="CS571" s="150"/>
      <c r="CT571" s="150"/>
      <c r="CU571" s="150"/>
      <c r="CV571" s="150"/>
      <c r="CW571" s="150"/>
      <c r="CX571" s="150"/>
      <c r="CY571" s="150"/>
      <c r="CZ571" s="150"/>
      <c r="DA571" s="150"/>
      <c r="DB571" s="150"/>
      <c r="DC571" s="150"/>
      <c r="DD571" s="150"/>
      <c r="DE571" s="150"/>
      <c r="DF571" s="150"/>
      <c r="DG571" s="150"/>
      <c r="DH571" s="150"/>
      <c r="DI571" s="150"/>
      <c r="DJ571" s="150"/>
      <c r="DK571" s="150"/>
      <c r="DL571" s="150"/>
      <c r="DM571" s="150"/>
      <c r="DN571" s="150"/>
      <c r="DO571" s="150"/>
      <c r="DP571" s="150"/>
      <c r="DQ571" s="150"/>
      <c r="DR571" s="150"/>
      <c r="DS571" s="150"/>
      <c r="DT571" s="150"/>
      <c r="DU571" s="150"/>
      <c r="DV571" s="150"/>
      <c r="DW571" s="150"/>
      <c r="DX571" s="150"/>
      <c r="DY571" s="150"/>
      <c r="DZ571" s="150"/>
      <c r="EA571" s="150"/>
      <c r="EB571" s="150"/>
      <c r="EC571" s="150"/>
      <c r="ED571" s="150"/>
      <c r="EE571" s="150"/>
      <c r="EF571" s="150"/>
      <c r="EG571" s="150"/>
      <c r="EH571" s="150"/>
      <c r="EI571" s="150"/>
      <c r="EJ571" s="150"/>
      <c r="EK571" s="150"/>
      <c r="EL571" s="150"/>
      <c r="EM571" s="150"/>
      <c r="EN571" s="150"/>
      <c r="EO571" s="150"/>
      <c r="EP571" s="150"/>
      <c r="EQ571" s="150"/>
      <c r="ER571" s="150"/>
      <c r="ES571" s="150"/>
      <c r="ET571" s="150"/>
      <c r="EU571" s="150"/>
      <c r="EV571" s="150"/>
      <c r="EW571" s="150"/>
      <c r="EX571" s="150"/>
      <c r="EY571" s="150"/>
      <c r="EZ571" s="150"/>
      <c r="FA571" s="150"/>
      <c r="FB571" s="150"/>
      <c r="FC571" s="150"/>
      <c r="FD571" s="150"/>
      <c r="FE571" s="150"/>
      <c r="FF571" s="150"/>
      <c r="FG571" s="150"/>
      <c r="FH571" s="150"/>
      <c r="FI571" s="150"/>
      <c r="FJ571" s="150"/>
      <c r="FK571" s="150"/>
      <c r="FL571" s="150"/>
      <c r="FM571" s="150"/>
      <c r="FN571" s="150"/>
    </row>
    <row r="572" spans="1:170" s="149" customFormat="1" x14ac:dyDescent="0.25">
      <c r="A572" s="142"/>
      <c r="B572" s="142"/>
      <c r="C572" s="142"/>
      <c r="D572" s="144"/>
      <c r="E572" s="143"/>
      <c r="F572" s="143"/>
      <c r="G572" s="144"/>
      <c r="H572" s="143"/>
      <c r="I572" s="143"/>
      <c r="J572" s="319"/>
      <c r="K572" s="319"/>
      <c r="L572" s="315"/>
      <c r="M572" s="315"/>
      <c r="N572" s="145"/>
      <c r="O572" s="145"/>
      <c r="P572" s="145"/>
      <c r="Q572" s="146"/>
      <c r="R572" s="147"/>
      <c r="S572" s="148"/>
      <c r="T572" s="148"/>
      <c r="U572" s="148"/>
      <c r="V572" s="148"/>
      <c r="W572" s="148"/>
      <c r="X572" s="148"/>
      <c r="Y572" s="148"/>
      <c r="Z572" s="148"/>
      <c r="AA572" s="148"/>
      <c r="AB572" s="148"/>
      <c r="AV572" s="150"/>
      <c r="AW572" s="150"/>
      <c r="AX572" s="150"/>
      <c r="AY572" s="150"/>
      <c r="AZ572" s="150"/>
      <c r="BA572" s="150"/>
      <c r="BB572" s="150"/>
      <c r="BC572" s="150"/>
      <c r="BD572" s="150"/>
      <c r="BE572" s="150"/>
      <c r="BF572" s="150"/>
      <c r="BG572" s="150"/>
      <c r="BH572" s="150"/>
      <c r="BI572" s="150"/>
      <c r="BJ572" s="150"/>
      <c r="BK572" s="150"/>
      <c r="BL572" s="150"/>
      <c r="BM572" s="150"/>
      <c r="BN572" s="150"/>
      <c r="BO572" s="150"/>
      <c r="BP572" s="150"/>
      <c r="BQ572" s="150"/>
      <c r="BR572" s="150"/>
      <c r="BS572" s="150"/>
      <c r="BT572" s="150"/>
      <c r="BU572" s="150"/>
      <c r="BV572" s="150"/>
      <c r="BW572" s="150"/>
      <c r="BX572" s="150"/>
      <c r="BY572" s="150"/>
      <c r="BZ572" s="150"/>
      <c r="CA572" s="150"/>
      <c r="CB572" s="150"/>
      <c r="CC572" s="150"/>
      <c r="CD572" s="150"/>
      <c r="CE572" s="150"/>
      <c r="CF572" s="150"/>
      <c r="CG572" s="150"/>
      <c r="CH572" s="150"/>
      <c r="CI572" s="150"/>
      <c r="CJ572" s="150"/>
      <c r="CK572" s="150"/>
      <c r="CL572" s="150"/>
      <c r="CM572" s="150"/>
      <c r="CN572" s="150"/>
      <c r="CO572" s="150"/>
      <c r="CP572" s="150"/>
      <c r="CQ572" s="150"/>
      <c r="CR572" s="150"/>
      <c r="CS572" s="150"/>
      <c r="CT572" s="150"/>
      <c r="CU572" s="150"/>
      <c r="CV572" s="150"/>
      <c r="CW572" s="150"/>
      <c r="CX572" s="150"/>
      <c r="CY572" s="150"/>
      <c r="CZ572" s="150"/>
      <c r="DA572" s="150"/>
      <c r="DB572" s="150"/>
      <c r="DC572" s="150"/>
      <c r="DD572" s="150"/>
      <c r="DE572" s="150"/>
      <c r="DF572" s="150"/>
      <c r="DG572" s="150"/>
      <c r="DH572" s="150"/>
      <c r="DI572" s="150"/>
      <c r="DJ572" s="150"/>
      <c r="DK572" s="150"/>
      <c r="DL572" s="150"/>
      <c r="DM572" s="150"/>
      <c r="DN572" s="150"/>
      <c r="DO572" s="150"/>
      <c r="DP572" s="150"/>
      <c r="DQ572" s="150"/>
      <c r="DR572" s="150"/>
      <c r="DS572" s="150"/>
      <c r="DT572" s="150"/>
      <c r="DU572" s="150"/>
      <c r="DV572" s="150"/>
      <c r="DW572" s="150"/>
      <c r="DX572" s="150"/>
      <c r="DY572" s="150"/>
      <c r="DZ572" s="150"/>
      <c r="EA572" s="150"/>
      <c r="EB572" s="150"/>
      <c r="EC572" s="150"/>
      <c r="ED572" s="150"/>
      <c r="EE572" s="150"/>
      <c r="EF572" s="150"/>
      <c r="EG572" s="150"/>
      <c r="EH572" s="150"/>
      <c r="EI572" s="150"/>
      <c r="EJ572" s="150"/>
      <c r="EK572" s="150"/>
      <c r="EL572" s="150"/>
      <c r="EM572" s="150"/>
      <c r="EN572" s="150"/>
      <c r="EO572" s="150"/>
      <c r="EP572" s="150"/>
      <c r="EQ572" s="150"/>
      <c r="ER572" s="150"/>
      <c r="ES572" s="150"/>
      <c r="ET572" s="150"/>
      <c r="EU572" s="150"/>
      <c r="EV572" s="150"/>
      <c r="EW572" s="150"/>
      <c r="EX572" s="150"/>
      <c r="EY572" s="150"/>
      <c r="EZ572" s="150"/>
      <c r="FA572" s="150"/>
      <c r="FB572" s="150"/>
      <c r="FC572" s="150"/>
      <c r="FD572" s="150"/>
      <c r="FE572" s="150"/>
      <c r="FF572" s="150"/>
      <c r="FG572" s="150"/>
      <c r="FH572" s="150"/>
      <c r="FI572" s="150"/>
      <c r="FJ572" s="150"/>
      <c r="FK572" s="150"/>
      <c r="FL572" s="150"/>
      <c r="FM572" s="150"/>
      <c r="FN572" s="150"/>
    </row>
    <row r="573" spans="1:170" s="149" customFormat="1" x14ac:dyDescent="0.25">
      <c r="A573" s="142"/>
      <c r="B573" s="142"/>
      <c r="C573" s="142"/>
      <c r="D573" s="144"/>
      <c r="E573" s="143"/>
      <c r="F573" s="143"/>
      <c r="G573" s="144"/>
      <c r="H573" s="143"/>
      <c r="I573" s="143"/>
      <c r="J573" s="319"/>
      <c r="K573" s="319"/>
      <c r="L573" s="315"/>
      <c r="M573" s="315"/>
      <c r="N573" s="145"/>
      <c r="O573" s="145"/>
      <c r="P573" s="145"/>
      <c r="Q573" s="146"/>
      <c r="R573" s="147"/>
      <c r="S573" s="148"/>
      <c r="T573" s="148"/>
      <c r="U573" s="148"/>
      <c r="V573" s="148"/>
      <c r="W573" s="148"/>
      <c r="X573" s="148"/>
      <c r="Y573" s="148"/>
      <c r="Z573" s="148"/>
      <c r="AA573" s="148"/>
      <c r="AB573" s="148"/>
      <c r="AV573" s="150"/>
      <c r="AW573" s="150"/>
      <c r="AX573" s="150"/>
      <c r="AY573" s="150"/>
      <c r="AZ573" s="150"/>
      <c r="BA573" s="150"/>
      <c r="BB573" s="150"/>
      <c r="BC573" s="150"/>
      <c r="BD573" s="150"/>
      <c r="BE573" s="150"/>
      <c r="BF573" s="150"/>
      <c r="BG573" s="150"/>
      <c r="BH573" s="150"/>
      <c r="BI573" s="150"/>
      <c r="BJ573" s="150"/>
      <c r="BK573" s="150"/>
      <c r="BL573" s="150"/>
      <c r="BM573" s="150"/>
      <c r="BN573" s="150"/>
      <c r="BO573" s="150"/>
      <c r="BP573" s="150"/>
      <c r="BQ573" s="150"/>
      <c r="BR573" s="150"/>
      <c r="BS573" s="150"/>
      <c r="BT573" s="150"/>
      <c r="BU573" s="150"/>
      <c r="BV573" s="150"/>
      <c r="BW573" s="150"/>
      <c r="BX573" s="150"/>
      <c r="BY573" s="150"/>
      <c r="BZ573" s="150"/>
      <c r="CA573" s="150"/>
      <c r="CB573" s="150"/>
      <c r="CC573" s="150"/>
      <c r="CD573" s="150"/>
      <c r="CE573" s="150"/>
      <c r="CF573" s="150"/>
      <c r="CG573" s="150"/>
      <c r="CH573" s="150"/>
      <c r="CI573" s="150"/>
      <c r="CJ573" s="150"/>
      <c r="CK573" s="150"/>
      <c r="CL573" s="150"/>
      <c r="CM573" s="150"/>
      <c r="CN573" s="150"/>
      <c r="CO573" s="150"/>
      <c r="CP573" s="150"/>
      <c r="CQ573" s="150"/>
      <c r="CR573" s="150"/>
      <c r="CS573" s="150"/>
      <c r="CT573" s="150"/>
      <c r="CU573" s="150"/>
      <c r="CV573" s="150"/>
      <c r="CW573" s="150"/>
      <c r="CX573" s="150"/>
      <c r="CY573" s="150"/>
      <c r="CZ573" s="150"/>
      <c r="DA573" s="150"/>
      <c r="DB573" s="150"/>
      <c r="DC573" s="150"/>
      <c r="DD573" s="150"/>
      <c r="DE573" s="150"/>
      <c r="DF573" s="150"/>
      <c r="DG573" s="150"/>
      <c r="DH573" s="150"/>
      <c r="DI573" s="150"/>
      <c r="DJ573" s="150"/>
      <c r="DK573" s="150"/>
      <c r="DL573" s="150"/>
      <c r="DM573" s="150"/>
      <c r="DN573" s="150"/>
      <c r="DO573" s="150"/>
      <c r="DP573" s="150"/>
      <c r="DQ573" s="150"/>
      <c r="DR573" s="150"/>
      <c r="DS573" s="150"/>
      <c r="DT573" s="150"/>
      <c r="DU573" s="150"/>
      <c r="DV573" s="150"/>
      <c r="DW573" s="150"/>
      <c r="DX573" s="150"/>
      <c r="DY573" s="150"/>
      <c r="DZ573" s="150"/>
      <c r="EA573" s="150"/>
      <c r="EB573" s="150"/>
      <c r="EC573" s="150"/>
      <c r="ED573" s="150"/>
      <c r="EE573" s="150"/>
      <c r="EF573" s="150"/>
      <c r="EG573" s="150"/>
      <c r="EH573" s="150"/>
      <c r="EI573" s="150"/>
      <c r="EJ573" s="150"/>
      <c r="EK573" s="150"/>
      <c r="EL573" s="150"/>
      <c r="EM573" s="150"/>
      <c r="EN573" s="150"/>
      <c r="EO573" s="150"/>
      <c r="EP573" s="150"/>
      <c r="EQ573" s="150"/>
      <c r="ER573" s="150"/>
      <c r="ES573" s="150"/>
      <c r="ET573" s="150"/>
      <c r="EU573" s="150"/>
      <c r="EV573" s="150"/>
      <c r="EW573" s="150"/>
      <c r="EX573" s="150"/>
      <c r="EY573" s="150"/>
      <c r="EZ573" s="150"/>
      <c r="FA573" s="150"/>
      <c r="FB573" s="150"/>
      <c r="FC573" s="150"/>
      <c r="FD573" s="150"/>
      <c r="FE573" s="150"/>
      <c r="FF573" s="150"/>
      <c r="FG573" s="150"/>
      <c r="FH573" s="150"/>
      <c r="FI573" s="150"/>
      <c r="FJ573" s="150"/>
      <c r="FK573" s="150"/>
      <c r="FL573" s="150"/>
      <c r="FM573" s="150"/>
      <c r="FN573" s="150"/>
    </row>
    <row r="574" spans="1:170" s="149" customFormat="1" x14ac:dyDescent="0.25">
      <c r="A574" s="142"/>
      <c r="B574" s="142"/>
      <c r="C574" s="142"/>
      <c r="D574" s="144"/>
      <c r="E574" s="143"/>
      <c r="F574" s="143"/>
      <c r="G574" s="144"/>
      <c r="H574" s="143"/>
      <c r="I574" s="143"/>
      <c r="J574" s="319"/>
      <c r="K574" s="319"/>
      <c r="L574" s="315"/>
      <c r="M574" s="315"/>
      <c r="N574" s="145"/>
      <c r="O574" s="145"/>
      <c r="P574" s="145"/>
      <c r="Q574" s="146"/>
      <c r="R574" s="147"/>
      <c r="S574" s="148"/>
      <c r="T574" s="148"/>
      <c r="U574" s="148"/>
      <c r="V574" s="148"/>
      <c r="W574" s="148"/>
      <c r="X574" s="148"/>
      <c r="Y574" s="148"/>
      <c r="Z574" s="148"/>
      <c r="AA574" s="148"/>
      <c r="AB574" s="148"/>
      <c r="AV574" s="150"/>
      <c r="AW574" s="150"/>
      <c r="AX574" s="150"/>
      <c r="AY574" s="150"/>
      <c r="AZ574" s="150"/>
      <c r="BA574" s="150"/>
      <c r="BB574" s="150"/>
      <c r="BC574" s="150"/>
      <c r="BD574" s="150"/>
      <c r="BE574" s="150"/>
      <c r="BF574" s="150"/>
      <c r="BG574" s="150"/>
      <c r="BH574" s="150"/>
      <c r="BI574" s="150"/>
      <c r="BJ574" s="150"/>
      <c r="BK574" s="150"/>
      <c r="BL574" s="150"/>
      <c r="BM574" s="150"/>
      <c r="BN574" s="150"/>
      <c r="BO574" s="150"/>
      <c r="BP574" s="150"/>
      <c r="BQ574" s="150"/>
      <c r="BR574" s="150"/>
      <c r="BS574" s="150"/>
      <c r="BT574" s="150"/>
      <c r="BU574" s="150"/>
      <c r="BV574" s="150"/>
      <c r="BW574" s="150"/>
      <c r="BX574" s="150"/>
      <c r="BY574" s="150"/>
      <c r="BZ574" s="150"/>
      <c r="CA574" s="150"/>
      <c r="CB574" s="150"/>
      <c r="CC574" s="150"/>
      <c r="CD574" s="150"/>
      <c r="CE574" s="150"/>
      <c r="CF574" s="150"/>
      <c r="CG574" s="150"/>
      <c r="CH574" s="150"/>
      <c r="CI574" s="150"/>
      <c r="CJ574" s="150"/>
      <c r="CK574" s="150"/>
      <c r="CL574" s="150"/>
      <c r="CM574" s="150"/>
      <c r="CN574" s="150"/>
      <c r="CO574" s="150"/>
      <c r="CP574" s="150"/>
      <c r="CQ574" s="150"/>
      <c r="CR574" s="150"/>
      <c r="CS574" s="150"/>
      <c r="CT574" s="150"/>
      <c r="CU574" s="150"/>
      <c r="CV574" s="150"/>
      <c r="CW574" s="150"/>
      <c r="CX574" s="150"/>
      <c r="CY574" s="150"/>
      <c r="CZ574" s="150"/>
      <c r="DA574" s="150"/>
      <c r="DB574" s="150"/>
      <c r="DC574" s="150"/>
      <c r="DD574" s="150"/>
      <c r="DE574" s="150"/>
      <c r="DF574" s="150"/>
      <c r="DG574" s="150"/>
      <c r="DH574" s="150"/>
      <c r="DI574" s="150"/>
      <c r="DJ574" s="150"/>
      <c r="DK574" s="150"/>
      <c r="DL574" s="150"/>
      <c r="DM574" s="150"/>
      <c r="DN574" s="150"/>
      <c r="DO574" s="150"/>
      <c r="DP574" s="150"/>
      <c r="DQ574" s="150"/>
      <c r="DR574" s="150"/>
      <c r="DS574" s="150"/>
      <c r="DT574" s="150"/>
      <c r="DU574" s="150"/>
      <c r="DV574" s="150"/>
      <c r="DW574" s="150"/>
      <c r="DX574" s="150"/>
      <c r="DY574" s="150"/>
      <c r="DZ574" s="150"/>
      <c r="EA574" s="150"/>
      <c r="EB574" s="150"/>
      <c r="EC574" s="150"/>
      <c r="ED574" s="150"/>
      <c r="EE574" s="150"/>
      <c r="EF574" s="150"/>
      <c r="EG574" s="150"/>
      <c r="EH574" s="150"/>
      <c r="EI574" s="150"/>
      <c r="EJ574" s="150"/>
      <c r="EK574" s="150"/>
      <c r="EL574" s="150"/>
      <c r="EM574" s="150"/>
      <c r="EN574" s="150"/>
      <c r="EO574" s="150"/>
      <c r="EP574" s="150"/>
      <c r="EQ574" s="150"/>
      <c r="ER574" s="150"/>
      <c r="ES574" s="150"/>
      <c r="ET574" s="150"/>
      <c r="EU574" s="150"/>
      <c r="EV574" s="150"/>
      <c r="EW574" s="150"/>
      <c r="EX574" s="150"/>
      <c r="EY574" s="150"/>
      <c r="EZ574" s="150"/>
      <c r="FA574" s="150"/>
      <c r="FB574" s="150"/>
      <c r="FC574" s="150"/>
      <c r="FD574" s="150"/>
      <c r="FE574" s="150"/>
      <c r="FF574" s="150"/>
      <c r="FG574" s="150"/>
      <c r="FH574" s="150"/>
      <c r="FI574" s="150"/>
      <c r="FJ574" s="150"/>
      <c r="FK574" s="150"/>
      <c r="FL574" s="150"/>
      <c r="FM574" s="150"/>
      <c r="FN574" s="150"/>
    </row>
    <row r="575" spans="1:170" s="149" customFormat="1" x14ac:dyDescent="0.25">
      <c r="A575" s="142"/>
      <c r="B575" s="142"/>
      <c r="C575" s="142"/>
      <c r="D575" s="144"/>
      <c r="E575" s="143"/>
      <c r="F575" s="143"/>
      <c r="G575" s="144"/>
      <c r="H575" s="143"/>
      <c r="I575" s="143"/>
      <c r="J575" s="319"/>
      <c r="K575" s="319"/>
      <c r="L575" s="315"/>
      <c r="M575" s="315"/>
      <c r="N575" s="145"/>
      <c r="O575" s="145"/>
      <c r="P575" s="145"/>
      <c r="Q575" s="146"/>
      <c r="R575" s="147"/>
      <c r="S575" s="148"/>
      <c r="T575" s="148"/>
      <c r="U575" s="148"/>
      <c r="V575" s="148"/>
      <c r="W575" s="148"/>
      <c r="X575" s="148"/>
      <c r="Y575" s="148"/>
      <c r="Z575" s="148"/>
      <c r="AA575" s="148"/>
      <c r="AB575" s="148"/>
      <c r="AV575" s="150"/>
      <c r="AW575" s="150"/>
      <c r="AX575" s="150"/>
      <c r="AY575" s="150"/>
      <c r="AZ575" s="150"/>
      <c r="BA575" s="150"/>
      <c r="BB575" s="150"/>
      <c r="BC575" s="150"/>
      <c r="BD575" s="150"/>
      <c r="BE575" s="150"/>
      <c r="BF575" s="150"/>
      <c r="BG575" s="150"/>
      <c r="BH575" s="150"/>
      <c r="BI575" s="150"/>
      <c r="BJ575" s="150"/>
      <c r="BK575" s="150"/>
      <c r="BL575" s="150"/>
      <c r="BM575" s="150"/>
      <c r="BN575" s="150"/>
      <c r="BO575" s="150"/>
      <c r="BP575" s="150"/>
      <c r="BQ575" s="150"/>
      <c r="BR575" s="150"/>
      <c r="BS575" s="150"/>
      <c r="BT575" s="150"/>
      <c r="BU575" s="150"/>
      <c r="BV575" s="150"/>
      <c r="BW575" s="150"/>
      <c r="BX575" s="150"/>
      <c r="BY575" s="150"/>
      <c r="BZ575" s="150"/>
      <c r="CA575" s="150"/>
      <c r="CB575" s="150"/>
      <c r="CC575" s="150"/>
      <c r="CD575" s="150"/>
      <c r="CE575" s="150"/>
      <c r="CF575" s="150"/>
      <c r="CG575" s="150"/>
      <c r="CH575" s="150"/>
      <c r="CI575" s="150"/>
      <c r="CJ575" s="150"/>
      <c r="CK575" s="150"/>
      <c r="CL575" s="150"/>
      <c r="CM575" s="150"/>
      <c r="CN575" s="150"/>
      <c r="CO575" s="150"/>
      <c r="CP575" s="150"/>
      <c r="CQ575" s="150"/>
      <c r="CR575" s="150"/>
      <c r="CS575" s="150"/>
      <c r="CT575" s="150"/>
      <c r="CU575" s="150"/>
      <c r="CV575" s="150"/>
      <c r="CW575" s="150"/>
      <c r="CX575" s="150"/>
      <c r="CY575" s="150"/>
      <c r="CZ575" s="150"/>
      <c r="DA575" s="150"/>
      <c r="DB575" s="150"/>
      <c r="DC575" s="150"/>
      <c r="DD575" s="150"/>
      <c r="DE575" s="150"/>
      <c r="DF575" s="150"/>
      <c r="DG575" s="150"/>
      <c r="DH575" s="150"/>
      <c r="DI575" s="150"/>
      <c r="DJ575" s="150"/>
      <c r="DK575" s="150"/>
      <c r="DL575" s="150"/>
      <c r="DM575" s="150"/>
      <c r="DN575" s="150"/>
      <c r="DO575" s="150"/>
      <c r="DP575" s="150"/>
      <c r="DQ575" s="150"/>
      <c r="DR575" s="150"/>
      <c r="DS575" s="150"/>
      <c r="DT575" s="150"/>
      <c r="DU575" s="150"/>
      <c r="DV575" s="150"/>
      <c r="DW575" s="150"/>
      <c r="DX575" s="150"/>
      <c r="DY575" s="150"/>
      <c r="DZ575" s="150"/>
      <c r="EA575" s="150"/>
      <c r="EB575" s="150"/>
      <c r="EC575" s="150"/>
      <c r="ED575" s="150"/>
      <c r="EE575" s="150"/>
      <c r="EF575" s="150"/>
      <c r="EG575" s="150"/>
      <c r="EH575" s="150"/>
      <c r="EI575" s="150"/>
      <c r="EJ575" s="150"/>
      <c r="EK575" s="150"/>
      <c r="EL575" s="150"/>
      <c r="EM575" s="150"/>
      <c r="EN575" s="150"/>
      <c r="EO575" s="150"/>
      <c r="EP575" s="150"/>
      <c r="EQ575" s="150"/>
      <c r="ER575" s="150"/>
      <c r="ES575" s="150"/>
      <c r="ET575" s="150"/>
      <c r="EU575" s="150"/>
      <c r="EV575" s="150"/>
      <c r="EW575" s="150"/>
      <c r="EX575" s="150"/>
      <c r="EY575" s="150"/>
      <c r="EZ575" s="150"/>
      <c r="FA575" s="150"/>
      <c r="FB575" s="150"/>
      <c r="FC575" s="150"/>
      <c r="FD575" s="150"/>
      <c r="FE575" s="150"/>
      <c r="FF575" s="150"/>
      <c r="FG575" s="150"/>
      <c r="FH575" s="150"/>
      <c r="FI575" s="150"/>
      <c r="FJ575" s="150"/>
      <c r="FK575" s="150"/>
      <c r="FL575" s="150"/>
      <c r="FM575" s="150"/>
      <c r="FN575" s="150"/>
    </row>
    <row r="576" spans="1:170" s="149" customFormat="1" x14ac:dyDescent="0.25">
      <c r="A576" s="142"/>
      <c r="B576" s="142"/>
      <c r="C576" s="142"/>
      <c r="D576" s="144"/>
      <c r="E576" s="143"/>
      <c r="F576" s="143"/>
      <c r="G576" s="144"/>
      <c r="H576" s="143"/>
      <c r="I576" s="143"/>
      <c r="J576" s="319"/>
      <c r="K576" s="319"/>
      <c r="L576" s="315"/>
      <c r="M576" s="315"/>
      <c r="N576" s="145"/>
      <c r="O576" s="145"/>
      <c r="P576" s="145"/>
      <c r="Q576" s="146"/>
      <c r="R576" s="147"/>
      <c r="S576" s="148"/>
      <c r="T576" s="148"/>
      <c r="U576" s="148"/>
      <c r="V576" s="148"/>
      <c r="W576" s="148"/>
      <c r="X576" s="148"/>
      <c r="Y576" s="148"/>
      <c r="Z576" s="148"/>
      <c r="AA576" s="148"/>
      <c r="AB576" s="148"/>
      <c r="AV576" s="150"/>
      <c r="AW576" s="150"/>
      <c r="AX576" s="150"/>
      <c r="AY576" s="150"/>
      <c r="AZ576" s="150"/>
      <c r="BA576" s="150"/>
      <c r="BB576" s="150"/>
      <c r="BC576" s="150"/>
      <c r="BD576" s="150"/>
      <c r="BE576" s="150"/>
      <c r="BF576" s="150"/>
      <c r="BG576" s="150"/>
      <c r="BH576" s="150"/>
      <c r="BI576" s="150"/>
      <c r="BJ576" s="150"/>
      <c r="BK576" s="150"/>
      <c r="BL576" s="150"/>
      <c r="BM576" s="150"/>
      <c r="BN576" s="150"/>
      <c r="BO576" s="150"/>
      <c r="BP576" s="150"/>
      <c r="BQ576" s="150"/>
      <c r="BR576" s="150"/>
      <c r="BS576" s="150"/>
      <c r="BT576" s="150"/>
      <c r="BU576" s="150"/>
      <c r="BV576" s="150"/>
      <c r="BW576" s="150"/>
      <c r="BX576" s="150"/>
      <c r="BY576" s="150"/>
      <c r="BZ576" s="150"/>
      <c r="CA576" s="150"/>
      <c r="CB576" s="150"/>
      <c r="CC576" s="150"/>
      <c r="CD576" s="150"/>
      <c r="CE576" s="150"/>
      <c r="CF576" s="150"/>
      <c r="CG576" s="150"/>
      <c r="CH576" s="150"/>
      <c r="CI576" s="150"/>
      <c r="CJ576" s="150"/>
      <c r="CK576" s="150"/>
      <c r="CL576" s="150"/>
      <c r="CM576" s="150"/>
      <c r="CN576" s="150"/>
      <c r="CO576" s="150"/>
      <c r="CP576" s="150"/>
      <c r="CQ576" s="150"/>
      <c r="CR576" s="150"/>
      <c r="CS576" s="150"/>
      <c r="CT576" s="150"/>
      <c r="CU576" s="150"/>
      <c r="CV576" s="150"/>
      <c r="CW576" s="150"/>
      <c r="CX576" s="150"/>
      <c r="CY576" s="150"/>
      <c r="CZ576" s="150"/>
      <c r="DA576" s="150"/>
      <c r="DB576" s="150"/>
      <c r="DC576" s="150"/>
      <c r="DD576" s="150"/>
      <c r="DE576" s="150"/>
      <c r="DF576" s="150"/>
      <c r="DG576" s="150"/>
      <c r="DH576" s="150"/>
      <c r="DI576" s="150"/>
      <c r="DJ576" s="150"/>
      <c r="DK576" s="150"/>
      <c r="DL576" s="150"/>
      <c r="DM576" s="150"/>
      <c r="DN576" s="150"/>
      <c r="DO576" s="150"/>
      <c r="DP576" s="150"/>
      <c r="DQ576" s="150"/>
      <c r="DR576" s="150"/>
      <c r="DS576" s="150"/>
      <c r="DT576" s="150"/>
      <c r="DU576" s="150"/>
      <c r="DV576" s="150"/>
      <c r="DW576" s="150"/>
      <c r="DX576" s="150"/>
      <c r="DY576" s="150"/>
      <c r="DZ576" s="150"/>
      <c r="EA576" s="150"/>
      <c r="EB576" s="150"/>
      <c r="EC576" s="150"/>
      <c r="ED576" s="150"/>
      <c r="EE576" s="150"/>
      <c r="EF576" s="150"/>
      <c r="EG576" s="150"/>
      <c r="EH576" s="150"/>
      <c r="EI576" s="150"/>
      <c r="EJ576" s="150"/>
      <c r="EK576" s="150"/>
      <c r="EL576" s="150"/>
      <c r="EM576" s="150"/>
      <c r="EN576" s="150"/>
      <c r="EO576" s="150"/>
      <c r="EP576" s="150"/>
      <c r="EQ576" s="150"/>
      <c r="ER576" s="150"/>
      <c r="ES576" s="150"/>
      <c r="ET576" s="150"/>
      <c r="EU576" s="150"/>
      <c r="EV576" s="150"/>
      <c r="EW576" s="150"/>
      <c r="EX576" s="150"/>
      <c r="EY576" s="150"/>
      <c r="EZ576" s="150"/>
      <c r="FA576" s="150"/>
      <c r="FB576" s="150"/>
      <c r="FC576" s="150"/>
      <c r="FD576" s="150"/>
      <c r="FE576" s="150"/>
      <c r="FF576" s="150"/>
      <c r="FG576" s="150"/>
      <c r="FH576" s="150"/>
      <c r="FI576" s="150"/>
      <c r="FJ576" s="150"/>
      <c r="FK576" s="150"/>
      <c r="FL576" s="150"/>
      <c r="FM576" s="150"/>
      <c r="FN576" s="150"/>
    </row>
    <row r="577" spans="1:170" s="149" customFormat="1" x14ac:dyDescent="0.25">
      <c r="A577" s="142"/>
      <c r="B577" s="142"/>
      <c r="C577" s="142"/>
      <c r="D577" s="144"/>
      <c r="E577" s="143"/>
      <c r="F577" s="143"/>
      <c r="G577" s="144"/>
      <c r="H577" s="143"/>
      <c r="I577" s="143"/>
      <c r="J577" s="319"/>
      <c r="K577" s="319"/>
      <c r="L577" s="315"/>
      <c r="M577" s="315"/>
      <c r="N577" s="145"/>
      <c r="O577" s="145"/>
      <c r="P577" s="145"/>
      <c r="Q577" s="146"/>
      <c r="R577" s="147"/>
      <c r="S577" s="148"/>
      <c r="T577" s="148"/>
      <c r="U577" s="148"/>
      <c r="V577" s="148"/>
      <c r="W577" s="148"/>
      <c r="X577" s="148"/>
      <c r="Y577" s="148"/>
      <c r="Z577" s="148"/>
      <c r="AA577" s="148"/>
      <c r="AB577" s="148"/>
      <c r="AV577" s="150"/>
      <c r="AW577" s="150"/>
      <c r="AX577" s="150"/>
      <c r="AY577" s="150"/>
      <c r="AZ577" s="150"/>
      <c r="BA577" s="150"/>
      <c r="BB577" s="150"/>
      <c r="BC577" s="150"/>
      <c r="BD577" s="150"/>
      <c r="BE577" s="150"/>
      <c r="BF577" s="150"/>
      <c r="BG577" s="150"/>
      <c r="BH577" s="150"/>
      <c r="BI577" s="150"/>
      <c r="BJ577" s="150"/>
      <c r="BK577" s="150"/>
      <c r="BL577" s="150"/>
      <c r="BM577" s="150"/>
      <c r="BN577" s="150"/>
      <c r="BO577" s="150"/>
      <c r="BP577" s="150"/>
      <c r="BQ577" s="150"/>
      <c r="BR577" s="150"/>
      <c r="BS577" s="150"/>
      <c r="BT577" s="150"/>
      <c r="BU577" s="150"/>
      <c r="BV577" s="150"/>
      <c r="BW577" s="150"/>
      <c r="BX577" s="150"/>
      <c r="BY577" s="150"/>
      <c r="BZ577" s="150"/>
      <c r="CA577" s="150"/>
      <c r="CB577" s="150"/>
      <c r="CC577" s="150"/>
      <c r="CD577" s="150"/>
      <c r="CE577" s="150"/>
      <c r="CF577" s="150"/>
      <c r="CG577" s="150"/>
      <c r="CH577" s="150"/>
      <c r="CI577" s="150"/>
      <c r="CJ577" s="150"/>
      <c r="CK577" s="150"/>
      <c r="CL577" s="150"/>
      <c r="CM577" s="150"/>
      <c r="CN577" s="150"/>
      <c r="CO577" s="150"/>
      <c r="CP577" s="150"/>
      <c r="CQ577" s="150"/>
      <c r="CR577" s="150"/>
      <c r="CS577" s="150"/>
      <c r="CT577" s="150"/>
      <c r="CU577" s="150"/>
      <c r="CV577" s="150"/>
      <c r="CW577" s="150"/>
      <c r="CX577" s="150"/>
      <c r="CY577" s="150"/>
      <c r="CZ577" s="150"/>
      <c r="DA577" s="150"/>
      <c r="DB577" s="150"/>
      <c r="DC577" s="150"/>
      <c r="DD577" s="150"/>
      <c r="DE577" s="150"/>
      <c r="DF577" s="150"/>
      <c r="DG577" s="150"/>
      <c r="DH577" s="150"/>
      <c r="DI577" s="150"/>
      <c r="DJ577" s="150"/>
      <c r="DK577" s="150"/>
      <c r="DL577" s="150"/>
      <c r="DM577" s="150"/>
      <c r="DN577" s="150"/>
      <c r="DO577" s="150"/>
      <c r="DP577" s="150"/>
      <c r="DQ577" s="150"/>
      <c r="DR577" s="150"/>
      <c r="DS577" s="150"/>
      <c r="DT577" s="150"/>
      <c r="DU577" s="150"/>
      <c r="DV577" s="150"/>
      <c r="DW577" s="150"/>
      <c r="DX577" s="150"/>
      <c r="DY577" s="150"/>
      <c r="DZ577" s="150"/>
      <c r="EA577" s="150"/>
      <c r="EB577" s="150"/>
      <c r="EC577" s="150"/>
      <c r="ED577" s="150"/>
      <c r="EE577" s="150"/>
      <c r="EF577" s="150"/>
      <c r="EG577" s="150"/>
      <c r="EH577" s="150"/>
      <c r="EI577" s="150"/>
      <c r="EJ577" s="150"/>
      <c r="EK577" s="150"/>
      <c r="EL577" s="150"/>
      <c r="EM577" s="150"/>
      <c r="EN577" s="150"/>
      <c r="EO577" s="150"/>
      <c r="EP577" s="150"/>
      <c r="EQ577" s="150"/>
      <c r="ER577" s="150"/>
      <c r="ES577" s="150"/>
      <c r="ET577" s="150"/>
      <c r="EU577" s="150"/>
      <c r="EV577" s="150"/>
      <c r="EW577" s="150"/>
      <c r="EX577" s="150"/>
      <c r="EY577" s="150"/>
      <c r="EZ577" s="150"/>
      <c r="FA577" s="150"/>
      <c r="FB577" s="150"/>
      <c r="FC577" s="150"/>
      <c r="FD577" s="150"/>
      <c r="FE577" s="150"/>
      <c r="FF577" s="150"/>
      <c r="FG577" s="150"/>
      <c r="FH577" s="150"/>
      <c r="FI577" s="150"/>
      <c r="FJ577" s="150"/>
      <c r="FK577" s="150"/>
      <c r="FL577" s="150"/>
      <c r="FM577" s="150"/>
      <c r="FN577" s="150"/>
    </row>
    <row r="578" spans="1:170" s="149" customFormat="1" x14ac:dyDescent="0.25">
      <c r="A578" s="142"/>
      <c r="B578" s="142"/>
      <c r="C578" s="142"/>
      <c r="D578" s="144"/>
      <c r="E578" s="143"/>
      <c r="F578" s="143"/>
      <c r="G578" s="144"/>
      <c r="H578" s="143"/>
      <c r="I578" s="143"/>
      <c r="J578" s="319"/>
      <c r="K578" s="319"/>
      <c r="L578" s="315"/>
      <c r="M578" s="315"/>
      <c r="N578" s="145"/>
      <c r="O578" s="145"/>
      <c r="P578" s="145"/>
      <c r="Q578" s="146"/>
      <c r="R578" s="147"/>
      <c r="S578" s="148"/>
      <c r="T578" s="148"/>
      <c r="U578" s="148"/>
      <c r="V578" s="148"/>
      <c r="W578" s="148"/>
      <c r="X578" s="148"/>
      <c r="Y578" s="148"/>
      <c r="Z578" s="148"/>
      <c r="AA578" s="148"/>
      <c r="AB578" s="148"/>
      <c r="AV578" s="150"/>
      <c r="AW578" s="150"/>
      <c r="AX578" s="150"/>
      <c r="AY578" s="150"/>
      <c r="AZ578" s="150"/>
      <c r="BA578" s="150"/>
      <c r="BB578" s="150"/>
      <c r="BC578" s="150"/>
      <c r="BD578" s="150"/>
      <c r="BE578" s="150"/>
      <c r="BF578" s="150"/>
      <c r="BG578" s="150"/>
      <c r="BH578" s="150"/>
      <c r="BI578" s="150"/>
      <c r="BJ578" s="150"/>
      <c r="BK578" s="150"/>
      <c r="BL578" s="150"/>
      <c r="BM578" s="150"/>
      <c r="BN578" s="150"/>
      <c r="BO578" s="150"/>
      <c r="BP578" s="150"/>
      <c r="BQ578" s="150"/>
      <c r="BR578" s="150"/>
      <c r="BS578" s="150"/>
      <c r="BT578" s="150"/>
      <c r="BU578" s="150"/>
      <c r="BV578" s="150"/>
      <c r="BW578" s="150"/>
      <c r="BX578" s="150"/>
      <c r="BY578" s="150"/>
      <c r="BZ578" s="150"/>
      <c r="CA578" s="150"/>
      <c r="CB578" s="150"/>
      <c r="CC578" s="150"/>
      <c r="CD578" s="150"/>
      <c r="CE578" s="150"/>
      <c r="CF578" s="150"/>
      <c r="CG578" s="150"/>
      <c r="CH578" s="150"/>
      <c r="CI578" s="150"/>
      <c r="CJ578" s="150"/>
      <c r="CK578" s="150"/>
      <c r="CL578" s="150"/>
      <c r="CM578" s="150"/>
      <c r="CN578" s="150"/>
      <c r="CO578" s="150"/>
      <c r="CP578" s="150"/>
      <c r="CQ578" s="150"/>
      <c r="CR578" s="150"/>
      <c r="CS578" s="150"/>
      <c r="CT578" s="150"/>
      <c r="CU578" s="150"/>
      <c r="CV578" s="150"/>
      <c r="CW578" s="150"/>
      <c r="CX578" s="150"/>
      <c r="CY578" s="150"/>
      <c r="CZ578" s="150"/>
      <c r="DA578" s="150"/>
      <c r="DB578" s="150"/>
      <c r="DC578" s="150"/>
      <c r="DD578" s="150"/>
      <c r="DE578" s="150"/>
      <c r="DF578" s="150"/>
      <c r="DG578" s="150"/>
      <c r="DH578" s="150"/>
      <c r="DI578" s="150"/>
      <c r="DJ578" s="150"/>
      <c r="DK578" s="150"/>
      <c r="DL578" s="150"/>
      <c r="DM578" s="150"/>
      <c r="DN578" s="150"/>
      <c r="DO578" s="150"/>
      <c r="DP578" s="150"/>
      <c r="DQ578" s="150"/>
      <c r="DR578" s="150"/>
      <c r="DS578" s="150"/>
      <c r="DT578" s="150"/>
      <c r="DU578" s="150"/>
      <c r="DV578" s="150"/>
      <c r="DW578" s="150"/>
      <c r="DX578" s="150"/>
      <c r="DY578" s="150"/>
      <c r="DZ578" s="150"/>
      <c r="EA578" s="150"/>
      <c r="EB578" s="150"/>
      <c r="EC578" s="150"/>
      <c r="ED578" s="150"/>
      <c r="EE578" s="150"/>
      <c r="EF578" s="150"/>
      <c r="EG578" s="150"/>
      <c r="EH578" s="150"/>
      <c r="EI578" s="150"/>
      <c r="EJ578" s="150"/>
      <c r="EK578" s="150"/>
      <c r="EL578" s="150"/>
      <c r="EM578" s="150"/>
      <c r="EN578" s="150"/>
      <c r="EO578" s="150"/>
      <c r="EP578" s="150"/>
      <c r="EQ578" s="150"/>
      <c r="ER578" s="150"/>
      <c r="ES578" s="150"/>
      <c r="ET578" s="150"/>
      <c r="EU578" s="150"/>
      <c r="EV578" s="150"/>
      <c r="EW578" s="150"/>
      <c r="EX578" s="150"/>
      <c r="EY578" s="150"/>
      <c r="EZ578" s="150"/>
      <c r="FA578" s="150"/>
      <c r="FB578" s="150"/>
      <c r="FC578" s="150"/>
      <c r="FD578" s="150"/>
      <c r="FE578" s="150"/>
      <c r="FF578" s="150"/>
      <c r="FG578" s="150"/>
      <c r="FH578" s="150"/>
      <c r="FI578" s="150"/>
      <c r="FJ578" s="150"/>
      <c r="FK578" s="150"/>
      <c r="FL578" s="150"/>
      <c r="FM578" s="150"/>
      <c r="FN578" s="150"/>
    </row>
    <row r="579" spans="1:170" s="149" customFormat="1" x14ac:dyDescent="0.25">
      <c r="A579" s="142"/>
      <c r="B579" s="142"/>
      <c r="C579" s="142"/>
      <c r="D579" s="144"/>
      <c r="E579" s="143"/>
      <c r="F579" s="143"/>
      <c r="G579" s="144"/>
      <c r="H579" s="143"/>
      <c r="I579" s="143"/>
      <c r="J579" s="319"/>
      <c r="K579" s="319"/>
      <c r="L579" s="315"/>
      <c r="M579" s="315"/>
      <c r="N579" s="145"/>
      <c r="O579" s="145"/>
      <c r="P579" s="145"/>
      <c r="Q579" s="146"/>
      <c r="R579" s="147"/>
      <c r="S579" s="148"/>
      <c r="T579" s="148"/>
      <c r="U579" s="148"/>
      <c r="V579" s="148"/>
      <c r="W579" s="148"/>
      <c r="X579" s="148"/>
      <c r="Y579" s="148"/>
      <c r="Z579" s="148"/>
      <c r="AA579" s="148"/>
      <c r="AB579" s="148"/>
      <c r="AV579" s="150"/>
      <c r="AW579" s="150"/>
      <c r="AX579" s="150"/>
      <c r="AY579" s="150"/>
      <c r="AZ579" s="150"/>
      <c r="BA579" s="150"/>
      <c r="BB579" s="150"/>
      <c r="BC579" s="150"/>
      <c r="BD579" s="150"/>
      <c r="BE579" s="150"/>
      <c r="BF579" s="150"/>
      <c r="BG579" s="150"/>
      <c r="BH579" s="150"/>
      <c r="BI579" s="150"/>
      <c r="BJ579" s="150"/>
      <c r="BK579" s="150"/>
      <c r="BL579" s="150"/>
      <c r="BM579" s="150"/>
      <c r="BN579" s="150"/>
      <c r="BO579" s="150"/>
      <c r="BP579" s="150"/>
      <c r="BQ579" s="150"/>
      <c r="BR579" s="150"/>
      <c r="BS579" s="150"/>
      <c r="BT579" s="150"/>
      <c r="BU579" s="150"/>
      <c r="BV579" s="150"/>
      <c r="BW579" s="150"/>
      <c r="BX579" s="150"/>
      <c r="BY579" s="150"/>
      <c r="BZ579" s="150"/>
      <c r="CA579" s="150"/>
      <c r="CB579" s="150"/>
      <c r="CC579" s="150"/>
      <c r="CD579" s="150"/>
      <c r="CE579" s="150"/>
      <c r="CF579" s="150"/>
      <c r="CG579" s="150"/>
      <c r="CH579" s="150"/>
      <c r="CI579" s="150"/>
      <c r="CJ579" s="150"/>
      <c r="CK579" s="150"/>
      <c r="CL579" s="150"/>
      <c r="CM579" s="150"/>
      <c r="CN579" s="150"/>
      <c r="CO579" s="150"/>
      <c r="CP579" s="150"/>
      <c r="CQ579" s="150"/>
      <c r="CR579" s="150"/>
      <c r="CS579" s="150"/>
      <c r="CT579" s="150"/>
      <c r="CU579" s="150"/>
      <c r="CV579" s="150"/>
      <c r="CW579" s="150"/>
      <c r="CX579" s="150"/>
      <c r="CY579" s="150"/>
      <c r="CZ579" s="150"/>
      <c r="DA579" s="150"/>
      <c r="DB579" s="150"/>
      <c r="DC579" s="150"/>
      <c r="DD579" s="150"/>
      <c r="DE579" s="150"/>
      <c r="DF579" s="150"/>
      <c r="DG579" s="150"/>
      <c r="DH579" s="150"/>
      <c r="DI579" s="150"/>
      <c r="DJ579" s="150"/>
      <c r="DK579" s="150"/>
      <c r="DL579" s="150"/>
      <c r="DM579" s="150"/>
      <c r="DN579" s="150"/>
      <c r="DO579" s="150"/>
      <c r="DP579" s="150"/>
      <c r="DQ579" s="150"/>
      <c r="DR579" s="150"/>
      <c r="DS579" s="150"/>
      <c r="DT579" s="150"/>
      <c r="DU579" s="150"/>
      <c r="DV579" s="150"/>
      <c r="DW579" s="150"/>
      <c r="DX579" s="150"/>
      <c r="DY579" s="150"/>
      <c r="DZ579" s="150"/>
      <c r="EA579" s="150"/>
      <c r="EB579" s="150"/>
      <c r="EC579" s="150"/>
      <c r="ED579" s="150"/>
      <c r="EE579" s="150"/>
      <c r="EF579" s="150"/>
      <c r="EG579" s="150"/>
      <c r="EH579" s="150"/>
      <c r="EI579" s="150"/>
      <c r="EJ579" s="150"/>
      <c r="EK579" s="150"/>
      <c r="EL579" s="150"/>
      <c r="EM579" s="150"/>
      <c r="EN579" s="150"/>
      <c r="EO579" s="150"/>
      <c r="EP579" s="150"/>
      <c r="EQ579" s="150"/>
      <c r="ER579" s="150"/>
      <c r="ES579" s="150"/>
      <c r="ET579" s="150"/>
      <c r="EU579" s="150"/>
      <c r="EV579" s="150"/>
      <c r="EW579" s="150"/>
      <c r="EX579" s="150"/>
      <c r="EY579" s="150"/>
      <c r="EZ579" s="150"/>
      <c r="FA579" s="150"/>
      <c r="FB579" s="150"/>
      <c r="FC579" s="150"/>
      <c r="FD579" s="150"/>
      <c r="FE579" s="150"/>
      <c r="FF579" s="150"/>
      <c r="FG579" s="150"/>
      <c r="FH579" s="150"/>
      <c r="FI579" s="150"/>
      <c r="FJ579" s="150"/>
      <c r="FK579" s="150"/>
      <c r="FL579" s="150"/>
      <c r="FM579" s="150"/>
      <c r="FN579" s="150"/>
    </row>
    <row r="580" spans="1:170" s="149" customFormat="1" x14ac:dyDescent="0.25">
      <c r="A580" s="142"/>
      <c r="B580" s="142"/>
      <c r="C580" s="142"/>
      <c r="D580" s="144"/>
      <c r="E580" s="143"/>
      <c r="F580" s="143"/>
      <c r="G580" s="144"/>
      <c r="H580" s="143"/>
      <c r="I580" s="143"/>
      <c r="J580" s="319"/>
      <c r="K580" s="319"/>
      <c r="L580" s="315"/>
      <c r="M580" s="315"/>
      <c r="N580" s="145"/>
      <c r="O580" s="145"/>
      <c r="P580" s="145"/>
      <c r="Q580" s="146"/>
      <c r="R580" s="147"/>
      <c r="S580" s="148"/>
      <c r="T580" s="148"/>
      <c r="U580" s="148"/>
      <c r="V580" s="148"/>
      <c r="W580" s="148"/>
      <c r="X580" s="148"/>
      <c r="Y580" s="148"/>
      <c r="Z580" s="148"/>
      <c r="AA580" s="148"/>
      <c r="AB580" s="148"/>
      <c r="AV580" s="150"/>
      <c r="AW580" s="150"/>
      <c r="AX580" s="150"/>
      <c r="AY580" s="150"/>
      <c r="AZ580" s="150"/>
      <c r="BA580" s="150"/>
      <c r="BB580" s="150"/>
      <c r="BC580" s="150"/>
      <c r="BD580" s="150"/>
      <c r="BE580" s="150"/>
      <c r="BF580" s="150"/>
      <c r="BG580" s="150"/>
      <c r="BH580" s="150"/>
      <c r="BI580" s="150"/>
      <c r="BJ580" s="150"/>
      <c r="BK580" s="150"/>
      <c r="BL580" s="150"/>
      <c r="BM580" s="150"/>
      <c r="BN580" s="150"/>
      <c r="BO580" s="150"/>
      <c r="BP580" s="150"/>
      <c r="BQ580" s="150"/>
      <c r="BR580" s="150"/>
      <c r="BS580" s="150"/>
      <c r="BT580" s="150"/>
      <c r="BU580" s="150"/>
      <c r="BV580" s="150"/>
      <c r="BW580" s="150"/>
      <c r="BX580" s="150"/>
      <c r="BY580" s="150"/>
      <c r="BZ580" s="150"/>
      <c r="CA580" s="150"/>
      <c r="CB580" s="150"/>
      <c r="CC580" s="150"/>
      <c r="CD580" s="150"/>
      <c r="CE580" s="150"/>
      <c r="CF580" s="150"/>
      <c r="CG580" s="150"/>
      <c r="CH580" s="150"/>
      <c r="CI580" s="150"/>
      <c r="CJ580" s="150"/>
      <c r="CK580" s="150"/>
      <c r="CL580" s="150"/>
      <c r="CM580" s="150"/>
      <c r="CN580" s="150"/>
      <c r="CO580" s="150"/>
      <c r="CP580" s="150"/>
      <c r="CQ580" s="150"/>
      <c r="CR580" s="150"/>
      <c r="CS580" s="150"/>
      <c r="CT580" s="150"/>
      <c r="CU580" s="150"/>
      <c r="CV580" s="150"/>
      <c r="CW580" s="150"/>
      <c r="CX580" s="150"/>
      <c r="CY580" s="150"/>
      <c r="CZ580" s="150"/>
      <c r="DA580" s="150"/>
      <c r="DB580" s="150"/>
      <c r="DC580" s="150"/>
      <c r="DD580" s="150"/>
      <c r="DE580" s="150"/>
      <c r="DF580" s="150"/>
      <c r="DG580" s="150"/>
      <c r="DH580" s="150"/>
      <c r="DI580" s="150"/>
      <c r="DJ580" s="150"/>
      <c r="DK580" s="150"/>
      <c r="DL580" s="150"/>
      <c r="DM580" s="150"/>
      <c r="DN580" s="150"/>
      <c r="DO580" s="150"/>
      <c r="DP580" s="150"/>
      <c r="DQ580" s="150"/>
      <c r="DR580" s="150"/>
      <c r="DS580" s="150"/>
      <c r="DT580" s="150"/>
      <c r="DU580" s="150"/>
      <c r="DV580" s="150"/>
      <c r="DW580" s="150"/>
      <c r="DX580" s="150"/>
      <c r="DY580" s="150"/>
      <c r="DZ580" s="150"/>
      <c r="EA580" s="150"/>
      <c r="EB580" s="150"/>
      <c r="EC580" s="150"/>
      <c r="ED580" s="150"/>
      <c r="EE580" s="150"/>
      <c r="EF580" s="150"/>
      <c r="EG580" s="150"/>
      <c r="EH580" s="150"/>
      <c r="EI580" s="150"/>
      <c r="EJ580" s="150"/>
      <c r="EK580" s="150"/>
      <c r="EL580" s="150"/>
      <c r="EM580" s="150"/>
      <c r="EN580" s="150"/>
      <c r="EO580" s="150"/>
      <c r="EP580" s="150"/>
      <c r="EQ580" s="150"/>
      <c r="ER580" s="150"/>
      <c r="ES580" s="150"/>
      <c r="ET580" s="150"/>
      <c r="EU580" s="150"/>
      <c r="EV580" s="150"/>
      <c r="EW580" s="150"/>
      <c r="EX580" s="150"/>
      <c r="EY580" s="150"/>
      <c r="EZ580" s="150"/>
      <c r="FA580" s="150"/>
      <c r="FB580" s="150"/>
      <c r="FC580" s="150"/>
      <c r="FD580" s="150"/>
      <c r="FE580" s="150"/>
      <c r="FF580" s="150"/>
      <c r="FG580" s="150"/>
      <c r="FH580" s="150"/>
      <c r="FI580" s="150"/>
      <c r="FJ580" s="150"/>
      <c r="FK580" s="150"/>
      <c r="FL580" s="150"/>
      <c r="FM580" s="150"/>
      <c r="FN580" s="150"/>
    </row>
    <row r="581" spans="1:170" s="149" customFormat="1" x14ac:dyDescent="0.25">
      <c r="A581" s="142"/>
      <c r="B581" s="142"/>
      <c r="C581" s="142"/>
      <c r="D581" s="144"/>
      <c r="E581" s="143"/>
      <c r="F581" s="143"/>
      <c r="G581" s="144"/>
      <c r="H581" s="143"/>
      <c r="I581" s="143"/>
      <c r="J581" s="319"/>
      <c r="K581" s="319"/>
      <c r="L581" s="315"/>
      <c r="M581" s="315"/>
      <c r="N581" s="145"/>
      <c r="O581" s="145"/>
      <c r="P581" s="145"/>
      <c r="Q581" s="146"/>
      <c r="R581" s="147"/>
      <c r="S581" s="148"/>
      <c r="T581" s="148"/>
      <c r="U581" s="148"/>
      <c r="V581" s="148"/>
      <c r="W581" s="148"/>
      <c r="X581" s="148"/>
      <c r="Y581" s="148"/>
      <c r="Z581" s="148"/>
      <c r="AA581" s="148"/>
      <c r="AB581" s="148"/>
      <c r="AV581" s="150"/>
      <c r="AW581" s="150"/>
      <c r="AX581" s="150"/>
      <c r="AY581" s="150"/>
      <c r="AZ581" s="150"/>
      <c r="BA581" s="150"/>
      <c r="BB581" s="150"/>
      <c r="BC581" s="150"/>
      <c r="BD581" s="150"/>
      <c r="BE581" s="150"/>
      <c r="BF581" s="150"/>
      <c r="BG581" s="150"/>
      <c r="BH581" s="150"/>
      <c r="BI581" s="150"/>
      <c r="BJ581" s="150"/>
      <c r="BK581" s="150"/>
      <c r="BL581" s="150"/>
      <c r="BM581" s="150"/>
      <c r="BN581" s="150"/>
      <c r="BO581" s="150"/>
      <c r="BP581" s="150"/>
      <c r="BQ581" s="150"/>
      <c r="BR581" s="150"/>
      <c r="BS581" s="150"/>
      <c r="BT581" s="150"/>
      <c r="BU581" s="150"/>
      <c r="BV581" s="150"/>
      <c r="BW581" s="150"/>
      <c r="BX581" s="150"/>
      <c r="BY581" s="150"/>
      <c r="BZ581" s="150"/>
      <c r="CA581" s="150"/>
      <c r="CB581" s="150"/>
      <c r="CC581" s="150"/>
      <c r="CD581" s="150"/>
      <c r="CE581" s="150"/>
      <c r="CF581" s="150"/>
      <c r="CG581" s="150"/>
      <c r="CH581" s="150"/>
      <c r="CI581" s="150"/>
      <c r="CJ581" s="150"/>
      <c r="CK581" s="150"/>
      <c r="CL581" s="150"/>
      <c r="CM581" s="150"/>
      <c r="CN581" s="150"/>
      <c r="CO581" s="150"/>
      <c r="CP581" s="150"/>
      <c r="CQ581" s="150"/>
      <c r="CR581" s="150"/>
      <c r="CS581" s="150"/>
      <c r="CT581" s="150"/>
      <c r="CU581" s="150"/>
      <c r="CV581" s="150"/>
      <c r="CW581" s="150"/>
      <c r="CX581" s="150"/>
      <c r="CY581" s="150"/>
      <c r="CZ581" s="150"/>
      <c r="DA581" s="150"/>
      <c r="DB581" s="150"/>
      <c r="DC581" s="150"/>
      <c r="DD581" s="150"/>
      <c r="DE581" s="150"/>
      <c r="DF581" s="150"/>
      <c r="DG581" s="150"/>
      <c r="DH581" s="150"/>
      <c r="DI581" s="150"/>
      <c r="DJ581" s="150"/>
      <c r="DK581" s="150"/>
      <c r="DL581" s="150"/>
      <c r="DM581" s="150"/>
      <c r="DN581" s="150"/>
      <c r="DO581" s="150"/>
      <c r="DP581" s="150"/>
      <c r="DQ581" s="150"/>
      <c r="DR581" s="150"/>
      <c r="DS581" s="150"/>
      <c r="DT581" s="150"/>
      <c r="DU581" s="150"/>
      <c r="DV581" s="150"/>
      <c r="DW581" s="150"/>
      <c r="DX581" s="150"/>
      <c r="DY581" s="150"/>
      <c r="DZ581" s="150"/>
      <c r="EA581" s="150"/>
      <c r="EB581" s="150"/>
      <c r="EC581" s="150"/>
      <c r="ED581" s="150"/>
      <c r="EE581" s="150"/>
      <c r="EF581" s="150"/>
      <c r="EG581" s="150"/>
      <c r="EH581" s="150"/>
      <c r="EI581" s="150"/>
      <c r="EJ581" s="150"/>
      <c r="EK581" s="150"/>
      <c r="EL581" s="150"/>
      <c r="EM581" s="150"/>
      <c r="EN581" s="150"/>
      <c r="EO581" s="150"/>
      <c r="EP581" s="150"/>
      <c r="EQ581" s="150"/>
      <c r="ER581" s="150"/>
      <c r="ES581" s="150"/>
      <c r="ET581" s="150"/>
      <c r="EU581" s="150"/>
      <c r="EV581" s="150"/>
      <c r="EW581" s="150"/>
      <c r="EX581" s="150"/>
      <c r="EY581" s="150"/>
      <c r="EZ581" s="150"/>
      <c r="FA581" s="150"/>
      <c r="FB581" s="150"/>
      <c r="FC581" s="150"/>
      <c r="FD581" s="150"/>
      <c r="FE581" s="150"/>
      <c r="FF581" s="150"/>
      <c r="FG581" s="150"/>
      <c r="FH581" s="150"/>
      <c r="FI581" s="150"/>
      <c r="FJ581" s="150"/>
      <c r="FK581" s="150"/>
      <c r="FL581" s="150"/>
      <c r="FM581" s="150"/>
      <c r="FN581" s="150"/>
    </row>
    <row r="582" spans="1:170" s="149" customFormat="1" x14ac:dyDescent="0.25">
      <c r="A582" s="142"/>
      <c r="B582" s="142"/>
      <c r="C582" s="142"/>
      <c r="D582" s="144"/>
      <c r="E582" s="143"/>
      <c r="F582" s="143"/>
      <c r="G582" s="144"/>
      <c r="H582" s="143"/>
      <c r="I582" s="143"/>
      <c r="J582" s="319"/>
      <c r="K582" s="319"/>
      <c r="L582" s="315"/>
      <c r="M582" s="315"/>
      <c r="N582" s="145"/>
      <c r="O582" s="145"/>
      <c r="P582" s="145"/>
      <c r="Q582" s="146"/>
      <c r="R582" s="147"/>
      <c r="S582" s="148"/>
      <c r="T582" s="148"/>
      <c r="U582" s="148"/>
      <c r="V582" s="148"/>
      <c r="W582" s="148"/>
      <c r="X582" s="148"/>
      <c r="Y582" s="148"/>
      <c r="Z582" s="148"/>
      <c r="AA582" s="148"/>
      <c r="AB582" s="148"/>
      <c r="AV582" s="150"/>
      <c r="AW582" s="150"/>
      <c r="AX582" s="150"/>
      <c r="AY582" s="150"/>
      <c r="AZ582" s="150"/>
      <c r="BA582" s="150"/>
      <c r="BB582" s="150"/>
      <c r="BC582" s="150"/>
      <c r="BD582" s="150"/>
      <c r="BE582" s="150"/>
      <c r="BF582" s="150"/>
      <c r="BG582" s="150"/>
      <c r="BH582" s="150"/>
      <c r="BI582" s="150"/>
      <c r="BJ582" s="150"/>
      <c r="BK582" s="150"/>
      <c r="BL582" s="150"/>
      <c r="BM582" s="150"/>
      <c r="BN582" s="150"/>
      <c r="BO582" s="150"/>
      <c r="BP582" s="150"/>
      <c r="BQ582" s="150"/>
      <c r="BR582" s="150"/>
      <c r="BS582" s="150"/>
      <c r="BT582" s="150"/>
      <c r="BU582" s="150"/>
      <c r="BV582" s="150"/>
      <c r="BW582" s="150"/>
      <c r="BX582" s="150"/>
      <c r="BY582" s="150"/>
      <c r="BZ582" s="150"/>
      <c r="CA582" s="150"/>
      <c r="CB582" s="150"/>
      <c r="CC582" s="150"/>
      <c r="CD582" s="150"/>
      <c r="CE582" s="150"/>
      <c r="CF582" s="150"/>
      <c r="CG582" s="150"/>
      <c r="CH582" s="150"/>
      <c r="CI582" s="150"/>
      <c r="CJ582" s="150"/>
      <c r="CK582" s="150"/>
      <c r="CL582" s="150"/>
      <c r="CM582" s="150"/>
      <c r="CN582" s="150"/>
      <c r="CO582" s="150"/>
      <c r="CP582" s="150"/>
      <c r="CQ582" s="150"/>
      <c r="CR582" s="150"/>
      <c r="CS582" s="150"/>
      <c r="CT582" s="150"/>
      <c r="CU582" s="150"/>
      <c r="CV582" s="150"/>
      <c r="CW582" s="150"/>
      <c r="CX582" s="150"/>
      <c r="CY582" s="150"/>
      <c r="CZ582" s="150"/>
      <c r="DA582" s="150"/>
      <c r="DB582" s="150"/>
      <c r="DC582" s="150"/>
      <c r="DD582" s="150"/>
      <c r="DE582" s="150"/>
      <c r="DF582" s="150"/>
      <c r="DG582" s="150"/>
      <c r="DH582" s="150"/>
      <c r="DI582" s="150"/>
      <c r="DJ582" s="150"/>
      <c r="DK582" s="150"/>
      <c r="DL582" s="150"/>
      <c r="DM582" s="150"/>
      <c r="DN582" s="150"/>
      <c r="DO582" s="150"/>
      <c r="DP582" s="150"/>
      <c r="DQ582" s="150"/>
      <c r="DR582" s="150"/>
      <c r="DS582" s="150"/>
      <c r="DT582" s="150"/>
      <c r="DU582" s="150"/>
      <c r="DV582" s="150"/>
      <c r="DW582" s="150"/>
      <c r="DX582" s="150"/>
      <c r="DY582" s="150"/>
      <c r="DZ582" s="150"/>
      <c r="EA582" s="150"/>
      <c r="EB582" s="150"/>
      <c r="EC582" s="150"/>
      <c r="ED582" s="150"/>
      <c r="EE582" s="150"/>
      <c r="EF582" s="150"/>
      <c r="EG582" s="150"/>
      <c r="EH582" s="150"/>
      <c r="EI582" s="150"/>
      <c r="EJ582" s="150"/>
      <c r="EK582" s="150"/>
      <c r="EL582" s="150"/>
      <c r="EM582" s="150"/>
      <c r="EN582" s="150"/>
      <c r="EO582" s="150"/>
      <c r="EP582" s="150"/>
      <c r="EQ582" s="150"/>
      <c r="ER582" s="150"/>
      <c r="ES582" s="150"/>
      <c r="ET582" s="150"/>
      <c r="EU582" s="150"/>
      <c r="EV582" s="150"/>
      <c r="EW582" s="150"/>
      <c r="EX582" s="150"/>
      <c r="EY582" s="150"/>
      <c r="EZ582" s="150"/>
      <c r="FA582" s="150"/>
      <c r="FB582" s="150"/>
      <c r="FC582" s="150"/>
      <c r="FD582" s="150"/>
      <c r="FE582" s="150"/>
      <c r="FF582" s="150"/>
      <c r="FG582" s="150"/>
      <c r="FH582" s="150"/>
      <c r="FI582" s="150"/>
      <c r="FJ582" s="150"/>
      <c r="FK582" s="150"/>
      <c r="FL582" s="150"/>
      <c r="FM582" s="150"/>
      <c r="FN582" s="150"/>
    </row>
    <row r="583" spans="1:170" s="149" customFormat="1" x14ac:dyDescent="0.25">
      <c r="A583" s="142"/>
      <c r="B583" s="142"/>
      <c r="C583" s="142"/>
      <c r="D583" s="144"/>
      <c r="E583" s="143"/>
      <c r="F583" s="143"/>
      <c r="G583" s="144"/>
      <c r="H583" s="143"/>
      <c r="I583" s="143"/>
      <c r="J583" s="319"/>
      <c r="K583" s="319"/>
      <c r="L583" s="315"/>
      <c r="M583" s="315"/>
      <c r="N583" s="145"/>
      <c r="O583" s="145"/>
      <c r="P583" s="145"/>
      <c r="Q583" s="146"/>
      <c r="R583" s="147"/>
      <c r="S583" s="148"/>
      <c r="T583" s="148"/>
      <c r="U583" s="148"/>
      <c r="V583" s="148"/>
      <c r="W583" s="148"/>
      <c r="X583" s="148"/>
      <c r="Y583" s="148"/>
      <c r="Z583" s="148"/>
      <c r="AA583" s="148"/>
      <c r="AB583" s="148"/>
      <c r="AV583" s="150"/>
      <c r="AW583" s="150"/>
      <c r="AX583" s="150"/>
      <c r="AY583" s="150"/>
      <c r="AZ583" s="150"/>
      <c r="BA583" s="150"/>
      <c r="BB583" s="150"/>
      <c r="BC583" s="150"/>
      <c r="BD583" s="150"/>
      <c r="BE583" s="150"/>
      <c r="BF583" s="150"/>
      <c r="BG583" s="150"/>
      <c r="BH583" s="150"/>
      <c r="BI583" s="150"/>
      <c r="BJ583" s="150"/>
      <c r="BK583" s="150"/>
      <c r="BL583" s="150"/>
      <c r="BM583" s="150"/>
      <c r="BN583" s="150"/>
      <c r="BO583" s="150"/>
      <c r="BP583" s="150"/>
      <c r="BQ583" s="150"/>
      <c r="BR583" s="150"/>
      <c r="BS583" s="150"/>
      <c r="BT583" s="150"/>
      <c r="BU583" s="150"/>
      <c r="BV583" s="150"/>
      <c r="BW583" s="150"/>
      <c r="BX583" s="150"/>
      <c r="BY583" s="150"/>
      <c r="BZ583" s="150"/>
      <c r="CA583" s="150"/>
      <c r="CB583" s="150"/>
      <c r="CC583" s="150"/>
      <c r="CD583" s="150"/>
      <c r="CE583" s="150"/>
      <c r="CF583" s="150"/>
      <c r="CG583" s="150"/>
      <c r="CH583" s="150"/>
      <c r="CI583" s="150"/>
      <c r="CJ583" s="150"/>
      <c r="CK583" s="150"/>
      <c r="CL583" s="150"/>
      <c r="CM583" s="150"/>
      <c r="CN583" s="150"/>
      <c r="CO583" s="150"/>
      <c r="CP583" s="150"/>
      <c r="CQ583" s="150"/>
      <c r="CR583" s="150"/>
      <c r="CS583" s="150"/>
      <c r="CT583" s="150"/>
      <c r="CU583" s="150"/>
      <c r="CV583" s="150"/>
      <c r="CW583" s="150"/>
      <c r="CX583" s="150"/>
      <c r="CY583" s="150"/>
      <c r="CZ583" s="150"/>
      <c r="DA583" s="150"/>
      <c r="DB583" s="150"/>
      <c r="DC583" s="150"/>
      <c r="DD583" s="150"/>
      <c r="DE583" s="150"/>
      <c r="DF583" s="150"/>
      <c r="DG583" s="150"/>
      <c r="DH583" s="150"/>
      <c r="DI583" s="150"/>
      <c r="DJ583" s="150"/>
      <c r="DK583" s="150"/>
      <c r="DL583" s="150"/>
      <c r="DM583" s="150"/>
      <c r="DN583" s="150"/>
      <c r="DO583" s="150"/>
      <c r="DP583" s="150"/>
      <c r="DQ583" s="150"/>
      <c r="DR583" s="150"/>
      <c r="DS583" s="150"/>
      <c r="DT583" s="150"/>
      <c r="DU583" s="150"/>
      <c r="DV583" s="150"/>
      <c r="DW583" s="150"/>
      <c r="DX583" s="150"/>
      <c r="DY583" s="150"/>
      <c r="DZ583" s="150"/>
      <c r="EA583" s="150"/>
      <c r="EB583" s="150"/>
      <c r="EC583" s="150"/>
      <c r="ED583" s="150"/>
      <c r="EE583" s="150"/>
      <c r="EF583" s="150"/>
      <c r="EG583" s="150"/>
      <c r="EH583" s="150"/>
      <c r="EI583" s="150"/>
      <c r="EJ583" s="150"/>
      <c r="EK583" s="150"/>
      <c r="EL583" s="150"/>
      <c r="EM583" s="150"/>
      <c r="EN583" s="150"/>
      <c r="EO583" s="150"/>
      <c r="EP583" s="150"/>
      <c r="EQ583" s="150"/>
      <c r="ER583" s="150"/>
      <c r="ES583" s="150"/>
      <c r="ET583" s="150"/>
      <c r="EU583" s="150"/>
      <c r="EV583" s="150"/>
      <c r="EW583" s="150"/>
      <c r="EX583" s="150"/>
      <c r="EY583" s="150"/>
      <c r="EZ583" s="150"/>
      <c r="FA583" s="150"/>
      <c r="FB583" s="150"/>
      <c r="FC583" s="150"/>
      <c r="FD583" s="150"/>
      <c r="FE583" s="150"/>
      <c r="FF583" s="150"/>
      <c r="FG583" s="150"/>
      <c r="FH583" s="150"/>
      <c r="FI583" s="150"/>
      <c r="FJ583" s="150"/>
      <c r="FK583" s="150"/>
      <c r="FL583" s="150"/>
      <c r="FM583" s="150"/>
      <c r="FN583" s="150"/>
    </row>
    <row r="584" spans="1:170" s="149" customFormat="1" x14ac:dyDescent="0.25">
      <c r="A584" s="142"/>
      <c r="B584" s="142"/>
      <c r="C584" s="142"/>
      <c r="D584" s="144"/>
      <c r="E584" s="143"/>
      <c r="F584" s="143"/>
      <c r="G584" s="144"/>
      <c r="H584" s="143"/>
      <c r="I584" s="143"/>
      <c r="J584" s="319"/>
      <c r="K584" s="319"/>
      <c r="L584" s="315"/>
      <c r="M584" s="315"/>
      <c r="N584" s="145"/>
      <c r="O584" s="145"/>
      <c r="P584" s="145"/>
      <c r="Q584" s="146"/>
      <c r="R584" s="147"/>
      <c r="S584" s="148"/>
      <c r="T584" s="148"/>
      <c r="U584" s="148"/>
      <c r="V584" s="148"/>
      <c r="W584" s="148"/>
      <c r="X584" s="148"/>
      <c r="Y584" s="148"/>
      <c r="Z584" s="148"/>
      <c r="AA584" s="148"/>
      <c r="AB584" s="148"/>
      <c r="AV584" s="150"/>
      <c r="AW584" s="150"/>
      <c r="AX584" s="150"/>
      <c r="AY584" s="150"/>
      <c r="AZ584" s="150"/>
      <c r="BA584" s="150"/>
      <c r="BB584" s="150"/>
      <c r="BC584" s="150"/>
      <c r="BD584" s="150"/>
      <c r="BE584" s="150"/>
      <c r="BF584" s="150"/>
      <c r="BG584" s="150"/>
      <c r="BH584" s="150"/>
      <c r="BI584" s="150"/>
      <c r="BJ584" s="150"/>
      <c r="BK584" s="150"/>
      <c r="BL584" s="150"/>
      <c r="BM584" s="150"/>
      <c r="BN584" s="150"/>
      <c r="BO584" s="150"/>
      <c r="BP584" s="150"/>
      <c r="BQ584" s="150"/>
      <c r="BR584" s="150"/>
      <c r="BS584" s="150"/>
      <c r="BT584" s="150"/>
      <c r="BU584" s="150"/>
      <c r="BV584" s="150"/>
      <c r="BW584" s="150"/>
      <c r="BX584" s="150"/>
      <c r="BY584" s="150"/>
      <c r="BZ584" s="150"/>
      <c r="CA584" s="150"/>
      <c r="CB584" s="150"/>
      <c r="CC584" s="150"/>
      <c r="CD584" s="150"/>
      <c r="CE584" s="150"/>
      <c r="CF584" s="150"/>
      <c r="CG584" s="150"/>
      <c r="CH584" s="150"/>
      <c r="CI584" s="150"/>
      <c r="CJ584" s="150"/>
      <c r="CK584" s="150"/>
      <c r="CL584" s="150"/>
      <c r="CM584" s="150"/>
      <c r="CN584" s="150"/>
      <c r="CO584" s="150"/>
      <c r="CP584" s="150"/>
      <c r="CQ584" s="150"/>
      <c r="CR584" s="150"/>
      <c r="CS584" s="150"/>
      <c r="CT584" s="150"/>
      <c r="CU584" s="150"/>
      <c r="CV584" s="150"/>
      <c r="CW584" s="150"/>
      <c r="CX584" s="150"/>
      <c r="CY584" s="150"/>
      <c r="CZ584" s="150"/>
      <c r="DA584" s="150"/>
      <c r="DB584" s="150"/>
      <c r="DC584" s="150"/>
      <c r="DD584" s="150"/>
      <c r="DE584" s="150"/>
      <c r="DF584" s="150"/>
      <c r="DG584" s="150"/>
      <c r="DH584" s="150"/>
      <c r="DI584" s="150"/>
      <c r="DJ584" s="150"/>
      <c r="DK584" s="150"/>
      <c r="DL584" s="150"/>
      <c r="DM584" s="150"/>
      <c r="DN584" s="150"/>
      <c r="DO584" s="150"/>
      <c r="DP584" s="150"/>
      <c r="DQ584" s="150"/>
      <c r="DR584" s="150"/>
      <c r="DS584" s="150"/>
      <c r="DT584" s="150"/>
      <c r="DU584" s="150"/>
      <c r="DV584" s="150"/>
      <c r="DW584" s="150"/>
      <c r="DX584" s="150"/>
      <c r="DY584" s="150"/>
      <c r="DZ584" s="150"/>
      <c r="EA584" s="150"/>
      <c r="EB584" s="150"/>
      <c r="EC584" s="150"/>
      <c r="ED584" s="150"/>
      <c r="EE584" s="150"/>
      <c r="EF584" s="150"/>
      <c r="EG584" s="150"/>
      <c r="EH584" s="150"/>
      <c r="EI584" s="150"/>
      <c r="EJ584" s="150"/>
      <c r="EK584" s="150"/>
      <c r="EL584" s="150"/>
      <c r="EM584" s="150"/>
      <c r="EN584" s="150"/>
      <c r="EO584" s="150"/>
      <c r="EP584" s="150"/>
      <c r="EQ584" s="150"/>
      <c r="ER584" s="150"/>
      <c r="ES584" s="150"/>
      <c r="ET584" s="150"/>
      <c r="EU584" s="150"/>
      <c r="EV584" s="150"/>
      <c r="EW584" s="150"/>
      <c r="EX584" s="150"/>
      <c r="EY584" s="150"/>
      <c r="EZ584" s="150"/>
      <c r="FA584" s="150"/>
      <c r="FB584" s="150"/>
      <c r="FC584" s="150"/>
      <c r="FD584" s="150"/>
      <c r="FE584" s="150"/>
      <c r="FF584" s="150"/>
      <c r="FG584" s="150"/>
      <c r="FH584" s="150"/>
      <c r="FI584" s="150"/>
      <c r="FJ584" s="150"/>
      <c r="FK584" s="150"/>
      <c r="FL584" s="150"/>
      <c r="FM584" s="150"/>
      <c r="FN584" s="150"/>
    </row>
    <row r="585" spans="1:170" s="149" customFormat="1" x14ac:dyDescent="0.25">
      <c r="A585" s="142"/>
      <c r="B585" s="142"/>
      <c r="C585" s="142"/>
      <c r="D585" s="144"/>
      <c r="E585" s="143"/>
      <c r="F585" s="143"/>
      <c r="G585" s="144"/>
      <c r="H585" s="143"/>
      <c r="I585" s="143"/>
      <c r="J585" s="319"/>
      <c r="K585" s="319"/>
      <c r="L585" s="315"/>
      <c r="M585" s="315"/>
      <c r="N585" s="145"/>
      <c r="O585" s="145"/>
      <c r="P585" s="145"/>
      <c r="Q585" s="146"/>
      <c r="R585" s="147"/>
      <c r="S585" s="148"/>
      <c r="T585" s="148"/>
      <c r="U585" s="148"/>
      <c r="V585" s="148"/>
      <c r="W585" s="148"/>
      <c r="X585" s="148"/>
      <c r="Y585" s="148"/>
      <c r="Z585" s="148"/>
      <c r="AA585" s="148"/>
      <c r="AB585" s="148"/>
      <c r="AV585" s="150"/>
      <c r="AW585" s="150"/>
      <c r="AX585" s="150"/>
      <c r="AY585" s="150"/>
      <c r="AZ585" s="150"/>
      <c r="BA585" s="150"/>
      <c r="BB585" s="150"/>
      <c r="BC585" s="150"/>
      <c r="BD585" s="150"/>
      <c r="BE585" s="150"/>
      <c r="BF585" s="150"/>
      <c r="BG585" s="150"/>
      <c r="BH585" s="150"/>
      <c r="BI585" s="150"/>
      <c r="BJ585" s="150"/>
      <c r="BK585" s="150"/>
      <c r="BL585" s="150"/>
      <c r="BM585" s="150"/>
      <c r="BN585" s="150"/>
      <c r="BO585" s="150"/>
      <c r="BP585" s="150"/>
      <c r="BQ585" s="150"/>
      <c r="BR585" s="150"/>
      <c r="BS585" s="150"/>
      <c r="BT585" s="150"/>
      <c r="BU585" s="150"/>
      <c r="BV585" s="150"/>
      <c r="BW585" s="150"/>
      <c r="BX585" s="150"/>
      <c r="BY585" s="150"/>
      <c r="BZ585" s="150"/>
      <c r="CA585" s="150"/>
      <c r="CB585" s="150"/>
      <c r="CC585" s="150"/>
      <c r="CD585" s="150"/>
      <c r="CE585" s="150"/>
      <c r="CF585" s="150"/>
      <c r="CG585" s="150"/>
      <c r="CH585" s="150"/>
      <c r="CI585" s="150"/>
      <c r="CJ585" s="150"/>
      <c r="CK585" s="150"/>
      <c r="CL585" s="150"/>
      <c r="CM585" s="150"/>
      <c r="CN585" s="150"/>
      <c r="CO585" s="150"/>
      <c r="CP585" s="150"/>
      <c r="CQ585" s="150"/>
      <c r="CR585" s="150"/>
      <c r="CS585" s="150"/>
      <c r="CT585" s="150"/>
      <c r="CU585" s="150"/>
      <c r="CV585" s="150"/>
      <c r="CW585" s="150"/>
      <c r="CX585" s="150"/>
      <c r="CY585" s="150"/>
      <c r="CZ585" s="150"/>
      <c r="DA585" s="150"/>
      <c r="DB585" s="150"/>
      <c r="DC585" s="150"/>
      <c r="DD585" s="150"/>
      <c r="DE585" s="150"/>
      <c r="DF585" s="150"/>
      <c r="DG585" s="150"/>
      <c r="DH585" s="150"/>
      <c r="DI585" s="150"/>
      <c r="DJ585" s="150"/>
      <c r="DK585" s="150"/>
      <c r="DL585" s="150"/>
      <c r="DM585" s="150"/>
      <c r="DN585" s="150"/>
      <c r="DO585" s="150"/>
      <c r="DP585" s="150"/>
      <c r="DQ585" s="150"/>
      <c r="DR585" s="150"/>
      <c r="DS585" s="150"/>
      <c r="DT585" s="150"/>
      <c r="DU585" s="150"/>
      <c r="DV585" s="150"/>
      <c r="DW585" s="150"/>
      <c r="DX585" s="150"/>
      <c r="DY585" s="150"/>
      <c r="DZ585" s="150"/>
      <c r="EA585" s="150"/>
      <c r="EB585" s="150"/>
      <c r="EC585" s="150"/>
      <c r="ED585" s="150"/>
      <c r="EE585" s="150"/>
      <c r="EF585" s="150"/>
      <c r="EG585" s="150"/>
      <c r="EH585" s="150"/>
      <c r="EI585" s="150"/>
      <c r="EJ585" s="150"/>
      <c r="EK585" s="150"/>
      <c r="EL585" s="150"/>
      <c r="EM585" s="150"/>
      <c r="EN585" s="150"/>
      <c r="EO585" s="150"/>
      <c r="EP585" s="150"/>
      <c r="EQ585" s="150"/>
      <c r="ER585" s="150"/>
      <c r="ES585" s="150"/>
      <c r="ET585" s="150"/>
      <c r="EU585" s="150"/>
      <c r="EV585" s="150"/>
      <c r="EW585" s="150"/>
      <c r="EX585" s="150"/>
      <c r="EY585" s="150"/>
      <c r="EZ585" s="150"/>
      <c r="FA585" s="150"/>
      <c r="FB585" s="150"/>
      <c r="FC585" s="150"/>
      <c r="FD585" s="150"/>
      <c r="FE585" s="150"/>
      <c r="FF585" s="150"/>
      <c r="FG585" s="150"/>
      <c r="FH585" s="150"/>
      <c r="FI585" s="150"/>
      <c r="FJ585" s="150"/>
      <c r="FK585" s="150"/>
      <c r="FL585" s="150"/>
      <c r="FM585" s="150"/>
      <c r="FN585" s="150"/>
    </row>
    <row r="586" spans="1:170" s="149" customFormat="1" x14ac:dyDescent="0.25">
      <c r="A586" s="142"/>
      <c r="B586" s="142"/>
      <c r="C586" s="142"/>
      <c r="D586" s="144"/>
      <c r="E586" s="143"/>
      <c r="F586" s="143"/>
      <c r="G586" s="144"/>
      <c r="H586" s="143"/>
      <c r="I586" s="143"/>
      <c r="J586" s="319"/>
      <c r="K586" s="319"/>
      <c r="L586" s="315"/>
      <c r="M586" s="315"/>
      <c r="N586" s="145"/>
      <c r="O586" s="145"/>
      <c r="P586" s="145"/>
      <c r="Q586" s="146"/>
      <c r="R586" s="147"/>
      <c r="S586" s="148"/>
      <c r="T586" s="148"/>
      <c r="U586" s="148"/>
      <c r="V586" s="148"/>
      <c r="W586" s="148"/>
      <c r="X586" s="148"/>
      <c r="Y586" s="148"/>
      <c r="Z586" s="148"/>
      <c r="AA586" s="148"/>
      <c r="AB586" s="148"/>
      <c r="AV586" s="150"/>
      <c r="AW586" s="150"/>
      <c r="AX586" s="150"/>
      <c r="AY586" s="150"/>
      <c r="AZ586" s="150"/>
      <c r="BA586" s="150"/>
      <c r="BB586" s="150"/>
      <c r="BC586" s="150"/>
      <c r="BD586" s="150"/>
      <c r="BE586" s="150"/>
      <c r="BF586" s="150"/>
      <c r="BG586" s="150"/>
      <c r="BH586" s="150"/>
      <c r="BI586" s="150"/>
      <c r="BJ586" s="150"/>
      <c r="BK586" s="150"/>
      <c r="BL586" s="150"/>
      <c r="BM586" s="150"/>
      <c r="BN586" s="150"/>
      <c r="BO586" s="150"/>
      <c r="BP586" s="150"/>
      <c r="BQ586" s="150"/>
      <c r="BR586" s="150"/>
      <c r="BS586" s="150"/>
      <c r="BT586" s="150"/>
      <c r="BU586" s="150"/>
      <c r="BV586" s="150"/>
      <c r="BW586" s="150"/>
      <c r="BX586" s="150"/>
      <c r="BY586" s="150"/>
      <c r="BZ586" s="150"/>
      <c r="CA586" s="150"/>
      <c r="CB586" s="150"/>
      <c r="CC586" s="150"/>
      <c r="CD586" s="150"/>
      <c r="CE586" s="150"/>
      <c r="CF586" s="150"/>
      <c r="CG586" s="150"/>
      <c r="CH586" s="150"/>
      <c r="CI586" s="150"/>
      <c r="CJ586" s="150"/>
      <c r="CK586" s="150"/>
      <c r="CL586" s="150"/>
      <c r="CM586" s="150"/>
      <c r="CN586" s="150"/>
      <c r="CO586" s="150"/>
      <c r="CP586" s="150"/>
      <c r="CQ586" s="150"/>
      <c r="CR586" s="150"/>
      <c r="CS586" s="150"/>
      <c r="CT586" s="150"/>
      <c r="CU586" s="150"/>
      <c r="CV586" s="150"/>
      <c r="CW586" s="150"/>
      <c r="CX586" s="150"/>
      <c r="CY586" s="150"/>
      <c r="CZ586" s="150"/>
      <c r="DA586" s="150"/>
      <c r="DB586" s="150"/>
      <c r="DC586" s="150"/>
      <c r="DD586" s="150"/>
      <c r="DE586" s="150"/>
      <c r="DF586" s="150"/>
      <c r="DG586" s="150"/>
      <c r="DH586" s="150"/>
      <c r="DI586" s="150"/>
      <c r="DJ586" s="150"/>
      <c r="DK586" s="150"/>
      <c r="DL586" s="150"/>
      <c r="DM586" s="150"/>
      <c r="DN586" s="150"/>
      <c r="DO586" s="150"/>
      <c r="DP586" s="150"/>
      <c r="DQ586" s="150"/>
      <c r="DR586" s="150"/>
      <c r="DS586" s="150"/>
      <c r="DT586" s="150"/>
      <c r="DU586" s="150"/>
      <c r="DV586" s="150"/>
      <c r="DW586" s="150"/>
      <c r="DX586" s="150"/>
      <c r="DY586" s="150"/>
      <c r="DZ586" s="150"/>
      <c r="EA586" s="150"/>
      <c r="EB586" s="150"/>
      <c r="EC586" s="150"/>
      <c r="ED586" s="150"/>
      <c r="EE586" s="150"/>
      <c r="EF586" s="150"/>
      <c r="EG586" s="150"/>
      <c r="EH586" s="150"/>
      <c r="EI586" s="150"/>
      <c r="EJ586" s="150"/>
      <c r="EK586" s="150"/>
      <c r="EL586" s="150"/>
      <c r="EM586" s="150"/>
      <c r="EN586" s="150"/>
      <c r="EO586" s="150"/>
      <c r="EP586" s="150"/>
      <c r="EQ586" s="150"/>
      <c r="ER586" s="150"/>
      <c r="ES586" s="150"/>
      <c r="ET586" s="150"/>
      <c r="EU586" s="150"/>
      <c r="EV586" s="150"/>
      <c r="EW586" s="150"/>
      <c r="EX586" s="150"/>
      <c r="EY586" s="150"/>
      <c r="EZ586" s="150"/>
      <c r="FA586" s="150"/>
      <c r="FB586" s="150"/>
      <c r="FC586" s="150"/>
      <c r="FD586" s="150"/>
      <c r="FE586" s="150"/>
      <c r="FF586" s="150"/>
      <c r="FG586" s="150"/>
      <c r="FH586" s="150"/>
      <c r="FI586" s="150"/>
      <c r="FJ586" s="150"/>
      <c r="FK586" s="150"/>
      <c r="FL586" s="150"/>
      <c r="FM586" s="150"/>
      <c r="FN586" s="150"/>
    </row>
    <row r="587" spans="1:170" s="149" customFormat="1" x14ac:dyDescent="0.25">
      <c r="A587" s="142"/>
      <c r="B587" s="142"/>
      <c r="C587" s="142"/>
      <c r="D587" s="144"/>
      <c r="E587" s="143"/>
      <c r="F587" s="143"/>
      <c r="G587" s="144"/>
      <c r="H587" s="143"/>
      <c r="I587" s="143"/>
      <c r="J587" s="319"/>
      <c r="K587" s="319"/>
      <c r="L587" s="315"/>
      <c r="M587" s="315"/>
      <c r="N587" s="145"/>
      <c r="O587" s="145"/>
      <c r="P587" s="145"/>
      <c r="Q587" s="146"/>
      <c r="R587" s="147"/>
      <c r="S587" s="148"/>
      <c r="T587" s="148"/>
      <c r="U587" s="148"/>
      <c r="V587" s="148"/>
      <c r="W587" s="148"/>
      <c r="X587" s="148"/>
      <c r="Y587" s="148"/>
      <c r="Z587" s="148"/>
      <c r="AA587" s="148"/>
      <c r="AB587" s="148"/>
      <c r="AV587" s="150"/>
      <c r="AW587" s="150"/>
      <c r="AX587" s="150"/>
      <c r="AY587" s="150"/>
      <c r="AZ587" s="150"/>
      <c r="BA587" s="150"/>
      <c r="BB587" s="150"/>
      <c r="BC587" s="150"/>
      <c r="BD587" s="150"/>
      <c r="BE587" s="150"/>
      <c r="BF587" s="150"/>
      <c r="BG587" s="150"/>
      <c r="BH587" s="150"/>
      <c r="BI587" s="150"/>
      <c r="BJ587" s="150"/>
      <c r="BK587" s="150"/>
      <c r="BL587" s="150"/>
      <c r="BM587" s="150"/>
      <c r="BN587" s="150"/>
      <c r="BO587" s="150"/>
      <c r="BP587" s="150"/>
      <c r="BQ587" s="150"/>
      <c r="BR587" s="150"/>
      <c r="BS587" s="150"/>
      <c r="BT587" s="150"/>
      <c r="BU587" s="150"/>
      <c r="BV587" s="150"/>
      <c r="BW587" s="150"/>
      <c r="BX587" s="150"/>
      <c r="BY587" s="150"/>
      <c r="BZ587" s="150"/>
      <c r="CA587" s="150"/>
      <c r="CB587" s="150"/>
      <c r="CC587" s="150"/>
      <c r="CD587" s="150"/>
      <c r="CE587" s="150"/>
      <c r="CF587" s="150"/>
      <c r="CG587" s="150"/>
      <c r="CH587" s="150"/>
      <c r="CI587" s="150"/>
      <c r="CJ587" s="150"/>
      <c r="CK587" s="150"/>
      <c r="CL587" s="150"/>
      <c r="CM587" s="150"/>
      <c r="CN587" s="150"/>
      <c r="CO587" s="150"/>
      <c r="CP587" s="150"/>
      <c r="CQ587" s="150"/>
      <c r="CR587" s="150"/>
      <c r="CS587" s="150"/>
      <c r="CT587" s="150"/>
      <c r="CU587" s="150"/>
      <c r="CV587" s="150"/>
      <c r="CW587" s="150"/>
      <c r="CX587" s="150"/>
      <c r="CY587" s="150"/>
      <c r="CZ587" s="150"/>
      <c r="DA587" s="150"/>
      <c r="DB587" s="150"/>
      <c r="DC587" s="150"/>
      <c r="DD587" s="150"/>
      <c r="DE587" s="150"/>
      <c r="DF587" s="150"/>
      <c r="DG587" s="150"/>
      <c r="DH587" s="150"/>
      <c r="DI587" s="150"/>
      <c r="DJ587" s="150"/>
      <c r="DK587" s="150"/>
      <c r="DL587" s="150"/>
      <c r="DM587" s="150"/>
      <c r="DN587" s="150"/>
      <c r="DO587" s="150"/>
      <c r="DP587" s="150"/>
      <c r="DQ587" s="150"/>
      <c r="DR587" s="150"/>
      <c r="DS587" s="150"/>
      <c r="DT587" s="150"/>
      <c r="DU587" s="150"/>
      <c r="DV587" s="150"/>
      <c r="DW587" s="150"/>
      <c r="DX587" s="150"/>
      <c r="DY587" s="150"/>
      <c r="DZ587" s="150"/>
      <c r="EA587" s="150"/>
      <c r="EB587" s="150"/>
      <c r="EC587" s="150"/>
      <c r="ED587" s="150"/>
      <c r="EE587" s="150"/>
      <c r="EF587" s="150"/>
      <c r="EG587" s="150"/>
      <c r="EH587" s="150"/>
      <c r="EI587" s="150"/>
      <c r="EJ587" s="150"/>
      <c r="EK587" s="150"/>
      <c r="EL587" s="150"/>
      <c r="EM587" s="150"/>
      <c r="EN587" s="150"/>
      <c r="EO587" s="150"/>
      <c r="EP587" s="150"/>
      <c r="EQ587" s="150"/>
      <c r="ER587" s="150"/>
      <c r="ES587" s="150"/>
      <c r="ET587" s="150"/>
      <c r="EU587" s="150"/>
      <c r="EV587" s="150"/>
      <c r="EW587" s="150"/>
      <c r="EX587" s="150"/>
      <c r="EY587" s="150"/>
      <c r="EZ587" s="150"/>
      <c r="FA587" s="150"/>
      <c r="FB587" s="150"/>
      <c r="FC587" s="150"/>
      <c r="FD587" s="150"/>
      <c r="FE587" s="150"/>
      <c r="FF587" s="150"/>
      <c r="FG587" s="150"/>
      <c r="FH587" s="150"/>
      <c r="FI587" s="150"/>
      <c r="FJ587" s="150"/>
      <c r="FK587" s="150"/>
      <c r="FL587" s="150"/>
      <c r="FM587" s="150"/>
      <c r="FN587" s="150"/>
    </row>
    <row r="588" spans="1:170" s="149" customFormat="1" x14ac:dyDescent="0.25">
      <c r="A588" s="142"/>
      <c r="B588" s="142"/>
      <c r="C588" s="142"/>
      <c r="D588" s="144"/>
      <c r="E588" s="143"/>
      <c r="F588" s="143"/>
      <c r="G588" s="144"/>
      <c r="H588" s="143"/>
      <c r="I588" s="143"/>
      <c r="J588" s="319"/>
      <c r="K588" s="319"/>
      <c r="L588" s="315"/>
      <c r="M588" s="315"/>
      <c r="N588" s="145"/>
      <c r="O588" s="145"/>
      <c r="P588" s="145"/>
      <c r="Q588" s="146"/>
      <c r="R588" s="147"/>
      <c r="S588" s="148"/>
      <c r="T588" s="148"/>
      <c r="U588" s="148"/>
      <c r="V588" s="148"/>
      <c r="W588" s="148"/>
      <c r="X588" s="148"/>
      <c r="Y588" s="148"/>
      <c r="Z588" s="148"/>
      <c r="AA588" s="148"/>
      <c r="AB588" s="148"/>
      <c r="AV588" s="150"/>
      <c r="AW588" s="150"/>
      <c r="AX588" s="150"/>
      <c r="AY588" s="150"/>
      <c r="AZ588" s="150"/>
      <c r="BA588" s="150"/>
      <c r="BB588" s="150"/>
      <c r="BC588" s="150"/>
      <c r="BD588" s="150"/>
      <c r="BE588" s="150"/>
      <c r="BF588" s="150"/>
      <c r="BG588" s="150"/>
      <c r="BH588" s="150"/>
      <c r="BI588" s="150"/>
      <c r="BJ588" s="150"/>
      <c r="BK588" s="150"/>
      <c r="BL588" s="150"/>
      <c r="BM588" s="150"/>
      <c r="BN588" s="150"/>
      <c r="BO588" s="150"/>
      <c r="BP588" s="150"/>
      <c r="BQ588" s="150"/>
      <c r="BR588" s="150"/>
      <c r="BS588" s="150"/>
      <c r="BT588" s="150"/>
      <c r="BU588" s="150"/>
      <c r="BV588" s="150"/>
      <c r="BW588" s="150"/>
      <c r="BX588" s="150"/>
      <c r="BY588" s="150"/>
      <c r="BZ588" s="150"/>
      <c r="CA588" s="150"/>
      <c r="CB588" s="150"/>
      <c r="CC588" s="150"/>
      <c r="CD588" s="150"/>
      <c r="CE588" s="150"/>
      <c r="CF588" s="150"/>
      <c r="CG588" s="150"/>
      <c r="CH588" s="150"/>
      <c r="CI588" s="150"/>
      <c r="CJ588" s="150"/>
      <c r="CK588" s="150"/>
      <c r="CL588" s="150"/>
      <c r="CM588" s="150"/>
      <c r="CN588" s="150"/>
      <c r="CO588" s="150"/>
      <c r="CP588" s="150"/>
      <c r="CQ588" s="150"/>
      <c r="CR588" s="150"/>
      <c r="CS588" s="150"/>
      <c r="CT588" s="150"/>
      <c r="CU588" s="150"/>
      <c r="CV588" s="150"/>
      <c r="CW588" s="150"/>
      <c r="CX588" s="150"/>
      <c r="CY588" s="150"/>
      <c r="CZ588" s="150"/>
      <c r="DA588" s="150"/>
      <c r="DB588" s="150"/>
      <c r="DC588" s="150"/>
      <c r="DD588" s="150"/>
      <c r="DE588" s="150"/>
      <c r="DF588" s="150"/>
      <c r="DG588" s="150"/>
      <c r="DH588" s="150"/>
      <c r="DI588" s="150"/>
      <c r="DJ588" s="150"/>
      <c r="DK588" s="150"/>
      <c r="DL588" s="150"/>
      <c r="DM588" s="150"/>
      <c r="DN588" s="150"/>
      <c r="DO588" s="150"/>
      <c r="DP588" s="150"/>
      <c r="DQ588" s="150"/>
      <c r="DR588" s="150"/>
      <c r="DS588" s="150"/>
      <c r="DT588" s="150"/>
      <c r="DU588" s="150"/>
      <c r="DV588" s="150"/>
      <c r="DW588" s="150"/>
      <c r="DX588" s="150"/>
      <c r="DY588" s="150"/>
      <c r="DZ588" s="150"/>
      <c r="EA588" s="150"/>
      <c r="EB588" s="150"/>
      <c r="EC588" s="150"/>
      <c r="ED588" s="150"/>
      <c r="EE588" s="150"/>
      <c r="EF588" s="150"/>
      <c r="EG588" s="150"/>
      <c r="EH588" s="150"/>
      <c r="EI588" s="150"/>
      <c r="EJ588" s="150"/>
      <c r="EK588" s="150"/>
      <c r="EL588" s="150"/>
      <c r="EM588" s="150"/>
      <c r="EN588" s="150"/>
      <c r="EO588" s="150"/>
      <c r="EP588" s="150"/>
      <c r="EQ588" s="150"/>
      <c r="ER588" s="150"/>
      <c r="ES588" s="150"/>
      <c r="ET588" s="150"/>
      <c r="EU588" s="150"/>
      <c r="EV588" s="150"/>
      <c r="EW588" s="150"/>
      <c r="EX588" s="150"/>
      <c r="EY588" s="150"/>
      <c r="EZ588" s="150"/>
      <c r="FA588" s="150"/>
      <c r="FB588" s="150"/>
      <c r="FC588" s="150"/>
      <c r="FD588" s="150"/>
      <c r="FE588" s="150"/>
      <c r="FF588" s="150"/>
      <c r="FG588" s="150"/>
      <c r="FH588" s="150"/>
      <c r="FI588" s="150"/>
      <c r="FJ588" s="150"/>
      <c r="FK588" s="150"/>
      <c r="FL588" s="150"/>
      <c r="FM588" s="150"/>
      <c r="FN588" s="150"/>
    </row>
    <row r="589" spans="1:170" s="149" customFormat="1" x14ac:dyDescent="0.25">
      <c r="A589" s="142"/>
      <c r="B589" s="142"/>
      <c r="C589" s="142"/>
      <c r="D589" s="144"/>
      <c r="E589" s="143"/>
      <c r="F589" s="143"/>
      <c r="G589" s="144"/>
      <c r="H589" s="143"/>
      <c r="I589" s="143"/>
      <c r="J589" s="319"/>
      <c r="K589" s="319"/>
      <c r="L589" s="315"/>
      <c r="M589" s="315"/>
      <c r="N589" s="145"/>
      <c r="O589" s="145"/>
      <c r="P589" s="145"/>
      <c r="Q589" s="146"/>
      <c r="R589" s="147"/>
      <c r="S589" s="148"/>
      <c r="T589" s="148"/>
      <c r="U589" s="148"/>
      <c r="V589" s="148"/>
      <c r="W589" s="148"/>
      <c r="X589" s="148"/>
      <c r="Y589" s="148"/>
      <c r="Z589" s="148"/>
      <c r="AA589" s="148"/>
      <c r="AB589" s="148"/>
      <c r="AV589" s="150"/>
      <c r="AW589" s="150"/>
      <c r="AX589" s="150"/>
      <c r="AY589" s="150"/>
      <c r="AZ589" s="150"/>
      <c r="BA589" s="150"/>
      <c r="BB589" s="150"/>
      <c r="BC589" s="150"/>
      <c r="BD589" s="150"/>
      <c r="BE589" s="150"/>
      <c r="BF589" s="150"/>
      <c r="BG589" s="150"/>
      <c r="BH589" s="150"/>
      <c r="BI589" s="150"/>
      <c r="BJ589" s="150"/>
      <c r="BK589" s="150"/>
      <c r="BL589" s="150"/>
      <c r="BM589" s="150"/>
      <c r="BN589" s="150"/>
      <c r="BO589" s="150"/>
      <c r="BP589" s="150"/>
      <c r="BQ589" s="150"/>
      <c r="BR589" s="150"/>
      <c r="BS589" s="150"/>
      <c r="BT589" s="150"/>
      <c r="BU589" s="150"/>
      <c r="BV589" s="150"/>
      <c r="BW589" s="150"/>
      <c r="BX589" s="150"/>
      <c r="BY589" s="150"/>
      <c r="BZ589" s="150"/>
      <c r="CA589" s="150"/>
      <c r="CB589" s="150"/>
      <c r="CC589" s="150"/>
      <c r="CD589" s="150"/>
      <c r="CE589" s="150"/>
      <c r="CF589" s="150"/>
      <c r="CG589" s="150"/>
      <c r="CH589" s="150"/>
      <c r="CI589" s="150"/>
      <c r="CJ589" s="150"/>
      <c r="CK589" s="150"/>
      <c r="CL589" s="150"/>
      <c r="CM589" s="150"/>
      <c r="CN589" s="150"/>
      <c r="CO589" s="150"/>
      <c r="CP589" s="150"/>
      <c r="CQ589" s="150"/>
      <c r="CR589" s="150"/>
      <c r="CS589" s="150"/>
      <c r="CT589" s="150"/>
      <c r="CU589" s="150"/>
      <c r="CV589" s="150"/>
      <c r="CW589" s="150"/>
      <c r="CX589" s="150"/>
      <c r="CY589" s="150"/>
      <c r="CZ589" s="150"/>
      <c r="DA589" s="150"/>
      <c r="DB589" s="150"/>
      <c r="DC589" s="150"/>
      <c r="DD589" s="150"/>
      <c r="DE589" s="150"/>
      <c r="DF589" s="150"/>
      <c r="DG589" s="150"/>
      <c r="DH589" s="150"/>
      <c r="DI589" s="150"/>
      <c r="DJ589" s="150"/>
      <c r="DK589" s="150"/>
      <c r="DL589" s="150"/>
      <c r="DM589" s="150"/>
      <c r="DN589" s="150"/>
      <c r="DO589" s="150"/>
      <c r="DP589" s="150"/>
      <c r="DQ589" s="150"/>
      <c r="DR589" s="150"/>
      <c r="DS589" s="150"/>
      <c r="DT589" s="150"/>
      <c r="DU589" s="150"/>
      <c r="DV589" s="150"/>
      <c r="DW589" s="150"/>
      <c r="DX589" s="150"/>
      <c r="DY589" s="150"/>
      <c r="DZ589" s="150"/>
      <c r="EA589" s="150"/>
      <c r="EB589" s="150"/>
      <c r="EC589" s="150"/>
      <c r="ED589" s="150"/>
      <c r="EE589" s="150"/>
      <c r="EF589" s="150"/>
      <c r="EG589" s="150"/>
      <c r="EH589" s="150"/>
      <c r="EI589" s="150"/>
      <c r="EJ589" s="150"/>
      <c r="EK589" s="150"/>
      <c r="EL589" s="150"/>
      <c r="EM589" s="150"/>
      <c r="EN589" s="150"/>
      <c r="EO589" s="150"/>
      <c r="EP589" s="150"/>
      <c r="EQ589" s="150"/>
      <c r="ER589" s="150"/>
      <c r="ES589" s="150"/>
      <c r="ET589" s="150"/>
      <c r="EU589" s="150"/>
      <c r="EV589" s="150"/>
      <c r="EW589" s="150"/>
      <c r="EX589" s="150"/>
      <c r="EY589" s="150"/>
      <c r="EZ589" s="150"/>
      <c r="FA589" s="150"/>
      <c r="FB589" s="150"/>
      <c r="FC589" s="150"/>
      <c r="FD589" s="150"/>
      <c r="FE589" s="150"/>
      <c r="FF589" s="150"/>
      <c r="FG589" s="150"/>
      <c r="FH589" s="150"/>
      <c r="FI589" s="150"/>
      <c r="FJ589" s="150"/>
      <c r="FK589" s="150"/>
      <c r="FL589" s="150"/>
      <c r="FM589" s="150"/>
      <c r="FN589" s="150"/>
    </row>
    <row r="590" spans="1:170" s="149" customFormat="1" x14ac:dyDescent="0.25">
      <c r="A590" s="142"/>
      <c r="B590" s="142"/>
      <c r="C590" s="142"/>
      <c r="D590" s="144"/>
      <c r="E590" s="143"/>
      <c r="F590" s="143"/>
      <c r="G590" s="144"/>
      <c r="H590" s="143"/>
      <c r="I590" s="143"/>
      <c r="J590" s="319"/>
      <c r="K590" s="319"/>
      <c r="L590" s="315"/>
      <c r="M590" s="315"/>
      <c r="N590" s="145"/>
      <c r="O590" s="145"/>
      <c r="P590" s="145"/>
      <c r="Q590" s="146"/>
      <c r="R590" s="147"/>
      <c r="S590" s="148"/>
      <c r="T590" s="148"/>
      <c r="U590" s="148"/>
      <c r="V590" s="148"/>
      <c r="W590" s="148"/>
      <c r="X590" s="148"/>
      <c r="Y590" s="148"/>
      <c r="Z590" s="148"/>
      <c r="AA590" s="148"/>
      <c r="AB590" s="148"/>
      <c r="AV590" s="150"/>
      <c r="AW590" s="150"/>
      <c r="AX590" s="150"/>
      <c r="AY590" s="150"/>
      <c r="AZ590" s="150"/>
      <c r="BA590" s="150"/>
      <c r="BB590" s="150"/>
      <c r="BC590" s="150"/>
      <c r="BD590" s="150"/>
      <c r="BE590" s="150"/>
      <c r="BF590" s="150"/>
      <c r="BG590" s="150"/>
      <c r="BH590" s="150"/>
      <c r="BI590" s="150"/>
      <c r="BJ590" s="150"/>
      <c r="BK590" s="150"/>
      <c r="BL590" s="150"/>
      <c r="BM590" s="150"/>
      <c r="BN590" s="150"/>
      <c r="BO590" s="150"/>
      <c r="BP590" s="150"/>
      <c r="BQ590" s="150"/>
      <c r="BR590" s="150"/>
      <c r="BS590" s="150"/>
      <c r="BT590" s="150"/>
      <c r="BU590" s="150"/>
      <c r="BV590" s="150"/>
      <c r="BW590" s="150"/>
      <c r="BX590" s="150"/>
      <c r="BY590" s="150"/>
      <c r="BZ590" s="150"/>
      <c r="CA590" s="150"/>
      <c r="CB590" s="150"/>
      <c r="CC590" s="150"/>
      <c r="CD590" s="150"/>
      <c r="CE590" s="150"/>
      <c r="CF590" s="150"/>
      <c r="CG590" s="150"/>
      <c r="CH590" s="150"/>
      <c r="CI590" s="150"/>
      <c r="CJ590" s="150"/>
      <c r="CK590" s="150"/>
      <c r="CL590" s="150"/>
      <c r="CM590" s="150"/>
      <c r="CN590" s="150"/>
      <c r="CO590" s="150"/>
      <c r="CP590" s="150"/>
      <c r="CQ590" s="150"/>
      <c r="CR590" s="150"/>
      <c r="CS590" s="150"/>
      <c r="CT590" s="150"/>
      <c r="CU590" s="150"/>
      <c r="CV590" s="150"/>
      <c r="CW590" s="150"/>
      <c r="CX590" s="150"/>
      <c r="CY590" s="150"/>
      <c r="CZ590" s="150"/>
      <c r="DA590" s="150"/>
      <c r="DB590" s="150"/>
      <c r="DC590" s="150"/>
      <c r="DD590" s="150"/>
      <c r="DE590" s="150"/>
      <c r="DF590" s="150"/>
      <c r="DG590" s="150"/>
      <c r="DH590" s="150"/>
      <c r="DI590" s="150"/>
      <c r="DJ590" s="150"/>
      <c r="DK590" s="150"/>
      <c r="DL590" s="150"/>
      <c r="DM590" s="150"/>
      <c r="DN590" s="150"/>
      <c r="DO590" s="150"/>
      <c r="DP590" s="150"/>
      <c r="DQ590" s="150"/>
      <c r="DR590" s="150"/>
      <c r="DS590" s="150"/>
      <c r="DT590" s="150"/>
      <c r="DU590" s="150"/>
      <c r="DV590" s="150"/>
      <c r="DW590" s="150"/>
      <c r="DX590" s="150"/>
      <c r="DY590" s="150"/>
      <c r="DZ590" s="150"/>
      <c r="EA590" s="150"/>
      <c r="EB590" s="150"/>
      <c r="EC590" s="150"/>
      <c r="ED590" s="150"/>
      <c r="EE590" s="150"/>
      <c r="EF590" s="150"/>
      <c r="EG590" s="150"/>
      <c r="EH590" s="150"/>
      <c r="EI590" s="150"/>
      <c r="EJ590" s="150"/>
      <c r="EK590" s="150"/>
      <c r="EL590" s="150"/>
      <c r="EM590" s="150"/>
      <c r="EN590" s="150"/>
      <c r="EO590" s="150"/>
      <c r="EP590" s="150"/>
      <c r="EQ590" s="150"/>
      <c r="ER590" s="150"/>
      <c r="ES590" s="150"/>
      <c r="ET590" s="150"/>
      <c r="EU590" s="150"/>
      <c r="EV590" s="150"/>
      <c r="EW590" s="150"/>
      <c r="EX590" s="150"/>
      <c r="EY590" s="150"/>
      <c r="EZ590" s="150"/>
      <c r="FA590" s="150"/>
      <c r="FB590" s="150"/>
      <c r="FC590" s="150"/>
      <c r="FD590" s="150"/>
      <c r="FE590" s="150"/>
      <c r="FF590" s="150"/>
      <c r="FG590" s="150"/>
      <c r="FH590" s="150"/>
      <c r="FI590" s="150"/>
      <c r="FJ590" s="150"/>
      <c r="FK590" s="150"/>
      <c r="FL590" s="150"/>
      <c r="FM590" s="150"/>
      <c r="FN590" s="150"/>
    </row>
    <row r="591" spans="1:170" s="149" customFormat="1" x14ac:dyDescent="0.25">
      <c r="A591" s="142"/>
      <c r="B591" s="142"/>
      <c r="C591" s="142"/>
      <c r="D591" s="144"/>
      <c r="E591" s="143"/>
      <c r="F591" s="143"/>
      <c r="G591" s="144"/>
      <c r="H591" s="143"/>
      <c r="I591" s="143"/>
      <c r="J591" s="319"/>
      <c r="K591" s="319"/>
      <c r="L591" s="315"/>
      <c r="M591" s="315"/>
      <c r="N591" s="145"/>
      <c r="O591" s="145"/>
      <c r="P591" s="145"/>
      <c r="Q591" s="146"/>
      <c r="R591" s="147"/>
      <c r="S591" s="148"/>
      <c r="T591" s="148"/>
      <c r="U591" s="148"/>
      <c r="V591" s="148"/>
      <c r="W591" s="148"/>
      <c r="X591" s="148"/>
      <c r="Y591" s="148"/>
      <c r="Z591" s="148"/>
      <c r="AA591" s="148"/>
      <c r="AB591" s="148"/>
      <c r="AV591" s="150"/>
      <c r="AW591" s="150"/>
      <c r="AX591" s="150"/>
      <c r="AY591" s="150"/>
      <c r="AZ591" s="150"/>
      <c r="BA591" s="150"/>
      <c r="BB591" s="150"/>
      <c r="BC591" s="150"/>
      <c r="BD591" s="150"/>
      <c r="BE591" s="150"/>
      <c r="BF591" s="150"/>
      <c r="BG591" s="150"/>
      <c r="BH591" s="150"/>
      <c r="BI591" s="150"/>
      <c r="BJ591" s="150"/>
      <c r="BK591" s="150"/>
      <c r="BL591" s="150"/>
      <c r="BM591" s="150"/>
      <c r="BN591" s="150"/>
      <c r="BO591" s="150"/>
      <c r="BP591" s="150"/>
      <c r="BQ591" s="150"/>
      <c r="BR591" s="150"/>
      <c r="BS591" s="150"/>
      <c r="BT591" s="150"/>
      <c r="BU591" s="150"/>
      <c r="BV591" s="150"/>
      <c r="BW591" s="150"/>
      <c r="BX591" s="150"/>
      <c r="BY591" s="150"/>
      <c r="BZ591" s="150"/>
      <c r="CA591" s="150"/>
      <c r="CB591" s="150"/>
      <c r="CC591" s="150"/>
      <c r="CD591" s="150"/>
      <c r="CE591" s="150"/>
      <c r="CF591" s="150"/>
      <c r="CG591" s="150"/>
      <c r="CH591" s="150"/>
      <c r="CI591" s="150"/>
      <c r="CJ591" s="150"/>
      <c r="CK591" s="150"/>
      <c r="CL591" s="150"/>
      <c r="CM591" s="150"/>
      <c r="CN591" s="150"/>
      <c r="CO591" s="150"/>
      <c r="CP591" s="150"/>
      <c r="CQ591" s="150"/>
      <c r="CR591" s="150"/>
      <c r="CS591" s="150"/>
      <c r="CT591" s="150"/>
      <c r="CU591" s="150"/>
      <c r="CV591" s="150"/>
      <c r="CW591" s="150"/>
      <c r="CX591" s="150"/>
      <c r="CY591" s="150"/>
      <c r="CZ591" s="150"/>
      <c r="DA591" s="150"/>
      <c r="DB591" s="150"/>
      <c r="DC591" s="150"/>
      <c r="DD591" s="150"/>
      <c r="DE591" s="150"/>
      <c r="DF591" s="150"/>
      <c r="DG591" s="150"/>
      <c r="DH591" s="150"/>
      <c r="DI591" s="150"/>
      <c r="DJ591" s="150"/>
      <c r="DK591" s="150"/>
      <c r="DL591" s="150"/>
      <c r="DM591" s="150"/>
      <c r="DN591" s="150"/>
      <c r="DO591" s="150"/>
      <c r="DP591" s="150"/>
      <c r="DQ591" s="150"/>
      <c r="DR591" s="150"/>
      <c r="DS591" s="150"/>
      <c r="DT591" s="150"/>
      <c r="DU591" s="150"/>
      <c r="DV591" s="150"/>
      <c r="DW591" s="150"/>
      <c r="DX591" s="150"/>
      <c r="DY591" s="150"/>
      <c r="DZ591" s="150"/>
      <c r="EA591" s="150"/>
      <c r="EB591" s="150"/>
      <c r="EC591" s="150"/>
      <c r="ED591" s="150"/>
      <c r="EE591" s="150"/>
      <c r="EF591" s="150"/>
      <c r="EG591" s="150"/>
      <c r="EH591" s="150"/>
      <c r="EI591" s="150"/>
      <c r="EJ591" s="150"/>
      <c r="EK591" s="150"/>
      <c r="EL591" s="150"/>
      <c r="EM591" s="150"/>
      <c r="EN591" s="150"/>
      <c r="EO591" s="150"/>
      <c r="EP591" s="150"/>
      <c r="EQ591" s="150"/>
      <c r="ER591" s="150"/>
      <c r="ES591" s="150"/>
      <c r="ET591" s="150"/>
      <c r="EU591" s="150"/>
      <c r="EV591" s="150"/>
      <c r="EW591" s="150"/>
      <c r="EX591" s="150"/>
      <c r="EY591" s="150"/>
      <c r="EZ591" s="150"/>
      <c r="FA591" s="150"/>
      <c r="FB591" s="150"/>
      <c r="FC591" s="150"/>
      <c r="FD591" s="150"/>
      <c r="FE591" s="150"/>
      <c r="FF591" s="150"/>
      <c r="FG591" s="150"/>
      <c r="FH591" s="150"/>
      <c r="FI591" s="150"/>
      <c r="FJ591" s="150"/>
      <c r="FK591" s="150"/>
      <c r="FL591" s="150"/>
      <c r="FM591" s="150"/>
      <c r="FN591" s="150"/>
    </row>
    <row r="592" spans="1:170" s="149" customFormat="1" x14ac:dyDescent="0.25">
      <c r="A592" s="142"/>
      <c r="B592" s="142"/>
      <c r="C592" s="142"/>
      <c r="D592" s="144"/>
      <c r="E592" s="143"/>
      <c r="F592" s="143"/>
      <c r="G592" s="144"/>
      <c r="H592" s="143"/>
      <c r="I592" s="143"/>
      <c r="J592" s="319"/>
      <c r="K592" s="319"/>
      <c r="L592" s="315"/>
      <c r="M592" s="315"/>
      <c r="N592" s="145"/>
      <c r="O592" s="145"/>
      <c r="P592" s="145"/>
      <c r="Q592" s="146"/>
      <c r="R592" s="147"/>
      <c r="S592" s="148"/>
      <c r="T592" s="148"/>
      <c r="U592" s="148"/>
      <c r="V592" s="148"/>
      <c r="W592" s="148"/>
      <c r="X592" s="148"/>
      <c r="Y592" s="148"/>
      <c r="Z592" s="148"/>
      <c r="AA592" s="148"/>
      <c r="AB592" s="148"/>
      <c r="AV592" s="150"/>
      <c r="AW592" s="150"/>
      <c r="AX592" s="150"/>
      <c r="AY592" s="150"/>
      <c r="AZ592" s="150"/>
      <c r="BA592" s="150"/>
      <c r="BB592" s="150"/>
      <c r="BC592" s="150"/>
      <c r="BD592" s="150"/>
      <c r="BE592" s="150"/>
      <c r="BF592" s="150"/>
      <c r="BG592" s="150"/>
      <c r="BH592" s="150"/>
      <c r="BI592" s="150"/>
      <c r="BJ592" s="150"/>
      <c r="BK592" s="150"/>
      <c r="BL592" s="150"/>
      <c r="BM592" s="150"/>
      <c r="BN592" s="150"/>
      <c r="BO592" s="150"/>
      <c r="BP592" s="150"/>
      <c r="BQ592" s="150"/>
      <c r="BR592" s="150"/>
      <c r="BS592" s="150"/>
      <c r="BT592" s="150"/>
      <c r="BU592" s="150"/>
      <c r="BV592" s="150"/>
      <c r="BW592" s="150"/>
      <c r="BX592" s="150"/>
      <c r="BY592" s="150"/>
      <c r="BZ592" s="150"/>
      <c r="CA592" s="150"/>
      <c r="CB592" s="150"/>
      <c r="CC592" s="150"/>
      <c r="CD592" s="150"/>
      <c r="CE592" s="150"/>
      <c r="CF592" s="150"/>
      <c r="CG592" s="150"/>
      <c r="CH592" s="150"/>
      <c r="CI592" s="150"/>
      <c r="CJ592" s="150"/>
      <c r="CK592" s="150"/>
      <c r="CL592" s="150"/>
      <c r="CM592" s="150"/>
      <c r="CN592" s="150"/>
      <c r="CO592" s="150"/>
      <c r="CP592" s="150"/>
      <c r="CQ592" s="150"/>
      <c r="CR592" s="150"/>
      <c r="CS592" s="150"/>
      <c r="CT592" s="150"/>
      <c r="CU592" s="150"/>
      <c r="CV592" s="150"/>
      <c r="CW592" s="150"/>
      <c r="CX592" s="150"/>
      <c r="CY592" s="150"/>
      <c r="CZ592" s="150"/>
      <c r="DA592" s="150"/>
      <c r="DB592" s="150"/>
      <c r="DC592" s="150"/>
      <c r="DD592" s="150"/>
      <c r="DE592" s="150"/>
      <c r="DF592" s="150"/>
      <c r="DG592" s="150"/>
      <c r="DH592" s="150"/>
      <c r="DI592" s="150"/>
      <c r="DJ592" s="150"/>
      <c r="DK592" s="150"/>
      <c r="DL592" s="150"/>
      <c r="DM592" s="150"/>
      <c r="DN592" s="150"/>
      <c r="DO592" s="150"/>
      <c r="DP592" s="150"/>
      <c r="DQ592" s="150"/>
      <c r="DR592" s="150"/>
      <c r="DS592" s="150"/>
      <c r="DT592" s="150"/>
      <c r="DU592" s="150"/>
      <c r="DV592" s="150"/>
      <c r="DW592" s="150"/>
      <c r="DX592" s="150"/>
      <c r="DY592" s="150"/>
      <c r="DZ592" s="150"/>
      <c r="EA592" s="150"/>
      <c r="EB592" s="150"/>
      <c r="EC592" s="150"/>
      <c r="ED592" s="150"/>
      <c r="EE592" s="150"/>
      <c r="EF592" s="150"/>
      <c r="EG592" s="150"/>
      <c r="EH592" s="150"/>
      <c r="EI592" s="150"/>
      <c r="EJ592" s="150"/>
      <c r="EK592" s="150"/>
      <c r="EL592" s="150"/>
      <c r="EM592" s="150"/>
      <c r="EN592" s="150"/>
      <c r="EO592" s="150"/>
      <c r="EP592" s="150"/>
      <c r="EQ592" s="150"/>
      <c r="ER592" s="150"/>
      <c r="ES592" s="150"/>
      <c r="ET592" s="150"/>
      <c r="EU592" s="150"/>
      <c r="EV592" s="150"/>
      <c r="EW592" s="150"/>
      <c r="EX592" s="150"/>
      <c r="EY592" s="150"/>
      <c r="EZ592" s="150"/>
      <c r="FA592" s="150"/>
      <c r="FB592" s="150"/>
      <c r="FC592" s="150"/>
      <c r="FD592" s="150"/>
      <c r="FE592" s="150"/>
      <c r="FF592" s="150"/>
      <c r="FG592" s="150"/>
      <c r="FH592" s="150"/>
      <c r="FI592" s="150"/>
      <c r="FJ592" s="150"/>
      <c r="FK592" s="150"/>
      <c r="FL592" s="150"/>
      <c r="FM592" s="150"/>
      <c r="FN592" s="150"/>
    </row>
    <row r="593" spans="1:170" s="149" customFormat="1" x14ac:dyDescent="0.25">
      <c r="A593" s="142"/>
      <c r="B593" s="142"/>
      <c r="C593" s="142"/>
      <c r="D593" s="144"/>
      <c r="E593" s="143"/>
      <c r="F593" s="143"/>
      <c r="G593" s="144"/>
      <c r="H593" s="143"/>
      <c r="I593" s="143"/>
      <c r="J593" s="319"/>
      <c r="K593" s="319"/>
      <c r="L593" s="315"/>
      <c r="M593" s="315"/>
      <c r="N593" s="145"/>
      <c r="O593" s="145"/>
      <c r="P593" s="145"/>
      <c r="Q593" s="146"/>
      <c r="R593" s="147"/>
      <c r="S593" s="148"/>
      <c r="T593" s="148"/>
      <c r="U593" s="148"/>
      <c r="V593" s="148"/>
      <c r="W593" s="148"/>
      <c r="X593" s="148"/>
      <c r="Y593" s="148"/>
      <c r="Z593" s="148"/>
      <c r="AA593" s="148"/>
      <c r="AB593" s="148"/>
      <c r="AV593" s="150"/>
      <c r="AW593" s="150"/>
      <c r="AX593" s="150"/>
      <c r="AY593" s="150"/>
      <c r="AZ593" s="150"/>
      <c r="BA593" s="150"/>
      <c r="BB593" s="150"/>
      <c r="BC593" s="150"/>
      <c r="BD593" s="150"/>
      <c r="BE593" s="150"/>
      <c r="BF593" s="150"/>
      <c r="BG593" s="150"/>
      <c r="BH593" s="150"/>
      <c r="BI593" s="150"/>
      <c r="BJ593" s="150"/>
      <c r="BK593" s="150"/>
      <c r="BL593" s="150"/>
      <c r="BM593" s="150"/>
      <c r="BN593" s="150"/>
      <c r="BO593" s="150"/>
      <c r="BP593" s="150"/>
      <c r="BQ593" s="150"/>
      <c r="BR593" s="150"/>
      <c r="BS593" s="150"/>
      <c r="BT593" s="150"/>
      <c r="BU593" s="150"/>
      <c r="BV593" s="150"/>
      <c r="BW593" s="150"/>
      <c r="BX593" s="150"/>
      <c r="BY593" s="150"/>
      <c r="BZ593" s="150"/>
      <c r="CA593" s="150"/>
      <c r="CB593" s="150"/>
      <c r="CC593" s="150"/>
      <c r="CD593" s="150"/>
      <c r="CE593" s="150"/>
      <c r="CF593" s="150"/>
      <c r="CG593" s="150"/>
      <c r="CH593" s="150"/>
      <c r="CI593" s="150"/>
      <c r="CJ593" s="150"/>
      <c r="CK593" s="150"/>
      <c r="CL593" s="150"/>
      <c r="CM593" s="150"/>
      <c r="CN593" s="150"/>
      <c r="CO593" s="150"/>
      <c r="CP593" s="150"/>
      <c r="CQ593" s="150"/>
      <c r="CR593" s="150"/>
      <c r="CS593" s="150"/>
      <c r="CT593" s="150"/>
      <c r="CU593" s="150"/>
      <c r="CV593" s="150"/>
      <c r="CW593" s="150"/>
      <c r="CX593" s="150"/>
      <c r="CY593" s="150"/>
      <c r="CZ593" s="150"/>
      <c r="DA593" s="150"/>
      <c r="DB593" s="150"/>
      <c r="DC593" s="150"/>
      <c r="DD593" s="150"/>
      <c r="DE593" s="150"/>
      <c r="DF593" s="150"/>
      <c r="DG593" s="150"/>
      <c r="DH593" s="150"/>
      <c r="DI593" s="150"/>
      <c r="DJ593" s="150"/>
      <c r="DK593" s="150"/>
      <c r="DL593" s="150"/>
      <c r="DM593" s="150"/>
      <c r="DN593" s="150"/>
      <c r="DO593" s="150"/>
      <c r="DP593" s="150"/>
      <c r="DQ593" s="150"/>
      <c r="DR593" s="150"/>
      <c r="DS593" s="150"/>
      <c r="DT593" s="150"/>
      <c r="DU593" s="150"/>
      <c r="DV593" s="150"/>
      <c r="DW593" s="150"/>
      <c r="DX593" s="150"/>
      <c r="DY593" s="150"/>
      <c r="DZ593" s="150"/>
      <c r="EA593" s="150"/>
      <c r="EB593" s="150"/>
      <c r="EC593" s="150"/>
      <c r="ED593" s="150"/>
      <c r="EE593" s="150"/>
      <c r="EF593" s="150"/>
      <c r="EG593" s="150"/>
      <c r="EH593" s="150"/>
      <c r="EI593" s="150"/>
      <c r="EJ593" s="150"/>
      <c r="EK593" s="150"/>
      <c r="EL593" s="150"/>
      <c r="EM593" s="150"/>
      <c r="EN593" s="150"/>
      <c r="EO593" s="150"/>
      <c r="EP593" s="150"/>
      <c r="EQ593" s="150"/>
      <c r="ER593" s="150"/>
      <c r="ES593" s="150"/>
      <c r="ET593" s="150"/>
      <c r="EU593" s="150"/>
      <c r="EV593" s="150"/>
      <c r="EW593" s="150"/>
      <c r="EX593" s="150"/>
      <c r="EY593" s="150"/>
      <c r="EZ593" s="150"/>
      <c r="FA593" s="150"/>
      <c r="FB593" s="150"/>
      <c r="FC593" s="150"/>
      <c r="FD593" s="150"/>
      <c r="FE593" s="150"/>
      <c r="FF593" s="150"/>
      <c r="FG593" s="150"/>
      <c r="FH593" s="150"/>
      <c r="FI593" s="150"/>
      <c r="FJ593" s="150"/>
      <c r="FK593" s="150"/>
      <c r="FL593" s="150"/>
      <c r="FM593" s="150"/>
      <c r="FN593" s="150"/>
    </row>
    <row r="594" spans="1:170" s="149" customFormat="1" x14ac:dyDescent="0.25">
      <c r="A594" s="142"/>
      <c r="B594" s="142"/>
      <c r="C594" s="142"/>
      <c r="D594" s="144"/>
      <c r="E594" s="143"/>
      <c r="F594" s="143"/>
      <c r="G594" s="144"/>
      <c r="H594" s="143"/>
      <c r="I594" s="143"/>
      <c r="J594" s="319"/>
      <c r="K594" s="319"/>
      <c r="L594" s="315"/>
      <c r="M594" s="315"/>
      <c r="N594" s="145"/>
      <c r="O594" s="145"/>
      <c r="P594" s="145"/>
      <c r="Q594" s="146"/>
      <c r="R594" s="147"/>
      <c r="S594" s="148"/>
      <c r="T594" s="148"/>
      <c r="U594" s="148"/>
      <c r="V594" s="148"/>
      <c r="W594" s="148"/>
      <c r="X594" s="148"/>
      <c r="Y594" s="148"/>
      <c r="Z594" s="148"/>
      <c r="AA594" s="148"/>
      <c r="AB594" s="148"/>
      <c r="AV594" s="150"/>
      <c r="AW594" s="150"/>
      <c r="AX594" s="150"/>
      <c r="AY594" s="150"/>
      <c r="AZ594" s="150"/>
      <c r="BA594" s="150"/>
      <c r="BB594" s="150"/>
      <c r="BC594" s="150"/>
      <c r="BD594" s="150"/>
      <c r="BE594" s="150"/>
      <c r="BF594" s="150"/>
      <c r="BG594" s="150"/>
      <c r="BH594" s="150"/>
      <c r="BI594" s="150"/>
      <c r="BJ594" s="150"/>
      <c r="BK594" s="150"/>
      <c r="BL594" s="150"/>
      <c r="BM594" s="150"/>
      <c r="BN594" s="150"/>
      <c r="BO594" s="150"/>
      <c r="BP594" s="150"/>
      <c r="BQ594" s="150"/>
      <c r="BR594" s="150"/>
      <c r="BS594" s="150"/>
      <c r="BT594" s="150"/>
      <c r="BU594" s="150"/>
      <c r="BV594" s="150"/>
      <c r="BW594" s="150"/>
      <c r="BX594" s="150"/>
      <c r="BY594" s="150"/>
      <c r="BZ594" s="150"/>
      <c r="CA594" s="150"/>
      <c r="CB594" s="150"/>
      <c r="CC594" s="150"/>
      <c r="CD594" s="150"/>
      <c r="CE594" s="150"/>
      <c r="CF594" s="150"/>
      <c r="CG594" s="150"/>
      <c r="CH594" s="150"/>
      <c r="CI594" s="150"/>
      <c r="CJ594" s="150"/>
      <c r="CK594" s="150"/>
      <c r="CL594" s="150"/>
      <c r="CM594" s="150"/>
      <c r="CN594" s="150"/>
      <c r="CO594" s="150"/>
      <c r="CP594" s="150"/>
      <c r="CQ594" s="150"/>
      <c r="CR594" s="150"/>
      <c r="CS594" s="150"/>
      <c r="CT594" s="150"/>
      <c r="CU594" s="150"/>
      <c r="CV594" s="150"/>
      <c r="CW594" s="150"/>
      <c r="CX594" s="150"/>
      <c r="CY594" s="150"/>
      <c r="CZ594" s="150"/>
      <c r="DA594" s="150"/>
      <c r="DB594" s="150"/>
      <c r="DC594" s="150"/>
      <c r="DD594" s="150"/>
      <c r="DE594" s="150"/>
      <c r="DF594" s="150"/>
      <c r="DG594" s="150"/>
      <c r="DH594" s="150"/>
      <c r="DI594" s="150"/>
      <c r="DJ594" s="150"/>
      <c r="DK594" s="150"/>
      <c r="DL594" s="150"/>
      <c r="DM594" s="150"/>
      <c r="DN594" s="150"/>
      <c r="DO594" s="150"/>
      <c r="DP594" s="150"/>
      <c r="DQ594" s="150"/>
      <c r="DR594" s="150"/>
      <c r="DS594" s="150"/>
      <c r="DT594" s="150"/>
      <c r="DU594" s="150"/>
      <c r="DV594" s="150"/>
      <c r="DW594" s="150"/>
      <c r="DX594" s="150"/>
      <c r="DY594" s="150"/>
      <c r="DZ594" s="150"/>
      <c r="EA594" s="150"/>
      <c r="EB594" s="150"/>
      <c r="EC594" s="150"/>
      <c r="ED594" s="150"/>
      <c r="EE594" s="150"/>
      <c r="EF594" s="150"/>
      <c r="EG594" s="150"/>
      <c r="EH594" s="150"/>
      <c r="EI594" s="150"/>
      <c r="EJ594" s="150"/>
      <c r="EK594" s="150"/>
      <c r="EL594" s="150"/>
      <c r="EM594" s="150"/>
      <c r="EN594" s="150"/>
      <c r="EO594" s="150"/>
      <c r="EP594" s="150"/>
      <c r="EQ594" s="150"/>
      <c r="ER594" s="150"/>
      <c r="ES594" s="150"/>
      <c r="ET594" s="150"/>
      <c r="EU594" s="150"/>
      <c r="EV594" s="150"/>
      <c r="EW594" s="150"/>
      <c r="EX594" s="150"/>
      <c r="EY594" s="150"/>
      <c r="EZ594" s="150"/>
      <c r="FA594" s="150"/>
      <c r="FB594" s="150"/>
      <c r="FC594" s="150"/>
      <c r="FD594" s="150"/>
      <c r="FE594" s="150"/>
      <c r="FF594" s="150"/>
      <c r="FG594" s="150"/>
      <c r="FH594" s="150"/>
      <c r="FI594" s="150"/>
      <c r="FJ594" s="150"/>
      <c r="FK594" s="150"/>
      <c r="FL594" s="150"/>
      <c r="FM594" s="150"/>
      <c r="FN594" s="150"/>
    </row>
    <row r="595" spans="1:170" s="149" customFormat="1" x14ac:dyDescent="0.25">
      <c r="A595" s="142"/>
      <c r="B595" s="142"/>
      <c r="C595" s="142"/>
      <c r="D595" s="144"/>
      <c r="E595" s="143"/>
      <c r="F595" s="143"/>
      <c r="G595" s="144"/>
      <c r="H595" s="143"/>
      <c r="I595" s="143"/>
      <c r="J595" s="319"/>
      <c r="K595" s="319"/>
      <c r="L595" s="315"/>
      <c r="M595" s="315"/>
      <c r="N595" s="145"/>
      <c r="O595" s="145"/>
      <c r="P595" s="145"/>
      <c r="Q595" s="146"/>
      <c r="R595" s="147"/>
      <c r="S595" s="148"/>
      <c r="T595" s="148"/>
      <c r="U595" s="148"/>
      <c r="V595" s="148"/>
      <c r="W595" s="148"/>
      <c r="X595" s="148"/>
      <c r="Y595" s="148"/>
      <c r="Z595" s="148"/>
      <c r="AA595" s="148"/>
      <c r="AB595" s="148"/>
      <c r="AV595" s="150"/>
      <c r="AW595" s="150"/>
      <c r="AX595" s="150"/>
      <c r="AY595" s="150"/>
      <c r="AZ595" s="150"/>
      <c r="BA595" s="150"/>
      <c r="BB595" s="150"/>
      <c r="BC595" s="150"/>
      <c r="BD595" s="150"/>
      <c r="BE595" s="150"/>
      <c r="BF595" s="150"/>
      <c r="BG595" s="150"/>
      <c r="BH595" s="150"/>
      <c r="BI595" s="150"/>
      <c r="BJ595" s="150"/>
      <c r="BK595" s="150"/>
      <c r="BL595" s="150"/>
      <c r="BM595" s="150"/>
      <c r="BN595" s="150"/>
      <c r="BO595" s="150"/>
      <c r="BP595" s="150"/>
      <c r="BQ595" s="150"/>
      <c r="BR595" s="150"/>
      <c r="BS595" s="150"/>
      <c r="BT595" s="150"/>
      <c r="BU595" s="150"/>
      <c r="BV595" s="150"/>
      <c r="BW595" s="150"/>
      <c r="BX595" s="150"/>
      <c r="BY595" s="150"/>
      <c r="BZ595" s="150"/>
      <c r="CA595" s="150"/>
      <c r="CB595" s="150"/>
      <c r="CC595" s="150"/>
      <c r="CD595" s="150"/>
      <c r="CE595" s="150"/>
      <c r="CF595" s="150"/>
      <c r="CG595" s="150"/>
      <c r="CH595" s="150"/>
      <c r="CI595" s="150"/>
      <c r="CJ595" s="150"/>
      <c r="CK595" s="150"/>
      <c r="CL595" s="150"/>
      <c r="CM595" s="150"/>
      <c r="CN595" s="150"/>
      <c r="CO595" s="150"/>
      <c r="CP595" s="150"/>
      <c r="CQ595" s="150"/>
      <c r="CR595" s="150"/>
      <c r="CS595" s="150"/>
      <c r="CT595" s="150"/>
      <c r="CU595" s="150"/>
      <c r="CV595" s="150"/>
      <c r="CW595" s="150"/>
      <c r="CX595" s="150"/>
      <c r="CY595" s="150"/>
      <c r="CZ595" s="150"/>
      <c r="DA595" s="150"/>
      <c r="DB595" s="150"/>
      <c r="DC595" s="150"/>
      <c r="DD595" s="150"/>
      <c r="DE595" s="150"/>
      <c r="DF595" s="150"/>
      <c r="DG595" s="150"/>
      <c r="DH595" s="150"/>
      <c r="DI595" s="150"/>
      <c r="DJ595" s="150"/>
      <c r="DK595" s="150"/>
      <c r="DL595" s="150"/>
      <c r="DM595" s="150"/>
      <c r="DN595" s="150"/>
      <c r="DO595" s="150"/>
      <c r="DP595" s="150"/>
      <c r="DQ595" s="150"/>
      <c r="DR595" s="150"/>
      <c r="DS595" s="150"/>
      <c r="DT595" s="150"/>
      <c r="DU595" s="150"/>
      <c r="DV595" s="150"/>
      <c r="DW595" s="150"/>
      <c r="DX595" s="150"/>
      <c r="DY595" s="150"/>
      <c r="DZ595" s="150"/>
      <c r="EA595" s="150"/>
      <c r="EB595" s="150"/>
      <c r="EC595" s="150"/>
      <c r="ED595" s="150"/>
      <c r="EE595" s="150"/>
      <c r="EF595" s="150"/>
      <c r="EG595" s="150"/>
      <c r="EH595" s="150"/>
      <c r="EI595" s="150"/>
      <c r="EJ595" s="150"/>
      <c r="EK595" s="150"/>
      <c r="EL595" s="150"/>
      <c r="EM595" s="150"/>
      <c r="EN595" s="150"/>
      <c r="EO595" s="150"/>
      <c r="EP595" s="150"/>
      <c r="EQ595" s="150"/>
      <c r="ER595" s="150"/>
      <c r="ES595" s="150"/>
      <c r="ET595" s="150"/>
      <c r="EU595" s="150"/>
      <c r="EV595" s="150"/>
      <c r="EW595" s="150"/>
      <c r="EX595" s="150"/>
      <c r="EY595" s="150"/>
      <c r="EZ595" s="150"/>
      <c r="FA595" s="150"/>
      <c r="FB595" s="150"/>
      <c r="FC595" s="150"/>
      <c r="FD595" s="150"/>
      <c r="FE595" s="150"/>
      <c r="FF595" s="150"/>
      <c r="FG595" s="150"/>
      <c r="FH595" s="150"/>
      <c r="FI595" s="150"/>
      <c r="FJ595" s="150"/>
      <c r="FK595" s="150"/>
      <c r="FL595" s="150"/>
      <c r="FM595" s="150"/>
      <c r="FN595" s="150"/>
    </row>
    <row r="596" spans="1:170" s="149" customFormat="1" x14ac:dyDescent="0.25">
      <c r="A596" s="142"/>
      <c r="B596" s="142"/>
      <c r="C596" s="142"/>
      <c r="D596" s="144"/>
      <c r="E596" s="143"/>
      <c r="F596" s="143"/>
      <c r="G596" s="144"/>
      <c r="H596" s="143"/>
      <c r="I596" s="143"/>
      <c r="J596" s="319"/>
      <c r="K596" s="319"/>
      <c r="L596" s="315"/>
      <c r="M596" s="315"/>
      <c r="N596" s="145"/>
      <c r="O596" s="145"/>
      <c r="P596" s="145"/>
      <c r="Q596" s="146"/>
      <c r="R596" s="147"/>
      <c r="S596" s="148"/>
      <c r="T596" s="148"/>
      <c r="U596" s="148"/>
      <c r="V596" s="148"/>
      <c r="W596" s="148"/>
      <c r="X596" s="148"/>
      <c r="Y596" s="148"/>
      <c r="Z596" s="148"/>
      <c r="AA596" s="148"/>
      <c r="AB596" s="148"/>
      <c r="AV596" s="150"/>
      <c r="AW596" s="150"/>
      <c r="AX596" s="150"/>
      <c r="AY596" s="150"/>
      <c r="AZ596" s="150"/>
      <c r="BA596" s="150"/>
      <c r="BB596" s="150"/>
      <c r="BC596" s="150"/>
      <c r="BD596" s="150"/>
      <c r="BE596" s="150"/>
      <c r="BF596" s="150"/>
      <c r="BG596" s="150"/>
      <c r="BH596" s="150"/>
      <c r="BI596" s="150"/>
      <c r="BJ596" s="150"/>
      <c r="BK596" s="150"/>
      <c r="BL596" s="150"/>
      <c r="BM596" s="150"/>
      <c r="BN596" s="150"/>
      <c r="BO596" s="150"/>
      <c r="BP596" s="150"/>
      <c r="BQ596" s="150"/>
      <c r="BR596" s="150"/>
      <c r="BS596" s="150"/>
      <c r="BT596" s="150"/>
      <c r="BU596" s="150"/>
      <c r="BV596" s="150"/>
      <c r="BW596" s="150"/>
      <c r="BX596" s="150"/>
      <c r="BY596" s="150"/>
      <c r="BZ596" s="150"/>
      <c r="CA596" s="150"/>
      <c r="CB596" s="150"/>
      <c r="CC596" s="150"/>
      <c r="CD596" s="150"/>
      <c r="CE596" s="150"/>
      <c r="CF596" s="150"/>
      <c r="CG596" s="150"/>
      <c r="CH596" s="150"/>
      <c r="CI596" s="150"/>
      <c r="CJ596" s="150"/>
      <c r="CK596" s="150"/>
      <c r="CL596" s="150"/>
      <c r="CM596" s="150"/>
      <c r="CN596" s="150"/>
      <c r="CO596" s="150"/>
      <c r="CP596" s="150"/>
      <c r="CQ596" s="150"/>
      <c r="CR596" s="150"/>
      <c r="CS596" s="150"/>
      <c r="CT596" s="150"/>
      <c r="CU596" s="150"/>
      <c r="CV596" s="150"/>
      <c r="CW596" s="150"/>
      <c r="CX596" s="150"/>
      <c r="CY596" s="150"/>
      <c r="CZ596" s="150"/>
      <c r="DA596" s="150"/>
      <c r="DB596" s="150"/>
      <c r="DC596" s="150"/>
      <c r="DD596" s="150"/>
      <c r="DE596" s="150"/>
      <c r="DF596" s="150"/>
      <c r="DG596" s="150"/>
      <c r="DH596" s="150"/>
      <c r="DI596" s="150"/>
      <c r="DJ596" s="150"/>
      <c r="DK596" s="150"/>
      <c r="DL596" s="150"/>
      <c r="DM596" s="150"/>
      <c r="DN596" s="150"/>
      <c r="DO596" s="150"/>
      <c r="DP596" s="150"/>
      <c r="DQ596" s="150"/>
      <c r="DR596" s="150"/>
      <c r="DS596" s="150"/>
      <c r="DT596" s="150"/>
      <c r="DU596" s="150"/>
      <c r="DV596" s="150"/>
      <c r="DW596" s="150"/>
      <c r="DX596" s="150"/>
      <c r="DY596" s="150"/>
      <c r="DZ596" s="150"/>
      <c r="EA596" s="150"/>
      <c r="EB596" s="150"/>
      <c r="EC596" s="150"/>
      <c r="ED596" s="150"/>
      <c r="EE596" s="150"/>
      <c r="EF596" s="150"/>
      <c r="EG596" s="150"/>
      <c r="EH596" s="150"/>
      <c r="EI596" s="150"/>
      <c r="EJ596" s="150"/>
      <c r="EK596" s="150"/>
      <c r="EL596" s="150"/>
      <c r="EM596" s="150"/>
      <c r="EN596" s="150"/>
      <c r="EO596" s="150"/>
      <c r="EP596" s="150"/>
      <c r="EQ596" s="150"/>
      <c r="ER596" s="150"/>
      <c r="ES596" s="150"/>
      <c r="ET596" s="150"/>
      <c r="EU596" s="150"/>
      <c r="EV596" s="150"/>
      <c r="EW596" s="150"/>
      <c r="EX596" s="150"/>
      <c r="EY596" s="150"/>
      <c r="EZ596" s="150"/>
      <c r="FA596" s="150"/>
      <c r="FB596" s="150"/>
      <c r="FC596" s="150"/>
      <c r="FD596" s="150"/>
      <c r="FE596" s="150"/>
      <c r="FF596" s="150"/>
      <c r="FG596" s="150"/>
      <c r="FH596" s="150"/>
      <c r="FI596" s="150"/>
      <c r="FJ596" s="150"/>
      <c r="FK596" s="150"/>
      <c r="FL596" s="150"/>
      <c r="FM596" s="150"/>
      <c r="FN596" s="150"/>
    </row>
    <row r="597" spans="1:170" s="149" customFormat="1" x14ac:dyDescent="0.25">
      <c r="A597" s="142"/>
      <c r="B597" s="142"/>
      <c r="C597" s="142"/>
      <c r="D597" s="144"/>
      <c r="E597" s="143"/>
      <c r="F597" s="143"/>
      <c r="G597" s="144"/>
      <c r="H597" s="143"/>
      <c r="I597" s="143"/>
      <c r="J597" s="319"/>
      <c r="K597" s="319"/>
      <c r="L597" s="315"/>
      <c r="M597" s="315"/>
      <c r="N597" s="145"/>
      <c r="O597" s="145"/>
      <c r="P597" s="145"/>
      <c r="Q597" s="146"/>
      <c r="R597" s="147"/>
      <c r="S597" s="148"/>
      <c r="T597" s="148"/>
      <c r="U597" s="148"/>
      <c r="V597" s="148"/>
      <c r="W597" s="148"/>
      <c r="X597" s="148"/>
      <c r="Y597" s="148"/>
      <c r="Z597" s="148"/>
      <c r="AA597" s="148"/>
      <c r="AB597" s="148"/>
      <c r="AV597" s="150"/>
      <c r="AW597" s="150"/>
      <c r="AX597" s="150"/>
      <c r="AY597" s="150"/>
      <c r="AZ597" s="150"/>
      <c r="BA597" s="150"/>
      <c r="BB597" s="150"/>
      <c r="BC597" s="150"/>
      <c r="BD597" s="150"/>
      <c r="BE597" s="150"/>
      <c r="BF597" s="150"/>
      <c r="BG597" s="150"/>
      <c r="BH597" s="150"/>
      <c r="BI597" s="150"/>
      <c r="BJ597" s="150"/>
      <c r="BK597" s="150"/>
      <c r="BL597" s="150"/>
      <c r="BM597" s="150"/>
      <c r="BN597" s="150"/>
      <c r="BO597" s="150"/>
      <c r="BP597" s="150"/>
      <c r="BQ597" s="150"/>
      <c r="BR597" s="150"/>
      <c r="BS597" s="150"/>
      <c r="BT597" s="150"/>
      <c r="BU597" s="150"/>
      <c r="BV597" s="150"/>
      <c r="BW597" s="150"/>
      <c r="BX597" s="150"/>
      <c r="BY597" s="150"/>
      <c r="BZ597" s="150"/>
      <c r="CA597" s="150"/>
      <c r="CB597" s="150"/>
      <c r="CC597" s="150"/>
      <c r="CD597" s="150"/>
      <c r="CE597" s="150"/>
      <c r="CF597" s="150"/>
      <c r="CG597" s="150"/>
      <c r="CH597" s="150"/>
      <c r="CI597" s="150"/>
      <c r="CJ597" s="150"/>
      <c r="CK597" s="150"/>
      <c r="CL597" s="150"/>
      <c r="CM597" s="150"/>
      <c r="CN597" s="150"/>
      <c r="CO597" s="150"/>
      <c r="CP597" s="150"/>
      <c r="CQ597" s="150"/>
      <c r="CR597" s="150"/>
      <c r="CS597" s="150"/>
      <c r="CT597" s="150"/>
      <c r="CU597" s="150"/>
      <c r="CV597" s="150"/>
      <c r="CW597" s="150"/>
      <c r="CX597" s="150"/>
      <c r="CY597" s="150"/>
      <c r="CZ597" s="150"/>
      <c r="DA597" s="150"/>
      <c r="DB597" s="150"/>
      <c r="DC597" s="150"/>
      <c r="DD597" s="150"/>
      <c r="DE597" s="150"/>
      <c r="DF597" s="150"/>
      <c r="DG597" s="150"/>
      <c r="DH597" s="150"/>
      <c r="DI597" s="150"/>
      <c r="DJ597" s="150"/>
      <c r="DK597" s="150"/>
      <c r="DL597" s="150"/>
      <c r="DM597" s="150"/>
      <c r="DN597" s="150"/>
      <c r="DO597" s="150"/>
      <c r="DP597" s="150"/>
      <c r="DQ597" s="150"/>
      <c r="DR597" s="150"/>
      <c r="DS597" s="150"/>
      <c r="DT597" s="150"/>
      <c r="DU597" s="150"/>
      <c r="DV597" s="150"/>
      <c r="DW597" s="150"/>
      <c r="DX597" s="150"/>
      <c r="DY597" s="150"/>
      <c r="DZ597" s="150"/>
      <c r="EA597" s="150"/>
      <c r="EB597" s="150"/>
      <c r="EC597" s="150"/>
      <c r="ED597" s="150"/>
      <c r="EE597" s="150"/>
      <c r="EF597" s="150"/>
      <c r="EG597" s="150"/>
      <c r="EH597" s="150"/>
      <c r="EI597" s="150"/>
      <c r="EJ597" s="150"/>
      <c r="EK597" s="150"/>
      <c r="EL597" s="150"/>
      <c r="EM597" s="150"/>
      <c r="EN597" s="150"/>
      <c r="EO597" s="150"/>
      <c r="EP597" s="150"/>
      <c r="EQ597" s="150"/>
      <c r="ER597" s="150"/>
      <c r="ES597" s="150"/>
      <c r="ET597" s="150"/>
      <c r="EU597" s="150"/>
      <c r="EV597" s="150"/>
      <c r="EW597" s="150"/>
      <c r="EX597" s="150"/>
      <c r="EY597" s="150"/>
      <c r="EZ597" s="150"/>
      <c r="FA597" s="150"/>
      <c r="FB597" s="150"/>
      <c r="FC597" s="150"/>
      <c r="FD597" s="150"/>
      <c r="FE597" s="150"/>
      <c r="FF597" s="150"/>
      <c r="FG597" s="150"/>
      <c r="FH597" s="150"/>
      <c r="FI597" s="150"/>
      <c r="FJ597" s="150"/>
      <c r="FK597" s="150"/>
      <c r="FL597" s="150"/>
      <c r="FM597" s="150"/>
      <c r="FN597" s="150"/>
    </row>
    <row r="598" spans="1:170" s="149" customFormat="1" x14ac:dyDescent="0.25">
      <c r="A598" s="142"/>
      <c r="B598" s="142"/>
      <c r="C598" s="142"/>
      <c r="D598" s="144"/>
      <c r="E598" s="143"/>
      <c r="F598" s="143"/>
      <c r="G598" s="144"/>
      <c r="H598" s="143"/>
      <c r="I598" s="143"/>
      <c r="J598" s="319"/>
      <c r="K598" s="319"/>
      <c r="L598" s="315"/>
      <c r="M598" s="315"/>
      <c r="N598" s="145"/>
      <c r="O598" s="145"/>
      <c r="P598" s="145"/>
      <c r="Q598" s="146"/>
      <c r="R598" s="147"/>
      <c r="S598" s="148"/>
      <c r="T598" s="148"/>
      <c r="U598" s="148"/>
      <c r="V598" s="148"/>
      <c r="W598" s="148"/>
      <c r="X598" s="148"/>
      <c r="Y598" s="148"/>
      <c r="Z598" s="148"/>
      <c r="AA598" s="148"/>
      <c r="AB598" s="148"/>
      <c r="AV598" s="150"/>
      <c r="AW598" s="150"/>
      <c r="AX598" s="150"/>
      <c r="AY598" s="150"/>
      <c r="AZ598" s="150"/>
      <c r="BA598" s="150"/>
      <c r="BB598" s="150"/>
      <c r="BC598" s="150"/>
      <c r="BD598" s="150"/>
      <c r="BE598" s="150"/>
      <c r="BF598" s="150"/>
      <c r="BG598" s="150"/>
      <c r="BH598" s="150"/>
      <c r="BI598" s="150"/>
      <c r="BJ598" s="150"/>
      <c r="BK598" s="150"/>
      <c r="BL598" s="150"/>
      <c r="BM598" s="150"/>
      <c r="BN598" s="150"/>
      <c r="BO598" s="150"/>
      <c r="BP598" s="150"/>
      <c r="BQ598" s="150"/>
      <c r="BR598" s="150"/>
      <c r="BS598" s="150"/>
      <c r="BT598" s="150"/>
      <c r="BU598" s="150"/>
      <c r="BV598" s="150"/>
      <c r="BW598" s="150"/>
      <c r="BX598" s="150"/>
      <c r="BY598" s="150"/>
      <c r="BZ598" s="150"/>
      <c r="CA598" s="150"/>
      <c r="CB598" s="150"/>
      <c r="CC598" s="150"/>
      <c r="CD598" s="150"/>
      <c r="CE598" s="150"/>
      <c r="CF598" s="150"/>
      <c r="CG598" s="150"/>
      <c r="CH598" s="150"/>
      <c r="CI598" s="150"/>
      <c r="CJ598" s="150"/>
      <c r="CK598" s="150"/>
      <c r="CL598" s="150"/>
      <c r="CM598" s="150"/>
      <c r="CN598" s="150"/>
      <c r="CO598" s="150"/>
      <c r="CP598" s="150"/>
      <c r="CQ598" s="150"/>
      <c r="CR598" s="150"/>
      <c r="CS598" s="150"/>
      <c r="CT598" s="150"/>
      <c r="CU598" s="150"/>
      <c r="CV598" s="150"/>
      <c r="CW598" s="150"/>
      <c r="CX598" s="150"/>
      <c r="CY598" s="150"/>
      <c r="CZ598" s="150"/>
      <c r="DA598" s="150"/>
      <c r="DB598" s="150"/>
      <c r="DC598" s="150"/>
      <c r="DD598" s="150"/>
      <c r="DE598" s="150"/>
      <c r="DF598" s="150"/>
      <c r="DG598" s="150"/>
      <c r="DH598" s="150"/>
      <c r="DI598" s="150"/>
      <c r="DJ598" s="150"/>
      <c r="DK598" s="150"/>
      <c r="DL598" s="150"/>
      <c r="DM598" s="150"/>
      <c r="DN598" s="150"/>
      <c r="DO598" s="150"/>
      <c r="DP598" s="150"/>
      <c r="DQ598" s="150"/>
      <c r="DR598" s="150"/>
      <c r="DS598" s="150"/>
      <c r="DT598" s="150"/>
      <c r="DU598" s="150"/>
      <c r="DV598" s="150"/>
      <c r="DW598" s="150"/>
      <c r="DX598" s="150"/>
      <c r="DY598" s="150"/>
      <c r="DZ598" s="150"/>
      <c r="EA598" s="150"/>
      <c r="EB598" s="150"/>
      <c r="EC598" s="150"/>
      <c r="ED598" s="150"/>
      <c r="EE598" s="150"/>
      <c r="EF598" s="150"/>
      <c r="EG598" s="150"/>
      <c r="EH598" s="150"/>
      <c r="EI598" s="150"/>
      <c r="EJ598" s="150"/>
      <c r="EK598" s="150"/>
      <c r="EL598" s="150"/>
      <c r="EM598" s="150"/>
      <c r="EN598" s="150"/>
      <c r="EO598" s="150"/>
      <c r="EP598" s="150"/>
      <c r="EQ598" s="150"/>
      <c r="ER598" s="150"/>
      <c r="ES598" s="150"/>
      <c r="ET598" s="150"/>
      <c r="EU598" s="150"/>
      <c r="EV598" s="150"/>
      <c r="EW598" s="150"/>
      <c r="EX598" s="150"/>
      <c r="EY598" s="150"/>
      <c r="EZ598" s="150"/>
      <c r="FA598" s="150"/>
      <c r="FB598" s="150"/>
      <c r="FC598" s="150"/>
      <c r="FD598" s="150"/>
      <c r="FE598" s="150"/>
      <c r="FF598" s="150"/>
      <c r="FG598" s="150"/>
      <c r="FH598" s="150"/>
      <c r="FI598" s="150"/>
      <c r="FJ598" s="150"/>
      <c r="FK598" s="150"/>
      <c r="FL598" s="150"/>
      <c r="FM598" s="150"/>
      <c r="FN598" s="150"/>
    </row>
    <row r="599" spans="1:170" s="149" customFormat="1" x14ac:dyDescent="0.25">
      <c r="A599" s="142"/>
      <c r="B599" s="142"/>
      <c r="C599" s="142"/>
      <c r="D599" s="144"/>
      <c r="E599" s="143"/>
      <c r="F599" s="143"/>
      <c r="G599" s="144"/>
      <c r="H599" s="143"/>
      <c r="I599" s="143"/>
      <c r="J599" s="319"/>
      <c r="K599" s="319"/>
      <c r="L599" s="315"/>
      <c r="M599" s="315"/>
      <c r="N599" s="145"/>
      <c r="O599" s="145"/>
      <c r="P599" s="145"/>
      <c r="Q599" s="146"/>
      <c r="R599" s="147"/>
      <c r="S599" s="148"/>
      <c r="T599" s="148"/>
      <c r="U599" s="148"/>
      <c r="V599" s="148"/>
      <c r="W599" s="148"/>
      <c r="X599" s="148"/>
      <c r="Y599" s="148"/>
      <c r="Z599" s="148"/>
      <c r="AA599" s="148"/>
      <c r="AB599" s="148"/>
      <c r="AV599" s="150"/>
      <c r="AW599" s="150"/>
      <c r="AX599" s="150"/>
      <c r="AY599" s="150"/>
      <c r="AZ599" s="150"/>
      <c r="BA599" s="150"/>
      <c r="BB599" s="150"/>
      <c r="BC599" s="150"/>
      <c r="BD599" s="150"/>
      <c r="BE599" s="150"/>
      <c r="BF599" s="150"/>
      <c r="BG599" s="150"/>
      <c r="BH599" s="150"/>
      <c r="BI599" s="150"/>
      <c r="BJ599" s="150"/>
      <c r="BK599" s="150"/>
      <c r="BL599" s="150"/>
      <c r="BM599" s="150"/>
      <c r="BN599" s="150"/>
      <c r="BO599" s="150"/>
      <c r="BP599" s="150"/>
      <c r="BQ599" s="150"/>
      <c r="BR599" s="150"/>
      <c r="BS599" s="150"/>
      <c r="BT599" s="150"/>
      <c r="BU599" s="150"/>
      <c r="BV599" s="150"/>
      <c r="BW599" s="150"/>
      <c r="BX599" s="150"/>
      <c r="BY599" s="150"/>
      <c r="BZ599" s="150"/>
      <c r="CA599" s="150"/>
      <c r="CB599" s="150"/>
      <c r="CC599" s="150"/>
      <c r="CD599" s="150"/>
      <c r="CE599" s="150"/>
      <c r="CF599" s="150"/>
      <c r="CG599" s="150"/>
      <c r="CH599" s="150"/>
      <c r="CI599" s="150"/>
      <c r="CJ599" s="150"/>
      <c r="CK599" s="150"/>
      <c r="CL599" s="150"/>
      <c r="CM599" s="150"/>
      <c r="CN599" s="150"/>
      <c r="CO599" s="150"/>
      <c r="CP599" s="150"/>
      <c r="CQ599" s="150"/>
      <c r="CR599" s="150"/>
      <c r="CS599" s="150"/>
      <c r="CT599" s="150"/>
      <c r="CU599" s="150"/>
      <c r="CV599" s="150"/>
      <c r="CW599" s="150"/>
      <c r="CX599" s="150"/>
      <c r="CY599" s="150"/>
      <c r="CZ599" s="150"/>
      <c r="DA599" s="150"/>
      <c r="DB599" s="150"/>
      <c r="DC599" s="150"/>
      <c r="DD599" s="150"/>
      <c r="DE599" s="150"/>
      <c r="DF599" s="150"/>
      <c r="DG599" s="150"/>
      <c r="DH599" s="150"/>
      <c r="DI599" s="150"/>
      <c r="DJ599" s="150"/>
      <c r="DK599" s="150"/>
      <c r="DL599" s="150"/>
      <c r="DM599" s="150"/>
      <c r="DN599" s="150"/>
      <c r="DO599" s="150"/>
      <c r="DP599" s="150"/>
      <c r="DQ599" s="150"/>
      <c r="DR599" s="150"/>
      <c r="DS599" s="150"/>
      <c r="DT599" s="150"/>
      <c r="DU599" s="150"/>
      <c r="DV599" s="150"/>
      <c r="DW599" s="150"/>
      <c r="DX599" s="150"/>
      <c r="DY599" s="150"/>
      <c r="DZ599" s="150"/>
      <c r="EA599" s="150"/>
      <c r="EB599" s="150"/>
      <c r="EC599" s="150"/>
      <c r="ED599" s="150"/>
      <c r="EE599" s="150"/>
      <c r="EF599" s="150"/>
      <c r="EG599" s="150"/>
      <c r="EH599" s="150"/>
      <c r="EI599" s="150"/>
      <c r="EJ599" s="150"/>
      <c r="EK599" s="150"/>
      <c r="EL599" s="150"/>
      <c r="EM599" s="150"/>
      <c r="EN599" s="150"/>
      <c r="EO599" s="150"/>
      <c r="EP599" s="150"/>
      <c r="EQ599" s="150"/>
      <c r="ER599" s="150"/>
      <c r="ES599" s="150"/>
      <c r="ET599" s="150"/>
      <c r="EU599" s="150"/>
      <c r="EV599" s="150"/>
      <c r="EW599" s="150"/>
      <c r="EX599" s="150"/>
      <c r="EY599" s="150"/>
      <c r="EZ599" s="150"/>
      <c r="FA599" s="150"/>
      <c r="FB599" s="150"/>
      <c r="FC599" s="150"/>
      <c r="FD599" s="150"/>
      <c r="FE599" s="150"/>
      <c r="FF599" s="150"/>
      <c r="FG599" s="150"/>
      <c r="FH599" s="150"/>
      <c r="FI599" s="150"/>
      <c r="FJ599" s="150"/>
      <c r="FK599" s="150"/>
      <c r="FL599" s="150"/>
      <c r="FM599" s="150"/>
      <c r="FN599" s="150"/>
    </row>
    <row r="600" spans="1:170" s="149" customFormat="1" x14ac:dyDescent="0.25">
      <c r="A600" s="142"/>
      <c r="B600" s="142"/>
      <c r="C600" s="142"/>
      <c r="D600" s="144"/>
      <c r="E600" s="143"/>
      <c r="F600" s="143"/>
      <c r="G600" s="144"/>
      <c r="H600" s="143"/>
      <c r="I600" s="143"/>
      <c r="J600" s="319"/>
      <c r="K600" s="319"/>
      <c r="L600" s="315"/>
      <c r="M600" s="315"/>
      <c r="N600" s="145"/>
      <c r="O600" s="145"/>
      <c r="P600" s="145"/>
      <c r="Q600" s="146"/>
      <c r="R600" s="147"/>
      <c r="S600" s="148"/>
      <c r="T600" s="148"/>
      <c r="U600" s="148"/>
      <c r="V600" s="148"/>
      <c r="W600" s="148"/>
      <c r="X600" s="148"/>
      <c r="Y600" s="148"/>
      <c r="Z600" s="148"/>
      <c r="AA600" s="148"/>
      <c r="AB600" s="148"/>
      <c r="AV600" s="150"/>
      <c r="AW600" s="150"/>
      <c r="AX600" s="150"/>
      <c r="AY600" s="150"/>
      <c r="AZ600" s="150"/>
      <c r="BA600" s="150"/>
      <c r="BB600" s="150"/>
      <c r="BC600" s="150"/>
      <c r="BD600" s="150"/>
      <c r="BE600" s="150"/>
      <c r="BF600" s="150"/>
      <c r="BG600" s="150"/>
      <c r="BH600" s="150"/>
      <c r="BI600" s="150"/>
      <c r="BJ600" s="150"/>
      <c r="BK600" s="150"/>
      <c r="BL600" s="150"/>
      <c r="BM600" s="150"/>
      <c r="BN600" s="150"/>
      <c r="BO600" s="150"/>
      <c r="BP600" s="150"/>
      <c r="BQ600" s="150"/>
      <c r="BR600" s="150"/>
      <c r="BS600" s="150"/>
      <c r="BT600" s="150"/>
      <c r="BU600" s="150"/>
      <c r="BV600" s="150"/>
      <c r="BW600" s="150"/>
      <c r="BX600" s="150"/>
      <c r="BY600" s="150"/>
      <c r="BZ600" s="150"/>
      <c r="CA600" s="150"/>
      <c r="CB600" s="150"/>
      <c r="CC600" s="150"/>
      <c r="CD600" s="150"/>
      <c r="CE600" s="150"/>
      <c r="CF600" s="150"/>
      <c r="CG600" s="150"/>
      <c r="CH600" s="150"/>
      <c r="CI600" s="150"/>
      <c r="CJ600" s="150"/>
      <c r="CK600" s="150"/>
      <c r="CL600" s="150"/>
      <c r="CM600" s="150"/>
      <c r="CN600" s="150"/>
      <c r="CO600" s="150"/>
      <c r="CP600" s="150"/>
      <c r="CQ600" s="150"/>
      <c r="CR600" s="150"/>
      <c r="CS600" s="150"/>
      <c r="CT600" s="150"/>
      <c r="CU600" s="150"/>
      <c r="CV600" s="150"/>
      <c r="CW600" s="150"/>
      <c r="CX600" s="150"/>
      <c r="CY600" s="150"/>
      <c r="CZ600" s="150"/>
      <c r="DA600" s="150"/>
      <c r="DB600" s="150"/>
      <c r="DC600" s="150"/>
      <c r="DD600" s="150"/>
      <c r="DE600" s="150"/>
      <c r="DF600" s="150"/>
      <c r="DG600" s="150"/>
      <c r="DH600" s="150"/>
      <c r="DI600" s="150"/>
      <c r="DJ600" s="150"/>
      <c r="DK600" s="150"/>
      <c r="DL600" s="150"/>
      <c r="DM600" s="150"/>
      <c r="DN600" s="150"/>
      <c r="DO600" s="150"/>
      <c r="DP600" s="150"/>
      <c r="DQ600" s="150"/>
      <c r="DR600" s="150"/>
      <c r="DS600" s="150"/>
      <c r="DT600" s="150"/>
      <c r="DU600" s="150"/>
      <c r="DV600" s="150"/>
      <c r="DW600" s="150"/>
      <c r="DX600" s="150"/>
      <c r="DY600" s="150"/>
      <c r="DZ600" s="150"/>
      <c r="EA600" s="150"/>
      <c r="EB600" s="150"/>
      <c r="EC600" s="150"/>
      <c r="ED600" s="150"/>
      <c r="EE600" s="150"/>
      <c r="EF600" s="150"/>
      <c r="EG600" s="150"/>
      <c r="EH600" s="150"/>
      <c r="EI600" s="150"/>
      <c r="EJ600" s="150"/>
      <c r="EK600" s="150"/>
      <c r="EL600" s="150"/>
      <c r="EM600" s="150"/>
      <c r="EN600" s="150"/>
      <c r="EO600" s="150"/>
      <c r="EP600" s="150"/>
      <c r="EQ600" s="150"/>
      <c r="ER600" s="150"/>
      <c r="ES600" s="150"/>
      <c r="ET600" s="150"/>
      <c r="EU600" s="150"/>
      <c r="EV600" s="150"/>
      <c r="EW600" s="150"/>
      <c r="EX600" s="150"/>
      <c r="EY600" s="150"/>
      <c r="EZ600" s="150"/>
      <c r="FA600" s="150"/>
      <c r="FB600" s="150"/>
      <c r="FC600" s="150"/>
      <c r="FD600" s="150"/>
      <c r="FE600" s="150"/>
      <c r="FF600" s="150"/>
      <c r="FG600" s="150"/>
      <c r="FH600" s="150"/>
      <c r="FI600" s="150"/>
      <c r="FJ600" s="150"/>
      <c r="FK600" s="150"/>
      <c r="FL600" s="150"/>
      <c r="FM600" s="150"/>
      <c r="FN600" s="150"/>
    </row>
    <row r="601" spans="1:170" s="149" customFormat="1" x14ac:dyDescent="0.25">
      <c r="A601" s="142"/>
      <c r="B601" s="142"/>
      <c r="C601" s="142"/>
      <c r="D601" s="144"/>
      <c r="E601" s="143"/>
      <c r="F601" s="143"/>
      <c r="G601" s="144"/>
      <c r="H601" s="143"/>
      <c r="I601" s="143"/>
      <c r="J601" s="319"/>
      <c r="K601" s="319"/>
      <c r="L601" s="315"/>
      <c r="M601" s="315"/>
      <c r="N601" s="145"/>
      <c r="O601" s="145"/>
      <c r="P601" s="145"/>
      <c r="Q601" s="146"/>
      <c r="R601" s="147"/>
      <c r="S601" s="148"/>
      <c r="T601" s="148"/>
      <c r="U601" s="148"/>
      <c r="V601" s="148"/>
      <c r="W601" s="148"/>
      <c r="X601" s="148"/>
      <c r="Y601" s="148"/>
      <c r="Z601" s="148"/>
      <c r="AA601" s="148"/>
      <c r="AB601" s="148"/>
      <c r="AV601" s="150"/>
      <c r="AW601" s="150"/>
      <c r="AX601" s="150"/>
      <c r="AY601" s="150"/>
      <c r="AZ601" s="150"/>
      <c r="BA601" s="150"/>
      <c r="BB601" s="150"/>
      <c r="BC601" s="150"/>
      <c r="BD601" s="150"/>
      <c r="BE601" s="150"/>
      <c r="BF601" s="150"/>
      <c r="BG601" s="150"/>
      <c r="BH601" s="150"/>
      <c r="BI601" s="150"/>
      <c r="BJ601" s="150"/>
      <c r="BK601" s="150"/>
      <c r="BL601" s="150"/>
      <c r="BM601" s="150"/>
      <c r="BN601" s="150"/>
      <c r="BO601" s="150"/>
      <c r="BP601" s="150"/>
      <c r="BQ601" s="150"/>
      <c r="BR601" s="150"/>
      <c r="BS601" s="150"/>
      <c r="BT601" s="150"/>
      <c r="BU601" s="150"/>
      <c r="BV601" s="150"/>
      <c r="BW601" s="150"/>
      <c r="BX601" s="150"/>
      <c r="BY601" s="150"/>
      <c r="BZ601" s="150"/>
      <c r="CA601" s="150"/>
      <c r="CB601" s="150"/>
      <c r="CC601" s="150"/>
      <c r="CD601" s="150"/>
      <c r="CE601" s="150"/>
      <c r="CF601" s="150"/>
      <c r="CG601" s="150"/>
      <c r="CH601" s="150"/>
      <c r="CI601" s="150"/>
      <c r="CJ601" s="150"/>
      <c r="CK601" s="150"/>
      <c r="CL601" s="150"/>
      <c r="CM601" s="150"/>
      <c r="CN601" s="150"/>
      <c r="CO601" s="150"/>
      <c r="CP601" s="150"/>
      <c r="CQ601" s="150"/>
      <c r="CR601" s="150"/>
      <c r="CS601" s="150"/>
      <c r="CT601" s="150"/>
      <c r="CU601" s="150"/>
      <c r="CV601" s="150"/>
      <c r="CW601" s="150"/>
      <c r="CX601" s="150"/>
      <c r="CY601" s="150"/>
      <c r="CZ601" s="150"/>
      <c r="DA601" s="150"/>
      <c r="DB601" s="150"/>
      <c r="DC601" s="150"/>
      <c r="DD601" s="150"/>
      <c r="DE601" s="150"/>
      <c r="DF601" s="150"/>
      <c r="DG601" s="150"/>
      <c r="DH601" s="150"/>
      <c r="DI601" s="150"/>
      <c r="DJ601" s="150"/>
      <c r="DK601" s="150"/>
      <c r="DL601" s="150"/>
      <c r="DM601" s="150"/>
      <c r="DN601" s="150"/>
      <c r="DO601" s="150"/>
      <c r="DP601" s="150"/>
      <c r="DQ601" s="150"/>
      <c r="DR601" s="150"/>
      <c r="DS601" s="150"/>
      <c r="DT601" s="150"/>
      <c r="DU601" s="150"/>
      <c r="DV601" s="150"/>
      <c r="DW601" s="150"/>
      <c r="DX601" s="150"/>
      <c r="DY601" s="150"/>
      <c r="DZ601" s="150"/>
      <c r="EA601" s="150"/>
      <c r="EB601" s="150"/>
      <c r="EC601" s="150"/>
      <c r="ED601" s="150"/>
      <c r="EE601" s="150"/>
      <c r="EF601" s="150"/>
      <c r="EG601" s="150"/>
      <c r="EH601" s="150"/>
      <c r="EI601" s="150"/>
      <c r="EJ601" s="150"/>
      <c r="EK601" s="150"/>
      <c r="EL601" s="150"/>
      <c r="EM601" s="150"/>
      <c r="EN601" s="150"/>
      <c r="EO601" s="150"/>
      <c r="EP601" s="150"/>
      <c r="EQ601" s="150"/>
      <c r="ER601" s="150"/>
      <c r="ES601" s="150"/>
      <c r="ET601" s="150"/>
      <c r="EU601" s="150"/>
      <c r="EV601" s="150"/>
      <c r="EW601" s="150"/>
      <c r="EX601" s="150"/>
      <c r="EY601" s="150"/>
      <c r="EZ601" s="150"/>
      <c r="FA601" s="150"/>
      <c r="FB601" s="150"/>
      <c r="FC601" s="150"/>
      <c r="FD601" s="150"/>
      <c r="FE601" s="150"/>
      <c r="FF601" s="150"/>
      <c r="FG601" s="150"/>
      <c r="FH601" s="150"/>
      <c r="FI601" s="150"/>
      <c r="FJ601" s="150"/>
      <c r="FK601" s="150"/>
      <c r="FL601" s="150"/>
      <c r="FM601" s="150"/>
      <c r="FN601" s="150"/>
    </row>
    <row r="602" spans="1:170" s="149" customFormat="1" x14ac:dyDescent="0.25">
      <c r="A602" s="142"/>
      <c r="B602" s="142"/>
      <c r="C602" s="142"/>
      <c r="D602" s="144"/>
      <c r="E602" s="143"/>
      <c r="F602" s="143"/>
      <c r="G602" s="144"/>
      <c r="H602" s="143"/>
      <c r="I602" s="143"/>
      <c r="J602" s="319"/>
      <c r="K602" s="319"/>
      <c r="L602" s="315"/>
      <c r="M602" s="315"/>
      <c r="N602" s="145"/>
      <c r="O602" s="145"/>
      <c r="P602" s="145"/>
      <c r="Q602" s="146"/>
      <c r="R602" s="147"/>
      <c r="S602" s="148"/>
      <c r="T602" s="148"/>
      <c r="U602" s="148"/>
      <c r="V602" s="148"/>
      <c r="W602" s="148"/>
      <c r="X602" s="148"/>
      <c r="Y602" s="148"/>
      <c r="Z602" s="148"/>
      <c r="AA602" s="148"/>
      <c r="AB602" s="148"/>
      <c r="AV602" s="150"/>
      <c r="AW602" s="150"/>
      <c r="AX602" s="150"/>
      <c r="AY602" s="150"/>
      <c r="AZ602" s="150"/>
      <c r="BA602" s="150"/>
      <c r="BB602" s="150"/>
      <c r="BC602" s="150"/>
      <c r="BD602" s="150"/>
      <c r="BE602" s="150"/>
      <c r="BF602" s="150"/>
      <c r="BG602" s="150"/>
      <c r="BH602" s="150"/>
      <c r="BI602" s="150"/>
      <c r="BJ602" s="150"/>
      <c r="BK602" s="150"/>
      <c r="BL602" s="150"/>
      <c r="BM602" s="150"/>
      <c r="BN602" s="150"/>
      <c r="BO602" s="150"/>
      <c r="BP602" s="150"/>
      <c r="BQ602" s="150"/>
      <c r="BR602" s="150"/>
      <c r="BS602" s="150"/>
      <c r="BT602" s="150"/>
      <c r="BU602" s="150"/>
      <c r="BV602" s="150"/>
      <c r="BW602" s="150"/>
      <c r="BX602" s="150"/>
      <c r="BY602" s="150"/>
      <c r="BZ602" s="150"/>
      <c r="CA602" s="150"/>
      <c r="CB602" s="150"/>
      <c r="CC602" s="150"/>
      <c r="CD602" s="150"/>
      <c r="CE602" s="150"/>
      <c r="CF602" s="150"/>
      <c r="CG602" s="150"/>
      <c r="CH602" s="150"/>
      <c r="CI602" s="150"/>
      <c r="CJ602" s="150"/>
      <c r="CK602" s="150"/>
      <c r="CL602" s="150"/>
      <c r="CM602" s="150"/>
      <c r="CN602" s="150"/>
      <c r="CO602" s="150"/>
      <c r="CP602" s="150"/>
      <c r="CQ602" s="150"/>
      <c r="CR602" s="150"/>
      <c r="CS602" s="150"/>
      <c r="CT602" s="150"/>
      <c r="CU602" s="150"/>
      <c r="CV602" s="150"/>
      <c r="CW602" s="150"/>
      <c r="CX602" s="150"/>
      <c r="CY602" s="150"/>
      <c r="CZ602" s="150"/>
      <c r="DA602" s="150"/>
      <c r="DB602" s="150"/>
      <c r="DC602" s="150"/>
      <c r="DD602" s="150"/>
      <c r="DE602" s="150"/>
      <c r="DF602" s="150"/>
      <c r="DG602" s="150"/>
      <c r="DH602" s="150"/>
      <c r="DI602" s="150"/>
      <c r="DJ602" s="150"/>
      <c r="DK602" s="150"/>
      <c r="DL602" s="150"/>
      <c r="DM602" s="150"/>
      <c r="DN602" s="150"/>
      <c r="DO602" s="150"/>
      <c r="DP602" s="150"/>
      <c r="DQ602" s="150"/>
      <c r="DR602" s="150"/>
      <c r="DS602" s="150"/>
      <c r="DT602" s="150"/>
      <c r="DU602" s="150"/>
      <c r="DV602" s="150"/>
      <c r="DW602" s="150"/>
      <c r="DX602" s="150"/>
      <c r="DY602" s="150"/>
      <c r="DZ602" s="150"/>
      <c r="EA602" s="150"/>
      <c r="EB602" s="150"/>
      <c r="EC602" s="150"/>
      <c r="ED602" s="150"/>
      <c r="EE602" s="150"/>
      <c r="EF602" s="150"/>
      <c r="EG602" s="150"/>
      <c r="EH602" s="150"/>
      <c r="EI602" s="150"/>
      <c r="EJ602" s="150"/>
      <c r="EK602" s="150"/>
      <c r="EL602" s="150"/>
      <c r="EM602" s="150"/>
      <c r="EN602" s="150"/>
      <c r="EO602" s="150"/>
      <c r="EP602" s="150"/>
      <c r="EQ602" s="150"/>
      <c r="ER602" s="150"/>
      <c r="ES602" s="150"/>
      <c r="ET602" s="150"/>
      <c r="EU602" s="150"/>
      <c r="EV602" s="150"/>
      <c r="EW602" s="150"/>
      <c r="EX602" s="150"/>
      <c r="EY602" s="150"/>
      <c r="EZ602" s="150"/>
      <c r="FA602" s="150"/>
      <c r="FB602" s="150"/>
      <c r="FC602" s="150"/>
      <c r="FD602" s="150"/>
      <c r="FE602" s="150"/>
      <c r="FF602" s="150"/>
      <c r="FG602" s="150"/>
      <c r="FH602" s="150"/>
      <c r="FI602" s="150"/>
      <c r="FJ602" s="150"/>
      <c r="FK602" s="150"/>
      <c r="FL602" s="150"/>
      <c r="FM602" s="150"/>
      <c r="FN602" s="150"/>
    </row>
    <row r="603" spans="1:170" s="149" customFormat="1" x14ac:dyDescent="0.25">
      <c r="A603" s="142"/>
      <c r="B603" s="142"/>
      <c r="C603" s="142"/>
      <c r="D603" s="144"/>
      <c r="E603" s="143"/>
      <c r="F603" s="143"/>
      <c r="G603" s="144"/>
      <c r="H603" s="143"/>
      <c r="I603" s="143"/>
      <c r="J603" s="319"/>
      <c r="K603" s="319"/>
      <c r="L603" s="315"/>
      <c r="M603" s="315"/>
      <c r="N603" s="145"/>
      <c r="O603" s="145"/>
      <c r="P603" s="145"/>
      <c r="Q603" s="146"/>
      <c r="R603" s="147"/>
      <c r="S603" s="148"/>
      <c r="T603" s="148"/>
      <c r="U603" s="148"/>
      <c r="V603" s="148"/>
      <c r="W603" s="148"/>
      <c r="X603" s="148"/>
      <c r="Y603" s="148"/>
      <c r="Z603" s="148"/>
      <c r="AA603" s="148"/>
      <c r="AB603" s="148"/>
      <c r="AV603" s="150"/>
      <c r="AW603" s="150"/>
      <c r="AX603" s="150"/>
      <c r="AY603" s="150"/>
      <c r="AZ603" s="150"/>
      <c r="BA603" s="150"/>
      <c r="BB603" s="150"/>
      <c r="BC603" s="150"/>
      <c r="BD603" s="150"/>
      <c r="BE603" s="150"/>
      <c r="BF603" s="150"/>
      <c r="BG603" s="150"/>
      <c r="BH603" s="150"/>
      <c r="BI603" s="150"/>
      <c r="BJ603" s="150"/>
      <c r="BK603" s="150"/>
      <c r="BL603" s="150"/>
      <c r="BM603" s="150"/>
      <c r="BN603" s="150"/>
      <c r="BO603" s="150"/>
      <c r="BP603" s="150"/>
      <c r="BQ603" s="150"/>
      <c r="BR603" s="150"/>
      <c r="BS603" s="150"/>
      <c r="BT603" s="150"/>
      <c r="BU603" s="150"/>
      <c r="BV603" s="150"/>
      <c r="BW603" s="150"/>
      <c r="BX603" s="150"/>
      <c r="BY603" s="150"/>
      <c r="BZ603" s="150"/>
      <c r="CA603" s="150"/>
      <c r="CB603" s="150"/>
      <c r="CC603" s="150"/>
      <c r="CD603" s="150"/>
      <c r="CE603" s="150"/>
      <c r="CF603" s="150"/>
      <c r="CG603" s="150"/>
      <c r="CH603" s="150"/>
      <c r="CI603" s="150"/>
      <c r="CJ603" s="150"/>
      <c r="CK603" s="150"/>
      <c r="CL603" s="150"/>
      <c r="CM603" s="150"/>
      <c r="CN603" s="150"/>
      <c r="CO603" s="150"/>
      <c r="CP603" s="150"/>
      <c r="CQ603" s="150"/>
      <c r="CR603" s="150"/>
      <c r="CS603" s="150"/>
      <c r="CT603" s="150"/>
      <c r="CU603" s="150"/>
      <c r="CV603" s="150"/>
      <c r="CW603" s="150"/>
      <c r="CX603" s="150"/>
      <c r="CY603" s="150"/>
      <c r="CZ603" s="150"/>
      <c r="DA603" s="150"/>
      <c r="DB603" s="150"/>
      <c r="DC603" s="150"/>
      <c r="DD603" s="150"/>
      <c r="DE603" s="150"/>
      <c r="DF603" s="150"/>
      <c r="DG603" s="150"/>
      <c r="DH603" s="150"/>
      <c r="DI603" s="150"/>
      <c r="DJ603" s="150"/>
      <c r="DK603" s="150"/>
      <c r="DL603" s="150"/>
      <c r="DM603" s="150"/>
      <c r="DN603" s="150"/>
      <c r="DO603" s="150"/>
      <c r="DP603" s="150"/>
      <c r="DQ603" s="150"/>
      <c r="DR603" s="150"/>
      <c r="DS603" s="150"/>
      <c r="DT603" s="150"/>
      <c r="DU603" s="150"/>
      <c r="DV603" s="150"/>
      <c r="DW603" s="150"/>
      <c r="DX603" s="150"/>
      <c r="DY603" s="150"/>
      <c r="DZ603" s="150"/>
      <c r="EA603" s="150"/>
      <c r="EB603" s="150"/>
      <c r="EC603" s="150"/>
      <c r="ED603" s="150"/>
      <c r="EE603" s="150"/>
      <c r="EF603" s="150"/>
      <c r="EG603" s="150"/>
      <c r="EH603" s="150"/>
      <c r="EI603" s="150"/>
      <c r="EJ603" s="150"/>
      <c r="EK603" s="150"/>
      <c r="EL603" s="150"/>
      <c r="EM603" s="150"/>
      <c r="EN603" s="150"/>
      <c r="EO603" s="150"/>
      <c r="EP603" s="150"/>
      <c r="EQ603" s="150"/>
      <c r="ER603" s="150"/>
      <c r="ES603" s="150"/>
      <c r="ET603" s="150"/>
      <c r="EU603" s="150"/>
      <c r="EV603" s="150"/>
      <c r="EW603" s="150"/>
      <c r="EX603" s="150"/>
      <c r="EY603" s="150"/>
      <c r="EZ603" s="150"/>
      <c r="FA603" s="150"/>
      <c r="FB603" s="150"/>
      <c r="FC603" s="150"/>
      <c r="FD603" s="150"/>
      <c r="FE603" s="150"/>
      <c r="FF603" s="150"/>
      <c r="FG603" s="150"/>
      <c r="FH603" s="150"/>
      <c r="FI603" s="150"/>
      <c r="FJ603" s="150"/>
      <c r="FK603" s="150"/>
      <c r="FL603" s="150"/>
      <c r="FM603" s="150"/>
      <c r="FN603" s="150"/>
    </row>
    <row r="604" spans="1:170" s="149" customFormat="1" x14ac:dyDescent="0.25">
      <c r="A604" s="142"/>
      <c r="B604" s="142"/>
      <c r="C604" s="142"/>
      <c r="D604" s="144"/>
      <c r="E604" s="143"/>
      <c r="F604" s="143"/>
      <c r="G604" s="144"/>
      <c r="H604" s="143"/>
      <c r="I604" s="143"/>
      <c r="J604" s="319"/>
      <c r="K604" s="319"/>
      <c r="L604" s="315"/>
      <c r="M604" s="315"/>
      <c r="N604" s="145"/>
      <c r="O604" s="145"/>
      <c r="P604" s="145"/>
      <c r="Q604" s="146"/>
      <c r="R604" s="147"/>
      <c r="S604" s="148"/>
      <c r="T604" s="148"/>
      <c r="U604" s="148"/>
      <c r="V604" s="148"/>
      <c r="W604" s="148"/>
      <c r="X604" s="148"/>
      <c r="Y604" s="148"/>
      <c r="Z604" s="148"/>
      <c r="AA604" s="148"/>
      <c r="AB604" s="148"/>
      <c r="AV604" s="150"/>
      <c r="AW604" s="150"/>
      <c r="AX604" s="150"/>
      <c r="AY604" s="150"/>
      <c r="AZ604" s="150"/>
      <c r="BA604" s="150"/>
      <c r="BB604" s="150"/>
      <c r="BC604" s="150"/>
      <c r="BD604" s="150"/>
      <c r="BE604" s="150"/>
      <c r="BF604" s="150"/>
      <c r="BG604" s="150"/>
      <c r="BH604" s="150"/>
      <c r="BI604" s="150"/>
      <c r="BJ604" s="150"/>
      <c r="BK604" s="150"/>
      <c r="BL604" s="150"/>
      <c r="BM604" s="150"/>
      <c r="BN604" s="150"/>
      <c r="BO604" s="150"/>
      <c r="BP604" s="150"/>
      <c r="BQ604" s="150"/>
      <c r="BR604" s="150"/>
      <c r="BS604" s="150"/>
      <c r="BT604" s="150"/>
      <c r="BU604" s="150"/>
      <c r="BV604" s="150"/>
      <c r="BW604" s="150"/>
      <c r="BX604" s="150"/>
      <c r="BY604" s="150"/>
      <c r="BZ604" s="150"/>
      <c r="CA604" s="150"/>
      <c r="CB604" s="150"/>
      <c r="CC604" s="150"/>
      <c r="CD604" s="150"/>
      <c r="CE604" s="150"/>
      <c r="CF604" s="150"/>
      <c r="CG604" s="150"/>
      <c r="CH604" s="150"/>
      <c r="CI604" s="150"/>
      <c r="CJ604" s="150"/>
      <c r="CK604" s="150"/>
      <c r="CL604" s="150"/>
      <c r="CM604" s="150"/>
      <c r="CN604" s="150"/>
      <c r="CO604" s="150"/>
      <c r="CP604" s="150"/>
      <c r="CQ604" s="150"/>
      <c r="CR604" s="150"/>
      <c r="CS604" s="150"/>
      <c r="CT604" s="150"/>
      <c r="CU604" s="150"/>
      <c r="CV604" s="150"/>
      <c r="CW604" s="150"/>
      <c r="CX604" s="150"/>
      <c r="CY604" s="150"/>
      <c r="CZ604" s="150"/>
      <c r="DA604" s="150"/>
      <c r="DB604" s="150"/>
      <c r="DC604" s="150"/>
      <c r="DD604" s="150"/>
      <c r="DE604" s="150"/>
      <c r="DF604" s="150"/>
      <c r="DG604" s="150"/>
      <c r="DH604" s="150"/>
      <c r="DI604" s="150"/>
      <c r="DJ604" s="150"/>
      <c r="DK604" s="150"/>
      <c r="DL604" s="150"/>
      <c r="DM604" s="150"/>
      <c r="DN604" s="150"/>
      <c r="DO604" s="150"/>
      <c r="DP604" s="150"/>
      <c r="DQ604" s="150"/>
      <c r="DR604" s="150"/>
      <c r="DS604" s="150"/>
      <c r="DT604" s="150"/>
      <c r="DU604" s="150"/>
      <c r="DV604" s="150"/>
      <c r="DW604" s="150"/>
      <c r="DX604" s="150"/>
      <c r="DY604" s="150"/>
      <c r="DZ604" s="150"/>
      <c r="EA604" s="150"/>
      <c r="EB604" s="150"/>
      <c r="EC604" s="150"/>
      <c r="ED604" s="150"/>
      <c r="EE604" s="150"/>
      <c r="EF604" s="150"/>
      <c r="EG604" s="150"/>
      <c r="EH604" s="150"/>
      <c r="EI604" s="150"/>
      <c r="EJ604" s="150"/>
      <c r="EK604" s="150"/>
      <c r="EL604" s="150"/>
      <c r="EM604" s="150"/>
      <c r="EN604" s="150"/>
      <c r="EO604" s="150"/>
      <c r="EP604" s="150"/>
      <c r="EQ604" s="150"/>
      <c r="ER604" s="150"/>
      <c r="ES604" s="150"/>
      <c r="ET604" s="150"/>
      <c r="EU604" s="150"/>
      <c r="EV604" s="150"/>
      <c r="EW604" s="150"/>
      <c r="EX604" s="150"/>
      <c r="EY604" s="150"/>
      <c r="EZ604" s="150"/>
      <c r="FA604" s="150"/>
      <c r="FB604" s="150"/>
      <c r="FC604" s="150"/>
      <c r="FD604" s="150"/>
      <c r="FE604" s="150"/>
      <c r="FF604" s="150"/>
      <c r="FG604" s="150"/>
      <c r="FH604" s="150"/>
      <c r="FI604" s="150"/>
      <c r="FJ604" s="150"/>
      <c r="FK604" s="150"/>
      <c r="FL604" s="150"/>
      <c r="FM604" s="150"/>
      <c r="FN604" s="150"/>
    </row>
    <row r="605" spans="1:170" s="149" customFormat="1" x14ac:dyDescent="0.25">
      <c r="A605" s="142"/>
      <c r="B605" s="142"/>
      <c r="C605" s="142"/>
      <c r="D605" s="144"/>
      <c r="E605" s="143"/>
      <c r="F605" s="143"/>
      <c r="G605" s="144"/>
      <c r="H605" s="143"/>
      <c r="I605" s="143"/>
      <c r="J605" s="319"/>
      <c r="K605" s="319"/>
      <c r="L605" s="315"/>
      <c r="M605" s="315"/>
      <c r="N605" s="145"/>
      <c r="O605" s="145"/>
      <c r="P605" s="145"/>
      <c r="Q605" s="146"/>
      <c r="R605" s="147"/>
      <c r="S605" s="148"/>
      <c r="T605" s="148"/>
      <c r="U605" s="148"/>
      <c r="V605" s="148"/>
      <c r="W605" s="148"/>
      <c r="X605" s="148"/>
      <c r="Y605" s="148"/>
      <c r="Z605" s="148"/>
      <c r="AA605" s="148"/>
      <c r="AB605" s="148"/>
      <c r="AV605" s="150"/>
      <c r="AW605" s="150"/>
      <c r="AX605" s="150"/>
      <c r="AY605" s="150"/>
      <c r="AZ605" s="150"/>
      <c r="BA605" s="150"/>
      <c r="BB605" s="150"/>
      <c r="BC605" s="150"/>
      <c r="BD605" s="150"/>
      <c r="BE605" s="150"/>
      <c r="BF605" s="150"/>
      <c r="BG605" s="150"/>
      <c r="BH605" s="150"/>
      <c r="BI605" s="150"/>
      <c r="BJ605" s="150"/>
      <c r="BK605" s="150"/>
      <c r="BL605" s="150"/>
      <c r="BM605" s="150"/>
      <c r="BN605" s="150"/>
      <c r="BO605" s="150"/>
      <c r="BP605" s="150"/>
      <c r="BQ605" s="150"/>
      <c r="BR605" s="150"/>
      <c r="BS605" s="150"/>
      <c r="BT605" s="150"/>
      <c r="BU605" s="150"/>
      <c r="BV605" s="150"/>
      <c r="BW605" s="150"/>
      <c r="BX605" s="150"/>
      <c r="BY605" s="150"/>
      <c r="BZ605" s="150"/>
      <c r="CA605" s="150"/>
      <c r="CB605" s="150"/>
      <c r="CC605" s="150"/>
      <c r="CD605" s="150"/>
      <c r="CE605" s="150"/>
      <c r="CF605" s="150"/>
      <c r="CG605" s="150"/>
      <c r="CH605" s="150"/>
      <c r="CI605" s="150"/>
      <c r="CJ605" s="150"/>
      <c r="CK605" s="150"/>
      <c r="CL605" s="150"/>
      <c r="CM605" s="150"/>
      <c r="CN605" s="150"/>
      <c r="CO605" s="150"/>
      <c r="CP605" s="150"/>
      <c r="CQ605" s="150"/>
      <c r="CR605" s="150"/>
      <c r="CS605" s="150"/>
      <c r="CT605" s="150"/>
      <c r="CU605" s="150"/>
      <c r="CV605" s="150"/>
      <c r="CW605" s="150"/>
      <c r="CX605" s="150"/>
      <c r="CY605" s="150"/>
      <c r="CZ605" s="150"/>
      <c r="DA605" s="150"/>
      <c r="DB605" s="150"/>
      <c r="DC605" s="150"/>
      <c r="DD605" s="150"/>
      <c r="DE605" s="150"/>
      <c r="DF605" s="150"/>
      <c r="DG605" s="150"/>
      <c r="DH605" s="150"/>
      <c r="DI605" s="150"/>
      <c r="DJ605" s="150"/>
      <c r="DK605" s="150"/>
      <c r="DL605" s="150"/>
      <c r="DM605" s="150"/>
      <c r="DN605" s="150"/>
      <c r="DO605" s="150"/>
      <c r="DP605" s="150"/>
      <c r="DQ605" s="150"/>
      <c r="DR605" s="150"/>
      <c r="DS605" s="150"/>
      <c r="DT605" s="150"/>
      <c r="DU605" s="150"/>
      <c r="DV605" s="150"/>
      <c r="DW605" s="150"/>
      <c r="DX605" s="150"/>
      <c r="DY605" s="150"/>
      <c r="DZ605" s="150"/>
      <c r="EA605" s="150"/>
      <c r="EB605" s="150"/>
      <c r="EC605" s="150"/>
      <c r="ED605" s="150"/>
      <c r="EE605" s="150"/>
      <c r="EF605" s="150"/>
      <c r="EG605" s="150"/>
      <c r="EH605" s="150"/>
      <c r="EI605" s="150"/>
      <c r="EJ605" s="150"/>
      <c r="EK605" s="150"/>
      <c r="EL605" s="150"/>
      <c r="EM605" s="150"/>
      <c r="EN605" s="150"/>
      <c r="EO605" s="150"/>
      <c r="EP605" s="150"/>
      <c r="EQ605" s="150"/>
      <c r="ER605" s="150"/>
      <c r="ES605" s="150"/>
      <c r="ET605" s="150"/>
      <c r="EU605" s="150"/>
      <c r="EV605" s="150"/>
      <c r="EW605" s="150"/>
      <c r="EX605" s="150"/>
      <c r="EY605" s="150"/>
      <c r="EZ605" s="150"/>
      <c r="FA605" s="150"/>
      <c r="FB605" s="150"/>
      <c r="FC605" s="150"/>
      <c r="FD605" s="150"/>
      <c r="FE605" s="150"/>
      <c r="FF605" s="150"/>
      <c r="FG605" s="150"/>
      <c r="FH605" s="150"/>
      <c r="FI605" s="150"/>
      <c r="FJ605" s="150"/>
      <c r="FK605" s="150"/>
      <c r="FL605" s="150"/>
      <c r="FM605" s="150"/>
      <c r="FN605" s="150"/>
    </row>
    <row r="606" spans="1:170" s="149" customFormat="1" x14ac:dyDescent="0.25">
      <c r="A606" s="142"/>
      <c r="B606" s="142"/>
      <c r="C606" s="142"/>
      <c r="D606" s="144"/>
      <c r="E606" s="143"/>
      <c r="F606" s="143"/>
      <c r="G606" s="144"/>
      <c r="H606" s="143"/>
      <c r="I606" s="143"/>
      <c r="J606" s="319"/>
      <c r="K606" s="319"/>
      <c r="L606" s="315"/>
      <c r="M606" s="315"/>
      <c r="N606" s="145"/>
      <c r="O606" s="145"/>
      <c r="P606" s="145"/>
      <c r="Q606" s="146"/>
      <c r="R606" s="147"/>
      <c r="S606" s="148"/>
      <c r="T606" s="148"/>
      <c r="U606" s="148"/>
      <c r="V606" s="148"/>
      <c r="W606" s="148"/>
      <c r="X606" s="148"/>
      <c r="Y606" s="148"/>
      <c r="Z606" s="148"/>
      <c r="AA606" s="148"/>
      <c r="AB606" s="148"/>
      <c r="AV606" s="150"/>
      <c r="AW606" s="150"/>
      <c r="AX606" s="150"/>
      <c r="AY606" s="150"/>
      <c r="AZ606" s="150"/>
      <c r="BA606" s="150"/>
      <c r="BB606" s="150"/>
      <c r="BC606" s="150"/>
      <c r="BD606" s="150"/>
      <c r="BE606" s="150"/>
      <c r="BF606" s="150"/>
      <c r="BG606" s="150"/>
      <c r="BH606" s="150"/>
      <c r="BI606" s="150"/>
      <c r="BJ606" s="150"/>
      <c r="BK606" s="150"/>
      <c r="BL606" s="150"/>
      <c r="BM606" s="150"/>
      <c r="BN606" s="150"/>
      <c r="BO606" s="150"/>
      <c r="BP606" s="150"/>
      <c r="BQ606" s="150"/>
      <c r="BR606" s="150"/>
      <c r="BS606" s="150"/>
      <c r="BT606" s="150"/>
      <c r="BU606" s="150"/>
      <c r="BV606" s="150"/>
      <c r="BW606" s="150"/>
      <c r="BX606" s="150"/>
      <c r="BY606" s="150"/>
      <c r="BZ606" s="150"/>
      <c r="CA606" s="150"/>
      <c r="CB606" s="150"/>
      <c r="CC606" s="150"/>
      <c r="CD606" s="150"/>
      <c r="CE606" s="150"/>
      <c r="CF606" s="150"/>
      <c r="CG606" s="150"/>
      <c r="CH606" s="150"/>
      <c r="CI606" s="150"/>
      <c r="CJ606" s="150"/>
      <c r="CK606" s="150"/>
      <c r="CL606" s="150"/>
      <c r="CM606" s="150"/>
      <c r="CN606" s="150"/>
      <c r="CO606" s="150"/>
      <c r="CP606" s="150"/>
      <c r="CQ606" s="150"/>
      <c r="CR606" s="150"/>
      <c r="CS606" s="150"/>
      <c r="CT606" s="150"/>
      <c r="CU606" s="150"/>
      <c r="CV606" s="150"/>
      <c r="CW606" s="150"/>
      <c r="CX606" s="150"/>
      <c r="CY606" s="150"/>
      <c r="CZ606" s="150"/>
      <c r="DA606" s="150"/>
      <c r="DB606" s="150"/>
      <c r="DC606" s="150"/>
      <c r="DD606" s="150"/>
      <c r="DE606" s="150"/>
      <c r="DF606" s="150"/>
      <c r="DG606" s="150"/>
      <c r="DH606" s="150"/>
      <c r="DI606" s="150"/>
      <c r="DJ606" s="150"/>
      <c r="DK606" s="150"/>
      <c r="DL606" s="150"/>
      <c r="DM606" s="150"/>
      <c r="DN606" s="150"/>
      <c r="DO606" s="150"/>
      <c r="DP606" s="150"/>
      <c r="DQ606" s="150"/>
      <c r="DR606" s="150"/>
      <c r="DS606" s="150"/>
      <c r="DT606" s="150"/>
      <c r="DU606" s="150"/>
      <c r="DV606" s="150"/>
      <c r="DW606" s="150"/>
      <c r="DX606" s="150"/>
      <c r="DY606" s="150"/>
      <c r="DZ606" s="150"/>
      <c r="EA606" s="150"/>
      <c r="EB606" s="150"/>
      <c r="EC606" s="150"/>
      <c r="ED606" s="150"/>
      <c r="EE606" s="150"/>
      <c r="EF606" s="150"/>
      <c r="EG606" s="150"/>
      <c r="EH606" s="150"/>
      <c r="EI606" s="150"/>
      <c r="EJ606" s="150"/>
      <c r="EK606" s="150"/>
      <c r="EL606" s="150"/>
      <c r="EM606" s="150"/>
      <c r="EN606" s="150"/>
      <c r="EO606" s="150"/>
      <c r="EP606" s="150"/>
      <c r="EQ606" s="150"/>
      <c r="ER606" s="150"/>
      <c r="ES606" s="150"/>
      <c r="ET606" s="150"/>
      <c r="EU606" s="150"/>
      <c r="EV606" s="150"/>
      <c r="EW606" s="150"/>
      <c r="EX606" s="150"/>
      <c r="EY606" s="150"/>
      <c r="EZ606" s="150"/>
      <c r="FA606" s="150"/>
      <c r="FB606" s="150"/>
      <c r="FC606" s="150"/>
      <c r="FD606" s="150"/>
      <c r="FE606" s="150"/>
      <c r="FF606" s="150"/>
      <c r="FG606" s="150"/>
      <c r="FH606" s="150"/>
      <c r="FI606" s="150"/>
      <c r="FJ606" s="150"/>
      <c r="FK606" s="150"/>
      <c r="FL606" s="150"/>
      <c r="FM606" s="150"/>
      <c r="FN606" s="150"/>
    </row>
    <row r="607" spans="1:170" s="149" customFormat="1" x14ac:dyDescent="0.25">
      <c r="A607" s="142"/>
      <c r="B607" s="142"/>
      <c r="C607" s="142"/>
      <c r="D607" s="144"/>
      <c r="E607" s="143"/>
      <c r="F607" s="143"/>
      <c r="G607" s="144"/>
      <c r="H607" s="143"/>
      <c r="I607" s="143"/>
      <c r="J607" s="319"/>
      <c r="K607" s="319"/>
      <c r="L607" s="315"/>
      <c r="M607" s="315"/>
      <c r="N607" s="145"/>
      <c r="O607" s="145"/>
      <c r="P607" s="145"/>
      <c r="Q607" s="146"/>
      <c r="R607" s="147"/>
      <c r="S607" s="148"/>
      <c r="T607" s="148"/>
      <c r="U607" s="148"/>
      <c r="V607" s="148"/>
      <c r="W607" s="148"/>
      <c r="X607" s="148"/>
      <c r="Y607" s="148"/>
      <c r="Z607" s="148"/>
      <c r="AA607" s="148"/>
      <c r="AB607" s="148"/>
      <c r="AV607" s="150"/>
      <c r="AW607" s="150"/>
      <c r="AX607" s="150"/>
      <c r="AY607" s="150"/>
      <c r="AZ607" s="150"/>
      <c r="BA607" s="150"/>
      <c r="BB607" s="150"/>
      <c r="BC607" s="150"/>
      <c r="BD607" s="150"/>
      <c r="BE607" s="150"/>
      <c r="BF607" s="150"/>
      <c r="BG607" s="150"/>
      <c r="BH607" s="150"/>
      <c r="BI607" s="150"/>
      <c r="BJ607" s="150"/>
      <c r="BK607" s="150"/>
      <c r="BL607" s="150"/>
      <c r="BM607" s="150"/>
      <c r="BN607" s="150"/>
      <c r="BO607" s="150"/>
      <c r="BP607" s="150"/>
      <c r="BQ607" s="150"/>
      <c r="BR607" s="150"/>
      <c r="BS607" s="150"/>
      <c r="BT607" s="150"/>
      <c r="BU607" s="150"/>
      <c r="BV607" s="150"/>
      <c r="BW607" s="150"/>
      <c r="BX607" s="150"/>
      <c r="BY607" s="150"/>
      <c r="BZ607" s="150"/>
      <c r="CA607" s="150"/>
      <c r="CB607" s="150"/>
      <c r="CC607" s="150"/>
      <c r="CD607" s="150"/>
      <c r="CE607" s="150"/>
      <c r="CF607" s="150"/>
      <c r="CG607" s="150"/>
      <c r="CH607" s="150"/>
      <c r="CI607" s="150"/>
      <c r="CJ607" s="150"/>
      <c r="CK607" s="150"/>
      <c r="CL607" s="150"/>
      <c r="CM607" s="150"/>
      <c r="CN607" s="150"/>
      <c r="CO607" s="150"/>
      <c r="CP607" s="150"/>
      <c r="CQ607" s="150"/>
      <c r="CR607" s="150"/>
      <c r="CS607" s="150"/>
      <c r="CT607" s="150"/>
      <c r="CU607" s="150"/>
      <c r="CV607" s="150"/>
      <c r="CW607" s="150"/>
      <c r="CX607" s="150"/>
      <c r="CY607" s="150"/>
      <c r="CZ607" s="150"/>
      <c r="DA607" s="150"/>
      <c r="DB607" s="150"/>
      <c r="DC607" s="150"/>
      <c r="DD607" s="150"/>
      <c r="DE607" s="150"/>
      <c r="DF607" s="150"/>
      <c r="DG607" s="150"/>
      <c r="DH607" s="150"/>
      <c r="DI607" s="150"/>
      <c r="DJ607" s="150"/>
      <c r="DK607" s="150"/>
      <c r="DL607" s="150"/>
      <c r="DM607" s="150"/>
      <c r="DN607" s="150"/>
      <c r="DO607" s="150"/>
      <c r="DP607" s="150"/>
      <c r="DQ607" s="150"/>
      <c r="DR607" s="150"/>
      <c r="DS607" s="150"/>
      <c r="DT607" s="150"/>
      <c r="DU607" s="150"/>
      <c r="DV607" s="150"/>
      <c r="DW607" s="150"/>
      <c r="DX607" s="150"/>
      <c r="DY607" s="150"/>
      <c r="DZ607" s="150"/>
      <c r="EA607" s="150"/>
      <c r="EB607" s="150"/>
      <c r="EC607" s="150"/>
      <c r="ED607" s="150"/>
      <c r="EE607" s="150"/>
      <c r="EF607" s="150"/>
      <c r="EG607" s="150"/>
      <c r="EH607" s="150"/>
      <c r="EI607" s="150"/>
      <c r="EJ607" s="150"/>
      <c r="EK607" s="150"/>
      <c r="EL607" s="150"/>
      <c r="EM607" s="150"/>
      <c r="EN607" s="150"/>
      <c r="EO607" s="150"/>
      <c r="EP607" s="150"/>
      <c r="EQ607" s="150"/>
      <c r="ER607" s="150"/>
      <c r="ES607" s="150"/>
      <c r="ET607" s="150"/>
      <c r="EU607" s="150"/>
      <c r="EV607" s="150"/>
      <c r="EW607" s="150"/>
      <c r="EX607" s="150"/>
      <c r="EY607" s="150"/>
      <c r="EZ607" s="150"/>
      <c r="FA607" s="150"/>
      <c r="FB607" s="150"/>
      <c r="FC607" s="150"/>
      <c r="FD607" s="150"/>
      <c r="FE607" s="150"/>
      <c r="FF607" s="150"/>
      <c r="FG607" s="150"/>
      <c r="FH607" s="150"/>
      <c r="FI607" s="150"/>
      <c r="FJ607" s="150"/>
      <c r="FK607" s="150"/>
      <c r="FL607" s="150"/>
      <c r="FM607" s="150"/>
      <c r="FN607" s="150"/>
    </row>
    <row r="608" spans="1:170" s="149" customFormat="1" x14ac:dyDescent="0.25">
      <c r="A608" s="142"/>
      <c r="B608" s="142"/>
      <c r="C608" s="142"/>
      <c r="D608" s="144"/>
      <c r="E608" s="143"/>
      <c r="F608" s="143"/>
      <c r="G608" s="144"/>
      <c r="H608" s="143"/>
      <c r="I608" s="143"/>
      <c r="J608" s="319"/>
      <c r="K608" s="319"/>
      <c r="L608" s="315"/>
      <c r="M608" s="315"/>
      <c r="N608" s="145"/>
      <c r="O608" s="145"/>
      <c r="P608" s="145"/>
      <c r="Q608" s="146"/>
      <c r="R608" s="147"/>
      <c r="S608" s="148"/>
      <c r="T608" s="148"/>
      <c r="U608" s="148"/>
      <c r="V608" s="148"/>
      <c r="W608" s="148"/>
      <c r="X608" s="148"/>
      <c r="Y608" s="148"/>
      <c r="Z608" s="148"/>
      <c r="AA608" s="148"/>
      <c r="AB608" s="148"/>
      <c r="AV608" s="150"/>
      <c r="AW608" s="150"/>
      <c r="AX608" s="150"/>
      <c r="AY608" s="150"/>
      <c r="AZ608" s="150"/>
      <c r="BA608" s="150"/>
      <c r="BB608" s="150"/>
      <c r="BC608" s="150"/>
      <c r="BD608" s="150"/>
      <c r="BE608" s="150"/>
      <c r="BF608" s="150"/>
      <c r="BG608" s="150"/>
      <c r="BH608" s="150"/>
      <c r="BI608" s="150"/>
      <c r="BJ608" s="150"/>
      <c r="BK608" s="150"/>
      <c r="BL608" s="150"/>
      <c r="BM608" s="150"/>
      <c r="BN608" s="150"/>
      <c r="BO608" s="150"/>
      <c r="BP608" s="150"/>
      <c r="BQ608" s="150"/>
      <c r="BR608" s="150"/>
      <c r="BS608" s="150"/>
      <c r="BT608" s="150"/>
      <c r="BU608" s="150"/>
      <c r="BV608" s="150"/>
      <c r="BW608" s="150"/>
      <c r="BX608" s="150"/>
      <c r="BY608" s="150"/>
      <c r="BZ608" s="150"/>
      <c r="CA608" s="150"/>
      <c r="CB608" s="150"/>
      <c r="CC608" s="150"/>
      <c r="CD608" s="150"/>
      <c r="CE608" s="150"/>
      <c r="CF608" s="150"/>
      <c r="CG608" s="150"/>
      <c r="CH608" s="150"/>
      <c r="CI608" s="150"/>
      <c r="CJ608" s="150"/>
      <c r="CK608" s="150"/>
      <c r="CL608" s="150"/>
      <c r="CM608" s="150"/>
      <c r="CN608" s="150"/>
      <c r="CO608" s="150"/>
      <c r="CP608" s="150"/>
      <c r="CQ608" s="150"/>
      <c r="CR608" s="150"/>
      <c r="CS608" s="150"/>
      <c r="CT608" s="150"/>
      <c r="CU608" s="150"/>
      <c r="CV608" s="150"/>
      <c r="CW608" s="150"/>
      <c r="CX608" s="150"/>
      <c r="CY608" s="150"/>
      <c r="CZ608" s="150"/>
      <c r="DA608" s="150"/>
      <c r="DB608" s="150"/>
      <c r="DC608" s="150"/>
      <c r="DD608" s="150"/>
      <c r="DE608" s="150"/>
      <c r="DF608" s="150"/>
      <c r="DG608" s="150"/>
      <c r="DH608" s="150"/>
      <c r="DI608" s="150"/>
      <c r="DJ608" s="150"/>
      <c r="DK608" s="150"/>
      <c r="DL608" s="150"/>
      <c r="DM608" s="150"/>
      <c r="DN608" s="150"/>
      <c r="DO608" s="150"/>
      <c r="DP608" s="150"/>
      <c r="DQ608" s="150"/>
      <c r="DR608" s="150"/>
      <c r="DS608" s="150"/>
      <c r="DT608" s="150"/>
      <c r="DU608" s="150"/>
      <c r="DV608" s="150"/>
      <c r="DW608" s="150"/>
      <c r="DX608" s="150"/>
      <c r="DY608" s="150"/>
      <c r="DZ608" s="150"/>
      <c r="EA608" s="150"/>
      <c r="EB608" s="150"/>
      <c r="EC608" s="150"/>
      <c r="ED608" s="150"/>
      <c r="EE608" s="150"/>
      <c r="EF608" s="150"/>
      <c r="EG608" s="150"/>
      <c r="EH608" s="150"/>
      <c r="EI608" s="150"/>
      <c r="EJ608" s="150"/>
      <c r="EK608" s="150"/>
      <c r="EL608" s="150"/>
      <c r="EM608" s="150"/>
      <c r="EN608" s="150"/>
      <c r="EO608" s="150"/>
      <c r="EP608" s="150"/>
      <c r="EQ608" s="150"/>
      <c r="ER608" s="150"/>
      <c r="ES608" s="150"/>
      <c r="ET608" s="150"/>
      <c r="EU608" s="150"/>
      <c r="EV608" s="150"/>
      <c r="EW608" s="150"/>
      <c r="EX608" s="150"/>
      <c r="EY608" s="150"/>
      <c r="EZ608" s="150"/>
      <c r="FA608" s="150"/>
      <c r="FB608" s="150"/>
      <c r="FC608" s="150"/>
      <c r="FD608" s="150"/>
      <c r="FE608" s="150"/>
      <c r="FF608" s="150"/>
      <c r="FG608" s="150"/>
      <c r="FH608" s="150"/>
      <c r="FI608" s="150"/>
      <c r="FJ608" s="150"/>
      <c r="FK608" s="150"/>
      <c r="FL608" s="150"/>
      <c r="FM608" s="150"/>
      <c r="FN608" s="150"/>
    </row>
    <row r="609" spans="1:170" s="149" customFormat="1" x14ac:dyDescent="0.25">
      <c r="A609" s="142"/>
      <c r="B609" s="142"/>
      <c r="C609" s="142"/>
      <c r="D609" s="144"/>
      <c r="E609" s="143"/>
      <c r="F609" s="143"/>
      <c r="G609" s="144"/>
      <c r="H609" s="143"/>
      <c r="I609" s="143"/>
      <c r="J609" s="319"/>
      <c r="K609" s="319"/>
      <c r="L609" s="315"/>
      <c r="M609" s="315"/>
      <c r="N609" s="145"/>
      <c r="O609" s="145"/>
      <c r="P609" s="145"/>
      <c r="Q609" s="146"/>
      <c r="R609" s="147"/>
      <c r="S609" s="148"/>
      <c r="T609" s="148"/>
      <c r="U609" s="148"/>
      <c r="V609" s="148"/>
      <c r="W609" s="148"/>
      <c r="X609" s="148"/>
      <c r="Y609" s="148"/>
      <c r="Z609" s="148"/>
      <c r="AA609" s="148"/>
      <c r="AB609" s="148"/>
      <c r="AV609" s="150"/>
      <c r="AW609" s="150"/>
      <c r="AX609" s="150"/>
      <c r="AY609" s="150"/>
      <c r="AZ609" s="150"/>
      <c r="BA609" s="150"/>
      <c r="BB609" s="150"/>
      <c r="BC609" s="150"/>
      <c r="BD609" s="150"/>
      <c r="BE609" s="150"/>
      <c r="BF609" s="150"/>
      <c r="BG609" s="150"/>
      <c r="BH609" s="150"/>
      <c r="BI609" s="150"/>
      <c r="BJ609" s="150"/>
      <c r="BK609" s="150"/>
      <c r="BL609" s="150"/>
      <c r="BM609" s="150"/>
      <c r="BN609" s="150"/>
      <c r="BO609" s="150"/>
      <c r="BP609" s="150"/>
      <c r="BQ609" s="150"/>
      <c r="BR609" s="150"/>
      <c r="BS609" s="150"/>
      <c r="BT609" s="150"/>
      <c r="BU609" s="150"/>
      <c r="BV609" s="150"/>
      <c r="BW609" s="150"/>
      <c r="BX609" s="150"/>
      <c r="BY609" s="150"/>
      <c r="BZ609" s="150"/>
      <c r="CA609" s="150"/>
      <c r="CB609" s="150"/>
      <c r="CC609" s="150"/>
      <c r="CD609" s="150"/>
      <c r="CE609" s="150"/>
      <c r="CF609" s="150"/>
      <c r="CG609" s="150"/>
      <c r="CH609" s="150"/>
      <c r="CI609" s="150"/>
      <c r="CJ609" s="150"/>
      <c r="CK609" s="150"/>
      <c r="CL609" s="150"/>
      <c r="CM609" s="150"/>
      <c r="CN609" s="150"/>
      <c r="CO609" s="150"/>
      <c r="CP609" s="150"/>
      <c r="CQ609" s="150"/>
      <c r="CR609" s="150"/>
      <c r="CS609" s="150"/>
      <c r="CT609" s="150"/>
      <c r="CU609" s="150"/>
      <c r="CV609" s="150"/>
      <c r="CW609" s="150"/>
      <c r="CX609" s="150"/>
      <c r="CY609" s="150"/>
      <c r="CZ609" s="150"/>
      <c r="DA609" s="150"/>
      <c r="DB609" s="150"/>
      <c r="DC609" s="150"/>
      <c r="DD609" s="150"/>
      <c r="DE609" s="150"/>
      <c r="DF609" s="150"/>
      <c r="DG609" s="150"/>
      <c r="DH609" s="150"/>
      <c r="DI609" s="150"/>
      <c r="DJ609" s="150"/>
      <c r="DK609" s="150"/>
      <c r="DL609" s="150"/>
      <c r="DM609" s="150"/>
      <c r="DN609" s="150"/>
      <c r="DO609" s="150"/>
      <c r="DP609" s="150"/>
      <c r="DQ609" s="150"/>
      <c r="DR609" s="150"/>
      <c r="DS609" s="150"/>
      <c r="DT609" s="150"/>
      <c r="DU609" s="150"/>
      <c r="DV609" s="150"/>
      <c r="DW609" s="150"/>
      <c r="DX609" s="150"/>
      <c r="DY609" s="150"/>
      <c r="DZ609" s="150"/>
      <c r="EA609" s="150"/>
      <c r="EB609" s="150"/>
      <c r="EC609" s="150"/>
      <c r="ED609" s="150"/>
      <c r="EE609" s="150"/>
      <c r="EF609" s="150"/>
      <c r="EG609" s="150"/>
      <c r="EH609" s="150"/>
      <c r="EI609" s="150"/>
      <c r="EJ609" s="150"/>
      <c r="EK609" s="150"/>
      <c r="EL609" s="150"/>
      <c r="EM609" s="150"/>
      <c r="EN609" s="150"/>
      <c r="EO609" s="150"/>
      <c r="EP609" s="150"/>
      <c r="EQ609" s="150"/>
      <c r="ER609" s="150"/>
      <c r="ES609" s="150"/>
      <c r="ET609" s="150"/>
      <c r="EU609" s="150"/>
      <c r="EV609" s="150"/>
      <c r="EW609" s="150"/>
      <c r="EX609" s="150"/>
      <c r="EY609" s="150"/>
      <c r="EZ609" s="150"/>
      <c r="FA609" s="150"/>
      <c r="FB609" s="150"/>
      <c r="FC609" s="150"/>
      <c r="FD609" s="150"/>
      <c r="FE609" s="150"/>
      <c r="FF609" s="150"/>
      <c r="FG609" s="150"/>
      <c r="FH609" s="150"/>
      <c r="FI609" s="150"/>
      <c r="FJ609" s="150"/>
      <c r="FK609" s="150"/>
      <c r="FL609" s="150"/>
      <c r="FM609" s="150"/>
      <c r="FN609" s="150"/>
    </row>
    <row r="610" spans="1:170" s="149" customFormat="1" x14ac:dyDescent="0.25">
      <c r="A610" s="142"/>
      <c r="B610" s="142"/>
      <c r="C610" s="142"/>
      <c r="D610" s="144"/>
      <c r="E610" s="143"/>
      <c r="F610" s="143"/>
      <c r="G610" s="144"/>
      <c r="H610" s="143"/>
      <c r="I610" s="143"/>
      <c r="J610" s="319"/>
      <c r="K610" s="319"/>
      <c r="L610" s="315"/>
      <c r="M610" s="315"/>
      <c r="N610" s="145"/>
      <c r="O610" s="145"/>
      <c r="P610" s="145"/>
      <c r="Q610" s="146"/>
      <c r="R610" s="147"/>
      <c r="S610" s="148"/>
      <c r="T610" s="148"/>
      <c r="U610" s="148"/>
      <c r="V610" s="148"/>
      <c r="W610" s="148"/>
      <c r="X610" s="148"/>
      <c r="Y610" s="148"/>
      <c r="Z610" s="148"/>
      <c r="AA610" s="148"/>
      <c r="AB610" s="148"/>
      <c r="AV610" s="150"/>
      <c r="AW610" s="150"/>
      <c r="AX610" s="150"/>
      <c r="AY610" s="150"/>
      <c r="AZ610" s="150"/>
      <c r="BA610" s="150"/>
      <c r="BB610" s="150"/>
      <c r="BC610" s="150"/>
      <c r="BD610" s="150"/>
      <c r="BE610" s="150"/>
      <c r="BF610" s="150"/>
      <c r="BG610" s="150"/>
      <c r="BH610" s="150"/>
      <c r="BI610" s="150"/>
      <c r="BJ610" s="150"/>
      <c r="BK610" s="150"/>
      <c r="BL610" s="150"/>
      <c r="BM610" s="150"/>
      <c r="BN610" s="150"/>
      <c r="BO610" s="150"/>
      <c r="BP610" s="150"/>
      <c r="BQ610" s="150"/>
      <c r="BR610" s="150"/>
      <c r="BS610" s="150"/>
      <c r="BT610" s="150"/>
      <c r="BU610" s="150"/>
      <c r="BV610" s="150"/>
      <c r="BW610" s="150"/>
      <c r="BX610" s="150"/>
      <c r="BY610" s="150"/>
      <c r="BZ610" s="150"/>
      <c r="CA610" s="150"/>
      <c r="CB610" s="150"/>
      <c r="CC610" s="150"/>
      <c r="CD610" s="150"/>
      <c r="CE610" s="150"/>
      <c r="CF610" s="150"/>
      <c r="CG610" s="150"/>
      <c r="CH610" s="150"/>
      <c r="CI610" s="150"/>
      <c r="CJ610" s="150"/>
      <c r="CK610" s="150"/>
      <c r="CL610" s="150"/>
      <c r="CM610" s="150"/>
      <c r="CN610" s="150"/>
      <c r="CO610" s="150"/>
      <c r="CP610" s="150"/>
      <c r="CQ610" s="150"/>
      <c r="CR610" s="150"/>
      <c r="CS610" s="150"/>
      <c r="CT610" s="150"/>
      <c r="CU610" s="150"/>
      <c r="CV610" s="150"/>
      <c r="CW610" s="150"/>
      <c r="CX610" s="150"/>
      <c r="CY610" s="150"/>
      <c r="CZ610" s="150"/>
      <c r="DA610" s="150"/>
      <c r="DB610" s="150"/>
      <c r="DC610" s="150"/>
      <c r="DD610" s="150"/>
      <c r="DE610" s="150"/>
      <c r="DF610" s="150"/>
      <c r="DG610" s="150"/>
      <c r="DH610" s="150"/>
      <c r="DI610" s="150"/>
      <c r="DJ610" s="150"/>
      <c r="DK610" s="150"/>
      <c r="DL610" s="150"/>
      <c r="DM610" s="150"/>
      <c r="DN610" s="150"/>
      <c r="DO610" s="150"/>
      <c r="DP610" s="150"/>
      <c r="DQ610" s="150"/>
      <c r="DR610" s="150"/>
      <c r="DS610" s="150"/>
      <c r="DT610" s="150"/>
      <c r="DU610" s="150"/>
      <c r="DV610" s="150"/>
      <c r="DW610" s="150"/>
      <c r="DX610" s="150"/>
      <c r="DY610" s="150"/>
      <c r="DZ610" s="150"/>
      <c r="EA610" s="150"/>
      <c r="EB610" s="150"/>
      <c r="EC610" s="150"/>
      <c r="ED610" s="150"/>
      <c r="EE610" s="150"/>
      <c r="EF610" s="150"/>
      <c r="EG610" s="150"/>
      <c r="EH610" s="150"/>
      <c r="EI610" s="150"/>
      <c r="EJ610" s="150"/>
      <c r="EK610" s="150"/>
      <c r="EL610" s="150"/>
      <c r="EM610" s="150"/>
      <c r="EN610" s="150"/>
      <c r="EO610" s="150"/>
      <c r="EP610" s="150"/>
      <c r="EQ610" s="150"/>
      <c r="ER610" s="150"/>
      <c r="ES610" s="150"/>
      <c r="ET610" s="150"/>
      <c r="EU610" s="150"/>
      <c r="EV610" s="150"/>
      <c r="EW610" s="150"/>
      <c r="EX610" s="150"/>
      <c r="EY610" s="150"/>
      <c r="EZ610" s="150"/>
      <c r="FA610" s="150"/>
      <c r="FB610" s="150"/>
      <c r="FC610" s="150"/>
      <c r="FD610" s="150"/>
      <c r="FE610" s="150"/>
      <c r="FF610" s="150"/>
      <c r="FG610" s="150"/>
      <c r="FH610" s="150"/>
      <c r="FI610" s="150"/>
      <c r="FJ610" s="150"/>
      <c r="FK610" s="150"/>
      <c r="FL610" s="150"/>
      <c r="FM610" s="150"/>
      <c r="FN610" s="150"/>
    </row>
    <row r="611" spans="1:170" s="149" customFormat="1" x14ac:dyDescent="0.25">
      <c r="A611" s="142"/>
      <c r="B611" s="142"/>
      <c r="C611" s="142"/>
      <c r="D611" s="144"/>
      <c r="E611" s="143"/>
      <c r="F611" s="143"/>
      <c r="G611" s="144"/>
      <c r="H611" s="143"/>
      <c r="I611" s="143"/>
      <c r="J611" s="319"/>
      <c r="K611" s="319"/>
      <c r="L611" s="315"/>
      <c r="M611" s="315"/>
      <c r="N611" s="145"/>
      <c r="O611" s="145"/>
      <c r="P611" s="145"/>
      <c r="Q611" s="146"/>
      <c r="R611" s="147"/>
      <c r="S611" s="148"/>
      <c r="T611" s="148"/>
      <c r="U611" s="148"/>
      <c r="V611" s="148"/>
      <c r="W611" s="148"/>
      <c r="X611" s="148"/>
      <c r="Y611" s="148"/>
      <c r="Z611" s="148"/>
      <c r="AA611" s="148"/>
      <c r="AB611" s="148"/>
      <c r="AV611" s="150"/>
      <c r="AW611" s="150"/>
      <c r="AX611" s="150"/>
      <c r="AY611" s="150"/>
      <c r="AZ611" s="150"/>
      <c r="BA611" s="150"/>
      <c r="BB611" s="150"/>
      <c r="BC611" s="150"/>
      <c r="BD611" s="150"/>
      <c r="BE611" s="150"/>
      <c r="BF611" s="150"/>
      <c r="BG611" s="150"/>
      <c r="BH611" s="150"/>
      <c r="BI611" s="150"/>
      <c r="BJ611" s="150"/>
      <c r="BK611" s="150"/>
      <c r="BL611" s="150"/>
      <c r="BM611" s="150"/>
      <c r="BN611" s="150"/>
      <c r="BO611" s="150"/>
      <c r="BP611" s="150"/>
      <c r="BQ611" s="150"/>
      <c r="BR611" s="150"/>
      <c r="BS611" s="150"/>
      <c r="BT611" s="150"/>
      <c r="BU611" s="150"/>
      <c r="BV611" s="150"/>
      <c r="BW611" s="150"/>
      <c r="BX611" s="150"/>
      <c r="BY611" s="150"/>
      <c r="BZ611" s="150"/>
      <c r="CA611" s="150"/>
      <c r="CB611" s="150"/>
      <c r="CC611" s="150"/>
      <c r="CD611" s="150"/>
      <c r="CE611" s="150"/>
      <c r="CF611" s="150"/>
      <c r="CG611" s="150"/>
      <c r="CH611" s="150"/>
      <c r="CI611" s="150"/>
      <c r="CJ611" s="150"/>
      <c r="CK611" s="150"/>
      <c r="CL611" s="150"/>
      <c r="CM611" s="150"/>
      <c r="CN611" s="150"/>
      <c r="CO611" s="150"/>
      <c r="CP611" s="150"/>
      <c r="CQ611" s="150"/>
      <c r="CR611" s="150"/>
      <c r="CS611" s="150"/>
      <c r="CT611" s="150"/>
      <c r="CU611" s="150"/>
      <c r="CV611" s="150"/>
      <c r="CW611" s="150"/>
      <c r="CX611" s="150"/>
      <c r="CY611" s="150"/>
      <c r="CZ611" s="150"/>
      <c r="DA611" s="150"/>
      <c r="DB611" s="150"/>
      <c r="DC611" s="150"/>
      <c r="DD611" s="150"/>
      <c r="DE611" s="150"/>
      <c r="DF611" s="150"/>
      <c r="DG611" s="150"/>
      <c r="DH611" s="150"/>
      <c r="DI611" s="150"/>
      <c r="DJ611" s="150"/>
      <c r="DK611" s="150"/>
      <c r="DL611" s="150"/>
      <c r="DM611" s="150"/>
      <c r="DN611" s="150"/>
      <c r="DO611" s="150"/>
      <c r="DP611" s="150"/>
      <c r="DQ611" s="150"/>
      <c r="DR611" s="150"/>
      <c r="DS611" s="150"/>
      <c r="DT611" s="150"/>
      <c r="DU611" s="150"/>
      <c r="DV611" s="150"/>
      <c r="DW611" s="150"/>
      <c r="DX611" s="150"/>
      <c r="DY611" s="150"/>
      <c r="DZ611" s="150"/>
      <c r="EA611" s="150"/>
      <c r="EB611" s="150"/>
      <c r="EC611" s="150"/>
      <c r="ED611" s="150"/>
      <c r="EE611" s="150"/>
      <c r="EF611" s="150"/>
      <c r="EG611" s="150"/>
      <c r="EH611" s="150"/>
      <c r="EI611" s="150"/>
      <c r="EJ611" s="150"/>
      <c r="EK611" s="150"/>
      <c r="EL611" s="150"/>
      <c r="EM611" s="150"/>
      <c r="EN611" s="150"/>
      <c r="EO611" s="150"/>
      <c r="EP611" s="150"/>
      <c r="EQ611" s="150"/>
      <c r="ER611" s="150"/>
      <c r="ES611" s="150"/>
      <c r="ET611" s="150"/>
      <c r="EU611" s="150"/>
      <c r="EV611" s="150"/>
      <c r="EW611" s="150"/>
      <c r="EX611" s="150"/>
      <c r="EY611" s="150"/>
      <c r="EZ611" s="150"/>
      <c r="FA611" s="150"/>
      <c r="FB611" s="150"/>
      <c r="FC611" s="150"/>
      <c r="FD611" s="150"/>
      <c r="FE611" s="150"/>
      <c r="FF611" s="150"/>
      <c r="FG611" s="150"/>
      <c r="FH611" s="150"/>
      <c r="FI611" s="150"/>
      <c r="FJ611" s="150"/>
      <c r="FK611" s="150"/>
      <c r="FL611" s="150"/>
      <c r="FM611" s="150"/>
      <c r="FN611" s="150"/>
    </row>
    <row r="612" spans="1:170" s="149" customFormat="1" x14ac:dyDescent="0.25">
      <c r="A612" s="142"/>
      <c r="B612" s="142"/>
      <c r="C612" s="142"/>
      <c r="D612" s="144"/>
      <c r="E612" s="143"/>
      <c r="F612" s="143"/>
      <c r="G612" s="144"/>
      <c r="H612" s="143"/>
      <c r="I612" s="143"/>
      <c r="J612" s="319"/>
      <c r="K612" s="319"/>
      <c r="L612" s="315"/>
      <c r="M612" s="315"/>
      <c r="N612" s="145"/>
      <c r="O612" s="145"/>
      <c r="P612" s="145"/>
      <c r="Q612" s="146"/>
      <c r="R612" s="147"/>
      <c r="S612" s="148"/>
      <c r="T612" s="148"/>
      <c r="U612" s="148"/>
      <c r="V612" s="148"/>
      <c r="W612" s="148"/>
      <c r="X612" s="148"/>
      <c r="Y612" s="148"/>
      <c r="Z612" s="148"/>
      <c r="AA612" s="148"/>
      <c r="AB612" s="148"/>
      <c r="AV612" s="150"/>
      <c r="AW612" s="150"/>
      <c r="AX612" s="150"/>
      <c r="AY612" s="150"/>
      <c r="AZ612" s="150"/>
      <c r="BA612" s="150"/>
      <c r="BB612" s="150"/>
      <c r="BC612" s="150"/>
      <c r="BD612" s="150"/>
      <c r="BE612" s="150"/>
      <c r="BF612" s="150"/>
      <c r="BG612" s="150"/>
      <c r="BH612" s="150"/>
      <c r="BI612" s="150"/>
      <c r="BJ612" s="150"/>
      <c r="BK612" s="150"/>
      <c r="BL612" s="150"/>
      <c r="BM612" s="150"/>
      <c r="BN612" s="150"/>
      <c r="BO612" s="150"/>
      <c r="BP612" s="150"/>
      <c r="BQ612" s="150"/>
      <c r="BR612" s="150"/>
      <c r="BS612" s="150"/>
      <c r="BT612" s="150"/>
      <c r="BU612" s="150"/>
      <c r="BV612" s="150"/>
      <c r="BW612" s="150"/>
      <c r="BX612" s="150"/>
      <c r="BY612" s="150"/>
      <c r="BZ612" s="150"/>
      <c r="CA612" s="150"/>
      <c r="CB612" s="150"/>
      <c r="CC612" s="150"/>
      <c r="CD612" s="150"/>
      <c r="CE612" s="150"/>
      <c r="CF612" s="150"/>
      <c r="CG612" s="150"/>
      <c r="CH612" s="150"/>
      <c r="CI612" s="150"/>
      <c r="CJ612" s="150"/>
      <c r="CK612" s="150"/>
      <c r="CL612" s="150"/>
      <c r="CM612" s="150"/>
      <c r="CN612" s="150"/>
      <c r="CO612" s="150"/>
      <c r="CP612" s="150"/>
      <c r="CQ612" s="150"/>
      <c r="CR612" s="150"/>
      <c r="CS612" s="150"/>
      <c r="CT612" s="150"/>
      <c r="CU612" s="150"/>
      <c r="CV612" s="150"/>
      <c r="CW612" s="150"/>
      <c r="CX612" s="150"/>
      <c r="CY612" s="150"/>
      <c r="CZ612" s="150"/>
      <c r="DA612" s="150"/>
      <c r="DB612" s="150"/>
      <c r="DC612" s="150"/>
      <c r="DD612" s="150"/>
      <c r="DE612" s="150"/>
      <c r="DF612" s="150"/>
      <c r="DG612" s="150"/>
      <c r="DH612" s="150"/>
      <c r="DI612" s="150"/>
      <c r="DJ612" s="150"/>
      <c r="DK612" s="150"/>
      <c r="DL612" s="150"/>
      <c r="DM612" s="150"/>
      <c r="DN612" s="150"/>
      <c r="DO612" s="150"/>
      <c r="DP612" s="150"/>
      <c r="DQ612" s="150"/>
      <c r="DR612" s="150"/>
      <c r="DS612" s="150"/>
      <c r="DT612" s="150"/>
      <c r="DU612" s="150"/>
      <c r="DV612" s="150"/>
      <c r="DW612" s="150"/>
      <c r="DX612" s="150"/>
      <c r="DY612" s="150"/>
      <c r="DZ612" s="150"/>
      <c r="EA612" s="150"/>
      <c r="EB612" s="150"/>
      <c r="EC612" s="150"/>
      <c r="ED612" s="150"/>
      <c r="EE612" s="150"/>
      <c r="EF612" s="150"/>
      <c r="EG612" s="150"/>
      <c r="EH612" s="150"/>
      <c r="EI612" s="150"/>
      <c r="EJ612" s="150"/>
      <c r="EK612" s="150"/>
      <c r="EL612" s="150"/>
      <c r="EM612" s="150"/>
      <c r="EN612" s="150"/>
      <c r="EO612" s="150"/>
      <c r="EP612" s="150"/>
      <c r="EQ612" s="150"/>
      <c r="ER612" s="150"/>
      <c r="ES612" s="150"/>
      <c r="ET612" s="150"/>
      <c r="EU612" s="150"/>
      <c r="EV612" s="150"/>
      <c r="EW612" s="150"/>
      <c r="EX612" s="150"/>
      <c r="EY612" s="150"/>
      <c r="EZ612" s="150"/>
      <c r="FA612" s="150"/>
      <c r="FB612" s="150"/>
      <c r="FC612" s="150"/>
      <c r="FD612" s="150"/>
      <c r="FE612" s="150"/>
      <c r="FF612" s="150"/>
      <c r="FG612" s="150"/>
      <c r="FH612" s="150"/>
      <c r="FI612" s="150"/>
      <c r="FJ612" s="150"/>
      <c r="FK612" s="150"/>
      <c r="FL612" s="150"/>
      <c r="FM612" s="150"/>
      <c r="FN612" s="150"/>
    </row>
    <row r="613" spans="1:170" s="149" customFormat="1" x14ac:dyDescent="0.25">
      <c r="A613" s="142"/>
      <c r="B613" s="142"/>
      <c r="C613" s="142"/>
      <c r="D613" s="144"/>
      <c r="E613" s="143"/>
      <c r="F613" s="143"/>
      <c r="G613" s="144"/>
      <c r="H613" s="143"/>
      <c r="I613" s="143"/>
      <c r="J613" s="319"/>
      <c r="K613" s="319"/>
      <c r="L613" s="315"/>
      <c r="M613" s="315"/>
      <c r="N613" s="145"/>
      <c r="O613" s="145"/>
      <c r="P613" s="145"/>
      <c r="Q613" s="146"/>
      <c r="R613" s="147"/>
      <c r="S613" s="148"/>
      <c r="T613" s="148"/>
      <c r="U613" s="148"/>
      <c r="V613" s="148"/>
      <c r="W613" s="148"/>
      <c r="X613" s="148"/>
      <c r="Y613" s="148"/>
      <c r="Z613" s="148"/>
      <c r="AA613" s="148"/>
      <c r="AB613" s="148"/>
      <c r="AV613" s="150"/>
      <c r="AW613" s="150"/>
      <c r="AX613" s="150"/>
      <c r="AY613" s="150"/>
      <c r="AZ613" s="150"/>
      <c r="BA613" s="150"/>
      <c r="BB613" s="150"/>
      <c r="BC613" s="150"/>
      <c r="BD613" s="150"/>
      <c r="BE613" s="150"/>
      <c r="BF613" s="150"/>
      <c r="BG613" s="150"/>
      <c r="BH613" s="150"/>
      <c r="BI613" s="150"/>
      <c r="BJ613" s="150"/>
      <c r="BK613" s="150"/>
      <c r="BL613" s="150"/>
      <c r="BM613" s="150"/>
      <c r="BN613" s="150"/>
      <c r="BO613" s="150"/>
      <c r="BP613" s="150"/>
      <c r="BQ613" s="150"/>
      <c r="BR613" s="150"/>
      <c r="BS613" s="150"/>
      <c r="BT613" s="150"/>
      <c r="BU613" s="150"/>
      <c r="BV613" s="150"/>
      <c r="BW613" s="150"/>
      <c r="BX613" s="150"/>
      <c r="BY613" s="150"/>
      <c r="BZ613" s="150"/>
      <c r="CA613" s="150"/>
      <c r="CB613" s="150"/>
      <c r="CC613" s="150"/>
      <c r="CD613" s="150"/>
      <c r="CE613" s="150"/>
      <c r="CF613" s="150"/>
      <c r="CG613" s="150"/>
      <c r="CH613" s="150"/>
      <c r="CI613" s="150"/>
      <c r="CJ613" s="150"/>
      <c r="CK613" s="150"/>
      <c r="CL613" s="150"/>
      <c r="CM613" s="150"/>
      <c r="CN613" s="150"/>
      <c r="CO613" s="150"/>
      <c r="CP613" s="150"/>
      <c r="CQ613" s="150"/>
      <c r="CR613" s="150"/>
      <c r="CS613" s="150"/>
      <c r="CT613" s="150"/>
      <c r="CU613" s="150"/>
      <c r="CV613" s="150"/>
      <c r="CW613" s="150"/>
      <c r="CX613" s="150"/>
      <c r="CY613" s="150"/>
      <c r="CZ613" s="150"/>
      <c r="DA613" s="150"/>
      <c r="DB613" s="150"/>
      <c r="DC613" s="150"/>
      <c r="DD613" s="150"/>
      <c r="DE613" s="150"/>
      <c r="DF613" s="150"/>
      <c r="DG613" s="150"/>
      <c r="DH613" s="150"/>
      <c r="DI613" s="150"/>
      <c r="DJ613" s="150"/>
      <c r="DK613" s="150"/>
      <c r="DL613" s="150"/>
      <c r="DM613" s="150"/>
      <c r="DN613" s="150"/>
      <c r="DO613" s="150"/>
      <c r="DP613" s="150"/>
      <c r="DQ613" s="150"/>
      <c r="DR613" s="150"/>
      <c r="DS613" s="150"/>
      <c r="DT613" s="150"/>
      <c r="DU613" s="150"/>
      <c r="DV613" s="150"/>
      <c r="DW613" s="150"/>
      <c r="DX613" s="150"/>
      <c r="DY613" s="150"/>
      <c r="DZ613" s="150"/>
      <c r="EA613" s="150"/>
      <c r="EB613" s="150"/>
      <c r="EC613" s="150"/>
      <c r="ED613" s="150"/>
      <c r="EE613" s="150"/>
      <c r="EF613" s="150"/>
      <c r="EG613" s="150"/>
      <c r="EH613" s="150"/>
      <c r="EI613" s="150"/>
      <c r="EJ613" s="150"/>
      <c r="EK613" s="150"/>
      <c r="EL613" s="150"/>
      <c r="EM613" s="150"/>
      <c r="EN613" s="150"/>
      <c r="EO613" s="150"/>
      <c r="EP613" s="150"/>
      <c r="EQ613" s="150"/>
      <c r="ER613" s="150"/>
      <c r="ES613" s="150"/>
      <c r="ET613" s="150"/>
      <c r="EU613" s="150"/>
      <c r="EV613" s="150"/>
      <c r="EW613" s="150"/>
      <c r="EX613" s="150"/>
      <c r="EY613" s="150"/>
      <c r="EZ613" s="150"/>
      <c r="FA613" s="150"/>
      <c r="FB613" s="150"/>
      <c r="FC613" s="150"/>
      <c r="FD613" s="150"/>
      <c r="FE613" s="150"/>
      <c r="FF613" s="150"/>
      <c r="FG613" s="150"/>
      <c r="FH613" s="150"/>
      <c r="FI613" s="150"/>
      <c r="FJ613" s="150"/>
      <c r="FK613" s="150"/>
      <c r="FL613" s="150"/>
      <c r="FM613" s="150"/>
      <c r="FN613" s="150"/>
    </row>
    <row r="614" spans="1:170" s="149" customFormat="1" x14ac:dyDescent="0.25">
      <c r="A614" s="142"/>
      <c r="B614" s="142"/>
      <c r="C614" s="142"/>
      <c r="D614" s="144"/>
      <c r="E614" s="143"/>
      <c r="F614" s="143"/>
      <c r="G614" s="144"/>
      <c r="H614" s="143"/>
      <c r="I614" s="143"/>
      <c r="J614" s="319"/>
      <c r="K614" s="319"/>
      <c r="L614" s="315"/>
      <c r="M614" s="315"/>
      <c r="N614" s="145"/>
      <c r="O614" s="145"/>
      <c r="P614" s="145"/>
      <c r="Q614" s="146"/>
      <c r="R614" s="147"/>
      <c r="S614" s="148"/>
      <c r="T614" s="148"/>
      <c r="U614" s="148"/>
      <c r="V614" s="148"/>
      <c r="W614" s="148"/>
      <c r="X614" s="148"/>
      <c r="Y614" s="148"/>
      <c r="Z614" s="148"/>
      <c r="AA614" s="148"/>
      <c r="AB614" s="148"/>
      <c r="AV614" s="150"/>
      <c r="AW614" s="150"/>
      <c r="AX614" s="150"/>
      <c r="AY614" s="150"/>
      <c r="AZ614" s="150"/>
      <c r="BA614" s="150"/>
      <c r="BB614" s="150"/>
      <c r="BC614" s="150"/>
      <c r="BD614" s="150"/>
      <c r="BE614" s="150"/>
      <c r="BF614" s="150"/>
      <c r="BG614" s="150"/>
      <c r="BH614" s="150"/>
      <c r="BI614" s="150"/>
      <c r="BJ614" s="150"/>
      <c r="BK614" s="150"/>
      <c r="BL614" s="150"/>
      <c r="BM614" s="150"/>
      <c r="BN614" s="150"/>
      <c r="BO614" s="150"/>
      <c r="BP614" s="150"/>
      <c r="BQ614" s="150"/>
      <c r="BR614" s="150"/>
      <c r="BS614" s="150"/>
      <c r="BT614" s="150"/>
      <c r="BU614" s="150"/>
      <c r="BV614" s="150"/>
      <c r="BW614" s="150"/>
      <c r="BX614" s="150"/>
      <c r="BY614" s="150"/>
      <c r="BZ614" s="150"/>
      <c r="CA614" s="150"/>
      <c r="CB614" s="150"/>
      <c r="CC614" s="150"/>
      <c r="CD614" s="150"/>
      <c r="CE614" s="150"/>
      <c r="CF614" s="150"/>
      <c r="CG614" s="150"/>
      <c r="CH614" s="150"/>
      <c r="CI614" s="150"/>
      <c r="CJ614" s="150"/>
      <c r="CK614" s="150"/>
      <c r="CL614" s="150"/>
      <c r="CM614" s="150"/>
      <c r="CN614" s="150"/>
      <c r="CO614" s="150"/>
      <c r="CP614" s="150"/>
      <c r="CQ614" s="150"/>
      <c r="CR614" s="150"/>
      <c r="CS614" s="150"/>
      <c r="CT614" s="150"/>
      <c r="CU614" s="150"/>
      <c r="CV614" s="150"/>
      <c r="CW614" s="150"/>
      <c r="CX614" s="150"/>
      <c r="CY614" s="150"/>
      <c r="CZ614" s="150"/>
      <c r="DA614" s="150"/>
      <c r="DB614" s="150"/>
      <c r="DC614" s="150"/>
      <c r="DD614" s="150"/>
      <c r="DE614" s="150"/>
      <c r="DF614" s="150"/>
      <c r="DG614" s="150"/>
      <c r="DH614" s="150"/>
      <c r="DI614" s="150"/>
      <c r="DJ614" s="150"/>
      <c r="DK614" s="150"/>
      <c r="DL614" s="150"/>
      <c r="DM614" s="150"/>
      <c r="DN614" s="150"/>
      <c r="DO614" s="150"/>
      <c r="DP614" s="150"/>
      <c r="DQ614" s="150"/>
      <c r="DR614" s="150"/>
      <c r="DS614" s="150"/>
      <c r="DT614" s="150"/>
      <c r="DU614" s="150"/>
      <c r="DV614" s="150"/>
      <c r="DW614" s="150"/>
      <c r="DX614" s="150"/>
      <c r="DY614" s="150"/>
      <c r="DZ614" s="150"/>
      <c r="EA614" s="150"/>
      <c r="EB614" s="150"/>
      <c r="EC614" s="150"/>
      <c r="ED614" s="150"/>
      <c r="EE614" s="150"/>
      <c r="EF614" s="150"/>
      <c r="EG614" s="150"/>
      <c r="EH614" s="150"/>
      <c r="EI614" s="150"/>
      <c r="EJ614" s="150"/>
      <c r="EK614" s="150"/>
      <c r="EL614" s="150"/>
      <c r="EM614" s="150"/>
      <c r="EN614" s="150"/>
      <c r="EO614" s="150"/>
      <c r="EP614" s="150"/>
      <c r="EQ614" s="150"/>
      <c r="ER614" s="150"/>
      <c r="ES614" s="150"/>
      <c r="ET614" s="150"/>
      <c r="EU614" s="150"/>
      <c r="EV614" s="150"/>
      <c r="EW614" s="150"/>
      <c r="EX614" s="150"/>
      <c r="EY614" s="150"/>
      <c r="EZ614" s="150"/>
      <c r="FA614" s="150"/>
      <c r="FB614" s="150"/>
      <c r="FC614" s="150"/>
      <c r="FD614" s="150"/>
      <c r="FE614" s="150"/>
      <c r="FF614" s="150"/>
      <c r="FG614" s="150"/>
      <c r="FH614" s="150"/>
      <c r="FI614" s="150"/>
      <c r="FJ614" s="150"/>
      <c r="FK614" s="150"/>
      <c r="FL614" s="150"/>
      <c r="FM614" s="150"/>
      <c r="FN614" s="150"/>
    </row>
    <row r="615" spans="1:170" s="149" customFormat="1" x14ac:dyDescent="0.25">
      <c r="A615" s="142"/>
      <c r="B615" s="142"/>
      <c r="C615" s="142"/>
      <c r="D615" s="144"/>
      <c r="E615" s="143"/>
      <c r="F615" s="143"/>
      <c r="G615" s="144"/>
      <c r="H615" s="143"/>
      <c r="I615" s="143"/>
      <c r="J615" s="319"/>
      <c r="K615" s="319"/>
      <c r="L615" s="315"/>
      <c r="M615" s="315"/>
      <c r="N615" s="145"/>
      <c r="O615" s="145"/>
      <c r="P615" s="145"/>
      <c r="Q615" s="146"/>
      <c r="R615" s="147"/>
      <c r="S615" s="148"/>
      <c r="T615" s="148"/>
      <c r="U615" s="148"/>
      <c r="V615" s="148"/>
      <c r="W615" s="148"/>
      <c r="X615" s="148"/>
      <c r="Y615" s="148"/>
      <c r="Z615" s="148"/>
      <c r="AA615" s="148"/>
      <c r="AB615" s="148"/>
      <c r="AV615" s="150"/>
      <c r="AW615" s="150"/>
      <c r="AX615" s="150"/>
      <c r="AY615" s="150"/>
      <c r="AZ615" s="150"/>
      <c r="BA615" s="150"/>
      <c r="BB615" s="150"/>
      <c r="BC615" s="150"/>
      <c r="BD615" s="150"/>
      <c r="BE615" s="150"/>
      <c r="BF615" s="150"/>
      <c r="BG615" s="150"/>
      <c r="BH615" s="150"/>
      <c r="BI615" s="150"/>
      <c r="BJ615" s="150"/>
      <c r="BK615" s="150"/>
      <c r="BL615" s="150"/>
      <c r="BM615" s="150"/>
      <c r="BN615" s="150"/>
      <c r="BO615" s="150"/>
      <c r="BP615" s="150"/>
      <c r="BQ615" s="150"/>
      <c r="BR615" s="150"/>
      <c r="BS615" s="150"/>
      <c r="BT615" s="150"/>
      <c r="BU615" s="150"/>
      <c r="BV615" s="150"/>
      <c r="BW615" s="150"/>
      <c r="BX615" s="150"/>
      <c r="BY615" s="150"/>
      <c r="BZ615" s="150"/>
      <c r="CA615" s="150"/>
      <c r="CB615" s="150"/>
      <c r="CC615" s="150"/>
      <c r="CD615" s="150"/>
      <c r="CE615" s="150"/>
      <c r="CF615" s="150"/>
      <c r="CG615" s="150"/>
      <c r="CH615" s="150"/>
      <c r="CI615" s="150"/>
      <c r="CJ615" s="150"/>
      <c r="CK615" s="150"/>
      <c r="CL615" s="150"/>
      <c r="CM615" s="150"/>
      <c r="CN615" s="150"/>
      <c r="CO615" s="150"/>
      <c r="CP615" s="150"/>
      <c r="CQ615" s="150"/>
      <c r="CR615" s="150"/>
      <c r="CS615" s="150"/>
      <c r="CT615" s="150"/>
      <c r="CU615" s="150"/>
      <c r="CV615" s="150"/>
      <c r="CW615" s="150"/>
      <c r="CX615" s="150"/>
      <c r="CY615" s="150"/>
      <c r="CZ615" s="150"/>
      <c r="DA615" s="150"/>
      <c r="DB615" s="150"/>
      <c r="DC615" s="150"/>
      <c r="DD615" s="150"/>
      <c r="DE615" s="150"/>
      <c r="DF615" s="150"/>
      <c r="DG615" s="150"/>
      <c r="DH615" s="150"/>
      <c r="DI615" s="150"/>
      <c r="DJ615" s="150"/>
      <c r="DK615" s="150"/>
      <c r="DL615" s="150"/>
      <c r="DM615" s="150"/>
      <c r="DN615" s="150"/>
      <c r="DO615" s="150"/>
      <c r="DP615" s="150"/>
      <c r="DQ615" s="150"/>
      <c r="DR615" s="150"/>
      <c r="DS615" s="150"/>
      <c r="DT615" s="150"/>
      <c r="DU615" s="150"/>
      <c r="DV615" s="150"/>
      <c r="DW615" s="150"/>
      <c r="DX615" s="150"/>
      <c r="DY615" s="150"/>
      <c r="DZ615" s="150"/>
      <c r="EA615" s="150"/>
      <c r="EB615" s="150"/>
      <c r="EC615" s="150"/>
      <c r="ED615" s="150"/>
      <c r="EE615" s="150"/>
      <c r="EF615" s="150"/>
      <c r="EG615" s="150"/>
      <c r="EH615" s="150"/>
      <c r="EI615" s="150"/>
      <c r="EJ615" s="150"/>
      <c r="EK615" s="150"/>
      <c r="EL615" s="150"/>
      <c r="EM615" s="150"/>
      <c r="EN615" s="150"/>
      <c r="EO615" s="150"/>
      <c r="EP615" s="150"/>
      <c r="EQ615" s="150"/>
      <c r="ER615" s="150"/>
      <c r="ES615" s="150"/>
      <c r="ET615" s="150"/>
      <c r="EU615" s="150"/>
      <c r="EV615" s="150"/>
      <c r="EW615" s="150"/>
      <c r="EX615" s="150"/>
      <c r="EY615" s="150"/>
      <c r="EZ615" s="150"/>
      <c r="FA615" s="150"/>
      <c r="FB615" s="150"/>
      <c r="FC615" s="150"/>
      <c r="FD615" s="150"/>
      <c r="FE615" s="150"/>
      <c r="FF615" s="150"/>
      <c r="FG615" s="150"/>
      <c r="FH615" s="150"/>
      <c r="FI615" s="150"/>
      <c r="FJ615" s="150"/>
      <c r="FK615" s="150"/>
      <c r="FL615" s="150"/>
      <c r="FM615" s="150"/>
      <c r="FN615" s="150"/>
    </row>
    <row r="616" spans="1:170" s="149" customFormat="1" x14ac:dyDescent="0.25">
      <c r="A616" s="142"/>
      <c r="B616" s="142"/>
      <c r="C616" s="142"/>
      <c r="D616" s="144"/>
      <c r="E616" s="143"/>
      <c r="F616" s="143"/>
      <c r="G616" s="144"/>
      <c r="H616" s="143"/>
      <c r="I616" s="143"/>
      <c r="J616" s="319"/>
      <c r="K616" s="319"/>
      <c r="L616" s="315"/>
      <c r="M616" s="315"/>
      <c r="N616" s="145"/>
      <c r="O616" s="145"/>
      <c r="P616" s="145"/>
      <c r="Q616" s="146"/>
      <c r="R616" s="147"/>
      <c r="S616" s="148"/>
      <c r="T616" s="148"/>
      <c r="U616" s="148"/>
      <c r="V616" s="148"/>
      <c r="W616" s="148"/>
      <c r="X616" s="148"/>
      <c r="Y616" s="148"/>
      <c r="Z616" s="148"/>
      <c r="AA616" s="148"/>
      <c r="AB616" s="148"/>
      <c r="AV616" s="150"/>
      <c r="AW616" s="150"/>
      <c r="AX616" s="150"/>
      <c r="AY616" s="150"/>
      <c r="AZ616" s="150"/>
      <c r="BA616" s="150"/>
      <c r="BB616" s="150"/>
      <c r="BC616" s="150"/>
      <c r="BD616" s="150"/>
      <c r="BE616" s="150"/>
      <c r="BF616" s="150"/>
      <c r="BG616" s="150"/>
      <c r="BH616" s="150"/>
      <c r="BI616" s="150"/>
      <c r="BJ616" s="150"/>
      <c r="BK616" s="150"/>
      <c r="BL616" s="150"/>
      <c r="BM616" s="150"/>
      <c r="BN616" s="150"/>
      <c r="BO616" s="150"/>
      <c r="BP616" s="150"/>
      <c r="BQ616" s="150"/>
      <c r="BR616" s="150"/>
      <c r="BS616" s="150"/>
      <c r="BT616" s="150"/>
      <c r="BU616" s="150"/>
      <c r="BV616" s="150"/>
      <c r="BW616" s="150"/>
      <c r="BX616" s="150"/>
      <c r="BY616" s="150"/>
      <c r="BZ616" s="150"/>
      <c r="CA616" s="150"/>
      <c r="CB616" s="150"/>
      <c r="CC616" s="150"/>
      <c r="CD616" s="150"/>
      <c r="CE616" s="150"/>
      <c r="CF616" s="150"/>
      <c r="CG616" s="150"/>
      <c r="CH616" s="150"/>
      <c r="CI616" s="150"/>
      <c r="CJ616" s="150"/>
      <c r="CK616" s="150"/>
      <c r="CL616" s="150"/>
      <c r="CM616" s="150"/>
      <c r="CN616" s="150"/>
      <c r="CO616" s="150"/>
      <c r="CP616" s="150"/>
      <c r="CQ616" s="150"/>
      <c r="CR616" s="150"/>
      <c r="CS616" s="150"/>
      <c r="CT616" s="150"/>
      <c r="CU616" s="150"/>
      <c r="CV616" s="150"/>
      <c r="CW616" s="150"/>
      <c r="CX616" s="150"/>
      <c r="CY616" s="150"/>
      <c r="CZ616" s="150"/>
      <c r="DA616" s="150"/>
      <c r="DB616" s="150"/>
      <c r="DC616" s="150"/>
      <c r="DD616" s="150"/>
      <c r="DE616" s="150"/>
      <c r="DF616" s="150"/>
      <c r="DG616" s="150"/>
      <c r="DH616" s="150"/>
      <c r="DI616" s="150"/>
      <c r="DJ616" s="150"/>
      <c r="DK616" s="150"/>
      <c r="DL616" s="150"/>
      <c r="DM616" s="150"/>
      <c r="DN616" s="150"/>
      <c r="DO616" s="150"/>
      <c r="DP616" s="150"/>
      <c r="DQ616" s="150"/>
      <c r="DR616" s="150"/>
      <c r="DS616" s="150"/>
      <c r="DT616" s="150"/>
      <c r="DU616" s="150"/>
      <c r="DV616" s="150"/>
      <c r="DW616" s="150"/>
      <c r="DX616" s="150"/>
      <c r="DY616" s="150"/>
      <c r="DZ616" s="150"/>
      <c r="EA616" s="150"/>
      <c r="EB616" s="150"/>
      <c r="EC616" s="150"/>
      <c r="ED616" s="150"/>
      <c r="EE616" s="150"/>
      <c r="EF616" s="150"/>
      <c r="EG616" s="150"/>
      <c r="EH616" s="150"/>
      <c r="EI616" s="150"/>
      <c r="EJ616" s="150"/>
      <c r="EK616" s="150"/>
      <c r="EL616" s="150"/>
      <c r="EM616" s="150"/>
      <c r="EN616" s="150"/>
      <c r="EO616" s="150"/>
      <c r="EP616" s="150"/>
      <c r="EQ616" s="150"/>
      <c r="ER616" s="150"/>
      <c r="ES616" s="150"/>
      <c r="ET616" s="150"/>
      <c r="EU616" s="150"/>
      <c r="EV616" s="150"/>
      <c r="EW616" s="150"/>
      <c r="EX616" s="150"/>
      <c r="EY616" s="150"/>
      <c r="EZ616" s="150"/>
      <c r="FA616" s="150"/>
      <c r="FB616" s="150"/>
      <c r="FC616" s="150"/>
      <c r="FD616" s="150"/>
      <c r="FE616" s="150"/>
      <c r="FF616" s="150"/>
      <c r="FG616" s="150"/>
      <c r="FH616" s="150"/>
      <c r="FI616" s="150"/>
      <c r="FJ616" s="150"/>
      <c r="FK616" s="150"/>
      <c r="FL616" s="150"/>
      <c r="FM616" s="150"/>
      <c r="FN616" s="150"/>
    </row>
    <row r="617" spans="1:170" s="149" customFormat="1" x14ac:dyDescent="0.25">
      <c r="A617" s="142"/>
      <c r="B617" s="142"/>
      <c r="C617" s="142"/>
      <c r="D617" s="144"/>
      <c r="E617" s="143"/>
      <c r="F617" s="143"/>
      <c r="G617" s="144"/>
      <c r="H617" s="143"/>
      <c r="I617" s="143"/>
      <c r="J617" s="319"/>
      <c r="K617" s="319"/>
      <c r="L617" s="315"/>
      <c r="M617" s="315"/>
      <c r="N617" s="145"/>
      <c r="O617" s="145"/>
      <c r="P617" s="145"/>
      <c r="Q617" s="146"/>
      <c r="R617" s="147"/>
      <c r="S617" s="148"/>
      <c r="T617" s="148"/>
      <c r="U617" s="148"/>
      <c r="V617" s="148"/>
      <c r="W617" s="148"/>
      <c r="X617" s="148"/>
      <c r="Y617" s="148"/>
      <c r="Z617" s="148"/>
      <c r="AA617" s="148"/>
      <c r="AB617" s="148"/>
      <c r="AV617" s="150"/>
      <c r="AW617" s="150"/>
      <c r="AX617" s="150"/>
      <c r="AY617" s="150"/>
      <c r="AZ617" s="150"/>
      <c r="BA617" s="150"/>
      <c r="BB617" s="150"/>
      <c r="BC617" s="150"/>
      <c r="BD617" s="150"/>
      <c r="BE617" s="150"/>
      <c r="BF617" s="150"/>
      <c r="BG617" s="150"/>
      <c r="BH617" s="150"/>
      <c r="BI617" s="150"/>
      <c r="BJ617" s="150"/>
      <c r="BK617" s="150"/>
      <c r="BL617" s="150"/>
      <c r="BM617" s="150"/>
      <c r="BN617" s="150"/>
      <c r="BO617" s="150"/>
      <c r="BP617" s="150"/>
      <c r="BQ617" s="150"/>
      <c r="BR617" s="150"/>
      <c r="BS617" s="150"/>
      <c r="BT617" s="150"/>
      <c r="BU617" s="150"/>
      <c r="BV617" s="150"/>
      <c r="BW617" s="150"/>
      <c r="BX617" s="150"/>
      <c r="BY617" s="150"/>
      <c r="BZ617" s="150"/>
      <c r="CA617" s="150"/>
      <c r="CB617" s="150"/>
      <c r="CC617" s="150"/>
      <c r="CD617" s="150"/>
      <c r="CE617" s="150"/>
      <c r="CF617" s="150"/>
      <c r="CG617" s="150"/>
      <c r="CH617" s="150"/>
      <c r="CI617" s="150"/>
      <c r="CJ617" s="150"/>
      <c r="CK617" s="150"/>
      <c r="CL617" s="150"/>
      <c r="CM617" s="150"/>
      <c r="CN617" s="150"/>
      <c r="CO617" s="150"/>
      <c r="CP617" s="150"/>
      <c r="CQ617" s="150"/>
      <c r="CR617" s="150"/>
      <c r="CS617" s="150"/>
      <c r="CT617" s="150"/>
      <c r="CU617" s="150"/>
      <c r="CV617" s="150"/>
      <c r="CW617" s="150"/>
      <c r="CX617" s="150"/>
      <c r="CY617" s="150"/>
      <c r="CZ617" s="150"/>
      <c r="DA617" s="150"/>
      <c r="DB617" s="150"/>
      <c r="DC617" s="150"/>
      <c r="DD617" s="150"/>
      <c r="DE617" s="150"/>
      <c r="DF617" s="150"/>
      <c r="DG617" s="150"/>
      <c r="DH617" s="150"/>
      <c r="DI617" s="150"/>
      <c r="DJ617" s="150"/>
      <c r="DK617" s="150"/>
      <c r="DL617" s="150"/>
      <c r="DM617" s="150"/>
      <c r="DN617" s="150"/>
      <c r="DO617" s="150"/>
      <c r="DP617" s="150"/>
      <c r="DQ617" s="150"/>
      <c r="DR617" s="150"/>
      <c r="DS617" s="150"/>
      <c r="DT617" s="150"/>
      <c r="DU617" s="150"/>
      <c r="DV617" s="150"/>
      <c r="DW617" s="150"/>
      <c r="DX617" s="150"/>
      <c r="DY617" s="150"/>
      <c r="DZ617" s="150"/>
      <c r="EA617" s="150"/>
      <c r="EB617" s="150"/>
      <c r="EC617" s="150"/>
      <c r="ED617" s="150"/>
      <c r="EE617" s="150"/>
      <c r="EF617" s="150"/>
      <c r="EG617" s="150"/>
      <c r="EH617" s="150"/>
      <c r="EI617" s="150"/>
      <c r="EJ617" s="150"/>
      <c r="EK617" s="150"/>
      <c r="EL617" s="150"/>
      <c r="EM617" s="150"/>
      <c r="EN617" s="150"/>
      <c r="EO617" s="150"/>
      <c r="EP617" s="150"/>
      <c r="EQ617" s="150"/>
      <c r="ER617" s="150"/>
      <c r="ES617" s="150"/>
      <c r="ET617" s="150"/>
      <c r="EU617" s="150"/>
      <c r="EV617" s="150"/>
      <c r="EW617" s="150"/>
      <c r="EX617" s="150"/>
      <c r="EY617" s="150"/>
      <c r="EZ617" s="150"/>
      <c r="FA617" s="150"/>
      <c r="FB617" s="150"/>
      <c r="FC617" s="150"/>
      <c r="FD617" s="150"/>
      <c r="FE617" s="150"/>
      <c r="FF617" s="150"/>
      <c r="FG617" s="150"/>
      <c r="FH617" s="150"/>
      <c r="FI617" s="150"/>
      <c r="FJ617" s="150"/>
      <c r="FK617" s="150"/>
      <c r="FL617" s="150"/>
      <c r="FM617" s="150"/>
      <c r="FN617" s="150"/>
    </row>
    <row r="618" spans="1:170" s="149" customFormat="1" x14ac:dyDescent="0.25">
      <c r="A618" s="142"/>
      <c r="B618" s="142"/>
      <c r="C618" s="142"/>
      <c r="D618" s="144"/>
      <c r="E618" s="143"/>
      <c r="F618" s="143"/>
      <c r="G618" s="144"/>
      <c r="H618" s="143"/>
      <c r="I618" s="143"/>
      <c r="J618" s="319"/>
      <c r="K618" s="319"/>
      <c r="L618" s="315"/>
      <c r="M618" s="315"/>
      <c r="N618" s="145"/>
      <c r="O618" s="145"/>
      <c r="P618" s="145"/>
      <c r="Q618" s="146"/>
      <c r="R618" s="147"/>
      <c r="S618" s="148"/>
      <c r="T618" s="148"/>
      <c r="U618" s="148"/>
      <c r="V618" s="148"/>
      <c r="W618" s="148"/>
      <c r="X618" s="148"/>
      <c r="Y618" s="148"/>
      <c r="Z618" s="148"/>
      <c r="AA618" s="148"/>
      <c r="AB618" s="148"/>
      <c r="AV618" s="150"/>
      <c r="AW618" s="150"/>
      <c r="AX618" s="150"/>
      <c r="AY618" s="150"/>
      <c r="AZ618" s="150"/>
      <c r="BA618" s="150"/>
      <c r="BB618" s="150"/>
      <c r="BC618" s="150"/>
      <c r="BD618" s="150"/>
      <c r="BE618" s="150"/>
      <c r="BF618" s="150"/>
      <c r="BG618" s="150"/>
      <c r="BH618" s="150"/>
      <c r="BI618" s="150"/>
      <c r="BJ618" s="150"/>
      <c r="BK618" s="150"/>
      <c r="BL618" s="150"/>
      <c r="BM618" s="150"/>
      <c r="BN618" s="150"/>
      <c r="BO618" s="150"/>
      <c r="BP618" s="150"/>
      <c r="BQ618" s="150"/>
      <c r="BR618" s="150"/>
      <c r="BS618" s="150"/>
      <c r="BT618" s="150"/>
      <c r="BU618" s="150"/>
      <c r="BV618" s="150"/>
      <c r="BW618" s="150"/>
      <c r="BX618" s="150"/>
      <c r="BY618" s="150"/>
      <c r="BZ618" s="150"/>
      <c r="CA618" s="150"/>
      <c r="CB618" s="150"/>
      <c r="CC618" s="150"/>
      <c r="CD618" s="150"/>
      <c r="CE618" s="150"/>
      <c r="CF618" s="150"/>
      <c r="CG618" s="150"/>
      <c r="CH618" s="150"/>
      <c r="CI618" s="150"/>
      <c r="CJ618" s="150"/>
      <c r="CK618" s="150"/>
      <c r="CL618" s="150"/>
      <c r="CM618" s="150"/>
      <c r="CN618" s="150"/>
      <c r="CO618" s="150"/>
      <c r="CP618" s="150"/>
      <c r="CQ618" s="150"/>
      <c r="CR618" s="150"/>
      <c r="CS618" s="150"/>
      <c r="CT618" s="150"/>
      <c r="CU618" s="150"/>
      <c r="CV618" s="150"/>
      <c r="CW618" s="150"/>
      <c r="CX618" s="150"/>
      <c r="CY618" s="150"/>
      <c r="CZ618" s="150"/>
      <c r="DA618" s="150"/>
      <c r="DB618" s="150"/>
      <c r="DC618" s="150"/>
      <c r="DD618" s="150"/>
      <c r="DE618" s="150"/>
      <c r="DF618" s="150"/>
      <c r="DG618" s="150"/>
      <c r="DH618" s="150"/>
      <c r="DI618" s="150"/>
      <c r="DJ618" s="150"/>
      <c r="DK618" s="150"/>
      <c r="DL618" s="150"/>
      <c r="DM618" s="150"/>
      <c r="DN618" s="150"/>
      <c r="DO618" s="150"/>
      <c r="DP618" s="150"/>
      <c r="DQ618" s="150"/>
      <c r="DR618" s="150"/>
      <c r="DS618" s="150"/>
      <c r="DT618" s="150"/>
      <c r="DU618" s="150"/>
      <c r="DV618" s="150"/>
      <c r="DW618" s="150"/>
      <c r="DX618" s="150"/>
      <c r="DY618" s="150"/>
      <c r="DZ618" s="150"/>
      <c r="EA618" s="150"/>
      <c r="EB618" s="150"/>
      <c r="EC618" s="150"/>
      <c r="ED618" s="150"/>
      <c r="EE618" s="150"/>
      <c r="EF618" s="150"/>
      <c r="EG618" s="150"/>
      <c r="EH618" s="150"/>
      <c r="EI618" s="150"/>
      <c r="EJ618" s="150"/>
      <c r="EK618" s="150"/>
      <c r="EL618" s="150"/>
      <c r="EM618" s="150"/>
      <c r="EN618" s="150"/>
      <c r="EO618" s="150"/>
      <c r="EP618" s="150"/>
      <c r="EQ618" s="150"/>
      <c r="ER618" s="150"/>
      <c r="ES618" s="150"/>
      <c r="ET618" s="150"/>
      <c r="EU618" s="150"/>
      <c r="EV618" s="150"/>
      <c r="EW618" s="150"/>
      <c r="EX618" s="150"/>
      <c r="EY618" s="150"/>
      <c r="EZ618" s="150"/>
      <c r="FA618" s="150"/>
      <c r="FB618" s="150"/>
      <c r="FC618" s="150"/>
      <c r="FD618" s="150"/>
      <c r="FE618" s="150"/>
      <c r="FF618" s="150"/>
      <c r="FG618" s="150"/>
      <c r="FH618" s="150"/>
      <c r="FI618" s="150"/>
      <c r="FJ618" s="150"/>
      <c r="FK618" s="150"/>
      <c r="FL618" s="150"/>
      <c r="FM618" s="150"/>
      <c r="FN618" s="150"/>
    </row>
    <row r="619" spans="1:170" s="149" customFormat="1" x14ac:dyDescent="0.25">
      <c r="A619" s="142"/>
      <c r="B619" s="142"/>
      <c r="C619" s="142"/>
      <c r="D619" s="144"/>
      <c r="E619" s="143"/>
      <c r="F619" s="143"/>
      <c r="G619" s="144"/>
      <c r="H619" s="143"/>
      <c r="I619" s="143"/>
      <c r="J619" s="319"/>
      <c r="K619" s="319"/>
      <c r="L619" s="315"/>
      <c r="M619" s="315"/>
      <c r="N619" s="145"/>
      <c r="O619" s="145"/>
      <c r="P619" s="145"/>
      <c r="Q619" s="146"/>
      <c r="R619" s="147"/>
      <c r="S619" s="148"/>
      <c r="T619" s="148"/>
      <c r="U619" s="148"/>
      <c r="V619" s="148"/>
      <c r="W619" s="148"/>
      <c r="X619" s="148"/>
      <c r="Y619" s="148"/>
      <c r="Z619" s="148"/>
      <c r="AA619" s="148"/>
      <c r="AB619" s="148"/>
      <c r="AV619" s="150"/>
      <c r="AW619" s="150"/>
      <c r="AX619" s="150"/>
      <c r="AY619" s="150"/>
      <c r="AZ619" s="150"/>
      <c r="BA619" s="150"/>
      <c r="BB619" s="150"/>
      <c r="BC619" s="150"/>
      <c r="BD619" s="150"/>
      <c r="BE619" s="150"/>
      <c r="BF619" s="150"/>
      <c r="BG619" s="150"/>
      <c r="BH619" s="150"/>
      <c r="BI619" s="150"/>
      <c r="BJ619" s="150"/>
      <c r="BK619" s="150"/>
      <c r="BL619" s="150"/>
      <c r="BM619" s="150"/>
      <c r="BN619" s="150"/>
      <c r="BO619" s="150"/>
      <c r="BP619" s="150"/>
      <c r="BQ619" s="150"/>
      <c r="BR619" s="150"/>
      <c r="BS619" s="150"/>
      <c r="BT619" s="150"/>
      <c r="BU619" s="150"/>
      <c r="BV619" s="150"/>
      <c r="BW619" s="150"/>
      <c r="BX619" s="150"/>
      <c r="BY619" s="150"/>
      <c r="BZ619" s="150"/>
      <c r="CA619" s="150"/>
      <c r="CB619" s="150"/>
      <c r="CC619" s="150"/>
      <c r="CD619" s="150"/>
      <c r="CE619" s="150"/>
      <c r="CF619" s="150"/>
      <c r="CG619" s="150"/>
      <c r="CH619" s="150"/>
      <c r="CI619" s="150"/>
      <c r="CJ619" s="150"/>
      <c r="CK619" s="150"/>
      <c r="CL619" s="150"/>
      <c r="CM619" s="150"/>
      <c r="CN619" s="150"/>
      <c r="CO619" s="150"/>
      <c r="CP619" s="150"/>
      <c r="CQ619" s="150"/>
      <c r="CR619" s="150"/>
      <c r="CS619" s="150"/>
      <c r="CT619" s="150"/>
      <c r="CU619" s="150"/>
      <c r="CV619" s="150"/>
      <c r="CW619" s="150"/>
      <c r="CX619" s="150"/>
      <c r="CY619" s="150"/>
      <c r="CZ619" s="150"/>
      <c r="DA619" s="150"/>
      <c r="DB619" s="150"/>
      <c r="DC619" s="150"/>
      <c r="DD619" s="150"/>
      <c r="DE619" s="150"/>
      <c r="DF619" s="150"/>
      <c r="DG619" s="150"/>
      <c r="DH619" s="150"/>
      <c r="DI619" s="150"/>
      <c r="DJ619" s="150"/>
      <c r="DK619" s="150"/>
      <c r="DL619" s="150"/>
      <c r="DM619" s="150"/>
      <c r="DN619" s="150"/>
      <c r="DO619" s="150"/>
      <c r="DP619" s="150"/>
      <c r="DQ619" s="150"/>
      <c r="DR619" s="150"/>
      <c r="DS619" s="150"/>
      <c r="DT619" s="150"/>
      <c r="DU619" s="150"/>
      <c r="DV619" s="150"/>
      <c r="DW619" s="150"/>
      <c r="DX619" s="150"/>
      <c r="DY619" s="150"/>
      <c r="DZ619" s="150"/>
      <c r="EA619" s="150"/>
      <c r="EB619" s="150"/>
      <c r="EC619" s="150"/>
      <c r="ED619" s="150"/>
      <c r="EE619" s="150"/>
      <c r="EF619" s="150"/>
      <c r="EG619" s="150"/>
      <c r="EH619" s="150"/>
      <c r="EI619" s="150"/>
      <c r="EJ619" s="150"/>
      <c r="EK619" s="150"/>
      <c r="EL619" s="150"/>
      <c r="EM619" s="150"/>
      <c r="EN619" s="150"/>
      <c r="EO619" s="150"/>
      <c r="EP619" s="150"/>
      <c r="EQ619" s="150"/>
      <c r="ER619" s="150"/>
      <c r="ES619" s="150"/>
      <c r="ET619" s="150"/>
      <c r="EU619" s="150"/>
      <c r="EV619" s="150"/>
      <c r="EW619" s="150"/>
      <c r="EX619" s="150"/>
      <c r="EY619" s="150"/>
      <c r="EZ619" s="150"/>
      <c r="FA619" s="150"/>
      <c r="FB619" s="150"/>
      <c r="FC619" s="150"/>
      <c r="FD619" s="150"/>
      <c r="FE619" s="150"/>
      <c r="FF619" s="150"/>
      <c r="FG619" s="150"/>
      <c r="FH619" s="150"/>
      <c r="FI619" s="150"/>
      <c r="FJ619" s="150"/>
      <c r="FK619" s="150"/>
      <c r="FL619" s="150"/>
      <c r="FM619" s="150"/>
      <c r="FN619" s="150"/>
    </row>
    <row r="620" spans="1:170" s="149" customFormat="1" x14ac:dyDescent="0.25">
      <c r="A620" s="142"/>
      <c r="B620" s="142"/>
      <c r="C620" s="142"/>
      <c r="D620" s="144"/>
      <c r="E620" s="143"/>
      <c r="F620" s="143"/>
      <c r="G620" s="144"/>
      <c r="H620" s="143"/>
      <c r="I620" s="143"/>
      <c r="J620" s="319"/>
      <c r="K620" s="319"/>
      <c r="L620" s="315"/>
      <c r="M620" s="315"/>
      <c r="N620" s="145"/>
      <c r="O620" s="145"/>
      <c r="P620" s="145"/>
      <c r="Q620" s="146"/>
      <c r="R620" s="147"/>
      <c r="S620" s="148"/>
      <c r="T620" s="148"/>
      <c r="U620" s="148"/>
      <c r="V620" s="148"/>
      <c r="W620" s="148"/>
      <c r="X620" s="148"/>
      <c r="Y620" s="148"/>
      <c r="Z620" s="148"/>
      <c r="AA620" s="148"/>
      <c r="AB620" s="148"/>
      <c r="AV620" s="150"/>
      <c r="AW620" s="150"/>
      <c r="AX620" s="150"/>
      <c r="AY620" s="150"/>
      <c r="AZ620" s="150"/>
      <c r="BA620" s="150"/>
      <c r="BB620" s="150"/>
      <c r="BC620" s="150"/>
      <c r="BD620" s="150"/>
      <c r="BE620" s="150"/>
      <c r="BF620" s="150"/>
      <c r="BG620" s="150"/>
      <c r="BH620" s="150"/>
      <c r="BI620" s="150"/>
      <c r="BJ620" s="150"/>
      <c r="BK620" s="150"/>
      <c r="BL620" s="150"/>
      <c r="BM620" s="150"/>
      <c r="BN620" s="150"/>
      <c r="BO620" s="150"/>
      <c r="BP620" s="150"/>
      <c r="BQ620" s="150"/>
      <c r="BR620" s="150"/>
      <c r="BS620" s="150"/>
      <c r="BT620" s="150"/>
      <c r="BU620" s="150"/>
      <c r="BV620" s="150"/>
      <c r="BW620" s="150"/>
      <c r="BX620" s="150"/>
      <c r="BY620" s="150"/>
      <c r="BZ620" s="150"/>
      <c r="CA620" s="150"/>
      <c r="CB620" s="150"/>
      <c r="CC620" s="150"/>
      <c r="CD620" s="150"/>
      <c r="CE620" s="150"/>
      <c r="CF620" s="150"/>
      <c r="CG620" s="150"/>
      <c r="CH620" s="150"/>
      <c r="CI620" s="150"/>
      <c r="CJ620" s="150"/>
      <c r="CK620" s="150"/>
      <c r="CL620" s="150"/>
      <c r="CM620" s="150"/>
      <c r="CN620" s="150"/>
      <c r="CO620" s="150"/>
      <c r="CP620" s="150"/>
      <c r="CQ620" s="150"/>
      <c r="CR620" s="150"/>
      <c r="CS620" s="150"/>
      <c r="CT620" s="150"/>
      <c r="CU620" s="150"/>
      <c r="CV620" s="150"/>
      <c r="CW620" s="150"/>
      <c r="CX620" s="150"/>
      <c r="CY620" s="150"/>
      <c r="CZ620" s="150"/>
      <c r="DA620" s="150"/>
      <c r="DB620" s="150"/>
      <c r="DC620" s="150"/>
      <c r="DD620" s="150"/>
      <c r="DE620" s="150"/>
      <c r="DF620" s="150"/>
      <c r="DG620" s="150"/>
      <c r="DH620" s="150"/>
      <c r="DI620" s="150"/>
      <c r="DJ620" s="150"/>
      <c r="DK620" s="150"/>
      <c r="DL620" s="150"/>
      <c r="DM620" s="150"/>
      <c r="DN620" s="150"/>
      <c r="DO620" s="150"/>
      <c r="DP620" s="150"/>
      <c r="DQ620" s="150"/>
      <c r="DR620" s="150"/>
      <c r="DS620" s="150"/>
      <c r="DT620" s="150"/>
      <c r="DU620" s="150"/>
      <c r="DV620" s="150"/>
      <c r="DW620" s="150"/>
      <c r="DX620" s="150"/>
      <c r="DY620" s="150"/>
      <c r="DZ620" s="150"/>
      <c r="EA620" s="150"/>
      <c r="EB620" s="150"/>
      <c r="EC620" s="150"/>
      <c r="ED620" s="150"/>
      <c r="EE620" s="150"/>
      <c r="EF620" s="150"/>
      <c r="EG620" s="150"/>
      <c r="EH620" s="150"/>
      <c r="EI620" s="150"/>
      <c r="EJ620" s="150"/>
      <c r="EK620" s="150"/>
      <c r="EL620" s="150"/>
      <c r="EM620" s="150"/>
      <c r="EN620" s="150"/>
      <c r="EO620" s="150"/>
      <c r="EP620" s="150"/>
      <c r="EQ620" s="150"/>
      <c r="ER620" s="150"/>
      <c r="ES620" s="150"/>
      <c r="ET620" s="150"/>
      <c r="EU620" s="150"/>
      <c r="EV620" s="150"/>
      <c r="EW620" s="150"/>
      <c r="EX620" s="150"/>
      <c r="EY620" s="150"/>
      <c r="EZ620" s="150"/>
      <c r="FA620" s="150"/>
      <c r="FB620" s="150"/>
      <c r="FC620" s="150"/>
      <c r="FD620" s="150"/>
      <c r="FE620" s="150"/>
      <c r="FF620" s="150"/>
      <c r="FG620" s="150"/>
      <c r="FH620" s="150"/>
      <c r="FI620" s="150"/>
      <c r="FJ620" s="150"/>
      <c r="FK620" s="150"/>
      <c r="FL620" s="150"/>
      <c r="FM620" s="150"/>
      <c r="FN620" s="150"/>
    </row>
    <row r="621" spans="1:170" s="149" customFormat="1" x14ac:dyDescent="0.25">
      <c r="A621" s="142"/>
      <c r="B621" s="142"/>
      <c r="C621" s="142"/>
      <c r="D621" s="144"/>
      <c r="E621" s="143"/>
      <c r="F621" s="143"/>
      <c r="G621" s="144"/>
      <c r="H621" s="143"/>
      <c r="I621" s="143"/>
      <c r="J621" s="319"/>
      <c r="K621" s="319"/>
      <c r="L621" s="315"/>
      <c r="M621" s="315"/>
      <c r="N621" s="145"/>
      <c r="O621" s="145"/>
      <c r="P621" s="145"/>
      <c r="Q621" s="146"/>
      <c r="R621" s="147"/>
      <c r="S621" s="148"/>
      <c r="T621" s="148"/>
      <c r="U621" s="148"/>
      <c r="V621" s="148"/>
      <c r="W621" s="148"/>
      <c r="X621" s="148"/>
      <c r="Y621" s="148"/>
      <c r="Z621" s="148"/>
      <c r="AA621" s="148"/>
      <c r="AB621" s="148"/>
      <c r="AV621" s="150"/>
      <c r="AW621" s="150"/>
      <c r="AX621" s="150"/>
      <c r="AY621" s="150"/>
      <c r="AZ621" s="150"/>
      <c r="BA621" s="150"/>
      <c r="BB621" s="150"/>
      <c r="BC621" s="150"/>
      <c r="BD621" s="150"/>
      <c r="BE621" s="150"/>
      <c r="BF621" s="150"/>
      <c r="BG621" s="150"/>
      <c r="BH621" s="150"/>
      <c r="BI621" s="150"/>
      <c r="BJ621" s="150"/>
      <c r="BK621" s="150"/>
      <c r="BL621" s="150"/>
      <c r="BM621" s="150"/>
      <c r="BN621" s="150"/>
      <c r="BO621" s="150"/>
      <c r="BP621" s="150"/>
      <c r="BQ621" s="150"/>
      <c r="BR621" s="150"/>
      <c r="BS621" s="150"/>
      <c r="BT621" s="150"/>
      <c r="BU621" s="150"/>
      <c r="BV621" s="150"/>
      <c r="BW621" s="150"/>
      <c r="BX621" s="150"/>
      <c r="BY621" s="150"/>
      <c r="BZ621" s="150"/>
      <c r="CA621" s="150"/>
      <c r="CB621" s="150"/>
      <c r="CC621" s="150"/>
      <c r="CD621" s="150"/>
      <c r="CE621" s="150"/>
      <c r="CF621" s="150"/>
      <c r="CG621" s="150"/>
      <c r="CH621" s="150"/>
      <c r="CI621" s="150"/>
      <c r="CJ621" s="150"/>
      <c r="CK621" s="150"/>
      <c r="CL621" s="150"/>
      <c r="CM621" s="150"/>
      <c r="CN621" s="150"/>
      <c r="CO621" s="150"/>
      <c r="CP621" s="150"/>
      <c r="CQ621" s="150"/>
      <c r="CR621" s="150"/>
      <c r="CS621" s="150"/>
      <c r="CT621" s="150"/>
      <c r="CU621" s="150"/>
      <c r="CV621" s="150"/>
      <c r="CW621" s="150"/>
      <c r="CX621" s="150"/>
      <c r="CY621" s="150"/>
      <c r="CZ621" s="150"/>
      <c r="DA621" s="150"/>
      <c r="DB621" s="150"/>
      <c r="DC621" s="150"/>
      <c r="DD621" s="150"/>
      <c r="DE621" s="150"/>
      <c r="DF621" s="150"/>
      <c r="DG621" s="150"/>
      <c r="DH621" s="150"/>
      <c r="DI621" s="150"/>
      <c r="DJ621" s="150"/>
      <c r="DK621" s="150"/>
      <c r="DL621" s="150"/>
      <c r="DM621" s="150"/>
      <c r="DN621" s="150"/>
      <c r="DO621" s="150"/>
      <c r="DP621" s="150"/>
      <c r="DQ621" s="150"/>
      <c r="DR621" s="150"/>
      <c r="DS621" s="150"/>
      <c r="DT621" s="150"/>
      <c r="DU621" s="150"/>
      <c r="DV621" s="150"/>
      <c r="DW621" s="150"/>
      <c r="DX621" s="150"/>
      <c r="DY621" s="150"/>
      <c r="DZ621" s="150"/>
      <c r="EA621" s="150"/>
      <c r="EB621" s="150"/>
      <c r="EC621" s="150"/>
      <c r="ED621" s="150"/>
      <c r="EE621" s="150"/>
      <c r="EF621" s="150"/>
      <c r="EG621" s="150"/>
      <c r="EH621" s="150"/>
      <c r="EI621" s="150"/>
      <c r="EJ621" s="150"/>
      <c r="EK621" s="150"/>
      <c r="EL621" s="150"/>
      <c r="EM621" s="150"/>
      <c r="EN621" s="150"/>
      <c r="EO621" s="150"/>
      <c r="EP621" s="150"/>
      <c r="EQ621" s="150"/>
      <c r="ER621" s="150"/>
      <c r="ES621" s="150"/>
      <c r="ET621" s="150"/>
      <c r="EU621" s="150"/>
      <c r="EV621" s="150"/>
      <c r="EW621" s="150"/>
      <c r="EX621" s="150"/>
      <c r="EY621" s="150"/>
      <c r="EZ621" s="150"/>
      <c r="FA621" s="150"/>
      <c r="FB621" s="150"/>
      <c r="FC621" s="150"/>
      <c r="FD621" s="150"/>
      <c r="FE621" s="150"/>
      <c r="FF621" s="150"/>
      <c r="FG621" s="150"/>
      <c r="FH621" s="150"/>
      <c r="FI621" s="150"/>
      <c r="FJ621" s="150"/>
      <c r="FK621" s="150"/>
      <c r="FL621" s="150"/>
      <c r="FM621" s="150"/>
      <c r="FN621" s="150"/>
    </row>
    <row r="622" spans="1:170" s="149" customFormat="1" x14ac:dyDescent="0.25">
      <c r="A622" s="142"/>
      <c r="B622" s="142"/>
      <c r="C622" s="142"/>
      <c r="D622" s="144"/>
      <c r="E622" s="143"/>
      <c r="F622" s="143"/>
      <c r="G622" s="144"/>
      <c r="H622" s="143"/>
      <c r="I622" s="143"/>
      <c r="J622" s="319"/>
      <c r="K622" s="319"/>
      <c r="L622" s="315"/>
      <c r="M622" s="315"/>
      <c r="N622" s="145"/>
      <c r="O622" s="145"/>
      <c r="P622" s="145"/>
      <c r="Q622" s="146"/>
      <c r="R622" s="147"/>
      <c r="S622" s="148"/>
      <c r="T622" s="148"/>
      <c r="U622" s="148"/>
      <c r="V622" s="148"/>
      <c r="W622" s="148"/>
      <c r="X622" s="148"/>
      <c r="Y622" s="148"/>
      <c r="Z622" s="148"/>
      <c r="AA622" s="148"/>
      <c r="AB622" s="148"/>
      <c r="AV622" s="150"/>
      <c r="AW622" s="150"/>
      <c r="AX622" s="150"/>
      <c r="AY622" s="150"/>
      <c r="AZ622" s="150"/>
      <c r="BA622" s="150"/>
      <c r="BB622" s="150"/>
      <c r="BC622" s="150"/>
      <c r="BD622" s="150"/>
      <c r="BE622" s="150"/>
      <c r="BF622" s="150"/>
      <c r="BG622" s="150"/>
      <c r="BH622" s="150"/>
      <c r="BI622" s="150"/>
      <c r="BJ622" s="150"/>
      <c r="BK622" s="150"/>
      <c r="BL622" s="150"/>
      <c r="BM622" s="150"/>
      <c r="BN622" s="150"/>
      <c r="BO622" s="150"/>
      <c r="BP622" s="150"/>
      <c r="BQ622" s="150"/>
      <c r="BR622" s="150"/>
      <c r="BS622" s="150"/>
      <c r="BT622" s="150"/>
      <c r="BU622" s="150"/>
      <c r="BV622" s="150"/>
      <c r="BW622" s="150"/>
      <c r="BX622" s="150"/>
      <c r="BY622" s="150"/>
      <c r="BZ622" s="150"/>
      <c r="CA622" s="150"/>
      <c r="CB622" s="150"/>
      <c r="CC622" s="150"/>
      <c r="CD622" s="150"/>
      <c r="CE622" s="150"/>
      <c r="CF622" s="150"/>
      <c r="CG622" s="150"/>
      <c r="CH622" s="150"/>
      <c r="CI622" s="150"/>
      <c r="CJ622" s="150"/>
      <c r="CK622" s="150"/>
      <c r="CL622" s="150"/>
      <c r="CM622" s="150"/>
      <c r="CN622" s="150"/>
      <c r="CO622" s="150"/>
      <c r="CP622" s="150"/>
      <c r="CQ622" s="150"/>
      <c r="CR622" s="150"/>
      <c r="CS622" s="150"/>
      <c r="CT622" s="150"/>
      <c r="CU622" s="150"/>
      <c r="CV622" s="150"/>
      <c r="CW622" s="150"/>
      <c r="CX622" s="150"/>
      <c r="CY622" s="150"/>
      <c r="CZ622" s="150"/>
      <c r="DA622" s="150"/>
      <c r="DB622" s="150"/>
      <c r="DC622" s="150"/>
      <c r="DD622" s="150"/>
      <c r="DE622" s="150"/>
      <c r="DF622" s="150"/>
      <c r="DG622" s="150"/>
      <c r="DH622" s="150"/>
      <c r="DI622" s="150"/>
      <c r="DJ622" s="150"/>
      <c r="DK622" s="150"/>
      <c r="DL622" s="150"/>
      <c r="DM622" s="150"/>
      <c r="DN622" s="150"/>
      <c r="DO622" s="150"/>
      <c r="DP622" s="150"/>
      <c r="DQ622" s="150"/>
      <c r="DR622" s="150"/>
      <c r="DS622" s="150"/>
      <c r="DT622" s="150"/>
      <c r="DU622" s="150"/>
      <c r="DV622" s="150"/>
      <c r="DW622" s="150"/>
      <c r="DX622" s="150"/>
      <c r="DY622" s="150"/>
      <c r="DZ622" s="150"/>
      <c r="EA622" s="150"/>
      <c r="EB622" s="150"/>
      <c r="EC622" s="150"/>
      <c r="ED622" s="150"/>
      <c r="EE622" s="150"/>
      <c r="EF622" s="150"/>
      <c r="EG622" s="150"/>
      <c r="EH622" s="150"/>
      <c r="EI622" s="150"/>
      <c r="EJ622" s="150"/>
      <c r="EK622" s="150"/>
      <c r="EL622" s="150"/>
      <c r="EM622" s="150"/>
      <c r="EN622" s="150"/>
      <c r="EO622" s="150"/>
      <c r="EP622" s="150"/>
      <c r="EQ622" s="150"/>
      <c r="ER622" s="150"/>
      <c r="ES622" s="150"/>
      <c r="ET622" s="150"/>
      <c r="EU622" s="150"/>
      <c r="EV622" s="150"/>
      <c r="EW622" s="150"/>
      <c r="EX622" s="150"/>
      <c r="EY622" s="150"/>
      <c r="EZ622" s="150"/>
      <c r="FA622" s="150"/>
      <c r="FB622" s="150"/>
      <c r="FC622" s="150"/>
      <c r="FD622" s="150"/>
      <c r="FE622" s="150"/>
      <c r="FF622" s="150"/>
      <c r="FG622" s="150"/>
      <c r="FH622" s="150"/>
      <c r="FI622" s="150"/>
      <c r="FJ622" s="150"/>
      <c r="FK622" s="150"/>
      <c r="FL622" s="150"/>
      <c r="FM622" s="150"/>
      <c r="FN622" s="150"/>
    </row>
    <row r="623" spans="1:170" s="149" customFormat="1" x14ac:dyDescent="0.25">
      <c r="A623" s="142"/>
      <c r="B623" s="142"/>
      <c r="C623" s="142"/>
      <c r="D623" s="144"/>
      <c r="E623" s="143"/>
      <c r="F623" s="143"/>
      <c r="G623" s="144"/>
      <c r="H623" s="143"/>
      <c r="I623" s="143"/>
      <c r="J623" s="319"/>
      <c r="K623" s="319"/>
      <c r="L623" s="315"/>
      <c r="M623" s="315"/>
      <c r="N623" s="145"/>
      <c r="O623" s="145"/>
      <c r="P623" s="145"/>
      <c r="Q623" s="146"/>
      <c r="R623" s="147"/>
      <c r="S623" s="148"/>
      <c r="T623" s="148"/>
      <c r="U623" s="148"/>
      <c r="V623" s="148"/>
      <c r="W623" s="148"/>
      <c r="X623" s="148"/>
      <c r="Y623" s="148"/>
      <c r="Z623" s="148"/>
      <c r="AA623" s="148"/>
      <c r="AB623" s="148"/>
      <c r="AV623" s="150"/>
      <c r="AW623" s="150"/>
      <c r="AX623" s="150"/>
      <c r="AY623" s="150"/>
      <c r="AZ623" s="150"/>
      <c r="BA623" s="150"/>
      <c r="BB623" s="150"/>
      <c r="BC623" s="150"/>
      <c r="BD623" s="150"/>
      <c r="BE623" s="150"/>
      <c r="BF623" s="150"/>
      <c r="BG623" s="150"/>
      <c r="BH623" s="150"/>
      <c r="BI623" s="150"/>
      <c r="BJ623" s="150"/>
      <c r="BK623" s="150"/>
      <c r="BL623" s="150"/>
      <c r="BM623" s="150"/>
      <c r="BN623" s="150"/>
      <c r="BO623" s="150"/>
      <c r="BP623" s="150"/>
      <c r="BQ623" s="150"/>
      <c r="BR623" s="150"/>
      <c r="BS623" s="150"/>
      <c r="BT623" s="150"/>
      <c r="BU623" s="150"/>
      <c r="BV623" s="150"/>
      <c r="BW623" s="150"/>
      <c r="BX623" s="150"/>
      <c r="BY623" s="150"/>
      <c r="BZ623" s="150"/>
      <c r="CA623" s="150"/>
      <c r="CB623" s="150"/>
      <c r="CC623" s="150"/>
      <c r="CD623" s="150"/>
      <c r="CE623" s="150"/>
      <c r="CF623" s="150"/>
      <c r="CG623" s="150"/>
      <c r="CH623" s="150"/>
      <c r="CI623" s="150"/>
      <c r="CJ623" s="150"/>
      <c r="CK623" s="150"/>
      <c r="CL623" s="150"/>
      <c r="CM623" s="150"/>
      <c r="CN623" s="150"/>
      <c r="CO623" s="150"/>
      <c r="CP623" s="150"/>
      <c r="CQ623" s="150"/>
      <c r="CR623" s="150"/>
      <c r="CS623" s="150"/>
      <c r="CT623" s="150"/>
      <c r="CU623" s="150"/>
      <c r="CV623" s="150"/>
      <c r="CW623" s="150"/>
      <c r="CX623" s="150"/>
      <c r="CY623" s="150"/>
      <c r="CZ623" s="150"/>
      <c r="DA623" s="150"/>
      <c r="DB623" s="150"/>
      <c r="DC623" s="150"/>
      <c r="DD623" s="150"/>
      <c r="DE623" s="150"/>
      <c r="DF623" s="150"/>
      <c r="DG623" s="150"/>
      <c r="DH623" s="150"/>
      <c r="DI623" s="150"/>
      <c r="DJ623" s="150"/>
      <c r="DK623" s="150"/>
      <c r="DL623" s="150"/>
      <c r="DM623" s="150"/>
      <c r="DN623" s="150"/>
      <c r="DO623" s="150"/>
      <c r="DP623" s="150"/>
      <c r="DQ623" s="150"/>
      <c r="DR623" s="150"/>
      <c r="DS623" s="150"/>
      <c r="DT623" s="150"/>
      <c r="DU623" s="150"/>
      <c r="DV623" s="150"/>
      <c r="DW623" s="150"/>
      <c r="DX623" s="150"/>
      <c r="DY623" s="150"/>
      <c r="DZ623" s="150"/>
      <c r="EA623" s="150"/>
      <c r="EB623" s="150"/>
      <c r="EC623" s="150"/>
      <c r="ED623" s="150"/>
      <c r="EE623" s="150"/>
      <c r="EF623" s="150"/>
      <c r="EG623" s="150"/>
      <c r="EH623" s="150"/>
      <c r="EI623" s="150"/>
      <c r="EJ623" s="150"/>
      <c r="EK623" s="150"/>
      <c r="EL623" s="150"/>
      <c r="EM623" s="150"/>
      <c r="EN623" s="150"/>
      <c r="EO623" s="150"/>
      <c r="EP623" s="150"/>
      <c r="EQ623" s="150"/>
      <c r="ER623" s="150"/>
      <c r="ES623" s="150"/>
      <c r="ET623" s="150"/>
      <c r="EU623" s="150"/>
      <c r="EV623" s="150"/>
      <c r="EW623" s="150"/>
      <c r="EX623" s="150"/>
      <c r="EY623" s="150"/>
      <c r="EZ623" s="150"/>
      <c r="FA623" s="150"/>
      <c r="FB623" s="150"/>
      <c r="FC623" s="150"/>
      <c r="FD623" s="150"/>
      <c r="FE623" s="150"/>
      <c r="FF623" s="150"/>
      <c r="FG623" s="150"/>
      <c r="FH623" s="150"/>
      <c r="FI623" s="150"/>
      <c r="FJ623" s="150"/>
      <c r="FK623" s="150"/>
      <c r="FL623" s="150"/>
      <c r="FM623" s="150"/>
      <c r="FN623" s="150"/>
    </row>
    <row r="624" spans="1:170" s="149" customFormat="1" x14ac:dyDescent="0.25">
      <c r="A624" s="142"/>
      <c r="B624" s="142"/>
      <c r="C624" s="142"/>
      <c r="D624" s="144"/>
      <c r="E624" s="143"/>
      <c r="F624" s="143"/>
      <c r="G624" s="144"/>
      <c r="H624" s="143"/>
      <c r="I624" s="143"/>
      <c r="J624" s="319"/>
      <c r="K624" s="319"/>
      <c r="L624" s="315"/>
      <c r="M624" s="315"/>
      <c r="N624" s="145"/>
      <c r="O624" s="145"/>
      <c r="P624" s="145"/>
      <c r="Q624" s="146"/>
      <c r="R624" s="147"/>
      <c r="S624" s="148"/>
      <c r="T624" s="148"/>
      <c r="U624" s="148"/>
      <c r="V624" s="148"/>
      <c r="W624" s="148"/>
      <c r="X624" s="148"/>
      <c r="Y624" s="148"/>
      <c r="Z624" s="148"/>
      <c r="AA624" s="148"/>
      <c r="AB624" s="148"/>
      <c r="AV624" s="150"/>
      <c r="AW624" s="150"/>
      <c r="AX624" s="150"/>
      <c r="AY624" s="150"/>
      <c r="AZ624" s="150"/>
      <c r="BA624" s="150"/>
      <c r="BB624" s="150"/>
      <c r="BC624" s="150"/>
      <c r="BD624" s="150"/>
      <c r="BE624" s="150"/>
      <c r="BF624" s="150"/>
      <c r="BG624" s="150"/>
      <c r="BH624" s="150"/>
      <c r="BI624" s="150"/>
      <c r="BJ624" s="150"/>
      <c r="BK624" s="150"/>
      <c r="BL624" s="150"/>
      <c r="BM624" s="150"/>
      <c r="BN624" s="150"/>
      <c r="BO624" s="150"/>
      <c r="BP624" s="150"/>
      <c r="BQ624" s="150"/>
      <c r="BR624" s="150"/>
      <c r="BS624" s="150"/>
      <c r="BT624" s="150"/>
      <c r="BU624" s="150"/>
      <c r="BV624" s="150"/>
      <c r="BW624" s="150"/>
      <c r="BX624" s="150"/>
      <c r="BY624" s="150"/>
      <c r="BZ624" s="150"/>
      <c r="CA624" s="150"/>
      <c r="CB624" s="150"/>
      <c r="CC624" s="150"/>
      <c r="CD624" s="150"/>
      <c r="CE624" s="150"/>
      <c r="CF624" s="150"/>
      <c r="CG624" s="150"/>
      <c r="CH624" s="150"/>
      <c r="CI624" s="150"/>
      <c r="CJ624" s="150"/>
      <c r="CK624" s="150"/>
      <c r="CL624" s="150"/>
      <c r="CM624" s="150"/>
      <c r="CN624" s="150"/>
      <c r="CO624" s="150"/>
      <c r="CP624" s="150"/>
      <c r="CQ624" s="150"/>
      <c r="CR624" s="150"/>
      <c r="CS624" s="150"/>
      <c r="CT624" s="150"/>
      <c r="CU624" s="150"/>
      <c r="CV624" s="150"/>
      <c r="CW624" s="150"/>
      <c r="CX624" s="150"/>
      <c r="CY624" s="150"/>
      <c r="CZ624" s="150"/>
      <c r="DA624" s="150"/>
      <c r="DB624" s="150"/>
      <c r="DC624" s="150"/>
      <c r="DD624" s="150"/>
      <c r="DE624" s="150"/>
      <c r="DF624" s="150"/>
      <c r="DG624" s="150"/>
      <c r="DH624" s="150"/>
      <c r="DI624" s="150"/>
      <c r="DJ624" s="150"/>
      <c r="DK624" s="150"/>
      <c r="DL624" s="150"/>
      <c r="DM624" s="150"/>
      <c r="DN624" s="150"/>
      <c r="DO624" s="150"/>
      <c r="DP624" s="150"/>
      <c r="DQ624" s="150"/>
      <c r="DR624" s="150"/>
      <c r="DS624" s="150"/>
      <c r="DT624" s="150"/>
      <c r="DU624" s="150"/>
      <c r="DV624" s="150"/>
      <c r="DW624" s="150"/>
      <c r="DX624" s="150"/>
      <c r="DY624" s="150"/>
      <c r="DZ624" s="150"/>
      <c r="EA624" s="150"/>
      <c r="EB624" s="150"/>
      <c r="EC624" s="150"/>
      <c r="ED624" s="150"/>
      <c r="EE624" s="150"/>
      <c r="EF624" s="150"/>
      <c r="EG624" s="150"/>
      <c r="EH624" s="150"/>
      <c r="EI624" s="150"/>
      <c r="EJ624" s="150"/>
      <c r="EK624" s="150"/>
      <c r="EL624" s="150"/>
      <c r="EM624" s="150"/>
      <c r="EN624" s="150"/>
      <c r="EO624" s="150"/>
      <c r="EP624" s="150"/>
      <c r="EQ624" s="150"/>
      <c r="ER624" s="150"/>
      <c r="ES624" s="150"/>
      <c r="ET624" s="150"/>
      <c r="EU624" s="150"/>
      <c r="EV624" s="150"/>
      <c r="EW624" s="150"/>
      <c r="EX624" s="150"/>
      <c r="EY624" s="150"/>
      <c r="EZ624" s="150"/>
      <c r="FA624" s="150"/>
      <c r="FB624" s="150"/>
      <c r="FC624" s="150"/>
      <c r="FD624" s="150"/>
      <c r="FE624" s="150"/>
      <c r="FF624" s="150"/>
      <c r="FG624" s="150"/>
      <c r="FH624" s="150"/>
      <c r="FI624" s="150"/>
      <c r="FJ624" s="150"/>
      <c r="FK624" s="150"/>
      <c r="FL624" s="150"/>
      <c r="FM624" s="150"/>
      <c r="FN624" s="150"/>
    </row>
    <row r="625" spans="1:170" s="149" customFormat="1" x14ac:dyDescent="0.25">
      <c r="A625" s="142"/>
      <c r="B625" s="142"/>
      <c r="C625" s="142"/>
      <c r="D625" s="144"/>
      <c r="E625" s="143"/>
      <c r="F625" s="143"/>
      <c r="G625" s="144"/>
      <c r="H625" s="143"/>
      <c r="I625" s="143"/>
      <c r="J625" s="319"/>
      <c r="K625" s="319"/>
      <c r="L625" s="315"/>
      <c r="M625" s="315"/>
      <c r="N625" s="145"/>
      <c r="O625" s="145"/>
      <c r="P625" s="145"/>
      <c r="Q625" s="146"/>
      <c r="R625" s="147"/>
      <c r="S625" s="148"/>
      <c r="T625" s="148"/>
      <c r="U625" s="148"/>
      <c r="V625" s="148"/>
      <c r="W625" s="148"/>
      <c r="X625" s="148"/>
      <c r="Y625" s="148"/>
      <c r="Z625" s="148"/>
      <c r="AA625" s="148"/>
      <c r="AB625" s="148"/>
      <c r="AV625" s="150"/>
      <c r="AW625" s="150"/>
      <c r="AX625" s="150"/>
      <c r="AY625" s="150"/>
      <c r="AZ625" s="150"/>
      <c r="BA625" s="150"/>
      <c r="BB625" s="150"/>
      <c r="BC625" s="150"/>
      <c r="BD625" s="150"/>
      <c r="BE625" s="150"/>
      <c r="BF625" s="150"/>
      <c r="BG625" s="150"/>
      <c r="BH625" s="150"/>
      <c r="BI625" s="150"/>
      <c r="BJ625" s="150"/>
      <c r="BK625" s="150"/>
      <c r="BL625" s="150"/>
      <c r="BM625" s="150"/>
      <c r="BN625" s="150"/>
      <c r="BO625" s="150"/>
      <c r="BP625" s="150"/>
      <c r="BQ625" s="150"/>
      <c r="BR625" s="150"/>
      <c r="BS625" s="150"/>
      <c r="BT625" s="150"/>
      <c r="BU625" s="150"/>
      <c r="BV625" s="150"/>
      <c r="BW625" s="150"/>
      <c r="BX625" s="150"/>
      <c r="BY625" s="150"/>
      <c r="BZ625" s="150"/>
      <c r="CA625" s="150"/>
      <c r="CB625" s="150"/>
      <c r="CC625" s="150"/>
      <c r="CD625" s="150"/>
      <c r="CE625" s="150"/>
      <c r="CF625" s="150"/>
      <c r="CG625" s="150"/>
      <c r="CH625" s="150"/>
      <c r="CI625" s="150"/>
      <c r="CJ625" s="150"/>
      <c r="CK625" s="150"/>
      <c r="CL625" s="150"/>
      <c r="CM625" s="150"/>
      <c r="CN625" s="150"/>
      <c r="CO625" s="150"/>
      <c r="CP625" s="150"/>
      <c r="CQ625" s="150"/>
      <c r="CR625" s="150"/>
      <c r="CS625" s="150"/>
      <c r="CT625" s="150"/>
      <c r="CU625" s="150"/>
      <c r="CV625" s="150"/>
      <c r="CW625" s="150"/>
      <c r="CX625" s="150"/>
      <c r="CY625" s="150"/>
      <c r="CZ625" s="150"/>
      <c r="DA625" s="150"/>
      <c r="DB625" s="150"/>
      <c r="DC625" s="150"/>
      <c r="DD625" s="150"/>
      <c r="DE625" s="150"/>
      <c r="DF625" s="150"/>
      <c r="DG625" s="150"/>
      <c r="DH625" s="150"/>
      <c r="DI625" s="150"/>
      <c r="DJ625" s="150"/>
      <c r="DK625" s="150"/>
      <c r="DL625" s="150"/>
      <c r="DM625" s="150"/>
      <c r="DN625" s="150"/>
      <c r="DO625" s="150"/>
      <c r="DP625" s="150"/>
      <c r="DQ625" s="150"/>
      <c r="DR625" s="150"/>
      <c r="DS625" s="150"/>
      <c r="DT625" s="150"/>
      <c r="DU625" s="150"/>
      <c r="DV625" s="150"/>
      <c r="DW625" s="150"/>
      <c r="DX625" s="150"/>
      <c r="DY625" s="150"/>
      <c r="DZ625" s="150"/>
      <c r="EA625" s="150"/>
      <c r="EB625" s="150"/>
      <c r="EC625" s="150"/>
      <c r="ED625" s="150"/>
      <c r="EE625" s="150"/>
      <c r="EF625" s="150"/>
      <c r="EG625" s="150"/>
      <c r="EH625" s="150"/>
      <c r="EI625" s="150"/>
      <c r="EJ625" s="150"/>
      <c r="EK625" s="150"/>
      <c r="EL625" s="150"/>
      <c r="EM625" s="150"/>
      <c r="EN625" s="150"/>
      <c r="EO625" s="150"/>
      <c r="EP625" s="150"/>
      <c r="EQ625" s="150"/>
      <c r="ER625" s="150"/>
      <c r="ES625" s="150"/>
      <c r="ET625" s="150"/>
      <c r="EU625" s="150"/>
      <c r="EV625" s="150"/>
      <c r="EW625" s="150"/>
      <c r="EX625" s="150"/>
      <c r="EY625" s="150"/>
      <c r="EZ625" s="150"/>
      <c r="FA625" s="150"/>
      <c r="FB625" s="150"/>
      <c r="FC625" s="150"/>
      <c r="FD625" s="150"/>
      <c r="FE625" s="150"/>
      <c r="FF625" s="150"/>
      <c r="FG625" s="150"/>
      <c r="FH625" s="150"/>
      <c r="FI625" s="150"/>
      <c r="FJ625" s="150"/>
      <c r="FK625" s="150"/>
      <c r="FL625" s="150"/>
      <c r="FM625" s="150"/>
      <c r="FN625" s="150"/>
    </row>
    <row r="626" spans="1:170" s="149" customFormat="1" x14ac:dyDescent="0.25">
      <c r="A626" s="142"/>
      <c r="B626" s="142"/>
      <c r="C626" s="142"/>
      <c r="D626" s="144"/>
      <c r="E626" s="143"/>
      <c r="F626" s="143"/>
      <c r="G626" s="144"/>
      <c r="H626" s="143"/>
      <c r="I626" s="143"/>
      <c r="J626" s="319"/>
      <c r="K626" s="319"/>
      <c r="L626" s="315"/>
      <c r="M626" s="315"/>
      <c r="N626" s="145"/>
      <c r="O626" s="145"/>
      <c r="P626" s="145"/>
      <c r="Q626" s="146"/>
      <c r="R626" s="147"/>
      <c r="S626" s="148"/>
      <c r="T626" s="148"/>
      <c r="U626" s="148"/>
      <c r="V626" s="148"/>
      <c r="W626" s="148"/>
      <c r="X626" s="148"/>
      <c r="Y626" s="148"/>
      <c r="Z626" s="148"/>
      <c r="AA626" s="148"/>
      <c r="AB626" s="148"/>
      <c r="AV626" s="150"/>
      <c r="AW626" s="150"/>
      <c r="AX626" s="150"/>
      <c r="AY626" s="150"/>
      <c r="AZ626" s="150"/>
      <c r="BA626" s="150"/>
      <c r="BB626" s="150"/>
      <c r="BC626" s="150"/>
      <c r="BD626" s="150"/>
      <c r="BE626" s="150"/>
      <c r="BF626" s="150"/>
      <c r="BG626" s="150"/>
      <c r="BH626" s="150"/>
      <c r="BI626" s="150"/>
      <c r="BJ626" s="150"/>
      <c r="BK626" s="150"/>
      <c r="BL626" s="150"/>
      <c r="BM626" s="150"/>
      <c r="BN626" s="150"/>
      <c r="BO626" s="150"/>
      <c r="BP626" s="150"/>
      <c r="BQ626" s="150"/>
      <c r="BR626" s="150"/>
      <c r="BS626" s="150"/>
      <c r="BT626" s="150"/>
      <c r="BU626" s="150"/>
      <c r="BV626" s="150"/>
      <c r="BW626" s="150"/>
      <c r="BX626" s="150"/>
      <c r="BY626" s="150"/>
      <c r="BZ626" s="150"/>
      <c r="CA626" s="150"/>
      <c r="CB626" s="150"/>
      <c r="CC626" s="150"/>
      <c r="CD626" s="150"/>
      <c r="CE626" s="150"/>
      <c r="CF626" s="150"/>
      <c r="CG626" s="150"/>
      <c r="CH626" s="150"/>
      <c r="CI626" s="150"/>
      <c r="CJ626" s="150"/>
      <c r="CK626" s="150"/>
      <c r="CL626" s="150"/>
      <c r="CM626" s="150"/>
      <c r="CN626" s="150"/>
      <c r="CO626" s="150"/>
      <c r="CP626" s="150"/>
      <c r="CQ626" s="150"/>
      <c r="CR626" s="150"/>
      <c r="CS626" s="150"/>
      <c r="CT626" s="150"/>
      <c r="CU626" s="150"/>
      <c r="CV626" s="150"/>
      <c r="CW626" s="150"/>
      <c r="CX626" s="150"/>
      <c r="CY626" s="150"/>
      <c r="CZ626" s="150"/>
      <c r="DA626" s="150"/>
      <c r="DB626" s="150"/>
      <c r="DC626" s="150"/>
      <c r="DD626" s="150"/>
      <c r="DE626" s="150"/>
      <c r="DF626" s="150"/>
      <c r="DG626" s="150"/>
      <c r="DH626" s="150"/>
      <c r="DI626" s="150"/>
      <c r="DJ626" s="150"/>
      <c r="DK626" s="150"/>
      <c r="DL626" s="150"/>
      <c r="DM626" s="150"/>
      <c r="DN626" s="150"/>
      <c r="DO626" s="150"/>
      <c r="DP626" s="150"/>
      <c r="DQ626" s="150"/>
      <c r="DR626" s="150"/>
      <c r="DS626" s="150"/>
      <c r="DT626" s="150"/>
      <c r="DU626" s="150"/>
      <c r="DV626" s="150"/>
      <c r="DW626" s="150"/>
      <c r="DX626" s="150"/>
      <c r="DY626" s="150"/>
      <c r="DZ626" s="150"/>
      <c r="EA626" s="150"/>
      <c r="EB626" s="150"/>
      <c r="EC626" s="150"/>
      <c r="ED626" s="150"/>
      <c r="EE626" s="150"/>
      <c r="EF626" s="150"/>
      <c r="EG626" s="150"/>
      <c r="EH626" s="150"/>
      <c r="EI626" s="150"/>
      <c r="EJ626" s="150"/>
      <c r="EK626" s="150"/>
      <c r="EL626" s="150"/>
      <c r="EM626" s="150"/>
      <c r="EN626" s="150"/>
      <c r="EO626" s="150"/>
      <c r="EP626" s="150"/>
      <c r="EQ626" s="150"/>
      <c r="ER626" s="150"/>
      <c r="ES626" s="150"/>
      <c r="ET626" s="150"/>
      <c r="EU626" s="150"/>
      <c r="EV626" s="150"/>
      <c r="EW626" s="150"/>
      <c r="EX626" s="150"/>
      <c r="EY626" s="150"/>
      <c r="EZ626" s="150"/>
      <c r="FA626" s="150"/>
      <c r="FB626" s="150"/>
      <c r="FC626" s="150"/>
      <c r="FD626" s="150"/>
      <c r="FE626" s="150"/>
      <c r="FF626" s="150"/>
      <c r="FG626" s="150"/>
      <c r="FH626" s="150"/>
      <c r="FI626" s="150"/>
      <c r="FJ626" s="150"/>
      <c r="FK626" s="150"/>
      <c r="FL626" s="150"/>
      <c r="FM626" s="150"/>
      <c r="FN626" s="150"/>
    </row>
    <row r="627" spans="1:170" s="149" customFormat="1" x14ac:dyDescent="0.25">
      <c r="A627" s="142"/>
      <c r="B627" s="142"/>
      <c r="C627" s="142"/>
      <c r="D627" s="144"/>
      <c r="E627" s="143"/>
      <c r="F627" s="143"/>
      <c r="G627" s="144"/>
      <c r="H627" s="143"/>
      <c r="I627" s="143"/>
      <c r="J627" s="319"/>
      <c r="K627" s="319"/>
      <c r="L627" s="315"/>
      <c r="M627" s="315"/>
      <c r="N627" s="145"/>
      <c r="O627" s="145"/>
      <c r="P627" s="145"/>
      <c r="Q627" s="146"/>
      <c r="R627" s="147"/>
      <c r="S627" s="148"/>
      <c r="T627" s="148"/>
      <c r="U627" s="148"/>
      <c r="V627" s="148"/>
      <c r="W627" s="148"/>
      <c r="X627" s="148"/>
      <c r="Y627" s="148"/>
      <c r="Z627" s="148"/>
      <c r="AA627" s="148"/>
      <c r="AB627" s="148"/>
      <c r="AV627" s="150"/>
      <c r="AW627" s="150"/>
      <c r="AX627" s="150"/>
      <c r="AY627" s="150"/>
      <c r="AZ627" s="150"/>
      <c r="BA627" s="150"/>
      <c r="BB627" s="150"/>
      <c r="BC627" s="150"/>
      <c r="BD627" s="150"/>
      <c r="BE627" s="150"/>
      <c r="BF627" s="150"/>
      <c r="BG627" s="150"/>
      <c r="BH627" s="150"/>
      <c r="BI627" s="150"/>
      <c r="BJ627" s="150"/>
      <c r="BK627" s="150"/>
      <c r="BL627" s="150"/>
      <c r="BM627" s="150"/>
      <c r="BN627" s="150"/>
      <c r="BO627" s="150"/>
      <c r="BP627" s="150"/>
      <c r="BQ627" s="150"/>
      <c r="BR627" s="150"/>
      <c r="BS627" s="150"/>
      <c r="BT627" s="150"/>
      <c r="BU627" s="150"/>
      <c r="BV627" s="150"/>
      <c r="BW627" s="150"/>
      <c r="BX627" s="150"/>
      <c r="BY627" s="150"/>
      <c r="BZ627" s="150"/>
      <c r="CA627" s="150"/>
      <c r="CB627" s="150"/>
      <c r="CC627" s="150"/>
      <c r="CD627" s="150"/>
      <c r="CE627" s="150"/>
      <c r="CF627" s="150"/>
      <c r="CG627" s="150"/>
      <c r="CH627" s="150"/>
      <c r="CI627" s="150"/>
      <c r="CJ627" s="150"/>
      <c r="CK627" s="150"/>
      <c r="CL627" s="150"/>
      <c r="CM627" s="150"/>
      <c r="CN627" s="150"/>
      <c r="CO627" s="150"/>
      <c r="CP627" s="150"/>
      <c r="CQ627" s="150"/>
      <c r="CR627" s="150"/>
      <c r="CS627" s="150"/>
      <c r="CT627" s="150"/>
      <c r="CU627" s="150"/>
      <c r="CV627" s="150"/>
      <c r="CW627" s="150"/>
      <c r="CX627" s="150"/>
      <c r="CY627" s="150"/>
      <c r="CZ627" s="150"/>
      <c r="DA627" s="150"/>
      <c r="DB627" s="150"/>
      <c r="DC627" s="150"/>
      <c r="DD627" s="150"/>
      <c r="DE627" s="150"/>
      <c r="DF627" s="150"/>
      <c r="DG627" s="150"/>
      <c r="DH627" s="150"/>
      <c r="DI627" s="150"/>
      <c r="DJ627" s="150"/>
      <c r="DK627" s="150"/>
      <c r="DL627" s="150"/>
      <c r="DM627" s="150"/>
      <c r="DN627" s="150"/>
      <c r="DO627" s="150"/>
      <c r="DP627" s="150"/>
      <c r="DQ627" s="150"/>
      <c r="DR627" s="150"/>
      <c r="DS627" s="150"/>
      <c r="DT627" s="150"/>
      <c r="DU627" s="150"/>
      <c r="DV627" s="150"/>
      <c r="DW627" s="150"/>
      <c r="DX627" s="150"/>
      <c r="DY627" s="150"/>
      <c r="DZ627" s="150"/>
      <c r="EA627" s="150"/>
      <c r="EB627" s="150"/>
      <c r="EC627" s="150"/>
      <c r="ED627" s="150"/>
      <c r="EE627" s="150"/>
      <c r="EF627" s="150"/>
      <c r="EG627" s="150"/>
      <c r="EH627" s="150"/>
      <c r="EI627" s="150"/>
      <c r="EJ627" s="150"/>
      <c r="EK627" s="150"/>
      <c r="EL627" s="150"/>
      <c r="EM627" s="150"/>
      <c r="EN627" s="150"/>
      <c r="EO627" s="150"/>
      <c r="EP627" s="150"/>
      <c r="EQ627" s="150"/>
      <c r="ER627" s="150"/>
      <c r="ES627" s="150"/>
      <c r="ET627" s="150"/>
      <c r="EU627" s="150"/>
      <c r="EV627" s="150"/>
      <c r="EW627" s="150"/>
      <c r="EX627" s="150"/>
      <c r="EY627" s="150"/>
      <c r="EZ627" s="150"/>
      <c r="FA627" s="150"/>
      <c r="FB627" s="150"/>
      <c r="FC627" s="150"/>
      <c r="FD627" s="150"/>
      <c r="FE627" s="150"/>
      <c r="FF627" s="150"/>
      <c r="FG627" s="150"/>
      <c r="FH627" s="150"/>
      <c r="FI627" s="150"/>
      <c r="FJ627" s="150"/>
      <c r="FK627" s="150"/>
      <c r="FL627" s="150"/>
      <c r="FM627" s="150"/>
      <c r="FN627" s="150"/>
    </row>
    <row r="628" spans="1:170" s="149" customFormat="1" x14ac:dyDescent="0.25">
      <c r="A628" s="142"/>
      <c r="B628" s="142"/>
      <c r="C628" s="142"/>
      <c r="D628" s="144"/>
      <c r="E628" s="143"/>
      <c r="F628" s="143"/>
      <c r="G628" s="144"/>
      <c r="H628" s="143"/>
      <c r="I628" s="143"/>
      <c r="J628" s="319"/>
      <c r="K628" s="319"/>
      <c r="L628" s="315"/>
      <c r="M628" s="315"/>
      <c r="N628" s="145"/>
      <c r="O628" s="145"/>
      <c r="P628" s="145"/>
      <c r="Q628" s="146"/>
      <c r="R628" s="147"/>
      <c r="S628" s="148"/>
      <c r="T628" s="148"/>
      <c r="U628" s="148"/>
      <c r="V628" s="148"/>
      <c r="W628" s="148"/>
      <c r="X628" s="148"/>
      <c r="Y628" s="148"/>
      <c r="Z628" s="148"/>
      <c r="AA628" s="148"/>
      <c r="AB628" s="148"/>
      <c r="AV628" s="150"/>
      <c r="AW628" s="150"/>
      <c r="AX628" s="150"/>
      <c r="AY628" s="150"/>
      <c r="AZ628" s="150"/>
      <c r="BA628" s="150"/>
      <c r="BB628" s="150"/>
      <c r="BC628" s="150"/>
      <c r="BD628" s="150"/>
      <c r="BE628" s="150"/>
      <c r="BF628" s="150"/>
      <c r="BG628" s="150"/>
      <c r="BH628" s="150"/>
      <c r="BI628" s="150"/>
      <c r="BJ628" s="150"/>
      <c r="BK628" s="150"/>
      <c r="BL628" s="150"/>
      <c r="BM628" s="150"/>
      <c r="BN628" s="150"/>
      <c r="BO628" s="150"/>
      <c r="BP628" s="150"/>
      <c r="BQ628" s="150"/>
      <c r="BR628" s="150"/>
      <c r="BS628" s="150"/>
      <c r="BT628" s="150"/>
      <c r="BU628" s="150"/>
      <c r="BV628" s="150"/>
      <c r="BW628" s="150"/>
      <c r="BX628" s="150"/>
      <c r="BY628" s="150"/>
      <c r="BZ628" s="150"/>
      <c r="CA628" s="150"/>
      <c r="CB628" s="150"/>
      <c r="CC628" s="150"/>
      <c r="CD628" s="150"/>
      <c r="CE628" s="150"/>
      <c r="CF628" s="150"/>
      <c r="CG628" s="150"/>
      <c r="CH628" s="150"/>
      <c r="CI628" s="150"/>
      <c r="CJ628" s="150"/>
      <c r="CK628" s="150"/>
      <c r="CL628" s="150"/>
      <c r="CM628" s="150"/>
      <c r="CN628" s="150"/>
      <c r="CO628" s="150"/>
      <c r="CP628" s="150"/>
      <c r="CQ628" s="150"/>
      <c r="CR628" s="150"/>
      <c r="CS628" s="150"/>
      <c r="CT628" s="150"/>
      <c r="CU628" s="150"/>
      <c r="CV628" s="150"/>
      <c r="CW628" s="150"/>
      <c r="CX628" s="150"/>
      <c r="CY628" s="150"/>
      <c r="CZ628" s="150"/>
      <c r="DA628" s="150"/>
      <c r="DB628" s="150"/>
      <c r="DC628" s="150"/>
      <c r="DD628" s="150"/>
      <c r="DE628" s="150"/>
      <c r="DF628" s="150"/>
      <c r="DG628" s="150"/>
      <c r="DH628" s="150"/>
      <c r="DI628" s="150"/>
      <c r="DJ628" s="150"/>
      <c r="DK628" s="150"/>
      <c r="DL628" s="150"/>
      <c r="DM628" s="150"/>
      <c r="DN628" s="150"/>
      <c r="DO628" s="150"/>
      <c r="DP628" s="150"/>
      <c r="DQ628" s="150"/>
      <c r="DR628" s="150"/>
      <c r="DS628" s="150"/>
      <c r="DT628" s="150"/>
      <c r="DU628" s="150"/>
      <c r="DV628" s="150"/>
      <c r="DW628" s="150"/>
      <c r="DX628" s="150"/>
      <c r="DY628" s="150"/>
      <c r="DZ628" s="150"/>
      <c r="EA628" s="150"/>
      <c r="EB628" s="150"/>
      <c r="EC628" s="150"/>
      <c r="ED628" s="150"/>
      <c r="EE628" s="150"/>
      <c r="EF628" s="150"/>
      <c r="EG628" s="150"/>
      <c r="EH628" s="150"/>
      <c r="EI628" s="150"/>
      <c r="EJ628" s="150"/>
      <c r="EK628" s="150"/>
      <c r="EL628" s="150"/>
      <c r="EM628" s="150"/>
      <c r="EN628" s="150"/>
      <c r="EO628" s="150"/>
      <c r="EP628" s="150"/>
      <c r="EQ628" s="150"/>
      <c r="ER628" s="150"/>
      <c r="ES628" s="150"/>
      <c r="ET628" s="150"/>
      <c r="EU628" s="150"/>
      <c r="EV628" s="150"/>
      <c r="EW628" s="150"/>
      <c r="EX628" s="150"/>
      <c r="EY628" s="150"/>
      <c r="EZ628" s="150"/>
      <c r="FA628" s="150"/>
      <c r="FB628" s="150"/>
      <c r="FC628" s="150"/>
      <c r="FD628" s="150"/>
      <c r="FE628" s="150"/>
      <c r="FF628" s="150"/>
      <c r="FG628" s="150"/>
      <c r="FH628" s="150"/>
      <c r="FI628" s="150"/>
      <c r="FJ628" s="150"/>
      <c r="FK628" s="150"/>
      <c r="FL628" s="150"/>
      <c r="FM628" s="150"/>
      <c r="FN628" s="150"/>
    </row>
    <row r="629" spans="1:170" s="149" customFormat="1" x14ac:dyDescent="0.25">
      <c r="A629" s="142"/>
      <c r="B629" s="142"/>
      <c r="C629" s="142"/>
      <c r="D629" s="144"/>
      <c r="E629" s="143"/>
      <c r="F629" s="143"/>
      <c r="G629" s="144"/>
      <c r="H629" s="143"/>
      <c r="I629" s="143"/>
      <c r="J629" s="319"/>
      <c r="K629" s="319"/>
      <c r="L629" s="315"/>
      <c r="M629" s="315"/>
      <c r="N629" s="145"/>
      <c r="O629" s="145"/>
      <c r="P629" s="145"/>
      <c r="Q629" s="146"/>
      <c r="R629" s="147"/>
      <c r="S629" s="148"/>
      <c r="T629" s="148"/>
      <c r="U629" s="148"/>
      <c r="V629" s="148"/>
      <c r="W629" s="148"/>
      <c r="X629" s="148"/>
      <c r="Y629" s="148"/>
      <c r="Z629" s="148"/>
      <c r="AA629" s="148"/>
      <c r="AB629" s="148"/>
      <c r="AV629" s="150"/>
      <c r="AW629" s="150"/>
      <c r="AX629" s="150"/>
      <c r="AY629" s="150"/>
      <c r="AZ629" s="150"/>
      <c r="BA629" s="150"/>
      <c r="BB629" s="150"/>
      <c r="BC629" s="150"/>
      <c r="BD629" s="150"/>
      <c r="BE629" s="150"/>
      <c r="BF629" s="150"/>
      <c r="BG629" s="150"/>
      <c r="BH629" s="150"/>
      <c r="BI629" s="150"/>
      <c r="BJ629" s="150"/>
      <c r="BK629" s="150"/>
      <c r="BL629" s="150"/>
      <c r="BM629" s="150"/>
      <c r="BN629" s="150"/>
      <c r="BO629" s="150"/>
      <c r="BP629" s="150"/>
      <c r="BQ629" s="150"/>
      <c r="BR629" s="150"/>
      <c r="BS629" s="150"/>
      <c r="BT629" s="150"/>
      <c r="BU629" s="150"/>
      <c r="BV629" s="150"/>
      <c r="BW629" s="150"/>
      <c r="BX629" s="150"/>
      <c r="BY629" s="150"/>
      <c r="BZ629" s="150"/>
      <c r="CA629" s="150"/>
      <c r="CB629" s="150"/>
      <c r="CC629" s="150"/>
      <c r="CD629" s="150"/>
      <c r="CE629" s="150"/>
      <c r="CF629" s="150"/>
      <c r="CG629" s="150"/>
      <c r="CH629" s="150"/>
      <c r="CI629" s="150"/>
      <c r="CJ629" s="150"/>
      <c r="CK629" s="150"/>
      <c r="CL629" s="150"/>
      <c r="CM629" s="150"/>
      <c r="CN629" s="150"/>
      <c r="CO629" s="150"/>
      <c r="CP629" s="150"/>
      <c r="CQ629" s="150"/>
      <c r="CR629" s="150"/>
      <c r="CS629" s="150"/>
      <c r="CT629" s="150"/>
      <c r="CU629" s="150"/>
      <c r="CV629" s="150"/>
      <c r="CW629" s="150"/>
      <c r="CX629" s="150"/>
      <c r="CY629" s="150"/>
      <c r="CZ629" s="150"/>
      <c r="DA629" s="150"/>
      <c r="DB629" s="150"/>
      <c r="DC629" s="150"/>
      <c r="DD629" s="150"/>
      <c r="DE629" s="150"/>
      <c r="DF629" s="150"/>
      <c r="DG629" s="150"/>
      <c r="DH629" s="150"/>
      <c r="DI629" s="150"/>
      <c r="DJ629" s="150"/>
      <c r="DK629" s="150"/>
      <c r="DL629" s="150"/>
      <c r="DM629" s="150"/>
      <c r="DN629" s="150"/>
      <c r="DO629" s="150"/>
      <c r="DP629" s="150"/>
      <c r="DQ629" s="150"/>
      <c r="DR629" s="150"/>
      <c r="DS629" s="150"/>
      <c r="DT629" s="150"/>
      <c r="DU629" s="150"/>
      <c r="DV629" s="150"/>
      <c r="DW629" s="150"/>
      <c r="DX629" s="150"/>
      <c r="DY629" s="150"/>
      <c r="DZ629" s="150"/>
      <c r="EA629" s="150"/>
      <c r="EB629" s="150"/>
      <c r="EC629" s="150"/>
      <c r="ED629" s="150"/>
      <c r="EE629" s="150"/>
      <c r="EF629" s="150"/>
      <c r="EG629" s="150"/>
      <c r="EH629" s="150"/>
      <c r="EI629" s="150"/>
      <c r="EJ629" s="150"/>
      <c r="EK629" s="150"/>
      <c r="EL629" s="150"/>
      <c r="EM629" s="150"/>
      <c r="EN629" s="150"/>
      <c r="EO629" s="150"/>
      <c r="EP629" s="150"/>
      <c r="EQ629" s="150"/>
      <c r="ER629" s="150"/>
      <c r="ES629" s="150"/>
      <c r="ET629" s="150"/>
      <c r="EU629" s="150"/>
      <c r="EV629" s="150"/>
      <c r="EW629" s="150"/>
      <c r="EX629" s="150"/>
      <c r="EY629" s="150"/>
      <c r="EZ629" s="150"/>
      <c r="FA629" s="150"/>
      <c r="FB629" s="150"/>
      <c r="FC629" s="150"/>
      <c r="FD629" s="150"/>
      <c r="FE629" s="150"/>
      <c r="FF629" s="150"/>
      <c r="FG629" s="150"/>
      <c r="FH629" s="150"/>
      <c r="FI629" s="150"/>
      <c r="FJ629" s="150"/>
      <c r="FK629" s="150"/>
      <c r="FL629" s="150"/>
      <c r="FM629" s="150"/>
      <c r="FN629" s="150"/>
    </row>
    <row r="630" spans="1:170" s="149" customFormat="1" x14ac:dyDescent="0.25">
      <c r="A630" s="142"/>
      <c r="B630" s="142"/>
      <c r="C630" s="142"/>
      <c r="D630" s="144"/>
      <c r="E630" s="143"/>
      <c r="F630" s="143"/>
      <c r="G630" s="144"/>
      <c r="H630" s="143"/>
      <c r="I630" s="143"/>
      <c r="J630" s="319"/>
      <c r="K630" s="319"/>
      <c r="L630" s="315"/>
      <c r="M630" s="315"/>
      <c r="N630" s="145"/>
      <c r="O630" s="145"/>
      <c r="P630" s="145"/>
      <c r="Q630" s="146"/>
      <c r="R630" s="147"/>
      <c r="S630" s="148"/>
      <c r="T630" s="148"/>
      <c r="U630" s="148"/>
      <c r="V630" s="148"/>
      <c r="W630" s="148"/>
      <c r="X630" s="148"/>
      <c r="Y630" s="148"/>
      <c r="Z630" s="148"/>
      <c r="AA630" s="148"/>
      <c r="AB630" s="148"/>
      <c r="AV630" s="150"/>
      <c r="AW630" s="150"/>
      <c r="AX630" s="150"/>
      <c r="AY630" s="150"/>
      <c r="AZ630" s="150"/>
      <c r="BA630" s="150"/>
      <c r="BB630" s="150"/>
      <c r="BC630" s="150"/>
      <c r="BD630" s="150"/>
      <c r="BE630" s="150"/>
      <c r="BF630" s="150"/>
      <c r="BG630" s="150"/>
      <c r="BH630" s="150"/>
      <c r="BI630" s="150"/>
      <c r="BJ630" s="150"/>
      <c r="BK630" s="150"/>
      <c r="BL630" s="150"/>
      <c r="BM630" s="150"/>
      <c r="BN630" s="150"/>
      <c r="BO630" s="150"/>
      <c r="BP630" s="150"/>
      <c r="BQ630" s="150"/>
      <c r="BR630" s="150"/>
      <c r="BS630" s="150"/>
      <c r="BT630" s="150"/>
      <c r="BU630" s="150"/>
      <c r="BV630" s="150"/>
      <c r="BW630" s="150"/>
      <c r="BX630" s="150"/>
      <c r="BY630" s="150"/>
      <c r="BZ630" s="150"/>
      <c r="CA630" s="150"/>
      <c r="CB630" s="150"/>
      <c r="CC630" s="150"/>
      <c r="CD630" s="150"/>
      <c r="CE630" s="150"/>
      <c r="CF630" s="150"/>
      <c r="CG630" s="150"/>
      <c r="CH630" s="150"/>
      <c r="CI630" s="150"/>
      <c r="CJ630" s="150"/>
      <c r="CK630" s="150"/>
      <c r="CL630" s="150"/>
      <c r="CM630" s="150"/>
      <c r="CN630" s="150"/>
      <c r="CO630" s="150"/>
      <c r="CP630" s="150"/>
      <c r="CQ630" s="150"/>
      <c r="CR630" s="150"/>
      <c r="CS630" s="150"/>
      <c r="CT630" s="150"/>
      <c r="CU630" s="150"/>
      <c r="CV630" s="150"/>
      <c r="CW630" s="150"/>
      <c r="CX630" s="150"/>
      <c r="CY630" s="150"/>
      <c r="CZ630" s="150"/>
      <c r="DA630" s="150"/>
      <c r="DB630" s="150"/>
      <c r="DC630" s="150"/>
      <c r="DD630" s="150"/>
      <c r="DE630" s="150"/>
      <c r="DF630" s="150"/>
      <c r="DG630" s="150"/>
      <c r="DH630" s="150"/>
      <c r="DI630" s="150"/>
      <c r="DJ630" s="150"/>
      <c r="DK630" s="150"/>
      <c r="DL630" s="150"/>
      <c r="DM630" s="150"/>
      <c r="DN630" s="150"/>
      <c r="DO630" s="150"/>
      <c r="DP630" s="150"/>
      <c r="DQ630" s="150"/>
      <c r="DR630" s="150"/>
      <c r="DS630" s="150"/>
      <c r="DT630" s="150"/>
      <c r="DU630" s="150"/>
      <c r="DV630" s="150"/>
      <c r="DW630" s="150"/>
      <c r="DX630" s="150"/>
      <c r="DY630" s="150"/>
      <c r="DZ630" s="150"/>
      <c r="EA630" s="150"/>
      <c r="EB630" s="150"/>
      <c r="EC630" s="150"/>
      <c r="ED630" s="150"/>
      <c r="EE630" s="150"/>
      <c r="EF630" s="150"/>
      <c r="EG630" s="150"/>
      <c r="EH630" s="150"/>
      <c r="EI630" s="150"/>
      <c r="EJ630" s="150"/>
      <c r="EK630" s="150"/>
      <c r="EL630" s="150"/>
      <c r="EM630" s="150"/>
      <c r="EN630" s="150"/>
      <c r="EO630" s="150"/>
      <c r="EP630" s="150"/>
      <c r="EQ630" s="150"/>
      <c r="ER630" s="150"/>
      <c r="ES630" s="150"/>
      <c r="ET630" s="150"/>
      <c r="EU630" s="150"/>
      <c r="EV630" s="150"/>
      <c r="EW630" s="150"/>
      <c r="EX630" s="150"/>
      <c r="EY630" s="150"/>
      <c r="EZ630" s="150"/>
      <c r="FA630" s="150"/>
      <c r="FB630" s="150"/>
      <c r="FC630" s="150"/>
      <c r="FD630" s="150"/>
      <c r="FE630" s="150"/>
      <c r="FF630" s="150"/>
      <c r="FG630" s="150"/>
      <c r="FH630" s="150"/>
      <c r="FI630" s="150"/>
      <c r="FJ630" s="150"/>
      <c r="FK630" s="150"/>
      <c r="FL630" s="150"/>
      <c r="FM630" s="150"/>
      <c r="FN630" s="150"/>
    </row>
    <row r="631" spans="1:170" s="149" customFormat="1" x14ac:dyDescent="0.25">
      <c r="A631" s="142"/>
      <c r="B631" s="142"/>
      <c r="C631" s="142"/>
      <c r="D631" s="144"/>
      <c r="E631" s="143"/>
      <c r="F631" s="143"/>
      <c r="G631" s="144"/>
      <c r="H631" s="143"/>
      <c r="I631" s="143"/>
      <c r="J631" s="319"/>
      <c r="K631" s="319"/>
      <c r="L631" s="315"/>
      <c r="M631" s="315"/>
      <c r="N631" s="145"/>
      <c r="O631" s="145"/>
      <c r="P631" s="145"/>
      <c r="Q631" s="146"/>
      <c r="R631" s="147"/>
      <c r="S631" s="148"/>
      <c r="T631" s="148"/>
      <c r="U631" s="148"/>
      <c r="V631" s="148"/>
      <c r="W631" s="148"/>
      <c r="X631" s="148"/>
      <c r="Y631" s="148"/>
      <c r="Z631" s="148"/>
      <c r="AA631" s="148"/>
      <c r="AB631" s="148"/>
      <c r="AV631" s="150"/>
      <c r="AW631" s="150"/>
      <c r="AX631" s="150"/>
      <c r="AY631" s="150"/>
      <c r="AZ631" s="150"/>
      <c r="BA631" s="150"/>
      <c r="BB631" s="150"/>
      <c r="BC631" s="150"/>
      <c r="BD631" s="150"/>
      <c r="BE631" s="150"/>
      <c r="BF631" s="150"/>
      <c r="BG631" s="150"/>
      <c r="BH631" s="150"/>
      <c r="BI631" s="150"/>
      <c r="BJ631" s="150"/>
      <c r="BK631" s="150"/>
      <c r="BL631" s="150"/>
      <c r="BM631" s="150"/>
      <c r="BN631" s="150"/>
      <c r="BO631" s="150"/>
      <c r="BP631" s="150"/>
      <c r="BQ631" s="150"/>
      <c r="BR631" s="150"/>
      <c r="BS631" s="150"/>
      <c r="BT631" s="150"/>
      <c r="BU631" s="150"/>
      <c r="BV631" s="150"/>
      <c r="BW631" s="150"/>
      <c r="BX631" s="150"/>
      <c r="BY631" s="150"/>
      <c r="BZ631" s="150"/>
      <c r="CA631" s="150"/>
      <c r="CB631" s="150"/>
      <c r="CC631" s="150"/>
      <c r="CD631" s="150"/>
      <c r="CE631" s="150"/>
      <c r="CF631" s="150"/>
      <c r="CG631" s="150"/>
      <c r="CH631" s="150"/>
      <c r="CI631" s="150"/>
      <c r="CJ631" s="150"/>
      <c r="CK631" s="150"/>
      <c r="CL631" s="150"/>
      <c r="CM631" s="150"/>
      <c r="CN631" s="150"/>
      <c r="CO631" s="150"/>
      <c r="CP631" s="150"/>
      <c r="CQ631" s="150"/>
      <c r="CR631" s="150"/>
      <c r="CS631" s="150"/>
      <c r="CT631" s="150"/>
      <c r="CU631" s="150"/>
      <c r="CV631" s="150"/>
      <c r="CW631" s="150"/>
      <c r="CX631" s="150"/>
      <c r="CY631" s="150"/>
      <c r="CZ631" s="150"/>
      <c r="DA631" s="150"/>
      <c r="DB631" s="150"/>
      <c r="DC631" s="150"/>
      <c r="DD631" s="150"/>
      <c r="DE631" s="150"/>
      <c r="DF631" s="150"/>
      <c r="DG631" s="150"/>
      <c r="DH631" s="150"/>
      <c r="DI631" s="150"/>
      <c r="DJ631" s="150"/>
      <c r="DK631" s="150"/>
      <c r="DL631" s="150"/>
      <c r="DM631" s="150"/>
      <c r="DN631" s="150"/>
      <c r="DO631" s="150"/>
      <c r="DP631" s="150"/>
      <c r="DQ631" s="150"/>
      <c r="DR631" s="150"/>
      <c r="DS631" s="150"/>
      <c r="DT631" s="150"/>
      <c r="DU631" s="150"/>
      <c r="DV631" s="150"/>
      <c r="DW631" s="150"/>
      <c r="DX631" s="150"/>
      <c r="DY631" s="150"/>
      <c r="DZ631" s="150"/>
      <c r="EA631" s="150"/>
      <c r="EB631" s="150"/>
      <c r="EC631" s="150"/>
      <c r="ED631" s="150"/>
      <c r="EE631" s="150"/>
      <c r="EF631" s="150"/>
      <c r="EG631" s="150"/>
      <c r="EH631" s="150"/>
      <c r="EI631" s="150"/>
      <c r="EJ631" s="150"/>
      <c r="EK631" s="150"/>
      <c r="EL631" s="150"/>
      <c r="EM631" s="150"/>
      <c r="EN631" s="150"/>
      <c r="EO631" s="150"/>
      <c r="EP631" s="150"/>
      <c r="EQ631" s="150"/>
      <c r="ER631" s="150"/>
      <c r="ES631" s="150"/>
      <c r="ET631" s="150"/>
      <c r="EU631" s="150"/>
      <c r="EV631" s="150"/>
      <c r="EW631" s="150"/>
      <c r="EX631" s="150"/>
      <c r="EY631" s="150"/>
      <c r="EZ631" s="150"/>
      <c r="FA631" s="150"/>
      <c r="FB631" s="150"/>
      <c r="FC631" s="150"/>
      <c r="FD631" s="150"/>
      <c r="FE631" s="150"/>
      <c r="FF631" s="150"/>
      <c r="FG631" s="150"/>
      <c r="FH631" s="150"/>
      <c r="FI631" s="150"/>
      <c r="FJ631" s="150"/>
      <c r="FK631" s="150"/>
      <c r="FL631" s="150"/>
      <c r="FM631" s="150"/>
      <c r="FN631" s="150"/>
    </row>
    <row r="632" spans="1:170" s="149" customFormat="1" x14ac:dyDescent="0.25">
      <c r="A632" s="142"/>
      <c r="B632" s="142"/>
      <c r="C632" s="142"/>
      <c r="D632" s="144"/>
      <c r="E632" s="143"/>
      <c r="F632" s="143"/>
      <c r="G632" s="144"/>
      <c r="H632" s="143"/>
      <c r="I632" s="143"/>
      <c r="J632" s="319"/>
      <c r="K632" s="319"/>
      <c r="L632" s="315"/>
      <c r="M632" s="315"/>
      <c r="N632" s="145"/>
      <c r="O632" s="145"/>
      <c r="P632" s="145"/>
      <c r="Q632" s="146"/>
      <c r="R632" s="147"/>
      <c r="S632" s="148"/>
      <c r="T632" s="148"/>
      <c r="U632" s="148"/>
      <c r="V632" s="148"/>
      <c r="W632" s="148"/>
      <c r="X632" s="148"/>
      <c r="Y632" s="148"/>
      <c r="Z632" s="148"/>
      <c r="AA632" s="148"/>
      <c r="AB632" s="148"/>
      <c r="AV632" s="150"/>
      <c r="AW632" s="150"/>
      <c r="AX632" s="150"/>
      <c r="AY632" s="150"/>
      <c r="AZ632" s="150"/>
      <c r="BA632" s="150"/>
      <c r="BB632" s="150"/>
      <c r="BC632" s="150"/>
      <c r="BD632" s="150"/>
      <c r="BE632" s="150"/>
      <c r="BF632" s="150"/>
      <c r="BG632" s="150"/>
      <c r="BH632" s="150"/>
      <c r="BI632" s="150"/>
      <c r="BJ632" s="150"/>
      <c r="BK632" s="150"/>
      <c r="BL632" s="150"/>
      <c r="BM632" s="150"/>
      <c r="BN632" s="150"/>
      <c r="BO632" s="150"/>
      <c r="BP632" s="150"/>
      <c r="BQ632" s="150"/>
      <c r="BR632" s="150"/>
      <c r="BS632" s="150"/>
      <c r="BT632" s="150"/>
      <c r="BU632" s="150"/>
      <c r="BV632" s="150"/>
      <c r="BW632" s="150"/>
      <c r="BX632" s="150"/>
      <c r="BY632" s="150"/>
      <c r="BZ632" s="150"/>
      <c r="CA632" s="150"/>
      <c r="CB632" s="150"/>
      <c r="CC632" s="150"/>
      <c r="CD632" s="150"/>
      <c r="CE632" s="150"/>
      <c r="CF632" s="150"/>
      <c r="CG632" s="150"/>
      <c r="CH632" s="150"/>
      <c r="CI632" s="150"/>
      <c r="CJ632" s="150"/>
      <c r="CK632" s="150"/>
      <c r="CL632" s="150"/>
      <c r="CM632" s="150"/>
      <c r="CN632" s="150"/>
      <c r="CO632" s="150"/>
      <c r="CP632" s="150"/>
      <c r="CQ632" s="150"/>
      <c r="CR632" s="150"/>
      <c r="CS632" s="150"/>
      <c r="CT632" s="150"/>
      <c r="CU632" s="150"/>
      <c r="CV632" s="150"/>
      <c r="CW632" s="150"/>
      <c r="CX632" s="150"/>
      <c r="CY632" s="150"/>
      <c r="CZ632" s="150"/>
      <c r="DA632" s="150"/>
      <c r="DB632" s="150"/>
      <c r="DC632" s="150"/>
      <c r="DD632" s="150"/>
      <c r="DE632" s="150"/>
      <c r="DF632" s="150"/>
      <c r="DG632" s="150"/>
      <c r="DH632" s="150"/>
      <c r="DI632" s="150"/>
      <c r="DJ632" s="150"/>
      <c r="DK632" s="150"/>
      <c r="DL632" s="150"/>
      <c r="DM632" s="150"/>
      <c r="DN632" s="150"/>
      <c r="DO632" s="150"/>
      <c r="DP632" s="150"/>
      <c r="DQ632" s="150"/>
      <c r="DR632" s="150"/>
      <c r="DS632" s="150"/>
      <c r="DT632" s="150"/>
      <c r="DU632" s="150"/>
      <c r="DV632" s="150"/>
      <c r="DW632" s="150"/>
      <c r="DX632" s="150"/>
      <c r="DY632" s="150"/>
      <c r="DZ632" s="150"/>
      <c r="EA632" s="150"/>
      <c r="EB632" s="150"/>
      <c r="EC632" s="150"/>
      <c r="ED632" s="150"/>
      <c r="EE632" s="150"/>
      <c r="EF632" s="150"/>
      <c r="EG632" s="150"/>
      <c r="EH632" s="150"/>
      <c r="EI632" s="150"/>
      <c r="EJ632" s="150"/>
      <c r="EK632" s="150"/>
      <c r="EL632" s="150"/>
      <c r="EM632" s="150"/>
      <c r="EN632" s="150"/>
      <c r="EO632" s="150"/>
      <c r="EP632" s="150"/>
      <c r="EQ632" s="150"/>
      <c r="ER632" s="150"/>
      <c r="ES632" s="150"/>
      <c r="ET632" s="150"/>
      <c r="EU632" s="150"/>
      <c r="EV632" s="150"/>
      <c r="EW632" s="150"/>
      <c r="EX632" s="150"/>
      <c r="EY632" s="150"/>
      <c r="EZ632" s="150"/>
      <c r="FA632" s="150"/>
      <c r="FB632" s="150"/>
      <c r="FC632" s="150"/>
      <c r="FD632" s="150"/>
      <c r="FE632" s="150"/>
      <c r="FF632" s="150"/>
      <c r="FG632" s="150"/>
      <c r="FH632" s="150"/>
      <c r="FI632" s="150"/>
      <c r="FJ632" s="150"/>
      <c r="FK632" s="150"/>
      <c r="FL632" s="150"/>
      <c r="FM632" s="150"/>
      <c r="FN632" s="150"/>
    </row>
    <row r="633" spans="1:170" s="149" customFormat="1" x14ac:dyDescent="0.25">
      <c r="A633" s="142"/>
      <c r="B633" s="142"/>
      <c r="C633" s="142"/>
      <c r="D633" s="144"/>
      <c r="E633" s="143"/>
      <c r="F633" s="143"/>
      <c r="G633" s="144"/>
      <c r="H633" s="143"/>
      <c r="I633" s="143"/>
      <c r="J633" s="319"/>
      <c r="K633" s="319"/>
      <c r="L633" s="315"/>
      <c r="M633" s="315"/>
      <c r="N633" s="145"/>
      <c r="O633" s="145"/>
      <c r="P633" s="145"/>
      <c r="Q633" s="146"/>
      <c r="R633" s="147"/>
      <c r="S633" s="148"/>
      <c r="T633" s="148"/>
      <c r="U633" s="148"/>
      <c r="V633" s="148"/>
      <c r="W633" s="148"/>
      <c r="X633" s="148"/>
      <c r="Y633" s="148"/>
      <c r="Z633" s="148"/>
      <c r="AA633" s="148"/>
      <c r="AB633" s="148"/>
      <c r="AV633" s="150"/>
      <c r="AW633" s="150"/>
      <c r="AX633" s="150"/>
      <c r="AY633" s="150"/>
      <c r="AZ633" s="150"/>
      <c r="BA633" s="150"/>
      <c r="BB633" s="150"/>
      <c r="BC633" s="150"/>
      <c r="BD633" s="150"/>
      <c r="BE633" s="150"/>
      <c r="BF633" s="150"/>
      <c r="BG633" s="150"/>
      <c r="BH633" s="150"/>
      <c r="BI633" s="150"/>
      <c r="BJ633" s="150"/>
      <c r="BK633" s="150"/>
      <c r="BL633" s="150"/>
      <c r="BM633" s="150"/>
      <c r="BN633" s="150"/>
      <c r="BO633" s="150"/>
      <c r="BP633" s="150"/>
      <c r="BQ633" s="150"/>
      <c r="BR633" s="150"/>
      <c r="BS633" s="150"/>
      <c r="BT633" s="150"/>
      <c r="BU633" s="150"/>
      <c r="BV633" s="150"/>
      <c r="BW633" s="150"/>
      <c r="BX633" s="150"/>
      <c r="BY633" s="150"/>
      <c r="BZ633" s="150"/>
      <c r="CA633" s="150"/>
      <c r="CB633" s="150"/>
      <c r="CC633" s="150"/>
      <c r="CD633" s="150"/>
      <c r="CE633" s="150"/>
      <c r="CF633" s="150"/>
      <c r="CG633" s="150"/>
      <c r="CH633" s="150"/>
      <c r="CI633" s="150"/>
      <c r="CJ633" s="150"/>
      <c r="CK633" s="150"/>
      <c r="CL633" s="150"/>
      <c r="CM633" s="150"/>
      <c r="CN633" s="150"/>
      <c r="CO633" s="150"/>
      <c r="CP633" s="150"/>
      <c r="CQ633" s="150"/>
      <c r="CR633" s="150"/>
      <c r="CS633" s="150"/>
      <c r="CT633" s="150"/>
      <c r="CU633" s="150"/>
      <c r="CV633" s="150"/>
      <c r="CW633" s="150"/>
      <c r="CX633" s="150"/>
      <c r="CY633" s="150"/>
      <c r="CZ633" s="150"/>
      <c r="DA633" s="150"/>
      <c r="DB633" s="150"/>
      <c r="DC633" s="150"/>
      <c r="DD633" s="150"/>
      <c r="DE633" s="150"/>
      <c r="DF633" s="150"/>
      <c r="DG633" s="150"/>
      <c r="DH633" s="150"/>
      <c r="DI633" s="150"/>
      <c r="DJ633" s="150"/>
      <c r="DK633" s="150"/>
      <c r="DL633" s="150"/>
      <c r="DM633" s="150"/>
      <c r="DN633" s="150"/>
      <c r="DO633" s="150"/>
      <c r="DP633" s="150"/>
      <c r="DQ633" s="150"/>
      <c r="DR633" s="150"/>
      <c r="DS633" s="150"/>
      <c r="DT633" s="150"/>
      <c r="DU633" s="150"/>
      <c r="DV633" s="150"/>
      <c r="DW633" s="150"/>
      <c r="DX633" s="150"/>
      <c r="DY633" s="150"/>
      <c r="DZ633" s="150"/>
      <c r="EA633" s="150"/>
      <c r="EB633" s="150"/>
      <c r="EC633" s="150"/>
      <c r="ED633" s="150"/>
      <c r="EE633" s="150"/>
      <c r="EF633" s="150"/>
      <c r="EG633" s="150"/>
      <c r="EH633" s="150"/>
      <c r="EI633" s="150"/>
      <c r="EJ633" s="150"/>
      <c r="EK633" s="150"/>
      <c r="EL633" s="150"/>
      <c r="EM633" s="150"/>
      <c r="EN633" s="150"/>
      <c r="EO633" s="150"/>
      <c r="EP633" s="150"/>
      <c r="EQ633" s="150"/>
      <c r="ER633" s="150"/>
      <c r="ES633" s="150"/>
      <c r="ET633" s="150"/>
      <c r="EU633" s="150"/>
      <c r="EV633" s="150"/>
      <c r="EW633" s="150"/>
      <c r="EX633" s="150"/>
      <c r="EY633" s="150"/>
      <c r="EZ633" s="150"/>
      <c r="FA633" s="150"/>
      <c r="FB633" s="150"/>
      <c r="FC633" s="150"/>
      <c r="FD633" s="150"/>
      <c r="FE633" s="150"/>
      <c r="FF633" s="150"/>
      <c r="FG633" s="150"/>
      <c r="FH633" s="150"/>
      <c r="FI633" s="150"/>
      <c r="FJ633" s="150"/>
      <c r="FK633" s="150"/>
      <c r="FL633" s="150"/>
      <c r="FM633" s="150"/>
      <c r="FN633" s="150"/>
    </row>
    <row r="634" spans="1:170" s="149" customFormat="1" x14ac:dyDescent="0.25">
      <c r="A634" s="142"/>
      <c r="B634" s="142"/>
      <c r="C634" s="142"/>
      <c r="D634" s="144"/>
      <c r="E634" s="143"/>
      <c r="F634" s="143"/>
      <c r="G634" s="144"/>
      <c r="H634" s="143"/>
      <c r="I634" s="143"/>
      <c r="J634" s="319"/>
      <c r="K634" s="319"/>
      <c r="L634" s="315"/>
      <c r="M634" s="315"/>
      <c r="N634" s="145"/>
      <c r="O634" s="145"/>
      <c r="P634" s="145"/>
      <c r="Q634" s="146"/>
      <c r="R634" s="147"/>
      <c r="S634" s="148"/>
      <c r="T634" s="148"/>
      <c r="U634" s="148"/>
      <c r="V634" s="148"/>
      <c r="W634" s="148"/>
      <c r="X634" s="148"/>
      <c r="Y634" s="148"/>
      <c r="Z634" s="148"/>
      <c r="AA634" s="148"/>
      <c r="AB634" s="148"/>
      <c r="AV634" s="150"/>
      <c r="AW634" s="150"/>
      <c r="AX634" s="150"/>
      <c r="AY634" s="150"/>
      <c r="AZ634" s="150"/>
      <c r="BA634" s="150"/>
      <c r="BB634" s="150"/>
      <c r="BC634" s="150"/>
      <c r="BD634" s="150"/>
      <c r="BE634" s="150"/>
      <c r="BF634" s="150"/>
      <c r="BG634" s="150"/>
      <c r="BH634" s="150"/>
      <c r="BI634" s="150"/>
      <c r="BJ634" s="150"/>
      <c r="BK634" s="150"/>
      <c r="BL634" s="150"/>
      <c r="BM634" s="150"/>
      <c r="BN634" s="150"/>
      <c r="BO634" s="150"/>
      <c r="BP634" s="150"/>
      <c r="BQ634" s="150"/>
      <c r="BR634" s="150"/>
      <c r="BS634" s="150"/>
      <c r="BT634" s="150"/>
      <c r="BU634" s="150"/>
      <c r="BV634" s="150"/>
      <c r="BW634" s="150"/>
      <c r="BX634" s="150"/>
      <c r="BY634" s="150"/>
      <c r="BZ634" s="150"/>
      <c r="CA634" s="150"/>
      <c r="CB634" s="150"/>
      <c r="CC634" s="150"/>
      <c r="CD634" s="150"/>
      <c r="CE634" s="150"/>
      <c r="CF634" s="150"/>
      <c r="CG634" s="150"/>
      <c r="CH634" s="150"/>
      <c r="CI634" s="150"/>
      <c r="CJ634" s="150"/>
      <c r="CK634" s="150"/>
      <c r="CL634" s="150"/>
      <c r="CM634" s="150"/>
      <c r="CN634" s="150"/>
      <c r="CO634" s="150"/>
      <c r="CP634" s="150"/>
      <c r="CQ634" s="150"/>
      <c r="CR634" s="150"/>
      <c r="CS634" s="150"/>
      <c r="CT634" s="150"/>
      <c r="CU634" s="150"/>
      <c r="CV634" s="150"/>
      <c r="CW634" s="150"/>
      <c r="CX634" s="150"/>
      <c r="CY634" s="150"/>
      <c r="CZ634" s="150"/>
      <c r="DA634" s="150"/>
      <c r="DB634" s="150"/>
      <c r="DC634" s="150"/>
      <c r="DD634" s="150"/>
      <c r="DE634" s="150"/>
      <c r="DF634" s="150"/>
      <c r="DG634" s="150"/>
      <c r="DH634" s="150"/>
      <c r="DI634" s="150"/>
      <c r="DJ634" s="150"/>
      <c r="DK634" s="150"/>
      <c r="DL634" s="150"/>
      <c r="DM634" s="150"/>
      <c r="DN634" s="150"/>
      <c r="DO634" s="150"/>
      <c r="DP634" s="150"/>
      <c r="DQ634" s="150"/>
      <c r="DR634" s="150"/>
      <c r="DS634" s="150"/>
      <c r="DT634" s="150"/>
      <c r="DU634" s="150"/>
      <c r="DV634" s="150"/>
      <c r="DW634" s="150"/>
      <c r="DX634" s="150"/>
      <c r="DY634" s="150"/>
      <c r="DZ634" s="150"/>
      <c r="EA634" s="150"/>
      <c r="EB634" s="150"/>
      <c r="EC634" s="150"/>
      <c r="ED634" s="150"/>
      <c r="EE634" s="150"/>
      <c r="EF634" s="150"/>
      <c r="EG634" s="150"/>
      <c r="EH634" s="150"/>
      <c r="EI634" s="150"/>
      <c r="EJ634" s="150"/>
      <c r="EK634" s="150"/>
      <c r="EL634" s="150"/>
      <c r="EM634" s="150"/>
      <c r="EN634" s="150"/>
      <c r="EO634" s="150"/>
      <c r="EP634" s="150"/>
      <c r="EQ634" s="150"/>
      <c r="ER634" s="150"/>
      <c r="ES634" s="150"/>
      <c r="ET634" s="150"/>
      <c r="EU634" s="150"/>
      <c r="EV634" s="150"/>
      <c r="EW634" s="150"/>
      <c r="EX634" s="150"/>
      <c r="EY634" s="150"/>
      <c r="EZ634" s="150"/>
      <c r="FA634" s="150"/>
      <c r="FB634" s="150"/>
      <c r="FC634" s="150"/>
      <c r="FD634" s="150"/>
      <c r="FE634" s="150"/>
      <c r="FF634" s="150"/>
      <c r="FG634" s="150"/>
      <c r="FH634" s="150"/>
      <c r="FI634" s="150"/>
      <c r="FJ634" s="150"/>
      <c r="FK634" s="150"/>
      <c r="FL634" s="150"/>
      <c r="FM634" s="150"/>
      <c r="FN634" s="150"/>
    </row>
    <row r="635" spans="1:170" s="149" customFormat="1" x14ac:dyDescent="0.25">
      <c r="A635" s="142"/>
      <c r="B635" s="142"/>
      <c r="C635" s="142"/>
      <c r="D635" s="144"/>
      <c r="E635" s="143"/>
      <c r="F635" s="143"/>
      <c r="G635" s="144"/>
      <c r="H635" s="143"/>
      <c r="I635" s="143"/>
      <c r="J635" s="319"/>
      <c r="K635" s="319"/>
      <c r="L635" s="315"/>
      <c r="M635" s="315"/>
      <c r="N635" s="145"/>
      <c r="O635" s="145"/>
      <c r="P635" s="145"/>
      <c r="Q635" s="146"/>
      <c r="R635" s="147"/>
      <c r="S635" s="148"/>
      <c r="T635" s="148"/>
      <c r="U635" s="148"/>
      <c r="V635" s="148"/>
      <c r="W635" s="148"/>
      <c r="X635" s="148"/>
      <c r="Y635" s="148"/>
      <c r="Z635" s="148"/>
      <c r="AA635" s="148"/>
      <c r="AB635" s="148"/>
      <c r="AV635" s="150"/>
      <c r="AW635" s="150"/>
      <c r="AX635" s="150"/>
      <c r="AY635" s="150"/>
      <c r="AZ635" s="150"/>
      <c r="BA635" s="150"/>
      <c r="BB635" s="150"/>
      <c r="BC635" s="150"/>
      <c r="BD635" s="150"/>
      <c r="BE635" s="150"/>
      <c r="BF635" s="150"/>
      <c r="BG635" s="150"/>
      <c r="BH635" s="150"/>
      <c r="BI635" s="150"/>
      <c r="BJ635" s="150"/>
      <c r="BK635" s="150"/>
      <c r="BL635" s="150"/>
      <c r="BM635" s="150"/>
      <c r="BN635" s="150"/>
      <c r="BO635" s="150"/>
      <c r="BP635" s="150"/>
      <c r="BQ635" s="150"/>
      <c r="BR635" s="150"/>
      <c r="BS635" s="150"/>
      <c r="BT635" s="150"/>
      <c r="BU635" s="150"/>
      <c r="BV635" s="150"/>
      <c r="BW635" s="150"/>
      <c r="BX635" s="150"/>
      <c r="BY635" s="150"/>
      <c r="BZ635" s="150"/>
      <c r="CA635" s="150"/>
      <c r="CB635" s="150"/>
      <c r="CC635" s="150"/>
      <c r="CD635" s="150"/>
      <c r="CE635" s="150"/>
      <c r="CF635" s="150"/>
      <c r="CG635" s="150"/>
      <c r="CH635" s="150"/>
      <c r="CI635" s="150"/>
      <c r="CJ635" s="150"/>
      <c r="CK635" s="150"/>
      <c r="CL635" s="150"/>
      <c r="CM635" s="150"/>
      <c r="CN635" s="150"/>
      <c r="CO635" s="150"/>
      <c r="CP635" s="150"/>
      <c r="CQ635" s="150"/>
      <c r="CR635" s="150"/>
      <c r="CS635" s="150"/>
      <c r="CT635" s="150"/>
      <c r="CU635" s="150"/>
      <c r="CV635" s="150"/>
      <c r="CW635" s="150"/>
      <c r="CX635" s="150"/>
      <c r="CY635" s="150"/>
      <c r="CZ635" s="150"/>
      <c r="DA635" s="150"/>
      <c r="DB635" s="150"/>
      <c r="DC635" s="150"/>
      <c r="DD635" s="150"/>
      <c r="DE635" s="150"/>
      <c r="DF635" s="150"/>
      <c r="DG635" s="150"/>
      <c r="DH635" s="150"/>
      <c r="DI635" s="150"/>
      <c r="DJ635" s="150"/>
      <c r="DK635" s="150"/>
      <c r="DL635" s="150"/>
      <c r="DM635" s="150"/>
      <c r="DN635" s="150"/>
      <c r="DO635" s="150"/>
      <c r="DP635" s="150"/>
      <c r="DQ635" s="150"/>
      <c r="DR635" s="150"/>
      <c r="DS635" s="150"/>
      <c r="DT635" s="150"/>
      <c r="DU635" s="150"/>
      <c r="DV635" s="150"/>
      <c r="DW635" s="150"/>
      <c r="DX635" s="150"/>
      <c r="DY635" s="150"/>
      <c r="DZ635" s="150"/>
      <c r="EA635" s="150"/>
      <c r="EB635" s="150"/>
      <c r="EC635" s="150"/>
      <c r="ED635" s="150"/>
      <c r="EE635" s="150"/>
      <c r="EF635" s="150"/>
      <c r="EG635" s="150"/>
      <c r="EH635" s="150"/>
      <c r="EI635" s="150"/>
      <c r="EJ635" s="150"/>
      <c r="EK635" s="150"/>
      <c r="EL635" s="150"/>
      <c r="EM635" s="150"/>
      <c r="EN635" s="150"/>
      <c r="EO635" s="150"/>
      <c r="EP635" s="150"/>
      <c r="EQ635" s="150"/>
      <c r="ER635" s="150"/>
      <c r="ES635" s="150"/>
      <c r="ET635" s="150"/>
      <c r="EU635" s="150"/>
      <c r="EV635" s="150"/>
      <c r="EW635" s="150"/>
      <c r="EX635" s="150"/>
      <c r="EY635" s="150"/>
      <c r="EZ635" s="150"/>
      <c r="FA635" s="150"/>
      <c r="FB635" s="150"/>
      <c r="FC635" s="150"/>
      <c r="FD635" s="150"/>
      <c r="FE635" s="150"/>
      <c r="FF635" s="150"/>
      <c r="FG635" s="150"/>
      <c r="FH635" s="150"/>
      <c r="FI635" s="150"/>
      <c r="FJ635" s="150"/>
      <c r="FK635" s="150"/>
      <c r="FL635" s="150"/>
      <c r="FM635" s="150"/>
      <c r="FN635" s="150"/>
    </row>
    <row r="636" spans="1:170" s="149" customFormat="1" x14ac:dyDescent="0.25">
      <c r="A636" s="142"/>
      <c r="B636" s="142"/>
      <c r="C636" s="142"/>
      <c r="D636" s="144"/>
      <c r="E636" s="143"/>
      <c r="F636" s="143"/>
      <c r="G636" s="144"/>
      <c r="H636" s="143"/>
      <c r="I636" s="143"/>
      <c r="J636" s="319"/>
      <c r="K636" s="319"/>
      <c r="L636" s="315"/>
      <c r="M636" s="315"/>
      <c r="N636" s="145"/>
      <c r="O636" s="145"/>
      <c r="P636" s="145"/>
      <c r="Q636" s="146"/>
      <c r="R636" s="147"/>
      <c r="S636" s="148"/>
      <c r="T636" s="148"/>
      <c r="U636" s="148"/>
      <c r="V636" s="148"/>
      <c r="W636" s="148"/>
      <c r="X636" s="148"/>
      <c r="Y636" s="148"/>
      <c r="Z636" s="148"/>
      <c r="AA636" s="148"/>
      <c r="AB636" s="148"/>
      <c r="AV636" s="150"/>
      <c r="AW636" s="150"/>
      <c r="AX636" s="150"/>
      <c r="AY636" s="150"/>
      <c r="AZ636" s="150"/>
      <c r="BA636" s="150"/>
      <c r="BB636" s="150"/>
      <c r="BC636" s="150"/>
      <c r="BD636" s="150"/>
      <c r="BE636" s="150"/>
      <c r="BF636" s="150"/>
      <c r="BG636" s="150"/>
      <c r="BH636" s="150"/>
      <c r="BI636" s="150"/>
      <c r="BJ636" s="150"/>
      <c r="BK636" s="150"/>
      <c r="BL636" s="150"/>
      <c r="BM636" s="150"/>
      <c r="BN636" s="150"/>
      <c r="BO636" s="150"/>
      <c r="BP636" s="150"/>
      <c r="BQ636" s="150"/>
      <c r="BR636" s="150"/>
      <c r="BS636" s="150"/>
      <c r="BT636" s="150"/>
      <c r="BU636" s="150"/>
      <c r="BV636" s="150"/>
      <c r="BW636" s="150"/>
      <c r="BX636" s="150"/>
      <c r="BY636" s="150"/>
      <c r="BZ636" s="150"/>
      <c r="CA636" s="150"/>
      <c r="CB636" s="150"/>
      <c r="CC636" s="150"/>
      <c r="CD636" s="150"/>
      <c r="CE636" s="150"/>
      <c r="CF636" s="150"/>
      <c r="CG636" s="150"/>
      <c r="CH636" s="150"/>
      <c r="CI636" s="150"/>
      <c r="CJ636" s="150"/>
      <c r="CK636" s="150"/>
      <c r="CL636" s="150"/>
      <c r="CM636" s="150"/>
      <c r="CN636" s="150"/>
      <c r="CO636" s="150"/>
      <c r="CP636" s="150"/>
      <c r="CQ636" s="150"/>
      <c r="CR636" s="150"/>
      <c r="CS636" s="150"/>
      <c r="CT636" s="150"/>
      <c r="CU636" s="150"/>
      <c r="CV636" s="150"/>
      <c r="CW636" s="150"/>
      <c r="CX636" s="150"/>
      <c r="CY636" s="150"/>
      <c r="CZ636" s="150"/>
      <c r="DA636" s="150"/>
      <c r="DB636" s="150"/>
      <c r="DC636" s="150"/>
      <c r="DD636" s="150"/>
      <c r="DE636" s="150"/>
      <c r="DF636" s="150"/>
      <c r="DG636" s="150"/>
      <c r="DH636" s="150"/>
      <c r="DI636" s="150"/>
      <c r="DJ636" s="150"/>
      <c r="DK636" s="150"/>
      <c r="DL636" s="150"/>
      <c r="DM636" s="150"/>
      <c r="DN636" s="150"/>
      <c r="DO636" s="150"/>
      <c r="DP636" s="150"/>
      <c r="DQ636" s="150"/>
      <c r="DR636" s="150"/>
      <c r="DS636" s="150"/>
      <c r="DT636" s="150"/>
      <c r="DU636" s="150"/>
      <c r="DV636" s="150"/>
      <c r="DW636" s="150"/>
      <c r="DX636" s="150"/>
      <c r="DY636" s="150"/>
      <c r="DZ636" s="150"/>
      <c r="EA636" s="150"/>
      <c r="EB636" s="150"/>
      <c r="EC636" s="150"/>
      <c r="ED636" s="150"/>
      <c r="EE636" s="150"/>
      <c r="EF636" s="150"/>
      <c r="EG636" s="150"/>
      <c r="EH636" s="150"/>
      <c r="EI636" s="150"/>
      <c r="EJ636" s="150"/>
      <c r="EK636" s="150"/>
      <c r="EL636" s="150"/>
      <c r="EM636" s="150"/>
      <c r="EN636" s="150"/>
      <c r="EO636" s="150"/>
      <c r="EP636" s="150"/>
      <c r="EQ636" s="150"/>
      <c r="ER636" s="150"/>
      <c r="ES636" s="150"/>
      <c r="ET636" s="150"/>
      <c r="EU636" s="150"/>
      <c r="EV636" s="150"/>
      <c r="EW636" s="150"/>
      <c r="EX636" s="150"/>
      <c r="EY636" s="150"/>
      <c r="EZ636" s="150"/>
      <c r="FA636" s="150"/>
      <c r="FB636" s="150"/>
      <c r="FC636" s="150"/>
      <c r="FD636" s="150"/>
      <c r="FE636" s="150"/>
      <c r="FF636" s="150"/>
      <c r="FG636" s="150"/>
      <c r="FH636" s="150"/>
      <c r="FI636" s="150"/>
      <c r="FJ636" s="150"/>
      <c r="FK636" s="150"/>
      <c r="FL636" s="150"/>
      <c r="FM636" s="150"/>
      <c r="FN636" s="150"/>
    </row>
    <row r="637" spans="1:170" s="149" customFormat="1" x14ac:dyDescent="0.25">
      <c r="A637" s="142"/>
      <c r="B637" s="142"/>
      <c r="C637" s="142"/>
      <c r="D637" s="144"/>
      <c r="E637" s="143"/>
      <c r="F637" s="143"/>
      <c r="G637" s="144"/>
      <c r="H637" s="143"/>
      <c r="I637" s="143"/>
      <c r="J637" s="319"/>
      <c r="K637" s="319"/>
      <c r="L637" s="315"/>
      <c r="M637" s="315"/>
      <c r="N637" s="145"/>
      <c r="O637" s="145"/>
      <c r="P637" s="145"/>
      <c r="Q637" s="146"/>
      <c r="R637" s="147"/>
      <c r="S637" s="148"/>
      <c r="T637" s="148"/>
      <c r="U637" s="148"/>
      <c r="V637" s="148"/>
      <c r="W637" s="148"/>
      <c r="X637" s="148"/>
      <c r="Y637" s="148"/>
      <c r="Z637" s="148"/>
      <c r="AA637" s="148"/>
      <c r="AB637" s="148"/>
      <c r="AV637" s="150"/>
      <c r="AW637" s="150"/>
      <c r="AX637" s="150"/>
      <c r="AY637" s="150"/>
      <c r="AZ637" s="150"/>
      <c r="BA637" s="150"/>
      <c r="BB637" s="150"/>
      <c r="BC637" s="150"/>
      <c r="BD637" s="150"/>
      <c r="BE637" s="150"/>
      <c r="BF637" s="150"/>
      <c r="BG637" s="150"/>
      <c r="BH637" s="150"/>
      <c r="BI637" s="150"/>
      <c r="BJ637" s="150"/>
      <c r="BK637" s="150"/>
      <c r="BL637" s="150"/>
      <c r="BM637" s="150"/>
      <c r="BN637" s="150"/>
      <c r="BO637" s="150"/>
      <c r="BP637" s="150"/>
      <c r="BQ637" s="150"/>
      <c r="BR637" s="150"/>
      <c r="BS637" s="150"/>
      <c r="BT637" s="150"/>
      <c r="BU637" s="150"/>
      <c r="BV637" s="150"/>
      <c r="BW637" s="150"/>
      <c r="BX637" s="150"/>
      <c r="BY637" s="150"/>
      <c r="BZ637" s="150"/>
      <c r="CA637" s="150"/>
      <c r="CB637" s="150"/>
      <c r="CC637" s="150"/>
      <c r="CD637" s="150"/>
      <c r="CE637" s="150"/>
      <c r="CF637" s="150"/>
      <c r="CG637" s="150"/>
      <c r="CH637" s="150"/>
      <c r="CI637" s="150"/>
      <c r="CJ637" s="150"/>
      <c r="CK637" s="150"/>
      <c r="CL637" s="150"/>
      <c r="CM637" s="150"/>
      <c r="CN637" s="150"/>
      <c r="CO637" s="150"/>
      <c r="CP637" s="150"/>
      <c r="CQ637" s="150"/>
      <c r="CR637" s="150"/>
      <c r="CS637" s="150"/>
      <c r="CT637" s="150"/>
      <c r="CU637" s="150"/>
      <c r="CV637" s="150"/>
      <c r="CW637" s="150"/>
      <c r="CX637" s="150"/>
      <c r="CY637" s="150"/>
      <c r="CZ637" s="150"/>
      <c r="DA637" s="150"/>
      <c r="DB637" s="150"/>
      <c r="DC637" s="150"/>
      <c r="DD637" s="150"/>
      <c r="DE637" s="150"/>
      <c r="DF637" s="150"/>
      <c r="DG637" s="150"/>
      <c r="DH637" s="150"/>
      <c r="DI637" s="150"/>
      <c r="DJ637" s="150"/>
      <c r="DK637" s="150"/>
      <c r="DL637" s="150"/>
      <c r="DM637" s="150"/>
      <c r="DN637" s="150"/>
      <c r="DO637" s="150"/>
      <c r="DP637" s="150"/>
      <c r="DQ637" s="150"/>
      <c r="DR637" s="150"/>
      <c r="DS637" s="150"/>
      <c r="DT637" s="150"/>
      <c r="DU637" s="150"/>
      <c r="DV637" s="150"/>
      <c r="DW637" s="150"/>
      <c r="DX637" s="150"/>
      <c r="DY637" s="150"/>
      <c r="DZ637" s="150"/>
      <c r="EA637" s="150"/>
      <c r="EB637" s="150"/>
      <c r="EC637" s="150"/>
      <c r="ED637" s="150"/>
      <c r="EE637" s="150"/>
      <c r="EF637" s="150"/>
      <c r="EG637" s="150"/>
      <c r="EH637" s="150"/>
      <c r="EI637" s="150"/>
      <c r="EJ637" s="150"/>
      <c r="EK637" s="150"/>
      <c r="EL637" s="150"/>
      <c r="EM637" s="150"/>
      <c r="EN637" s="150"/>
      <c r="EO637" s="150"/>
      <c r="EP637" s="150"/>
      <c r="EQ637" s="150"/>
      <c r="ER637" s="150"/>
      <c r="ES637" s="150"/>
      <c r="ET637" s="150"/>
      <c r="EU637" s="150"/>
      <c r="EV637" s="150"/>
      <c r="EW637" s="150"/>
      <c r="EX637" s="150"/>
      <c r="EY637" s="150"/>
      <c r="EZ637" s="150"/>
      <c r="FA637" s="150"/>
      <c r="FB637" s="150"/>
      <c r="FC637" s="150"/>
      <c r="FD637" s="150"/>
      <c r="FE637" s="150"/>
      <c r="FF637" s="150"/>
      <c r="FG637" s="150"/>
      <c r="FH637" s="150"/>
      <c r="FI637" s="150"/>
      <c r="FJ637" s="150"/>
      <c r="FK637" s="150"/>
      <c r="FL637" s="150"/>
      <c r="FM637" s="150"/>
      <c r="FN637" s="150"/>
    </row>
    <row r="638" spans="1:170" s="149" customFormat="1" x14ac:dyDescent="0.25">
      <c r="A638" s="142"/>
      <c r="B638" s="142"/>
      <c r="C638" s="142"/>
      <c r="D638" s="144"/>
      <c r="E638" s="143"/>
      <c r="F638" s="143"/>
      <c r="G638" s="144"/>
      <c r="H638" s="143"/>
      <c r="I638" s="143"/>
      <c r="J638" s="319"/>
      <c r="K638" s="319"/>
      <c r="L638" s="315"/>
      <c r="M638" s="315"/>
      <c r="N638" s="145"/>
      <c r="O638" s="145"/>
      <c r="P638" s="145"/>
      <c r="Q638" s="146"/>
      <c r="R638" s="147"/>
      <c r="S638" s="148"/>
      <c r="T638" s="148"/>
      <c r="U638" s="148"/>
      <c r="V638" s="148"/>
      <c r="W638" s="148"/>
      <c r="X638" s="148"/>
      <c r="Y638" s="148"/>
      <c r="Z638" s="148"/>
      <c r="AA638" s="148"/>
      <c r="AB638" s="148"/>
      <c r="AV638" s="150"/>
      <c r="AW638" s="150"/>
      <c r="AX638" s="150"/>
      <c r="AY638" s="150"/>
      <c r="AZ638" s="150"/>
      <c r="BA638" s="150"/>
      <c r="BB638" s="150"/>
      <c r="BC638" s="150"/>
      <c r="BD638" s="150"/>
      <c r="BE638" s="150"/>
      <c r="BF638" s="150"/>
      <c r="BG638" s="150"/>
      <c r="BH638" s="150"/>
      <c r="BI638" s="150"/>
      <c r="BJ638" s="150"/>
      <c r="BK638" s="150"/>
      <c r="BL638" s="150"/>
      <c r="BM638" s="150"/>
      <c r="BN638" s="150"/>
      <c r="BO638" s="150"/>
      <c r="BP638" s="150"/>
      <c r="BQ638" s="150"/>
      <c r="BR638" s="150"/>
      <c r="BS638" s="150"/>
      <c r="BT638" s="150"/>
      <c r="BU638" s="150"/>
      <c r="BV638" s="150"/>
      <c r="BW638" s="150"/>
      <c r="BX638" s="150"/>
      <c r="BY638" s="150"/>
      <c r="BZ638" s="150"/>
      <c r="CA638" s="150"/>
      <c r="CB638" s="150"/>
      <c r="CC638" s="150"/>
      <c r="CD638" s="150"/>
      <c r="CE638" s="150"/>
      <c r="CF638" s="150"/>
      <c r="CG638" s="150"/>
      <c r="CH638" s="150"/>
      <c r="CI638" s="150"/>
      <c r="CJ638" s="150"/>
      <c r="CK638" s="150"/>
      <c r="CL638" s="150"/>
      <c r="CM638" s="150"/>
      <c r="CN638" s="150"/>
      <c r="CO638" s="150"/>
      <c r="CP638" s="150"/>
      <c r="CQ638" s="150"/>
      <c r="CR638" s="150"/>
      <c r="CS638" s="150"/>
      <c r="CT638" s="150"/>
      <c r="CU638" s="150"/>
      <c r="CV638" s="150"/>
      <c r="CW638" s="150"/>
      <c r="CX638" s="150"/>
      <c r="CY638" s="150"/>
      <c r="CZ638" s="150"/>
      <c r="DA638" s="150"/>
      <c r="DB638" s="150"/>
      <c r="DC638" s="150"/>
      <c r="DD638" s="150"/>
      <c r="DE638" s="150"/>
      <c r="DF638" s="150"/>
      <c r="DG638" s="150"/>
      <c r="DH638" s="150"/>
      <c r="DI638" s="150"/>
      <c r="DJ638" s="150"/>
      <c r="DK638" s="150"/>
      <c r="DL638" s="150"/>
      <c r="DM638" s="150"/>
      <c r="DN638" s="150"/>
      <c r="DO638" s="150"/>
      <c r="DP638" s="150"/>
      <c r="DQ638" s="150"/>
      <c r="DR638" s="150"/>
      <c r="DS638" s="150"/>
      <c r="DT638" s="150"/>
      <c r="DU638" s="150"/>
      <c r="DV638" s="150"/>
      <c r="DW638" s="150"/>
      <c r="DX638" s="150"/>
      <c r="DY638" s="150"/>
      <c r="DZ638" s="150"/>
      <c r="EA638" s="150"/>
      <c r="EB638" s="150"/>
      <c r="EC638" s="150"/>
      <c r="ED638" s="150"/>
      <c r="EE638" s="150"/>
      <c r="EF638" s="150"/>
      <c r="EG638" s="150"/>
      <c r="EH638" s="150"/>
      <c r="EI638" s="150"/>
      <c r="EJ638" s="150"/>
      <c r="EK638" s="150"/>
      <c r="EL638" s="150"/>
      <c r="EM638" s="150"/>
      <c r="EN638" s="150"/>
      <c r="EO638" s="150"/>
      <c r="EP638" s="150"/>
      <c r="EQ638" s="150"/>
      <c r="ER638" s="150"/>
      <c r="ES638" s="150"/>
      <c r="ET638" s="150"/>
      <c r="EU638" s="150"/>
      <c r="EV638" s="150"/>
      <c r="EW638" s="150"/>
      <c r="EX638" s="150"/>
      <c r="EY638" s="150"/>
      <c r="EZ638" s="150"/>
      <c r="FA638" s="150"/>
      <c r="FB638" s="150"/>
      <c r="FC638" s="150"/>
      <c r="FD638" s="150"/>
      <c r="FE638" s="150"/>
      <c r="FF638" s="150"/>
      <c r="FG638" s="150"/>
      <c r="FH638" s="150"/>
      <c r="FI638" s="150"/>
      <c r="FJ638" s="150"/>
      <c r="FK638" s="150"/>
      <c r="FL638" s="150"/>
      <c r="FM638" s="150"/>
      <c r="FN638" s="150"/>
    </row>
    <row r="639" spans="1:170" s="149" customFormat="1" x14ac:dyDescent="0.25">
      <c r="A639" s="142"/>
      <c r="B639" s="142"/>
      <c r="C639" s="142"/>
      <c r="D639" s="144"/>
      <c r="E639" s="143"/>
      <c r="F639" s="143"/>
      <c r="G639" s="144"/>
      <c r="H639" s="143"/>
      <c r="I639" s="143"/>
      <c r="J639" s="319"/>
      <c r="K639" s="319"/>
      <c r="L639" s="315"/>
      <c r="M639" s="315"/>
      <c r="N639" s="145"/>
      <c r="O639" s="145"/>
      <c r="P639" s="145"/>
      <c r="Q639" s="146"/>
      <c r="R639" s="147"/>
      <c r="S639" s="148"/>
      <c r="T639" s="148"/>
      <c r="U639" s="148"/>
      <c r="V639" s="148"/>
      <c r="W639" s="148"/>
      <c r="X639" s="148"/>
      <c r="Y639" s="148"/>
      <c r="Z639" s="148"/>
      <c r="AA639" s="148"/>
      <c r="AB639" s="148"/>
      <c r="AV639" s="150"/>
      <c r="AW639" s="150"/>
      <c r="AX639" s="150"/>
      <c r="AY639" s="150"/>
      <c r="AZ639" s="150"/>
      <c r="BA639" s="150"/>
      <c r="BB639" s="150"/>
      <c r="BC639" s="150"/>
      <c r="BD639" s="150"/>
      <c r="BE639" s="150"/>
      <c r="BF639" s="150"/>
      <c r="BG639" s="150"/>
      <c r="BH639" s="150"/>
      <c r="BI639" s="150"/>
      <c r="BJ639" s="150"/>
      <c r="BK639" s="150"/>
      <c r="BL639" s="150"/>
      <c r="BM639" s="150"/>
      <c r="BN639" s="150"/>
      <c r="BO639" s="150"/>
      <c r="BP639" s="150"/>
      <c r="BQ639" s="150"/>
      <c r="BR639" s="150"/>
      <c r="BS639" s="150"/>
      <c r="BT639" s="150"/>
      <c r="BU639" s="150"/>
      <c r="BV639" s="150"/>
      <c r="BW639" s="150"/>
      <c r="BX639" s="150"/>
      <c r="BY639" s="150"/>
      <c r="BZ639" s="150"/>
      <c r="CA639" s="150"/>
      <c r="CB639" s="150"/>
      <c r="CC639" s="150"/>
      <c r="CD639" s="150"/>
      <c r="CE639" s="150"/>
      <c r="CF639" s="150"/>
      <c r="CG639" s="150"/>
      <c r="CH639" s="150"/>
      <c r="CI639" s="150"/>
      <c r="CJ639" s="150"/>
      <c r="CK639" s="150"/>
      <c r="CL639" s="150"/>
      <c r="CM639" s="150"/>
      <c r="CN639" s="150"/>
      <c r="CO639" s="150"/>
      <c r="CP639" s="150"/>
      <c r="CQ639" s="150"/>
      <c r="CR639" s="150"/>
      <c r="CS639" s="150"/>
      <c r="CT639" s="150"/>
      <c r="CU639" s="150"/>
      <c r="CV639" s="150"/>
      <c r="CW639" s="150"/>
      <c r="CX639" s="150"/>
      <c r="CY639" s="150"/>
      <c r="CZ639" s="150"/>
      <c r="DA639" s="150"/>
      <c r="DB639" s="150"/>
      <c r="DC639" s="150"/>
      <c r="DD639" s="150"/>
      <c r="DE639" s="150"/>
      <c r="DF639" s="150"/>
      <c r="DG639" s="150"/>
      <c r="DH639" s="150"/>
      <c r="DI639" s="150"/>
      <c r="DJ639" s="150"/>
      <c r="DK639" s="150"/>
      <c r="DL639" s="150"/>
      <c r="DM639" s="150"/>
      <c r="DN639" s="150"/>
      <c r="DO639" s="150"/>
      <c r="DP639" s="150"/>
      <c r="DQ639" s="150"/>
      <c r="DR639" s="150"/>
      <c r="DS639" s="150"/>
      <c r="DT639" s="150"/>
      <c r="DU639" s="150"/>
      <c r="DV639" s="150"/>
      <c r="DW639" s="150"/>
      <c r="DX639" s="150"/>
      <c r="DY639" s="150"/>
      <c r="DZ639" s="150"/>
      <c r="EA639" s="150"/>
      <c r="EB639" s="150"/>
      <c r="EC639" s="150"/>
      <c r="ED639" s="150"/>
      <c r="EE639" s="150"/>
      <c r="EF639" s="150"/>
      <c r="EG639" s="150"/>
      <c r="EH639" s="150"/>
      <c r="EI639" s="150"/>
      <c r="EJ639" s="150"/>
      <c r="EK639" s="150"/>
      <c r="EL639" s="150"/>
      <c r="EM639" s="150"/>
      <c r="EN639" s="150"/>
      <c r="EO639" s="150"/>
      <c r="EP639" s="150"/>
      <c r="EQ639" s="150"/>
      <c r="ER639" s="150"/>
      <c r="ES639" s="150"/>
      <c r="ET639" s="150"/>
      <c r="EU639" s="150"/>
      <c r="EV639" s="150"/>
      <c r="EW639" s="150"/>
      <c r="EX639" s="150"/>
      <c r="EY639" s="150"/>
      <c r="EZ639" s="150"/>
      <c r="FA639" s="150"/>
      <c r="FB639" s="150"/>
      <c r="FC639" s="150"/>
      <c r="FD639" s="150"/>
      <c r="FE639" s="150"/>
      <c r="FF639" s="150"/>
      <c r="FG639" s="150"/>
      <c r="FH639" s="150"/>
      <c r="FI639" s="150"/>
      <c r="FJ639" s="150"/>
      <c r="FK639" s="150"/>
      <c r="FL639" s="150"/>
      <c r="FM639" s="150"/>
      <c r="FN639" s="150"/>
    </row>
    <row r="640" spans="1:170" s="149" customFormat="1" x14ac:dyDescent="0.25">
      <c r="A640" s="142"/>
      <c r="B640" s="142"/>
      <c r="C640" s="142"/>
      <c r="D640" s="144"/>
      <c r="E640" s="143"/>
      <c r="F640" s="143"/>
      <c r="G640" s="144"/>
      <c r="H640" s="143"/>
      <c r="I640" s="143"/>
      <c r="J640" s="319"/>
      <c r="K640" s="319"/>
      <c r="L640" s="315"/>
      <c r="M640" s="315"/>
      <c r="N640" s="145"/>
      <c r="O640" s="145"/>
      <c r="P640" s="145"/>
      <c r="Q640" s="146"/>
      <c r="R640" s="147"/>
      <c r="S640" s="148"/>
      <c r="T640" s="148"/>
      <c r="U640" s="148"/>
      <c r="V640" s="148"/>
      <c r="W640" s="148"/>
      <c r="X640" s="148"/>
      <c r="Y640" s="148"/>
      <c r="Z640" s="148"/>
      <c r="AA640" s="148"/>
      <c r="AB640" s="148"/>
      <c r="AV640" s="150"/>
      <c r="AW640" s="150"/>
      <c r="AX640" s="150"/>
      <c r="AY640" s="150"/>
      <c r="AZ640" s="150"/>
      <c r="BA640" s="150"/>
      <c r="BB640" s="150"/>
      <c r="BC640" s="150"/>
      <c r="BD640" s="150"/>
      <c r="BE640" s="150"/>
      <c r="BF640" s="150"/>
      <c r="BG640" s="150"/>
      <c r="BH640" s="150"/>
      <c r="BI640" s="150"/>
      <c r="BJ640" s="150"/>
      <c r="BK640" s="150"/>
      <c r="BL640" s="150"/>
      <c r="BM640" s="150"/>
      <c r="BN640" s="150"/>
      <c r="BO640" s="150"/>
      <c r="BP640" s="150"/>
      <c r="BQ640" s="150"/>
      <c r="BR640" s="150"/>
      <c r="BS640" s="150"/>
      <c r="BT640" s="150"/>
      <c r="BU640" s="150"/>
      <c r="BV640" s="150"/>
      <c r="BW640" s="150"/>
      <c r="BX640" s="150"/>
      <c r="BY640" s="150"/>
      <c r="BZ640" s="150"/>
      <c r="CA640" s="150"/>
      <c r="CB640" s="150"/>
      <c r="CC640" s="150"/>
      <c r="CD640" s="150"/>
      <c r="CE640" s="150"/>
      <c r="CF640" s="150"/>
      <c r="CG640" s="150"/>
      <c r="CH640" s="150"/>
      <c r="CI640" s="150"/>
      <c r="CJ640" s="150"/>
      <c r="CK640" s="150"/>
      <c r="CL640" s="150"/>
      <c r="CM640" s="150"/>
      <c r="CN640" s="150"/>
      <c r="CO640" s="150"/>
      <c r="CP640" s="150"/>
      <c r="CQ640" s="150"/>
      <c r="CR640" s="150"/>
      <c r="CS640" s="150"/>
      <c r="CT640" s="150"/>
      <c r="CU640" s="150"/>
      <c r="CV640" s="150"/>
      <c r="CW640" s="150"/>
      <c r="CX640" s="150"/>
      <c r="CY640" s="150"/>
      <c r="CZ640" s="150"/>
      <c r="DA640" s="150"/>
      <c r="DB640" s="150"/>
      <c r="DC640" s="150"/>
      <c r="DD640" s="150"/>
      <c r="DE640" s="150"/>
      <c r="DF640" s="150"/>
      <c r="DG640" s="150"/>
      <c r="DH640" s="150"/>
      <c r="DI640" s="150"/>
      <c r="DJ640" s="150"/>
      <c r="DK640" s="150"/>
      <c r="DL640" s="150"/>
      <c r="DM640" s="150"/>
      <c r="DN640" s="150"/>
      <c r="DO640" s="150"/>
      <c r="DP640" s="150"/>
      <c r="DQ640" s="150"/>
      <c r="DR640" s="150"/>
      <c r="DS640" s="150"/>
      <c r="DT640" s="150"/>
      <c r="DU640" s="150"/>
      <c r="DV640" s="150"/>
      <c r="DW640" s="150"/>
      <c r="DX640" s="150"/>
      <c r="DY640" s="150"/>
      <c r="DZ640" s="150"/>
      <c r="EA640" s="150"/>
      <c r="EB640" s="150"/>
      <c r="EC640" s="150"/>
      <c r="ED640" s="150"/>
      <c r="EE640" s="150"/>
      <c r="EF640" s="150"/>
      <c r="EG640" s="150"/>
      <c r="EH640" s="150"/>
      <c r="EI640" s="150"/>
      <c r="EJ640" s="150"/>
      <c r="EK640" s="150"/>
      <c r="EL640" s="150"/>
      <c r="EM640" s="150"/>
      <c r="EN640" s="150"/>
      <c r="EO640" s="150"/>
      <c r="EP640" s="150"/>
      <c r="EQ640" s="150"/>
      <c r="ER640" s="150"/>
      <c r="ES640" s="150"/>
      <c r="ET640" s="150"/>
      <c r="EU640" s="150"/>
      <c r="EV640" s="150"/>
      <c r="EW640" s="150"/>
      <c r="EX640" s="150"/>
      <c r="EY640" s="150"/>
      <c r="EZ640" s="150"/>
      <c r="FA640" s="150"/>
      <c r="FB640" s="150"/>
      <c r="FC640" s="150"/>
      <c r="FD640" s="150"/>
      <c r="FE640" s="150"/>
      <c r="FF640" s="150"/>
      <c r="FG640" s="150"/>
      <c r="FH640" s="150"/>
      <c r="FI640" s="150"/>
      <c r="FJ640" s="150"/>
      <c r="FK640" s="150"/>
      <c r="FL640" s="150"/>
      <c r="FM640" s="150"/>
      <c r="FN640" s="150"/>
    </row>
    <row r="641" spans="1:170" s="149" customFormat="1" x14ac:dyDescent="0.25">
      <c r="A641" s="142"/>
      <c r="B641" s="142"/>
      <c r="C641" s="142"/>
      <c r="D641" s="144"/>
      <c r="E641" s="143"/>
      <c r="F641" s="143"/>
      <c r="G641" s="144"/>
      <c r="H641" s="143"/>
      <c r="I641" s="143"/>
      <c r="J641" s="319"/>
      <c r="K641" s="319"/>
      <c r="L641" s="315"/>
      <c r="M641" s="315"/>
      <c r="N641" s="145"/>
      <c r="O641" s="145"/>
      <c r="P641" s="145"/>
      <c r="Q641" s="146"/>
      <c r="R641" s="147"/>
      <c r="S641" s="148"/>
      <c r="T641" s="148"/>
      <c r="U641" s="148"/>
      <c r="V641" s="148"/>
      <c r="W641" s="148"/>
      <c r="X641" s="148"/>
      <c r="Y641" s="148"/>
      <c r="Z641" s="148"/>
      <c r="AA641" s="148"/>
      <c r="AB641" s="148"/>
      <c r="AV641" s="150"/>
      <c r="AW641" s="150"/>
      <c r="AX641" s="150"/>
      <c r="AY641" s="150"/>
      <c r="AZ641" s="150"/>
      <c r="BA641" s="150"/>
      <c r="BB641" s="150"/>
      <c r="BC641" s="150"/>
      <c r="BD641" s="150"/>
      <c r="BE641" s="150"/>
      <c r="BF641" s="150"/>
      <c r="BG641" s="150"/>
      <c r="BH641" s="150"/>
      <c r="BI641" s="150"/>
      <c r="BJ641" s="150"/>
      <c r="BK641" s="150"/>
      <c r="BL641" s="150"/>
      <c r="BM641" s="150"/>
      <c r="BN641" s="150"/>
      <c r="BO641" s="150"/>
      <c r="BP641" s="150"/>
      <c r="BQ641" s="150"/>
      <c r="BR641" s="150"/>
      <c r="BS641" s="150"/>
      <c r="BT641" s="150"/>
      <c r="BU641" s="150"/>
      <c r="BV641" s="150"/>
      <c r="BW641" s="150"/>
      <c r="BX641" s="150"/>
      <c r="BY641" s="150"/>
      <c r="BZ641" s="150"/>
      <c r="CA641" s="150"/>
      <c r="CB641" s="150"/>
      <c r="CC641" s="150"/>
      <c r="CD641" s="150"/>
      <c r="CE641" s="150"/>
      <c r="CF641" s="150"/>
      <c r="CG641" s="150"/>
      <c r="CH641" s="150"/>
      <c r="CI641" s="150"/>
      <c r="CJ641" s="150"/>
      <c r="CK641" s="150"/>
      <c r="CL641" s="150"/>
      <c r="CM641" s="150"/>
      <c r="CN641" s="150"/>
      <c r="CO641" s="150"/>
      <c r="CP641" s="150"/>
      <c r="CQ641" s="150"/>
      <c r="CR641" s="150"/>
      <c r="CS641" s="150"/>
      <c r="CT641" s="150"/>
      <c r="CU641" s="150"/>
      <c r="CV641" s="150"/>
      <c r="CW641" s="150"/>
      <c r="CX641" s="150"/>
      <c r="CY641" s="150"/>
      <c r="CZ641" s="150"/>
      <c r="DA641" s="150"/>
      <c r="DB641" s="150"/>
      <c r="DC641" s="150"/>
      <c r="DD641" s="150"/>
      <c r="DE641" s="150"/>
      <c r="DF641" s="150"/>
      <c r="DG641" s="150"/>
      <c r="DH641" s="150"/>
      <c r="DI641" s="150"/>
      <c r="DJ641" s="150"/>
      <c r="DK641" s="150"/>
      <c r="DL641" s="150"/>
      <c r="DM641" s="150"/>
      <c r="DN641" s="150"/>
      <c r="DO641" s="150"/>
      <c r="DP641" s="150"/>
      <c r="DQ641" s="150"/>
      <c r="DR641" s="150"/>
      <c r="DS641" s="150"/>
      <c r="DT641" s="150"/>
      <c r="DU641" s="150"/>
      <c r="DV641" s="150"/>
      <c r="DW641" s="150"/>
      <c r="DX641" s="150"/>
      <c r="DY641" s="150"/>
      <c r="DZ641" s="150"/>
      <c r="EA641" s="150"/>
      <c r="EB641" s="150"/>
      <c r="EC641" s="150"/>
      <c r="ED641" s="150"/>
      <c r="EE641" s="150"/>
      <c r="EF641" s="150"/>
      <c r="EG641" s="150"/>
      <c r="EH641" s="150"/>
      <c r="EI641" s="150"/>
      <c r="EJ641" s="150"/>
      <c r="EK641" s="150"/>
      <c r="EL641" s="150"/>
      <c r="EM641" s="150"/>
      <c r="EN641" s="150"/>
      <c r="EO641" s="150"/>
      <c r="EP641" s="150"/>
      <c r="EQ641" s="150"/>
      <c r="ER641" s="150"/>
      <c r="ES641" s="150"/>
      <c r="ET641" s="150"/>
      <c r="EU641" s="150"/>
      <c r="EV641" s="150"/>
      <c r="EW641" s="150"/>
      <c r="EX641" s="150"/>
      <c r="EY641" s="150"/>
      <c r="EZ641" s="150"/>
      <c r="FA641" s="150"/>
      <c r="FB641" s="150"/>
      <c r="FC641" s="150"/>
      <c r="FD641" s="150"/>
      <c r="FE641" s="150"/>
      <c r="FF641" s="150"/>
      <c r="FG641" s="150"/>
      <c r="FH641" s="150"/>
      <c r="FI641" s="150"/>
      <c r="FJ641" s="150"/>
      <c r="FK641" s="150"/>
      <c r="FL641" s="150"/>
      <c r="FM641" s="150"/>
      <c r="FN641" s="150"/>
    </row>
    <row r="642" spans="1:170" s="149" customFormat="1" x14ac:dyDescent="0.25">
      <c r="A642" s="142"/>
      <c r="B642" s="142"/>
      <c r="C642" s="142"/>
      <c r="D642" s="144"/>
      <c r="E642" s="143"/>
      <c r="F642" s="143"/>
      <c r="G642" s="144"/>
      <c r="H642" s="143"/>
      <c r="I642" s="143"/>
      <c r="J642" s="319"/>
      <c r="K642" s="319"/>
      <c r="L642" s="315"/>
      <c r="M642" s="315"/>
      <c r="N642" s="145"/>
      <c r="O642" s="145"/>
      <c r="P642" s="145"/>
      <c r="Q642" s="146"/>
      <c r="R642" s="147"/>
      <c r="S642" s="148"/>
      <c r="T642" s="148"/>
      <c r="U642" s="148"/>
      <c r="V642" s="148"/>
      <c r="W642" s="148"/>
      <c r="X642" s="148"/>
      <c r="Y642" s="148"/>
      <c r="Z642" s="148"/>
      <c r="AA642" s="148"/>
      <c r="AB642" s="148"/>
      <c r="AV642" s="150"/>
      <c r="AW642" s="150"/>
      <c r="AX642" s="150"/>
      <c r="AY642" s="150"/>
      <c r="AZ642" s="150"/>
      <c r="BA642" s="150"/>
      <c r="BB642" s="150"/>
      <c r="BC642" s="150"/>
      <c r="BD642" s="150"/>
      <c r="BE642" s="150"/>
      <c r="BF642" s="150"/>
      <c r="BG642" s="150"/>
      <c r="BH642" s="150"/>
      <c r="BI642" s="150"/>
      <c r="BJ642" s="150"/>
      <c r="BK642" s="150"/>
      <c r="BL642" s="150"/>
      <c r="BM642" s="150"/>
      <c r="BN642" s="150"/>
      <c r="BO642" s="150"/>
      <c r="BP642" s="150"/>
      <c r="BQ642" s="150"/>
      <c r="BR642" s="150"/>
      <c r="BS642" s="150"/>
      <c r="BT642" s="150"/>
      <c r="BU642" s="150"/>
      <c r="BV642" s="150"/>
      <c r="BW642" s="150"/>
      <c r="BX642" s="150"/>
      <c r="BY642" s="150"/>
      <c r="BZ642" s="150"/>
      <c r="CA642" s="150"/>
      <c r="CB642" s="150"/>
      <c r="CC642" s="150"/>
      <c r="CD642" s="150"/>
      <c r="CE642" s="150"/>
      <c r="CF642" s="150"/>
      <c r="CG642" s="150"/>
      <c r="CH642" s="150"/>
      <c r="CI642" s="150"/>
      <c r="CJ642" s="150"/>
      <c r="CK642" s="150"/>
      <c r="CL642" s="150"/>
      <c r="CM642" s="150"/>
      <c r="CN642" s="150"/>
      <c r="CO642" s="150"/>
      <c r="CP642" s="150"/>
      <c r="CQ642" s="150"/>
      <c r="CR642" s="150"/>
      <c r="CS642" s="150"/>
      <c r="CT642" s="150"/>
      <c r="CU642" s="150"/>
      <c r="CV642" s="150"/>
      <c r="CW642" s="150"/>
      <c r="CX642" s="150"/>
      <c r="CY642" s="150"/>
      <c r="CZ642" s="150"/>
      <c r="DA642" s="150"/>
      <c r="DB642" s="150"/>
      <c r="DC642" s="150"/>
      <c r="DD642" s="150"/>
      <c r="DE642" s="150"/>
      <c r="DF642" s="150"/>
      <c r="DG642" s="150"/>
      <c r="DH642" s="150"/>
      <c r="DI642" s="150"/>
      <c r="DJ642" s="150"/>
      <c r="DK642" s="150"/>
      <c r="DL642" s="150"/>
      <c r="DM642" s="150"/>
      <c r="DN642" s="150"/>
      <c r="DO642" s="150"/>
      <c r="DP642" s="150"/>
      <c r="DQ642" s="150"/>
      <c r="DR642" s="150"/>
      <c r="DS642" s="150"/>
      <c r="DT642" s="150"/>
      <c r="DU642" s="150"/>
      <c r="DV642" s="150"/>
      <c r="DW642" s="150"/>
      <c r="DX642" s="150"/>
      <c r="DY642" s="150"/>
      <c r="DZ642" s="150"/>
      <c r="EA642" s="150"/>
      <c r="EB642" s="150"/>
      <c r="EC642" s="150"/>
      <c r="ED642" s="150"/>
      <c r="EE642" s="150"/>
      <c r="EF642" s="150"/>
      <c r="EG642" s="150"/>
      <c r="EH642" s="150"/>
      <c r="EI642" s="150"/>
      <c r="EJ642" s="150"/>
      <c r="EK642" s="150"/>
      <c r="EL642" s="150"/>
      <c r="EM642" s="150"/>
      <c r="EN642" s="150"/>
      <c r="EO642" s="150"/>
      <c r="EP642" s="150"/>
      <c r="EQ642" s="150"/>
      <c r="ER642" s="150"/>
      <c r="ES642" s="150"/>
      <c r="ET642" s="150"/>
      <c r="EU642" s="150"/>
      <c r="EV642" s="150"/>
      <c r="EW642" s="150"/>
      <c r="EX642" s="150"/>
      <c r="EY642" s="150"/>
      <c r="EZ642" s="150"/>
      <c r="FA642" s="150"/>
      <c r="FB642" s="150"/>
      <c r="FC642" s="150"/>
      <c r="FD642" s="150"/>
      <c r="FE642" s="150"/>
      <c r="FF642" s="150"/>
      <c r="FG642" s="150"/>
      <c r="FH642" s="150"/>
      <c r="FI642" s="150"/>
      <c r="FJ642" s="150"/>
      <c r="FK642" s="150"/>
      <c r="FL642" s="150"/>
      <c r="FM642" s="150"/>
      <c r="FN642" s="150"/>
    </row>
    <row r="643" spans="1:170" s="149" customFormat="1" x14ac:dyDescent="0.25">
      <c r="A643" s="142"/>
      <c r="B643" s="142"/>
      <c r="C643" s="142"/>
      <c r="D643" s="144"/>
      <c r="E643" s="143"/>
      <c r="F643" s="143"/>
      <c r="G643" s="144"/>
      <c r="H643" s="143"/>
      <c r="I643" s="143"/>
      <c r="J643" s="319"/>
      <c r="K643" s="319"/>
      <c r="L643" s="315"/>
      <c r="M643" s="315"/>
      <c r="N643" s="145"/>
      <c r="O643" s="145"/>
      <c r="P643" s="145"/>
      <c r="Q643" s="146"/>
      <c r="R643" s="147"/>
      <c r="S643" s="148"/>
      <c r="T643" s="148"/>
      <c r="U643" s="148"/>
      <c r="V643" s="148"/>
      <c r="W643" s="148"/>
      <c r="X643" s="148"/>
      <c r="Y643" s="148"/>
      <c r="Z643" s="148"/>
      <c r="AA643" s="148"/>
      <c r="AB643" s="148"/>
      <c r="AV643" s="150"/>
      <c r="AW643" s="150"/>
      <c r="AX643" s="150"/>
      <c r="AY643" s="150"/>
      <c r="AZ643" s="150"/>
      <c r="BA643" s="150"/>
      <c r="BB643" s="150"/>
      <c r="BC643" s="150"/>
      <c r="BD643" s="150"/>
      <c r="BE643" s="150"/>
      <c r="BF643" s="150"/>
      <c r="BG643" s="150"/>
      <c r="BH643" s="150"/>
      <c r="BI643" s="150"/>
      <c r="BJ643" s="150"/>
      <c r="BK643" s="150"/>
      <c r="BL643" s="150"/>
      <c r="BM643" s="150"/>
      <c r="BN643" s="150"/>
      <c r="BO643" s="150"/>
      <c r="BP643" s="150"/>
      <c r="BQ643" s="150"/>
      <c r="BR643" s="150"/>
      <c r="BS643" s="150"/>
      <c r="BT643" s="150"/>
      <c r="BU643" s="150"/>
      <c r="BV643" s="150"/>
      <c r="BW643" s="150"/>
      <c r="BX643" s="150"/>
      <c r="BY643" s="150"/>
      <c r="BZ643" s="150"/>
      <c r="CA643" s="150"/>
      <c r="CB643" s="150"/>
      <c r="CC643" s="150"/>
      <c r="CD643" s="150"/>
      <c r="CE643" s="150"/>
      <c r="CF643" s="150"/>
      <c r="CG643" s="150"/>
      <c r="CH643" s="150"/>
      <c r="CI643" s="150"/>
      <c r="CJ643" s="150"/>
      <c r="CK643" s="150"/>
      <c r="CL643" s="150"/>
      <c r="CM643" s="150"/>
      <c r="CN643" s="150"/>
      <c r="CO643" s="150"/>
      <c r="CP643" s="150"/>
      <c r="CQ643" s="150"/>
      <c r="CR643" s="150"/>
      <c r="CS643" s="150"/>
      <c r="CT643" s="150"/>
      <c r="CU643" s="150"/>
      <c r="CV643" s="150"/>
      <c r="CW643" s="150"/>
      <c r="CX643" s="150"/>
      <c r="CY643" s="150"/>
      <c r="CZ643" s="150"/>
      <c r="DA643" s="150"/>
      <c r="DB643" s="150"/>
      <c r="DC643" s="150"/>
      <c r="DD643" s="150"/>
      <c r="DE643" s="150"/>
      <c r="DF643" s="150"/>
      <c r="DG643" s="150"/>
      <c r="DH643" s="150"/>
      <c r="DI643" s="150"/>
      <c r="DJ643" s="150"/>
      <c r="DK643" s="150"/>
      <c r="DL643" s="150"/>
      <c r="DM643" s="150"/>
      <c r="DN643" s="150"/>
      <c r="DO643" s="150"/>
      <c r="DP643" s="150"/>
      <c r="DQ643" s="150"/>
      <c r="DR643" s="150"/>
      <c r="DS643" s="150"/>
      <c r="DT643" s="150"/>
      <c r="DU643" s="150"/>
      <c r="DV643" s="150"/>
      <c r="DW643" s="150"/>
      <c r="DX643" s="150"/>
      <c r="DY643" s="150"/>
      <c r="DZ643" s="150"/>
      <c r="EA643" s="150"/>
      <c r="EB643" s="150"/>
      <c r="EC643" s="150"/>
      <c r="ED643" s="150"/>
      <c r="EE643" s="150"/>
      <c r="EF643" s="150"/>
      <c r="EG643" s="150"/>
      <c r="EH643" s="150"/>
      <c r="EI643" s="150"/>
      <c r="EJ643" s="150"/>
      <c r="EK643" s="150"/>
      <c r="EL643" s="150"/>
      <c r="EM643" s="150"/>
      <c r="EN643" s="150"/>
      <c r="EO643" s="150"/>
      <c r="EP643" s="150"/>
      <c r="EQ643" s="150"/>
      <c r="ER643" s="150"/>
      <c r="ES643" s="150"/>
      <c r="ET643" s="150"/>
      <c r="EU643" s="150"/>
      <c r="EV643" s="150"/>
      <c r="EW643" s="150"/>
      <c r="EX643" s="150"/>
      <c r="EY643" s="150"/>
      <c r="EZ643" s="150"/>
      <c r="FA643" s="150"/>
      <c r="FB643" s="150"/>
      <c r="FC643" s="150"/>
      <c r="FD643" s="150"/>
      <c r="FE643" s="150"/>
      <c r="FF643" s="150"/>
      <c r="FG643" s="150"/>
      <c r="FH643" s="150"/>
      <c r="FI643" s="150"/>
      <c r="FJ643" s="150"/>
      <c r="FK643" s="150"/>
      <c r="FL643" s="150"/>
      <c r="FM643" s="150"/>
      <c r="FN643" s="150"/>
    </row>
    <row r="644" spans="1:170" s="149" customFormat="1" x14ac:dyDescent="0.25">
      <c r="A644" s="142"/>
      <c r="B644" s="142"/>
      <c r="C644" s="142"/>
      <c r="D644" s="144"/>
      <c r="E644" s="143"/>
      <c r="F644" s="143"/>
      <c r="G644" s="144"/>
      <c r="H644" s="143"/>
      <c r="I644" s="143"/>
      <c r="J644" s="319"/>
      <c r="K644" s="319"/>
      <c r="L644" s="315"/>
      <c r="M644" s="315"/>
      <c r="N644" s="145"/>
      <c r="O644" s="145"/>
      <c r="P644" s="145"/>
      <c r="Q644" s="146"/>
      <c r="R644" s="147"/>
      <c r="S644" s="148"/>
      <c r="T644" s="148"/>
      <c r="U644" s="148"/>
      <c r="V644" s="148"/>
      <c r="W644" s="148"/>
      <c r="X644" s="148"/>
      <c r="Y644" s="148"/>
      <c r="Z644" s="148"/>
      <c r="AA644" s="148"/>
      <c r="AB644" s="148"/>
      <c r="AV644" s="150"/>
      <c r="AW644" s="150"/>
      <c r="AX644" s="150"/>
      <c r="AY644" s="150"/>
      <c r="AZ644" s="150"/>
      <c r="BA644" s="150"/>
      <c r="BB644" s="150"/>
      <c r="BC644" s="150"/>
      <c r="BD644" s="150"/>
      <c r="BE644" s="150"/>
      <c r="BF644" s="150"/>
      <c r="BG644" s="150"/>
      <c r="BH644" s="150"/>
      <c r="BI644" s="150"/>
      <c r="BJ644" s="150"/>
      <c r="BK644" s="150"/>
      <c r="BL644" s="150"/>
      <c r="BM644" s="150"/>
      <c r="BN644" s="150"/>
      <c r="BO644" s="150"/>
      <c r="BP644" s="150"/>
      <c r="BQ644" s="150"/>
      <c r="BR644" s="150"/>
      <c r="BS644" s="150"/>
      <c r="BT644" s="150"/>
      <c r="BU644" s="150"/>
      <c r="BV644" s="150"/>
      <c r="BW644" s="150"/>
      <c r="BX644" s="150"/>
      <c r="BY644" s="150"/>
      <c r="BZ644" s="150"/>
      <c r="CA644" s="150"/>
      <c r="CB644" s="150"/>
      <c r="CC644" s="150"/>
      <c r="CD644" s="150"/>
      <c r="CE644" s="150"/>
      <c r="CF644" s="150"/>
      <c r="CG644" s="150"/>
      <c r="CH644" s="150"/>
      <c r="CI644" s="150"/>
      <c r="CJ644" s="150"/>
      <c r="CK644" s="150"/>
      <c r="CL644" s="150"/>
      <c r="CM644" s="150"/>
      <c r="CN644" s="150"/>
      <c r="CO644" s="150"/>
      <c r="CP644" s="150"/>
      <c r="CQ644" s="150"/>
      <c r="CR644" s="150"/>
      <c r="CS644" s="150"/>
      <c r="CT644" s="150"/>
      <c r="CU644" s="150"/>
      <c r="CV644" s="150"/>
      <c r="CW644" s="150"/>
      <c r="CX644" s="150"/>
      <c r="CY644" s="150"/>
      <c r="CZ644" s="150"/>
      <c r="DA644" s="150"/>
      <c r="DB644" s="150"/>
      <c r="DC644" s="150"/>
      <c r="DD644" s="150"/>
      <c r="DE644" s="150"/>
      <c r="DF644" s="150"/>
      <c r="DG644" s="150"/>
      <c r="DH644" s="150"/>
      <c r="DI644" s="150"/>
      <c r="DJ644" s="150"/>
      <c r="DK644" s="150"/>
      <c r="DL644" s="150"/>
      <c r="DM644" s="150"/>
      <c r="DN644" s="150"/>
      <c r="DO644" s="150"/>
      <c r="DP644" s="150"/>
      <c r="DQ644" s="150"/>
      <c r="DR644" s="150"/>
      <c r="DS644" s="150"/>
      <c r="DT644" s="150"/>
      <c r="DU644" s="150"/>
      <c r="DV644" s="150"/>
      <c r="DW644" s="150"/>
      <c r="DX644" s="150"/>
      <c r="DY644" s="150"/>
      <c r="DZ644" s="150"/>
      <c r="EA644" s="150"/>
      <c r="EB644" s="150"/>
      <c r="EC644" s="150"/>
      <c r="ED644" s="150"/>
      <c r="EE644" s="150"/>
      <c r="EF644" s="150"/>
      <c r="EG644" s="150"/>
      <c r="EH644" s="150"/>
      <c r="EI644" s="150"/>
      <c r="EJ644" s="150"/>
      <c r="EK644" s="150"/>
      <c r="EL644" s="150"/>
      <c r="EM644" s="150"/>
      <c r="EN644" s="150"/>
      <c r="EO644" s="150"/>
      <c r="EP644" s="150"/>
      <c r="EQ644" s="150"/>
      <c r="ER644" s="150"/>
      <c r="ES644" s="150"/>
      <c r="ET644" s="150"/>
      <c r="EU644" s="150"/>
      <c r="EV644" s="150"/>
      <c r="EW644" s="150"/>
      <c r="EX644" s="150"/>
      <c r="EY644" s="150"/>
      <c r="EZ644" s="150"/>
      <c r="FA644" s="150"/>
      <c r="FB644" s="150"/>
      <c r="FC644" s="150"/>
      <c r="FD644" s="150"/>
      <c r="FE644" s="150"/>
      <c r="FF644" s="150"/>
      <c r="FG644" s="150"/>
      <c r="FH644" s="150"/>
      <c r="FI644" s="150"/>
      <c r="FJ644" s="150"/>
      <c r="FK644" s="150"/>
      <c r="FL644" s="150"/>
      <c r="FM644" s="150"/>
      <c r="FN644" s="150"/>
    </row>
    <row r="645" spans="1:170" s="149" customFormat="1" x14ac:dyDescent="0.25">
      <c r="A645" s="142"/>
      <c r="B645" s="142"/>
      <c r="C645" s="142"/>
      <c r="D645" s="144"/>
      <c r="E645" s="143"/>
      <c r="F645" s="143"/>
      <c r="G645" s="144"/>
      <c r="H645" s="143"/>
      <c r="I645" s="143"/>
      <c r="J645" s="319"/>
      <c r="K645" s="319"/>
      <c r="L645" s="315"/>
      <c r="M645" s="315"/>
      <c r="N645" s="145"/>
      <c r="O645" s="145"/>
      <c r="P645" s="145"/>
      <c r="Q645" s="146"/>
      <c r="R645" s="147"/>
      <c r="S645" s="148"/>
      <c r="T645" s="148"/>
      <c r="U645" s="148"/>
      <c r="V645" s="148"/>
      <c r="W645" s="148"/>
      <c r="X645" s="148"/>
      <c r="Y645" s="148"/>
      <c r="Z645" s="148"/>
      <c r="AA645" s="148"/>
      <c r="AB645" s="148"/>
      <c r="AV645" s="150"/>
      <c r="AW645" s="150"/>
      <c r="AX645" s="150"/>
      <c r="AY645" s="150"/>
      <c r="AZ645" s="150"/>
      <c r="BA645" s="150"/>
      <c r="BB645" s="150"/>
      <c r="BC645" s="150"/>
      <c r="BD645" s="150"/>
      <c r="BE645" s="150"/>
      <c r="BF645" s="150"/>
      <c r="BG645" s="150"/>
      <c r="BH645" s="150"/>
      <c r="BI645" s="150"/>
      <c r="BJ645" s="150"/>
      <c r="BK645" s="150"/>
      <c r="BL645" s="150"/>
      <c r="BM645" s="150"/>
      <c r="BN645" s="150"/>
      <c r="BO645" s="150"/>
      <c r="BP645" s="150"/>
      <c r="BQ645" s="150"/>
      <c r="BR645" s="150"/>
      <c r="BS645" s="150"/>
      <c r="BT645" s="150"/>
      <c r="BU645" s="150"/>
      <c r="BV645" s="150"/>
      <c r="BW645" s="150"/>
      <c r="BX645" s="150"/>
      <c r="BY645" s="150"/>
      <c r="BZ645" s="150"/>
      <c r="CA645" s="150"/>
      <c r="CB645" s="150"/>
      <c r="CC645" s="150"/>
      <c r="CD645" s="150"/>
      <c r="CE645" s="150"/>
      <c r="CF645" s="150"/>
      <c r="CG645" s="150"/>
      <c r="CH645" s="150"/>
      <c r="CI645" s="150"/>
      <c r="CJ645" s="150"/>
      <c r="CK645" s="150"/>
      <c r="CL645" s="150"/>
      <c r="CM645" s="150"/>
      <c r="CN645" s="150"/>
      <c r="CO645" s="150"/>
      <c r="CP645" s="150"/>
      <c r="CQ645" s="150"/>
      <c r="CR645" s="150"/>
      <c r="CS645" s="150"/>
      <c r="CT645" s="150"/>
      <c r="CU645" s="150"/>
      <c r="CV645" s="150"/>
      <c r="CW645" s="150"/>
      <c r="CX645" s="150"/>
      <c r="CY645" s="150"/>
      <c r="CZ645" s="150"/>
      <c r="DA645" s="150"/>
      <c r="DB645" s="150"/>
      <c r="DC645" s="150"/>
      <c r="DD645" s="150"/>
      <c r="DE645" s="150"/>
      <c r="DF645" s="150"/>
      <c r="DG645" s="150"/>
      <c r="DH645" s="150"/>
      <c r="DI645" s="150"/>
      <c r="DJ645" s="150"/>
      <c r="DK645" s="150"/>
      <c r="DL645" s="150"/>
      <c r="DM645" s="150"/>
      <c r="DN645" s="150"/>
      <c r="DO645" s="150"/>
      <c r="DP645" s="150"/>
      <c r="DQ645" s="150"/>
      <c r="DR645" s="150"/>
      <c r="DS645" s="150"/>
      <c r="DT645" s="150"/>
      <c r="DU645" s="150"/>
      <c r="DV645" s="150"/>
      <c r="DW645" s="150"/>
      <c r="DX645" s="150"/>
      <c r="DY645" s="150"/>
      <c r="DZ645" s="150"/>
      <c r="EA645" s="150"/>
      <c r="EB645" s="150"/>
      <c r="EC645" s="150"/>
      <c r="ED645" s="150"/>
      <c r="EE645" s="150"/>
      <c r="EF645" s="150"/>
      <c r="EG645" s="150"/>
      <c r="EH645" s="150"/>
      <c r="EI645" s="150"/>
      <c r="EJ645" s="150"/>
      <c r="EK645" s="150"/>
      <c r="EL645" s="150"/>
      <c r="EM645" s="150"/>
      <c r="EN645" s="150"/>
      <c r="EO645" s="150"/>
      <c r="EP645" s="150"/>
      <c r="EQ645" s="150"/>
      <c r="ER645" s="150"/>
      <c r="ES645" s="150"/>
      <c r="ET645" s="150"/>
      <c r="EU645" s="150"/>
      <c r="EV645" s="150"/>
      <c r="EW645" s="150"/>
      <c r="EX645" s="150"/>
      <c r="EY645" s="150"/>
      <c r="EZ645" s="150"/>
      <c r="FA645" s="150"/>
      <c r="FB645" s="150"/>
      <c r="FC645" s="150"/>
      <c r="FD645" s="150"/>
      <c r="FE645" s="150"/>
      <c r="FF645" s="150"/>
      <c r="FG645" s="150"/>
      <c r="FH645" s="150"/>
      <c r="FI645" s="150"/>
      <c r="FJ645" s="150"/>
      <c r="FK645" s="150"/>
      <c r="FL645" s="150"/>
      <c r="FM645" s="150"/>
      <c r="FN645" s="150"/>
    </row>
    <row r="646" spans="1:170" s="149" customFormat="1" x14ac:dyDescent="0.25">
      <c r="A646" s="142"/>
      <c r="B646" s="142"/>
      <c r="C646" s="142"/>
      <c r="D646" s="144"/>
      <c r="E646" s="143"/>
      <c r="F646" s="143"/>
      <c r="G646" s="144"/>
      <c r="H646" s="143"/>
      <c r="I646" s="143"/>
      <c r="J646" s="319"/>
      <c r="K646" s="319"/>
      <c r="L646" s="315"/>
      <c r="M646" s="315"/>
      <c r="N646" s="145"/>
      <c r="O646" s="145"/>
      <c r="P646" s="145"/>
      <c r="Q646" s="146"/>
      <c r="R646" s="147"/>
      <c r="S646" s="148"/>
      <c r="T646" s="148"/>
      <c r="U646" s="148"/>
      <c r="V646" s="148"/>
      <c r="W646" s="148"/>
      <c r="X646" s="148"/>
      <c r="Y646" s="148"/>
      <c r="Z646" s="148"/>
      <c r="AA646" s="148"/>
      <c r="AB646" s="148"/>
      <c r="AV646" s="150"/>
      <c r="AW646" s="150"/>
      <c r="AX646" s="150"/>
      <c r="AY646" s="150"/>
      <c r="AZ646" s="150"/>
      <c r="BA646" s="150"/>
      <c r="BB646" s="150"/>
      <c r="BC646" s="150"/>
      <c r="BD646" s="150"/>
      <c r="BE646" s="150"/>
      <c r="BF646" s="150"/>
      <c r="BG646" s="150"/>
      <c r="BH646" s="150"/>
      <c r="BI646" s="150"/>
      <c r="BJ646" s="150"/>
      <c r="BK646" s="150"/>
      <c r="BL646" s="150"/>
      <c r="BM646" s="150"/>
      <c r="BN646" s="150"/>
      <c r="BO646" s="150"/>
      <c r="BP646" s="150"/>
      <c r="BQ646" s="150"/>
      <c r="BR646" s="150"/>
      <c r="BS646" s="150"/>
      <c r="BT646" s="150"/>
      <c r="BU646" s="150"/>
      <c r="BV646" s="150"/>
      <c r="BW646" s="150"/>
      <c r="BX646" s="150"/>
      <c r="BY646" s="150"/>
      <c r="BZ646" s="150"/>
      <c r="CA646" s="150"/>
      <c r="CB646" s="150"/>
      <c r="CC646" s="150"/>
      <c r="CD646" s="150"/>
      <c r="CE646" s="150"/>
      <c r="CF646" s="150"/>
      <c r="CG646" s="150"/>
      <c r="CH646" s="150"/>
      <c r="CI646" s="150"/>
      <c r="CJ646" s="150"/>
      <c r="CK646" s="150"/>
      <c r="CL646" s="150"/>
      <c r="CM646" s="150"/>
      <c r="CN646" s="150"/>
      <c r="CO646" s="150"/>
      <c r="CP646" s="150"/>
      <c r="CQ646" s="150"/>
      <c r="CR646" s="150"/>
      <c r="CS646" s="150"/>
      <c r="CT646" s="150"/>
      <c r="CU646" s="150"/>
      <c r="CV646" s="150"/>
      <c r="CW646" s="150"/>
      <c r="CX646" s="150"/>
      <c r="CY646" s="150"/>
      <c r="CZ646" s="150"/>
      <c r="DA646" s="150"/>
      <c r="DB646" s="150"/>
      <c r="DC646" s="150"/>
      <c r="DD646" s="150"/>
      <c r="DE646" s="150"/>
      <c r="DF646" s="150"/>
      <c r="DG646" s="150"/>
      <c r="DH646" s="150"/>
      <c r="DI646" s="150"/>
      <c r="DJ646" s="150"/>
      <c r="DK646" s="150"/>
      <c r="DL646" s="150"/>
      <c r="DM646" s="150"/>
      <c r="DN646" s="150"/>
      <c r="DO646" s="150"/>
      <c r="DP646" s="150"/>
      <c r="DQ646" s="150"/>
      <c r="DR646" s="150"/>
      <c r="DS646" s="150"/>
      <c r="DT646" s="150"/>
      <c r="DU646" s="150"/>
      <c r="DV646" s="150"/>
      <c r="DW646" s="150"/>
      <c r="DX646" s="150"/>
      <c r="DY646" s="150"/>
      <c r="DZ646" s="150"/>
      <c r="EA646" s="150"/>
      <c r="EB646" s="150"/>
      <c r="EC646" s="150"/>
      <c r="ED646" s="150"/>
      <c r="EE646" s="150"/>
      <c r="EF646" s="150"/>
      <c r="EG646" s="150"/>
      <c r="EH646" s="150"/>
      <c r="EI646" s="150"/>
      <c r="EJ646" s="150"/>
      <c r="EK646" s="150"/>
      <c r="EL646" s="150"/>
      <c r="EM646" s="150"/>
      <c r="EN646" s="150"/>
      <c r="EO646" s="150"/>
      <c r="EP646" s="150"/>
      <c r="EQ646" s="150"/>
      <c r="ER646" s="150"/>
      <c r="ES646" s="150"/>
      <c r="ET646" s="150"/>
      <c r="EU646" s="150"/>
      <c r="EV646" s="150"/>
      <c r="EW646" s="150"/>
      <c r="EX646" s="150"/>
      <c r="EY646" s="150"/>
      <c r="EZ646" s="150"/>
      <c r="FA646" s="150"/>
      <c r="FB646" s="150"/>
      <c r="FC646" s="150"/>
      <c r="FD646" s="150"/>
      <c r="FE646" s="150"/>
      <c r="FF646" s="150"/>
      <c r="FG646" s="150"/>
      <c r="FH646" s="150"/>
      <c r="FI646" s="150"/>
      <c r="FJ646" s="150"/>
      <c r="FK646" s="150"/>
      <c r="FL646" s="150"/>
      <c r="FM646" s="150"/>
      <c r="FN646" s="150"/>
    </row>
    <row r="647" spans="1:170" s="149" customFormat="1" x14ac:dyDescent="0.25">
      <c r="A647" s="142"/>
      <c r="B647" s="142"/>
      <c r="C647" s="142"/>
      <c r="D647" s="144"/>
      <c r="E647" s="143"/>
      <c r="F647" s="143"/>
      <c r="G647" s="144"/>
      <c r="H647" s="143"/>
      <c r="I647" s="143"/>
      <c r="J647" s="319"/>
      <c r="K647" s="319"/>
      <c r="L647" s="315"/>
      <c r="M647" s="315"/>
      <c r="N647" s="145"/>
      <c r="O647" s="145"/>
      <c r="P647" s="145"/>
      <c r="Q647" s="146"/>
      <c r="R647" s="147"/>
      <c r="S647" s="148"/>
      <c r="T647" s="148"/>
      <c r="U647" s="148"/>
      <c r="V647" s="148"/>
      <c r="W647" s="148"/>
      <c r="X647" s="148"/>
      <c r="Y647" s="148"/>
      <c r="Z647" s="148"/>
      <c r="AA647" s="148"/>
      <c r="AB647" s="148"/>
      <c r="AV647" s="150"/>
      <c r="AW647" s="150"/>
      <c r="AX647" s="150"/>
      <c r="AY647" s="150"/>
      <c r="AZ647" s="150"/>
      <c r="BA647" s="150"/>
      <c r="BB647" s="150"/>
      <c r="BC647" s="150"/>
      <c r="BD647" s="150"/>
      <c r="BE647" s="150"/>
      <c r="BF647" s="150"/>
      <c r="BG647" s="150"/>
      <c r="BH647" s="150"/>
      <c r="BI647" s="150"/>
      <c r="BJ647" s="150"/>
      <c r="BK647" s="150"/>
      <c r="BL647" s="150"/>
      <c r="BM647" s="150"/>
      <c r="BN647" s="150"/>
      <c r="BO647" s="150"/>
      <c r="BP647" s="150"/>
      <c r="BQ647" s="150"/>
      <c r="BR647" s="150"/>
      <c r="BS647" s="150"/>
      <c r="BT647" s="150"/>
      <c r="BU647" s="150"/>
      <c r="BV647" s="150"/>
      <c r="BW647" s="150"/>
      <c r="BX647" s="150"/>
      <c r="BY647" s="150"/>
      <c r="BZ647" s="150"/>
      <c r="CA647" s="150"/>
      <c r="CB647" s="150"/>
      <c r="CC647" s="150"/>
      <c r="CD647" s="150"/>
      <c r="CE647" s="150"/>
      <c r="CF647" s="150"/>
      <c r="CG647" s="150"/>
      <c r="CH647" s="150"/>
      <c r="CI647" s="150"/>
      <c r="CJ647" s="150"/>
      <c r="CK647" s="150"/>
      <c r="CL647" s="150"/>
      <c r="CM647" s="150"/>
      <c r="CN647" s="150"/>
      <c r="CO647" s="150"/>
      <c r="CP647" s="150"/>
      <c r="CQ647" s="150"/>
      <c r="CR647" s="150"/>
      <c r="CS647" s="150"/>
      <c r="CT647" s="150"/>
      <c r="CU647" s="150"/>
      <c r="CV647" s="150"/>
      <c r="CW647" s="150"/>
      <c r="CX647" s="150"/>
      <c r="CY647" s="150"/>
      <c r="CZ647" s="150"/>
      <c r="DA647" s="150"/>
      <c r="DB647" s="150"/>
      <c r="DC647" s="150"/>
      <c r="DD647" s="150"/>
      <c r="DE647" s="150"/>
      <c r="DF647" s="150"/>
      <c r="DG647" s="150"/>
      <c r="DH647" s="150"/>
      <c r="DI647" s="150"/>
      <c r="DJ647" s="150"/>
      <c r="DK647" s="150"/>
      <c r="DL647" s="150"/>
      <c r="DM647" s="150"/>
      <c r="DN647" s="150"/>
      <c r="DO647" s="150"/>
      <c r="DP647" s="150"/>
      <c r="DQ647" s="150"/>
      <c r="DR647" s="150"/>
      <c r="DS647" s="150"/>
      <c r="DT647" s="150"/>
      <c r="DU647" s="150"/>
      <c r="DV647" s="150"/>
      <c r="DW647" s="150"/>
      <c r="DX647" s="150"/>
      <c r="DY647" s="150"/>
      <c r="DZ647" s="150"/>
      <c r="EA647" s="150"/>
      <c r="EB647" s="150"/>
      <c r="EC647" s="150"/>
      <c r="ED647" s="150"/>
      <c r="EE647" s="150"/>
      <c r="EF647" s="150"/>
      <c r="EG647" s="150"/>
      <c r="EH647" s="150"/>
      <c r="EI647" s="150"/>
      <c r="EJ647" s="150"/>
      <c r="EK647" s="150"/>
      <c r="EL647" s="150"/>
      <c r="EM647" s="150"/>
      <c r="EN647" s="150"/>
      <c r="EO647" s="150"/>
      <c r="EP647" s="150"/>
      <c r="EQ647" s="150"/>
      <c r="ER647" s="150"/>
      <c r="ES647" s="150"/>
      <c r="ET647" s="150"/>
      <c r="EU647" s="150"/>
      <c r="EV647" s="150"/>
      <c r="EW647" s="150"/>
      <c r="EX647" s="150"/>
      <c r="EY647" s="150"/>
      <c r="EZ647" s="150"/>
      <c r="FA647" s="150"/>
      <c r="FB647" s="150"/>
      <c r="FC647" s="150"/>
      <c r="FD647" s="150"/>
      <c r="FE647" s="150"/>
      <c r="FF647" s="150"/>
      <c r="FG647" s="150"/>
      <c r="FH647" s="150"/>
      <c r="FI647" s="150"/>
      <c r="FJ647" s="150"/>
      <c r="FK647" s="150"/>
      <c r="FL647" s="150"/>
      <c r="FM647" s="150"/>
      <c r="FN647" s="150"/>
    </row>
    <row r="648" spans="1:170" s="149" customFormat="1" x14ac:dyDescent="0.25">
      <c r="A648" s="142"/>
      <c r="B648" s="142"/>
      <c r="C648" s="142"/>
      <c r="D648" s="144"/>
      <c r="E648" s="143"/>
      <c r="F648" s="143"/>
      <c r="G648" s="144"/>
      <c r="H648" s="143"/>
      <c r="I648" s="143"/>
      <c r="J648" s="319"/>
      <c r="K648" s="319"/>
      <c r="L648" s="315"/>
      <c r="M648" s="315"/>
      <c r="N648" s="145"/>
      <c r="O648" s="145"/>
      <c r="P648" s="145"/>
      <c r="Q648" s="146"/>
      <c r="R648" s="147"/>
      <c r="S648" s="148"/>
      <c r="T648" s="148"/>
      <c r="U648" s="148"/>
      <c r="V648" s="148"/>
      <c r="W648" s="148"/>
      <c r="X648" s="148"/>
      <c r="Y648" s="148"/>
      <c r="Z648" s="148"/>
      <c r="AA648" s="148"/>
      <c r="AB648" s="148"/>
      <c r="AV648" s="150"/>
      <c r="AW648" s="150"/>
      <c r="AX648" s="150"/>
      <c r="AY648" s="150"/>
      <c r="AZ648" s="150"/>
      <c r="BA648" s="150"/>
      <c r="BB648" s="150"/>
      <c r="BC648" s="150"/>
      <c r="BD648" s="150"/>
      <c r="BE648" s="150"/>
      <c r="BF648" s="150"/>
      <c r="BG648" s="150"/>
      <c r="BH648" s="150"/>
      <c r="BI648" s="150"/>
      <c r="BJ648" s="150"/>
      <c r="BK648" s="150"/>
      <c r="BL648" s="150"/>
      <c r="BM648" s="150"/>
      <c r="BN648" s="150"/>
      <c r="BO648" s="150"/>
      <c r="BP648" s="150"/>
      <c r="BQ648" s="150"/>
      <c r="BR648" s="150"/>
      <c r="BS648" s="150"/>
      <c r="BT648" s="150"/>
      <c r="BU648" s="150"/>
      <c r="BV648" s="150"/>
      <c r="BW648" s="150"/>
      <c r="BX648" s="150"/>
      <c r="BY648" s="150"/>
      <c r="BZ648" s="150"/>
      <c r="CA648" s="150"/>
      <c r="CB648" s="150"/>
      <c r="CC648" s="150"/>
      <c r="CD648" s="150"/>
      <c r="CE648" s="150"/>
      <c r="CF648" s="150"/>
      <c r="CG648" s="150"/>
      <c r="CH648" s="150"/>
      <c r="CI648" s="150"/>
      <c r="CJ648" s="150"/>
      <c r="CK648" s="150"/>
      <c r="CL648" s="150"/>
      <c r="CM648" s="150"/>
      <c r="CN648" s="150"/>
      <c r="CO648" s="150"/>
      <c r="CP648" s="150"/>
      <c r="CQ648" s="150"/>
      <c r="CR648" s="150"/>
      <c r="CS648" s="150"/>
      <c r="CT648" s="150"/>
      <c r="CU648" s="150"/>
      <c r="CV648" s="150"/>
      <c r="CW648" s="150"/>
      <c r="CX648" s="150"/>
      <c r="CY648" s="150"/>
      <c r="CZ648" s="150"/>
      <c r="DA648" s="150"/>
      <c r="DB648" s="150"/>
      <c r="DC648" s="150"/>
      <c r="DD648" s="150"/>
      <c r="DE648" s="150"/>
      <c r="DF648" s="150"/>
      <c r="DG648" s="150"/>
      <c r="DH648" s="150"/>
      <c r="DI648" s="150"/>
      <c r="DJ648" s="150"/>
      <c r="DK648" s="150"/>
      <c r="DL648" s="150"/>
      <c r="DM648" s="150"/>
      <c r="DN648" s="150"/>
      <c r="DO648" s="150"/>
      <c r="DP648" s="150"/>
      <c r="DQ648" s="150"/>
      <c r="DR648" s="150"/>
      <c r="DS648" s="150"/>
      <c r="DT648" s="150"/>
      <c r="DU648" s="150"/>
      <c r="DV648" s="150"/>
      <c r="DW648" s="150"/>
      <c r="DX648" s="150"/>
      <c r="DY648" s="150"/>
      <c r="DZ648" s="150"/>
      <c r="EA648" s="150"/>
      <c r="EB648" s="150"/>
      <c r="EC648" s="150"/>
      <c r="ED648" s="150"/>
      <c r="EE648" s="150"/>
      <c r="EF648" s="150"/>
      <c r="EG648" s="150"/>
      <c r="EH648" s="150"/>
      <c r="EI648" s="150"/>
      <c r="EJ648" s="150"/>
      <c r="EK648" s="150"/>
      <c r="EL648" s="150"/>
      <c r="EM648" s="150"/>
      <c r="EN648" s="150"/>
      <c r="EO648" s="150"/>
      <c r="EP648" s="150"/>
      <c r="EQ648" s="150"/>
      <c r="ER648" s="150"/>
      <c r="ES648" s="150"/>
      <c r="ET648" s="150"/>
      <c r="EU648" s="150"/>
      <c r="EV648" s="150"/>
      <c r="EW648" s="150"/>
      <c r="EX648" s="150"/>
      <c r="EY648" s="150"/>
      <c r="EZ648" s="150"/>
      <c r="FA648" s="150"/>
      <c r="FB648" s="150"/>
      <c r="FC648" s="150"/>
      <c r="FD648" s="150"/>
      <c r="FE648" s="150"/>
      <c r="FF648" s="150"/>
      <c r="FG648" s="150"/>
      <c r="FH648" s="150"/>
      <c r="FI648" s="150"/>
      <c r="FJ648" s="150"/>
      <c r="FK648" s="150"/>
      <c r="FL648" s="150"/>
      <c r="FM648" s="150"/>
      <c r="FN648" s="150"/>
    </row>
    <row r="649" spans="1:170" s="149" customFormat="1" x14ac:dyDescent="0.25">
      <c r="A649" s="142"/>
      <c r="B649" s="142"/>
      <c r="C649" s="142"/>
      <c r="D649" s="144"/>
      <c r="E649" s="143"/>
      <c r="F649" s="143"/>
      <c r="G649" s="144"/>
      <c r="H649" s="143"/>
      <c r="I649" s="143"/>
      <c r="J649" s="319"/>
      <c r="K649" s="319"/>
      <c r="L649" s="315"/>
      <c r="M649" s="315"/>
      <c r="N649" s="145"/>
      <c r="O649" s="145"/>
      <c r="P649" s="145"/>
      <c r="Q649" s="146"/>
      <c r="R649" s="147"/>
      <c r="S649" s="148"/>
      <c r="T649" s="148"/>
      <c r="U649" s="148"/>
      <c r="V649" s="148"/>
      <c r="W649" s="148"/>
      <c r="X649" s="148"/>
      <c r="Y649" s="148"/>
      <c r="Z649" s="148"/>
      <c r="AA649" s="148"/>
      <c r="AB649" s="148"/>
      <c r="AV649" s="150"/>
      <c r="AW649" s="150"/>
      <c r="AX649" s="150"/>
      <c r="AY649" s="150"/>
      <c r="AZ649" s="150"/>
      <c r="BA649" s="150"/>
      <c r="BB649" s="150"/>
      <c r="BC649" s="150"/>
      <c r="BD649" s="150"/>
      <c r="BE649" s="150"/>
      <c r="BF649" s="150"/>
      <c r="BG649" s="150"/>
      <c r="BH649" s="150"/>
      <c r="BI649" s="150"/>
      <c r="BJ649" s="150"/>
      <c r="BK649" s="150"/>
      <c r="BL649" s="150"/>
      <c r="BM649" s="150"/>
      <c r="BN649" s="150"/>
      <c r="BO649" s="150"/>
      <c r="BP649" s="150"/>
      <c r="BQ649" s="150"/>
      <c r="BR649" s="150"/>
      <c r="BS649" s="150"/>
      <c r="BT649" s="150"/>
      <c r="BU649" s="150"/>
      <c r="BV649" s="150"/>
      <c r="BW649" s="150"/>
      <c r="BX649" s="150"/>
      <c r="BY649" s="150"/>
      <c r="BZ649" s="150"/>
      <c r="CA649" s="150"/>
      <c r="CB649" s="150"/>
      <c r="CC649" s="150"/>
      <c r="CD649" s="150"/>
      <c r="CE649" s="150"/>
      <c r="CF649" s="150"/>
      <c r="CG649" s="150"/>
      <c r="CH649" s="150"/>
      <c r="CI649" s="150"/>
      <c r="CJ649" s="150"/>
      <c r="CK649" s="150"/>
      <c r="CL649" s="150"/>
      <c r="CM649" s="150"/>
      <c r="CN649" s="150"/>
      <c r="CO649" s="150"/>
      <c r="CP649" s="150"/>
      <c r="CQ649" s="150"/>
      <c r="CR649" s="150"/>
      <c r="CS649" s="150"/>
      <c r="CT649" s="150"/>
      <c r="CU649" s="150"/>
      <c r="CV649" s="150"/>
      <c r="CW649" s="150"/>
      <c r="CX649" s="150"/>
      <c r="CY649" s="150"/>
      <c r="CZ649" s="150"/>
      <c r="DA649" s="150"/>
      <c r="DB649" s="150"/>
      <c r="DC649" s="150"/>
      <c r="DD649" s="150"/>
      <c r="DE649" s="150"/>
      <c r="DF649" s="150"/>
      <c r="DG649" s="150"/>
      <c r="DH649" s="150"/>
      <c r="DI649" s="150"/>
      <c r="DJ649" s="150"/>
      <c r="DK649" s="150"/>
      <c r="DL649" s="150"/>
      <c r="DM649" s="150"/>
      <c r="DN649" s="150"/>
      <c r="DO649" s="150"/>
      <c r="DP649" s="150"/>
      <c r="DQ649" s="150"/>
      <c r="DR649" s="150"/>
      <c r="DS649" s="150"/>
      <c r="DT649" s="150"/>
      <c r="DU649" s="150"/>
      <c r="DV649" s="150"/>
      <c r="DW649" s="150"/>
      <c r="DX649" s="150"/>
      <c r="DY649" s="150"/>
      <c r="DZ649" s="150"/>
      <c r="EA649" s="150"/>
      <c r="EB649" s="150"/>
      <c r="EC649" s="150"/>
      <c r="ED649" s="150"/>
      <c r="EE649" s="150"/>
      <c r="EF649" s="150"/>
      <c r="EG649" s="150"/>
      <c r="EH649" s="150"/>
      <c r="EI649" s="150"/>
      <c r="EJ649" s="150"/>
      <c r="EK649" s="150"/>
      <c r="EL649" s="150"/>
      <c r="EM649" s="150"/>
      <c r="EN649" s="150"/>
      <c r="EO649" s="150"/>
      <c r="EP649" s="150"/>
      <c r="EQ649" s="150"/>
      <c r="ER649" s="150"/>
      <c r="ES649" s="150"/>
      <c r="ET649" s="150"/>
      <c r="EU649" s="150"/>
      <c r="EV649" s="150"/>
      <c r="EW649" s="150"/>
      <c r="EX649" s="150"/>
      <c r="EY649" s="150"/>
      <c r="EZ649" s="150"/>
      <c r="FA649" s="150"/>
      <c r="FB649" s="150"/>
      <c r="FC649" s="150"/>
      <c r="FD649" s="150"/>
      <c r="FE649" s="150"/>
      <c r="FF649" s="150"/>
      <c r="FG649" s="150"/>
      <c r="FH649" s="150"/>
      <c r="FI649" s="150"/>
      <c r="FJ649" s="150"/>
      <c r="FK649" s="150"/>
      <c r="FL649" s="150"/>
      <c r="FM649" s="150"/>
      <c r="FN649" s="150"/>
    </row>
    <row r="650" spans="1:170" s="149" customFormat="1" x14ac:dyDescent="0.25">
      <c r="A650" s="142"/>
      <c r="B650" s="142"/>
      <c r="C650" s="142"/>
      <c r="D650" s="144"/>
      <c r="E650" s="143"/>
      <c r="F650" s="143"/>
      <c r="G650" s="144"/>
      <c r="H650" s="143"/>
      <c r="I650" s="143"/>
      <c r="J650" s="319"/>
      <c r="K650" s="319"/>
      <c r="L650" s="315"/>
      <c r="M650" s="315"/>
      <c r="N650" s="145"/>
      <c r="O650" s="145"/>
      <c r="P650" s="145"/>
      <c r="Q650" s="146"/>
      <c r="R650" s="147"/>
      <c r="S650" s="148"/>
      <c r="T650" s="148"/>
      <c r="U650" s="148"/>
      <c r="V650" s="148"/>
      <c r="W650" s="148"/>
      <c r="X650" s="148"/>
      <c r="Y650" s="148"/>
      <c r="Z650" s="148"/>
      <c r="AA650" s="148"/>
      <c r="AB650" s="148"/>
      <c r="AV650" s="150"/>
      <c r="AW650" s="150"/>
      <c r="AX650" s="150"/>
      <c r="AY650" s="150"/>
      <c r="AZ650" s="150"/>
      <c r="BA650" s="150"/>
      <c r="BB650" s="150"/>
      <c r="BC650" s="150"/>
      <c r="BD650" s="150"/>
      <c r="BE650" s="150"/>
      <c r="BF650" s="150"/>
      <c r="BG650" s="150"/>
      <c r="BH650" s="150"/>
      <c r="BI650" s="150"/>
      <c r="BJ650" s="150"/>
      <c r="BK650" s="150"/>
      <c r="BL650" s="150"/>
      <c r="BM650" s="150"/>
      <c r="BN650" s="150"/>
      <c r="BO650" s="150"/>
      <c r="BP650" s="150"/>
      <c r="BQ650" s="150"/>
      <c r="BR650" s="150"/>
      <c r="BS650" s="150"/>
      <c r="BT650" s="150"/>
      <c r="BU650" s="150"/>
      <c r="BV650" s="150"/>
      <c r="BW650" s="150"/>
      <c r="BX650" s="150"/>
      <c r="BY650" s="150"/>
      <c r="BZ650" s="150"/>
      <c r="CA650" s="150"/>
      <c r="CB650" s="150"/>
      <c r="CC650" s="150"/>
      <c r="CD650" s="150"/>
      <c r="CE650" s="150"/>
      <c r="CF650" s="150"/>
      <c r="CG650" s="150"/>
      <c r="CH650" s="150"/>
      <c r="CI650" s="150"/>
      <c r="CJ650" s="150"/>
      <c r="CK650" s="150"/>
      <c r="CL650" s="150"/>
      <c r="CM650" s="150"/>
      <c r="CN650" s="150"/>
      <c r="CO650" s="150"/>
      <c r="CP650" s="150"/>
      <c r="CQ650" s="150"/>
      <c r="CR650" s="150"/>
      <c r="CS650" s="150"/>
      <c r="CT650" s="150"/>
      <c r="CU650" s="150"/>
      <c r="CV650" s="150"/>
      <c r="CW650" s="150"/>
      <c r="CX650" s="150"/>
      <c r="CY650" s="150"/>
      <c r="CZ650" s="150"/>
      <c r="DA650" s="150"/>
      <c r="DB650" s="150"/>
      <c r="DC650" s="150"/>
      <c r="DD650" s="150"/>
      <c r="DE650" s="150"/>
      <c r="DF650" s="150"/>
      <c r="DG650" s="150"/>
      <c r="DH650" s="150"/>
      <c r="DI650" s="150"/>
      <c r="DJ650" s="150"/>
      <c r="DK650" s="150"/>
      <c r="DL650" s="150"/>
      <c r="DM650" s="150"/>
      <c r="DN650" s="150"/>
      <c r="DO650" s="150"/>
      <c r="DP650" s="150"/>
      <c r="DQ650" s="150"/>
      <c r="DR650" s="150"/>
      <c r="DS650" s="150"/>
      <c r="DT650" s="150"/>
      <c r="DU650" s="150"/>
      <c r="DV650" s="150"/>
      <c r="DW650" s="150"/>
      <c r="DX650" s="150"/>
      <c r="DY650" s="150"/>
      <c r="DZ650" s="150"/>
      <c r="EA650" s="150"/>
      <c r="EB650" s="150"/>
      <c r="EC650" s="150"/>
      <c r="ED650" s="150"/>
      <c r="EE650" s="150"/>
      <c r="EF650" s="150"/>
      <c r="EG650" s="150"/>
      <c r="EH650" s="150"/>
      <c r="EI650" s="150"/>
      <c r="EJ650" s="150"/>
      <c r="EK650" s="150"/>
      <c r="EL650" s="150"/>
      <c r="EM650" s="150"/>
      <c r="EN650" s="150"/>
      <c r="EO650" s="150"/>
      <c r="EP650" s="150"/>
      <c r="EQ650" s="150"/>
      <c r="ER650" s="150"/>
      <c r="ES650" s="150"/>
      <c r="ET650" s="150"/>
      <c r="EU650" s="150"/>
      <c r="EV650" s="150"/>
      <c r="EW650" s="150"/>
      <c r="EX650" s="150"/>
      <c r="EY650" s="150"/>
      <c r="EZ650" s="150"/>
      <c r="FA650" s="150"/>
      <c r="FB650" s="150"/>
      <c r="FC650" s="150"/>
      <c r="FD650" s="150"/>
      <c r="FE650" s="150"/>
      <c r="FF650" s="150"/>
      <c r="FG650" s="150"/>
      <c r="FH650" s="150"/>
      <c r="FI650" s="150"/>
      <c r="FJ650" s="150"/>
      <c r="FK650" s="150"/>
      <c r="FL650" s="150"/>
      <c r="FM650" s="150"/>
      <c r="FN650" s="150"/>
    </row>
    <row r="651" spans="1:170" s="149" customFormat="1" x14ac:dyDescent="0.25">
      <c r="A651" s="142"/>
      <c r="B651" s="142"/>
      <c r="C651" s="142"/>
      <c r="D651" s="144"/>
      <c r="E651" s="143"/>
      <c r="F651" s="143"/>
      <c r="G651" s="144"/>
      <c r="H651" s="143"/>
      <c r="I651" s="143"/>
      <c r="J651" s="319"/>
      <c r="K651" s="319"/>
      <c r="L651" s="315"/>
      <c r="M651" s="315"/>
      <c r="N651" s="145"/>
      <c r="O651" s="145"/>
      <c r="P651" s="145"/>
      <c r="Q651" s="146"/>
      <c r="R651" s="147"/>
      <c r="S651" s="148"/>
      <c r="T651" s="148"/>
      <c r="U651" s="148"/>
      <c r="V651" s="148"/>
      <c r="W651" s="148"/>
      <c r="X651" s="148"/>
      <c r="Y651" s="148"/>
      <c r="Z651" s="148"/>
      <c r="AA651" s="148"/>
      <c r="AB651" s="148"/>
      <c r="AV651" s="150"/>
      <c r="AW651" s="150"/>
      <c r="AX651" s="150"/>
      <c r="AY651" s="150"/>
      <c r="AZ651" s="150"/>
      <c r="BA651" s="150"/>
      <c r="BB651" s="150"/>
      <c r="BC651" s="150"/>
      <c r="BD651" s="150"/>
      <c r="BE651" s="150"/>
      <c r="BF651" s="150"/>
      <c r="BG651" s="150"/>
      <c r="BH651" s="150"/>
      <c r="BI651" s="150"/>
      <c r="BJ651" s="150"/>
      <c r="BK651" s="150"/>
      <c r="BL651" s="150"/>
      <c r="BM651" s="150"/>
      <c r="BN651" s="150"/>
      <c r="BO651" s="150"/>
      <c r="BP651" s="150"/>
      <c r="BQ651" s="150"/>
      <c r="BR651" s="150"/>
      <c r="BS651" s="150"/>
      <c r="BT651" s="150"/>
      <c r="BU651" s="150"/>
      <c r="BV651" s="150"/>
      <c r="BW651" s="150"/>
      <c r="BX651" s="150"/>
      <c r="BY651" s="150"/>
      <c r="BZ651" s="150"/>
      <c r="CA651" s="150"/>
      <c r="CB651" s="150"/>
      <c r="CC651" s="150"/>
      <c r="CD651" s="150"/>
      <c r="CE651" s="150"/>
      <c r="CF651" s="150"/>
      <c r="CG651" s="150"/>
      <c r="CH651" s="150"/>
      <c r="CI651" s="150"/>
      <c r="CJ651" s="150"/>
      <c r="CK651" s="150"/>
      <c r="CL651" s="150"/>
      <c r="CM651" s="150"/>
      <c r="CN651" s="150"/>
      <c r="CO651" s="150"/>
      <c r="CP651" s="150"/>
      <c r="CQ651" s="150"/>
      <c r="CR651" s="150"/>
      <c r="CS651" s="150"/>
      <c r="CT651" s="150"/>
      <c r="CU651" s="150"/>
      <c r="CV651" s="150"/>
      <c r="CW651" s="150"/>
      <c r="CX651" s="150"/>
      <c r="CY651" s="150"/>
      <c r="CZ651" s="150"/>
      <c r="DA651" s="150"/>
      <c r="DB651" s="150"/>
      <c r="DC651" s="150"/>
      <c r="DD651" s="150"/>
      <c r="DE651" s="150"/>
      <c r="DF651" s="150"/>
      <c r="DG651" s="150"/>
      <c r="DH651" s="150"/>
      <c r="DI651" s="150"/>
      <c r="DJ651" s="150"/>
      <c r="DK651" s="150"/>
      <c r="DL651" s="150"/>
      <c r="DM651" s="150"/>
      <c r="DN651" s="150"/>
      <c r="DO651" s="150"/>
      <c r="DP651" s="150"/>
      <c r="DQ651" s="150"/>
      <c r="DR651" s="150"/>
      <c r="DS651" s="150"/>
      <c r="DT651" s="150"/>
      <c r="DU651" s="150"/>
      <c r="DV651" s="150"/>
      <c r="DW651" s="150"/>
      <c r="DX651" s="150"/>
      <c r="DY651" s="150"/>
      <c r="DZ651" s="150"/>
      <c r="EA651" s="150"/>
      <c r="EB651" s="150"/>
      <c r="EC651" s="150"/>
      <c r="ED651" s="150"/>
      <c r="EE651" s="150"/>
      <c r="EF651" s="150"/>
      <c r="EG651" s="150"/>
      <c r="EH651" s="150"/>
      <c r="EI651" s="150"/>
      <c r="EJ651" s="150"/>
      <c r="EK651" s="150"/>
      <c r="EL651" s="150"/>
      <c r="EM651" s="150"/>
      <c r="EN651" s="150"/>
      <c r="EO651" s="150"/>
      <c r="EP651" s="150"/>
      <c r="EQ651" s="150"/>
      <c r="ER651" s="150"/>
      <c r="ES651" s="150"/>
      <c r="ET651" s="150"/>
      <c r="EU651" s="150"/>
      <c r="EV651" s="150"/>
      <c r="EW651" s="150"/>
      <c r="EX651" s="150"/>
      <c r="EY651" s="150"/>
      <c r="EZ651" s="150"/>
      <c r="FA651" s="150"/>
      <c r="FB651" s="150"/>
      <c r="FC651" s="150"/>
      <c r="FD651" s="150"/>
      <c r="FE651" s="150"/>
      <c r="FF651" s="150"/>
      <c r="FG651" s="150"/>
      <c r="FH651" s="150"/>
      <c r="FI651" s="150"/>
      <c r="FJ651" s="150"/>
      <c r="FK651" s="150"/>
      <c r="FL651" s="150"/>
      <c r="FM651" s="150"/>
      <c r="FN651" s="150"/>
    </row>
    <row r="652" spans="1:170" s="149" customFormat="1" x14ac:dyDescent="0.25">
      <c r="A652" s="142"/>
      <c r="B652" s="142"/>
      <c r="C652" s="142"/>
      <c r="D652" s="144"/>
      <c r="E652" s="143"/>
      <c r="F652" s="143"/>
      <c r="G652" s="144"/>
      <c r="H652" s="143"/>
      <c r="I652" s="143"/>
      <c r="J652" s="319"/>
      <c r="K652" s="319"/>
      <c r="L652" s="315"/>
      <c r="M652" s="315"/>
      <c r="N652" s="145"/>
      <c r="O652" s="145"/>
      <c r="P652" s="145"/>
      <c r="Q652" s="146"/>
      <c r="R652" s="147"/>
      <c r="S652" s="148"/>
      <c r="T652" s="148"/>
      <c r="U652" s="148"/>
      <c r="V652" s="148"/>
      <c r="W652" s="148"/>
      <c r="X652" s="148"/>
      <c r="Y652" s="148"/>
      <c r="Z652" s="148"/>
      <c r="AA652" s="148"/>
      <c r="AB652" s="148"/>
      <c r="AV652" s="150"/>
      <c r="AW652" s="150"/>
      <c r="AX652" s="150"/>
      <c r="AY652" s="150"/>
      <c r="AZ652" s="150"/>
      <c r="BA652" s="150"/>
      <c r="BB652" s="150"/>
      <c r="BC652" s="150"/>
      <c r="BD652" s="150"/>
      <c r="BE652" s="150"/>
      <c r="BF652" s="150"/>
      <c r="BG652" s="150"/>
      <c r="BH652" s="150"/>
      <c r="BI652" s="150"/>
      <c r="BJ652" s="150"/>
      <c r="BK652" s="150"/>
      <c r="BL652" s="150"/>
      <c r="BM652" s="150"/>
      <c r="BN652" s="150"/>
      <c r="BO652" s="150"/>
      <c r="BP652" s="150"/>
      <c r="BQ652" s="150"/>
      <c r="BR652" s="150"/>
      <c r="BS652" s="150"/>
      <c r="BT652" s="150"/>
      <c r="BU652" s="150"/>
      <c r="BV652" s="150"/>
      <c r="BW652" s="150"/>
      <c r="BX652" s="150"/>
      <c r="BY652" s="150"/>
      <c r="BZ652" s="150"/>
      <c r="CA652" s="150"/>
      <c r="CB652" s="150"/>
      <c r="CC652" s="150"/>
      <c r="CD652" s="150"/>
      <c r="CE652" s="150"/>
      <c r="CF652" s="150"/>
      <c r="CG652" s="150"/>
      <c r="CH652" s="150"/>
      <c r="CI652" s="150"/>
      <c r="CJ652" s="150"/>
      <c r="CK652" s="150"/>
      <c r="CL652" s="150"/>
      <c r="CM652" s="150"/>
      <c r="CN652" s="150"/>
      <c r="CO652" s="150"/>
      <c r="CP652" s="150"/>
      <c r="CQ652" s="150"/>
      <c r="CR652" s="150"/>
      <c r="CS652" s="150"/>
      <c r="CT652" s="150"/>
      <c r="CU652" s="150"/>
      <c r="CV652" s="150"/>
      <c r="CW652" s="150"/>
      <c r="CX652" s="150"/>
      <c r="CY652" s="150"/>
      <c r="CZ652" s="150"/>
      <c r="DA652" s="150"/>
      <c r="DB652" s="150"/>
      <c r="DC652" s="150"/>
      <c r="DD652" s="150"/>
      <c r="DE652" s="150"/>
      <c r="DF652" s="150"/>
      <c r="DG652" s="150"/>
      <c r="DH652" s="150"/>
      <c r="DI652" s="150"/>
      <c r="DJ652" s="150"/>
      <c r="DK652" s="150"/>
      <c r="DL652" s="150"/>
      <c r="DM652" s="150"/>
      <c r="DN652" s="150"/>
      <c r="DO652" s="150"/>
      <c r="DP652" s="150"/>
      <c r="DQ652" s="150"/>
      <c r="DR652" s="150"/>
      <c r="DS652" s="150"/>
      <c r="DT652" s="150"/>
      <c r="DU652" s="150"/>
      <c r="DV652" s="150"/>
      <c r="DW652" s="150"/>
      <c r="DX652" s="150"/>
      <c r="DY652" s="150"/>
      <c r="DZ652" s="150"/>
      <c r="EA652" s="150"/>
      <c r="EB652" s="150"/>
      <c r="EC652" s="150"/>
      <c r="ED652" s="150"/>
      <c r="EE652" s="150"/>
      <c r="EF652" s="150"/>
      <c r="EG652" s="150"/>
      <c r="EH652" s="150"/>
      <c r="EI652" s="150"/>
      <c r="EJ652" s="150"/>
      <c r="EK652" s="150"/>
      <c r="EL652" s="150"/>
      <c r="EM652" s="150"/>
      <c r="EN652" s="150"/>
      <c r="EO652" s="150"/>
      <c r="EP652" s="150"/>
      <c r="EQ652" s="150"/>
      <c r="ER652" s="150"/>
      <c r="ES652" s="150"/>
      <c r="ET652" s="150"/>
      <c r="EU652" s="150"/>
      <c r="EV652" s="150"/>
      <c r="EW652" s="150"/>
      <c r="EX652" s="150"/>
      <c r="EY652" s="150"/>
      <c r="EZ652" s="150"/>
      <c r="FA652" s="150"/>
      <c r="FB652" s="150"/>
      <c r="FC652" s="150"/>
      <c r="FD652" s="150"/>
      <c r="FE652" s="150"/>
      <c r="FF652" s="150"/>
      <c r="FG652" s="150"/>
      <c r="FH652" s="150"/>
      <c r="FI652" s="150"/>
      <c r="FJ652" s="150"/>
      <c r="FK652" s="150"/>
      <c r="FL652" s="150"/>
      <c r="FM652" s="150"/>
      <c r="FN652" s="150"/>
    </row>
    <row r="653" spans="1:170" s="149" customFormat="1" x14ac:dyDescent="0.25">
      <c r="A653" s="142"/>
      <c r="B653" s="142"/>
      <c r="C653" s="142"/>
      <c r="D653" s="144"/>
      <c r="E653" s="143"/>
      <c r="F653" s="143"/>
      <c r="G653" s="144"/>
      <c r="H653" s="143"/>
      <c r="I653" s="143"/>
      <c r="J653" s="319"/>
      <c r="K653" s="319"/>
      <c r="L653" s="315"/>
      <c r="M653" s="315"/>
      <c r="N653" s="145"/>
      <c r="O653" s="145"/>
      <c r="P653" s="145"/>
      <c r="Q653" s="146"/>
      <c r="R653" s="147"/>
      <c r="S653" s="148"/>
      <c r="T653" s="148"/>
      <c r="U653" s="148"/>
      <c r="V653" s="148"/>
      <c r="W653" s="148"/>
      <c r="X653" s="148"/>
      <c r="Y653" s="148"/>
      <c r="Z653" s="148"/>
      <c r="AA653" s="148"/>
      <c r="AB653" s="148"/>
      <c r="AV653" s="150"/>
      <c r="AW653" s="150"/>
      <c r="AX653" s="150"/>
      <c r="AY653" s="150"/>
      <c r="AZ653" s="150"/>
      <c r="BA653" s="150"/>
      <c r="BB653" s="150"/>
      <c r="BC653" s="150"/>
      <c r="BD653" s="150"/>
      <c r="BE653" s="150"/>
      <c r="BF653" s="150"/>
      <c r="BG653" s="150"/>
      <c r="BH653" s="150"/>
      <c r="BI653" s="150"/>
      <c r="BJ653" s="150"/>
      <c r="BK653" s="150"/>
      <c r="BL653" s="150"/>
      <c r="BM653" s="150"/>
      <c r="BN653" s="150"/>
      <c r="BO653" s="150"/>
      <c r="BP653" s="150"/>
      <c r="BQ653" s="150"/>
      <c r="BR653" s="150"/>
      <c r="BS653" s="150"/>
      <c r="BT653" s="150"/>
      <c r="BU653" s="150"/>
      <c r="BV653" s="150"/>
      <c r="BW653" s="150"/>
      <c r="BX653" s="150"/>
      <c r="BY653" s="150"/>
      <c r="BZ653" s="150"/>
      <c r="CA653" s="150"/>
      <c r="CB653" s="150"/>
      <c r="CC653" s="150"/>
      <c r="CD653" s="150"/>
      <c r="CE653" s="150"/>
      <c r="CF653" s="150"/>
      <c r="CG653" s="150"/>
      <c r="CH653" s="150"/>
      <c r="CI653" s="150"/>
      <c r="CJ653" s="150"/>
      <c r="CK653" s="150"/>
      <c r="CL653" s="150"/>
      <c r="CM653" s="150"/>
      <c r="CN653" s="150"/>
      <c r="CO653" s="150"/>
      <c r="CP653" s="150"/>
      <c r="CQ653" s="150"/>
      <c r="CR653" s="150"/>
      <c r="CS653" s="150"/>
      <c r="CT653" s="150"/>
      <c r="CU653" s="150"/>
      <c r="CV653" s="150"/>
      <c r="CW653" s="150"/>
      <c r="CX653" s="150"/>
      <c r="CY653" s="150"/>
      <c r="CZ653" s="150"/>
      <c r="DA653" s="150"/>
      <c r="DB653" s="150"/>
      <c r="DC653" s="150"/>
      <c r="DD653" s="150"/>
      <c r="DE653" s="150"/>
      <c r="DF653" s="150"/>
      <c r="DG653" s="150"/>
      <c r="DH653" s="150"/>
      <c r="DI653" s="150"/>
      <c r="DJ653" s="150"/>
      <c r="DK653" s="150"/>
      <c r="DL653" s="150"/>
      <c r="DM653" s="150"/>
      <c r="DN653" s="150"/>
      <c r="DO653" s="150"/>
      <c r="DP653" s="150"/>
      <c r="DQ653" s="150"/>
      <c r="DR653" s="150"/>
      <c r="DS653" s="150"/>
      <c r="DT653" s="150"/>
      <c r="DU653" s="150"/>
      <c r="DV653" s="150"/>
      <c r="DW653" s="150"/>
      <c r="DX653" s="150"/>
      <c r="DY653" s="150"/>
      <c r="DZ653" s="150"/>
      <c r="EA653" s="150"/>
      <c r="EB653" s="150"/>
      <c r="EC653" s="150"/>
      <c r="ED653" s="150"/>
      <c r="EE653" s="150"/>
      <c r="EF653" s="150"/>
      <c r="EG653" s="150"/>
      <c r="EH653" s="150"/>
      <c r="EI653" s="150"/>
      <c r="EJ653" s="150"/>
      <c r="EK653" s="150"/>
      <c r="EL653" s="150"/>
      <c r="EM653" s="150"/>
      <c r="EN653" s="150"/>
      <c r="EO653" s="150"/>
      <c r="EP653" s="150"/>
      <c r="EQ653" s="150"/>
      <c r="ER653" s="150"/>
      <c r="ES653" s="150"/>
      <c r="ET653" s="150"/>
      <c r="EU653" s="150"/>
      <c r="EV653" s="150"/>
      <c r="EW653" s="150"/>
      <c r="EX653" s="150"/>
      <c r="EY653" s="150"/>
      <c r="EZ653" s="150"/>
      <c r="FA653" s="150"/>
      <c r="FB653" s="150"/>
      <c r="FC653" s="150"/>
      <c r="FD653" s="150"/>
      <c r="FE653" s="150"/>
      <c r="FF653" s="150"/>
      <c r="FG653" s="150"/>
      <c r="FH653" s="150"/>
      <c r="FI653" s="150"/>
      <c r="FJ653" s="150"/>
      <c r="FK653" s="150"/>
      <c r="FL653" s="150"/>
      <c r="FM653" s="150"/>
      <c r="FN653" s="150"/>
    </row>
    <row r="654" spans="1:170" s="149" customFormat="1" x14ac:dyDescent="0.25">
      <c r="A654" s="142"/>
      <c r="B654" s="142"/>
      <c r="C654" s="142"/>
      <c r="D654" s="144"/>
      <c r="E654" s="143"/>
      <c r="F654" s="143"/>
      <c r="G654" s="144"/>
      <c r="H654" s="143"/>
      <c r="I654" s="143"/>
      <c r="J654" s="319"/>
      <c r="K654" s="319"/>
      <c r="L654" s="315"/>
      <c r="M654" s="315"/>
      <c r="N654" s="145"/>
      <c r="O654" s="145"/>
      <c r="P654" s="145"/>
      <c r="Q654" s="146"/>
      <c r="R654" s="147"/>
      <c r="S654" s="148"/>
      <c r="T654" s="148"/>
      <c r="U654" s="148"/>
      <c r="V654" s="148"/>
      <c r="W654" s="148"/>
      <c r="X654" s="148"/>
      <c r="Y654" s="148"/>
      <c r="Z654" s="148"/>
      <c r="AA654" s="148"/>
      <c r="AB654" s="148"/>
      <c r="AV654" s="150"/>
      <c r="AW654" s="150"/>
      <c r="AX654" s="150"/>
      <c r="AY654" s="150"/>
      <c r="AZ654" s="150"/>
      <c r="BA654" s="150"/>
      <c r="BB654" s="150"/>
      <c r="BC654" s="150"/>
      <c r="BD654" s="150"/>
      <c r="BE654" s="150"/>
      <c r="BF654" s="150"/>
      <c r="BG654" s="150"/>
      <c r="BH654" s="150"/>
      <c r="BI654" s="150"/>
      <c r="BJ654" s="150"/>
      <c r="BK654" s="150"/>
      <c r="BL654" s="150"/>
      <c r="BM654" s="150"/>
      <c r="BN654" s="150"/>
      <c r="BO654" s="150"/>
      <c r="BP654" s="150"/>
      <c r="BQ654" s="150"/>
      <c r="BR654" s="150"/>
      <c r="BS654" s="150"/>
      <c r="BT654" s="150"/>
      <c r="BU654" s="150"/>
      <c r="BV654" s="150"/>
      <c r="BW654" s="150"/>
      <c r="BX654" s="150"/>
      <c r="BY654" s="150"/>
      <c r="BZ654" s="150"/>
      <c r="CA654" s="150"/>
      <c r="CB654" s="150"/>
      <c r="CC654" s="150"/>
      <c r="CD654" s="150"/>
      <c r="CE654" s="150"/>
      <c r="CF654" s="150"/>
      <c r="CG654" s="150"/>
      <c r="CH654" s="150"/>
      <c r="CI654" s="150"/>
      <c r="CJ654" s="150"/>
      <c r="CK654" s="150"/>
      <c r="CL654" s="150"/>
      <c r="CM654" s="150"/>
      <c r="CN654" s="150"/>
      <c r="CO654" s="150"/>
      <c r="CP654" s="150"/>
      <c r="CQ654" s="150"/>
      <c r="CR654" s="150"/>
      <c r="CS654" s="150"/>
      <c r="CT654" s="150"/>
      <c r="CU654" s="150"/>
      <c r="CV654" s="150"/>
      <c r="CW654" s="150"/>
      <c r="CX654" s="150"/>
      <c r="CY654" s="150"/>
      <c r="CZ654" s="150"/>
      <c r="DA654" s="150"/>
      <c r="DB654" s="150"/>
      <c r="DC654" s="150"/>
      <c r="DD654" s="150"/>
      <c r="DE654" s="150"/>
      <c r="DF654" s="150"/>
      <c r="DG654" s="150"/>
      <c r="DH654" s="150"/>
      <c r="DI654" s="150"/>
      <c r="DJ654" s="150"/>
      <c r="DK654" s="150"/>
      <c r="DL654" s="150"/>
      <c r="DM654" s="150"/>
      <c r="DN654" s="150"/>
      <c r="DO654" s="150"/>
      <c r="DP654" s="150"/>
      <c r="DQ654" s="150"/>
      <c r="DR654" s="150"/>
      <c r="DS654" s="150"/>
      <c r="DT654" s="150"/>
      <c r="DU654" s="150"/>
      <c r="DV654" s="150"/>
      <c r="DW654" s="150"/>
      <c r="DX654" s="150"/>
      <c r="DY654" s="150"/>
      <c r="DZ654" s="150"/>
      <c r="EA654" s="150"/>
      <c r="EB654" s="150"/>
      <c r="EC654" s="150"/>
      <c r="ED654" s="150"/>
      <c r="EE654" s="150"/>
      <c r="EF654" s="150"/>
      <c r="EG654" s="150"/>
      <c r="EH654" s="150"/>
      <c r="EI654" s="150"/>
      <c r="EJ654" s="150"/>
      <c r="EK654" s="150"/>
      <c r="EL654" s="150"/>
      <c r="EM654" s="150"/>
      <c r="EN654" s="150"/>
      <c r="EO654" s="150"/>
      <c r="EP654" s="150"/>
      <c r="EQ654" s="150"/>
      <c r="ER654" s="150"/>
      <c r="ES654" s="150"/>
      <c r="ET654" s="150"/>
      <c r="EU654" s="150"/>
      <c r="EV654" s="150"/>
      <c r="EW654" s="150"/>
      <c r="EX654" s="150"/>
      <c r="EY654" s="150"/>
      <c r="EZ654" s="150"/>
      <c r="FA654" s="150"/>
      <c r="FB654" s="150"/>
      <c r="FC654" s="150"/>
      <c r="FD654" s="150"/>
      <c r="FE654" s="150"/>
      <c r="FF654" s="150"/>
      <c r="FG654" s="150"/>
      <c r="FH654" s="150"/>
      <c r="FI654" s="150"/>
      <c r="FJ654" s="150"/>
      <c r="FK654" s="150"/>
      <c r="FL654" s="150"/>
      <c r="FM654" s="150"/>
      <c r="FN654" s="150"/>
    </row>
    <row r="655" spans="1:170" s="149" customFormat="1" x14ac:dyDescent="0.25">
      <c r="A655" s="142"/>
      <c r="B655" s="142"/>
      <c r="C655" s="142"/>
      <c r="D655" s="144"/>
      <c r="E655" s="143"/>
      <c r="F655" s="143"/>
      <c r="G655" s="144"/>
      <c r="H655" s="143"/>
      <c r="I655" s="143"/>
      <c r="J655" s="319"/>
      <c r="K655" s="319"/>
      <c r="L655" s="315"/>
      <c r="M655" s="315"/>
      <c r="N655" s="145"/>
      <c r="O655" s="145"/>
      <c r="P655" s="145"/>
      <c r="Q655" s="146"/>
      <c r="R655" s="147"/>
      <c r="S655" s="148"/>
      <c r="T655" s="148"/>
      <c r="U655" s="148"/>
      <c r="V655" s="148"/>
      <c r="W655" s="148"/>
      <c r="X655" s="148"/>
      <c r="Y655" s="148"/>
      <c r="Z655" s="148"/>
      <c r="AA655" s="148"/>
      <c r="AB655" s="148"/>
      <c r="AV655" s="150"/>
      <c r="AW655" s="150"/>
      <c r="AX655" s="150"/>
      <c r="AY655" s="150"/>
      <c r="AZ655" s="150"/>
      <c r="BA655" s="150"/>
      <c r="BB655" s="150"/>
      <c r="BC655" s="150"/>
      <c r="BD655" s="150"/>
      <c r="BE655" s="150"/>
      <c r="BF655" s="150"/>
      <c r="BG655" s="150"/>
      <c r="BH655" s="150"/>
      <c r="BI655" s="150"/>
      <c r="BJ655" s="150"/>
      <c r="BK655" s="150"/>
      <c r="BL655" s="150"/>
      <c r="BM655" s="150"/>
      <c r="BN655" s="150"/>
      <c r="BO655" s="150"/>
      <c r="BP655" s="150"/>
      <c r="BQ655" s="150"/>
      <c r="BR655" s="150"/>
      <c r="BS655" s="150"/>
      <c r="BT655" s="150"/>
      <c r="BU655" s="150"/>
      <c r="BV655" s="150"/>
      <c r="BW655" s="150"/>
      <c r="BX655" s="150"/>
      <c r="BY655" s="150"/>
      <c r="BZ655" s="150"/>
      <c r="CA655" s="150"/>
      <c r="CB655" s="150"/>
      <c r="CC655" s="150"/>
      <c r="CD655" s="150"/>
      <c r="CE655" s="150"/>
      <c r="CF655" s="150"/>
      <c r="CG655" s="150"/>
      <c r="CH655" s="150"/>
      <c r="CI655" s="150"/>
      <c r="CJ655" s="150"/>
      <c r="CK655" s="150"/>
      <c r="CL655" s="150"/>
      <c r="CM655" s="150"/>
      <c r="CN655" s="150"/>
      <c r="CO655" s="150"/>
      <c r="CP655" s="150"/>
      <c r="CQ655" s="150"/>
      <c r="CR655" s="150"/>
      <c r="CS655" s="150"/>
      <c r="CT655" s="150"/>
      <c r="CU655" s="150"/>
      <c r="CV655" s="150"/>
      <c r="CW655" s="150"/>
      <c r="CX655" s="150"/>
      <c r="CY655" s="150"/>
      <c r="CZ655" s="150"/>
      <c r="DA655" s="150"/>
      <c r="DB655" s="150"/>
      <c r="DC655" s="150"/>
      <c r="DD655" s="150"/>
      <c r="DE655" s="150"/>
      <c r="DF655" s="150"/>
      <c r="DG655" s="150"/>
      <c r="DH655" s="150"/>
      <c r="DI655" s="150"/>
      <c r="DJ655" s="150"/>
      <c r="DK655" s="150"/>
      <c r="DL655" s="150"/>
      <c r="DM655" s="150"/>
      <c r="DN655" s="150"/>
      <c r="DO655" s="150"/>
      <c r="DP655" s="150"/>
      <c r="DQ655" s="150"/>
      <c r="DR655" s="150"/>
      <c r="DS655" s="150"/>
      <c r="DT655" s="150"/>
      <c r="DU655" s="150"/>
      <c r="DV655" s="150"/>
      <c r="DW655" s="150"/>
      <c r="DX655" s="150"/>
      <c r="DY655" s="150"/>
      <c r="DZ655" s="150"/>
      <c r="EA655" s="150"/>
      <c r="EB655" s="150"/>
      <c r="EC655" s="150"/>
      <c r="ED655" s="150"/>
      <c r="EE655" s="150"/>
      <c r="EF655" s="150"/>
      <c r="EG655" s="150"/>
      <c r="EH655" s="150"/>
      <c r="EI655" s="150"/>
      <c r="EJ655" s="150"/>
      <c r="EK655" s="150"/>
      <c r="EL655" s="150"/>
      <c r="EM655" s="150"/>
      <c r="EN655" s="150"/>
      <c r="EO655" s="150"/>
      <c r="EP655" s="150"/>
      <c r="EQ655" s="150"/>
      <c r="ER655" s="150"/>
      <c r="ES655" s="150"/>
      <c r="ET655" s="150"/>
      <c r="EU655" s="150"/>
      <c r="EV655" s="150"/>
      <c r="EW655" s="150"/>
      <c r="EX655" s="150"/>
      <c r="EY655" s="150"/>
      <c r="EZ655" s="150"/>
      <c r="FA655" s="150"/>
      <c r="FB655" s="150"/>
      <c r="FC655" s="150"/>
      <c r="FD655" s="150"/>
      <c r="FE655" s="150"/>
      <c r="FF655" s="150"/>
      <c r="FG655" s="150"/>
      <c r="FH655" s="150"/>
      <c r="FI655" s="150"/>
      <c r="FJ655" s="150"/>
      <c r="FK655" s="150"/>
      <c r="FL655" s="150"/>
      <c r="FM655" s="150"/>
      <c r="FN655" s="150"/>
    </row>
    <row r="656" spans="1:170" s="149" customFormat="1" x14ac:dyDescent="0.25">
      <c r="A656" s="142"/>
      <c r="B656" s="142"/>
      <c r="C656" s="142"/>
      <c r="D656" s="144"/>
      <c r="E656" s="143"/>
      <c r="F656" s="143"/>
      <c r="G656" s="144"/>
      <c r="H656" s="143"/>
      <c r="I656" s="143"/>
      <c r="J656" s="319"/>
      <c r="K656" s="319"/>
      <c r="L656" s="315"/>
      <c r="M656" s="315"/>
      <c r="N656" s="145"/>
      <c r="O656" s="145"/>
      <c r="P656" s="145"/>
      <c r="Q656" s="146"/>
      <c r="R656" s="147"/>
      <c r="S656" s="148"/>
      <c r="T656" s="148"/>
      <c r="U656" s="148"/>
      <c r="V656" s="148"/>
      <c r="W656" s="148"/>
      <c r="X656" s="148"/>
      <c r="Y656" s="148"/>
      <c r="Z656" s="148"/>
      <c r="AA656" s="148"/>
      <c r="AB656" s="148"/>
      <c r="AV656" s="150"/>
      <c r="AW656" s="150"/>
      <c r="AX656" s="150"/>
      <c r="AY656" s="150"/>
      <c r="AZ656" s="150"/>
      <c r="BA656" s="150"/>
      <c r="BB656" s="150"/>
      <c r="BC656" s="150"/>
      <c r="BD656" s="150"/>
      <c r="BE656" s="150"/>
      <c r="BF656" s="150"/>
      <c r="BG656" s="150"/>
      <c r="BH656" s="150"/>
      <c r="BI656" s="150"/>
      <c r="BJ656" s="150"/>
      <c r="BK656" s="150"/>
      <c r="BL656" s="150"/>
      <c r="BM656" s="150"/>
      <c r="BN656" s="150"/>
      <c r="BO656" s="150"/>
      <c r="BP656" s="150"/>
      <c r="BQ656" s="150"/>
      <c r="BR656" s="150"/>
      <c r="BS656" s="150"/>
      <c r="BT656" s="150"/>
      <c r="BU656" s="150"/>
      <c r="BV656" s="150"/>
      <c r="BW656" s="150"/>
      <c r="BX656" s="150"/>
      <c r="BY656" s="150"/>
      <c r="BZ656" s="150"/>
      <c r="CA656" s="150"/>
      <c r="CB656" s="150"/>
      <c r="CC656" s="150"/>
      <c r="CD656" s="150"/>
      <c r="CE656" s="150"/>
      <c r="CF656" s="150"/>
      <c r="CG656" s="150"/>
      <c r="CH656" s="150"/>
      <c r="CI656" s="150"/>
      <c r="CJ656" s="150"/>
      <c r="CK656" s="150"/>
      <c r="CL656" s="150"/>
      <c r="CM656" s="150"/>
      <c r="CN656" s="150"/>
      <c r="CO656" s="150"/>
      <c r="CP656" s="150"/>
      <c r="CQ656" s="150"/>
      <c r="CR656" s="150"/>
      <c r="CS656" s="150"/>
      <c r="CT656" s="150"/>
      <c r="CU656" s="150"/>
      <c r="CV656" s="150"/>
      <c r="CW656" s="150"/>
      <c r="CX656" s="150"/>
      <c r="CY656" s="150"/>
      <c r="CZ656" s="150"/>
      <c r="DA656" s="150"/>
      <c r="DB656" s="150"/>
      <c r="DC656" s="150"/>
      <c r="DD656" s="150"/>
      <c r="DE656" s="150"/>
      <c r="DF656" s="150"/>
      <c r="DG656" s="150"/>
      <c r="DH656" s="150"/>
      <c r="DI656" s="150"/>
      <c r="DJ656" s="150"/>
      <c r="DK656" s="150"/>
      <c r="DL656" s="150"/>
      <c r="DM656" s="150"/>
      <c r="DN656" s="150"/>
      <c r="DO656" s="150"/>
      <c r="DP656" s="150"/>
      <c r="DQ656" s="150"/>
      <c r="DR656" s="150"/>
      <c r="DS656" s="150"/>
      <c r="DT656" s="150"/>
      <c r="DU656" s="150"/>
      <c r="DV656" s="150"/>
      <c r="DW656" s="150"/>
      <c r="DX656" s="150"/>
      <c r="DY656" s="150"/>
      <c r="DZ656" s="150"/>
      <c r="EA656" s="150"/>
      <c r="EB656" s="150"/>
      <c r="EC656" s="150"/>
      <c r="ED656" s="150"/>
      <c r="EE656" s="150"/>
      <c r="EF656" s="150"/>
      <c r="EG656" s="150"/>
      <c r="EH656" s="150"/>
      <c r="EI656" s="150"/>
      <c r="EJ656" s="150"/>
      <c r="EK656" s="150"/>
      <c r="EL656" s="150"/>
      <c r="EM656" s="150"/>
      <c r="EN656" s="150"/>
      <c r="EO656" s="150"/>
      <c r="EP656" s="150"/>
      <c r="EQ656" s="150"/>
      <c r="ER656" s="150"/>
      <c r="ES656" s="150"/>
      <c r="ET656" s="150"/>
      <c r="EU656" s="150"/>
      <c r="EV656" s="150"/>
      <c r="EW656" s="150"/>
      <c r="EX656" s="150"/>
      <c r="EY656" s="150"/>
      <c r="EZ656" s="150"/>
      <c r="FA656" s="150"/>
      <c r="FB656" s="150"/>
      <c r="FC656" s="150"/>
      <c r="FD656" s="150"/>
      <c r="FE656" s="150"/>
      <c r="FF656" s="150"/>
      <c r="FG656" s="150"/>
      <c r="FH656" s="150"/>
      <c r="FI656" s="150"/>
      <c r="FJ656" s="150"/>
      <c r="FK656" s="150"/>
      <c r="FL656" s="150"/>
      <c r="FM656" s="150"/>
      <c r="FN656" s="150"/>
    </row>
    <row r="657" spans="1:170" s="149" customFormat="1" x14ac:dyDescent="0.25">
      <c r="A657" s="142"/>
      <c r="B657" s="142"/>
      <c r="C657" s="142"/>
      <c r="D657" s="144"/>
      <c r="E657" s="143"/>
      <c r="F657" s="143"/>
      <c r="G657" s="144"/>
      <c r="H657" s="143"/>
      <c r="I657" s="143"/>
      <c r="J657" s="319"/>
      <c r="K657" s="319"/>
      <c r="L657" s="315"/>
      <c r="M657" s="315"/>
      <c r="N657" s="145"/>
      <c r="O657" s="145"/>
      <c r="P657" s="145"/>
      <c r="Q657" s="146"/>
      <c r="R657" s="147"/>
      <c r="S657" s="148"/>
      <c r="T657" s="148"/>
      <c r="U657" s="148"/>
      <c r="V657" s="148"/>
      <c r="W657" s="148"/>
      <c r="X657" s="148"/>
      <c r="Y657" s="148"/>
      <c r="Z657" s="148"/>
      <c r="AA657" s="148"/>
      <c r="AB657" s="148"/>
      <c r="AV657" s="150"/>
      <c r="AW657" s="150"/>
      <c r="AX657" s="150"/>
      <c r="AY657" s="150"/>
      <c r="AZ657" s="150"/>
      <c r="BA657" s="150"/>
      <c r="BB657" s="150"/>
      <c r="BC657" s="150"/>
      <c r="BD657" s="150"/>
      <c r="BE657" s="150"/>
      <c r="BF657" s="150"/>
      <c r="BG657" s="150"/>
      <c r="BH657" s="150"/>
      <c r="BI657" s="150"/>
      <c r="BJ657" s="150"/>
      <c r="BK657" s="150"/>
      <c r="BL657" s="150"/>
      <c r="BM657" s="150"/>
      <c r="BN657" s="150"/>
      <c r="BO657" s="150"/>
      <c r="BP657" s="150"/>
      <c r="BQ657" s="150"/>
      <c r="BR657" s="150"/>
      <c r="BS657" s="150"/>
      <c r="BT657" s="150"/>
      <c r="BU657" s="150"/>
      <c r="BV657" s="150"/>
      <c r="BW657" s="150"/>
      <c r="BX657" s="150"/>
      <c r="BY657" s="150"/>
      <c r="BZ657" s="150"/>
      <c r="CA657" s="150"/>
      <c r="CB657" s="150"/>
      <c r="CC657" s="150"/>
      <c r="CD657" s="150"/>
      <c r="CE657" s="150"/>
      <c r="CF657" s="150"/>
      <c r="CG657" s="150"/>
      <c r="CH657" s="150"/>
      <c r="CI657" s="150"/>
      <c r="CJ657" s="150"/>
      <c r="CK657" s="150"/>
      <c r="CL657" s="150"/>
      <c r="CM657" s="150"/>
      <c r="CN657" s="150"/>
      <c r="CO657" s="150"/>
      <c r="CP657" s="150"/>
      <c r="CQ657" s="150"/>
      <c r="CR657" s="150"/>
      <c r="CS657" s="150"/>
      <c r="CT657" s="150"/>
      <c r="CU657" s="150"/>
      <c r="CV657" s="150"/>
      <c r="CW657" s="150"/>
      <c r="CX657" s="150"/>
      <c r="CY657" s="150"/>
      <c r="CZ657" s="150"/>
      <c r="DA657" s="150"/>
      <c r="DB657" s="150"/>
      <c r="DC657" s="150"/>
      <c r="DD657" s="150"/>
      <c r="DE657" s="150"/>
      <c r="DF657" s="150"/>
      <c r="DG657" s="150"/>
      <c r="DH657" s="150"/>
      <c r="DI657" s="150"/>
      <c r="DJ657" s="150"/>
      <c r="DK657" s="150"/>
      <c r="DL657" s="150"/>
      <c r="DM657" s="150"/>
      <c r="DN657" s="150"/>
      <c r="DO657" s="150"/>
      <c r="DP657" s="150"/>
      <c r="DQ657" s="150"/>
      <c r="DR657" s="150"/>
      <c r="DS657" s="150"/>
      <c r="DT657" s="150"/>
      <c r="DU657" s="150"/>
      <c r="DV657" s="150"/>
      <c r="DW657" s="150"/>
      <c r="DX657" s="150"/>
      <c r="DY657" s="150"/>
      <c r="DZ657" s="150"/>
      <c r="EA657" s="150"/>
      <c r="EB657" s="150"/>
      <c r="EC657" s="150"/>
      <c r="ED657" s="150"/>
      <c r="EE657" s="150"/>
      <c r="EF657" s="150"/>
      <c r="EG657" s="150"/>
      <c r="EH657" s="150"/>
      <c r="EI657" s="150"/>
      <c r="EJ657" s="150"/>
      <c r="EK657" s="150"/>
      <c r="EL657" s="150"/>
      <c r="EM657" s="150"/>
      <c r="EN657" s="150"/>
      <c r="EO657" s="150"/>
      <c r="EP657" s="150"/>
      <c r="EQ657" s="150"/>
      <c r="ER657" s="150"/>
      <c r="ES657" s="150"/>
      <c r="ET657" s="150"/>
      <c r="EU657" s="150"/>
      <c r="EV657" s="150"/>
      <c r="EW657" s="150"/>
      <c r="EX657" s="150"/>
      <c r="EY657" s="150"/>
      <c r="EZ657" s="150"/>
      <c r="FA657" s="150"/>
      <c r="FB657" s="150"/>
      <c r="FC657" s="150"/>
      <c r="FD657" s="150"/>
      <c r="FE657" s="150"/>
      <c r="FF657" s="150"/>
      <c r="FG657" s="150"/>
      <c r="FH657" s="150"/>
      <c r="FI657" s="150"/>
      <c r="FJ657" s="150"/>
      <c r="FK657" s="150"/>
      <c r="FL657" s="150"/>
      <c r="FM657" s="150"/>
      <c r="FN657" s="150"/>
    </row>
    <row r="658" spans="1:170" s="149" customFormat="1" x14ac:dyDescent="0.25">
      <c r="A658" s="142"/>
      <c r="B658" s="142"/>
      <c r="C658" s="142"/>
      <c r="D658" s="144"/>
      <c r="E658" s="143"/>
      <c r="F658" s="143"/>
      <c r="G658" s="144"/>
      <c r="H658" s="143"/>
      <c r="I658" s="143"/>
      <c r="J658" s="319"/>
      <c r="K658" s="319"/>
      <c r="L658" s="315"/>
      <c r="M658" s="315"/>
      <c r="N658" s="145"/>
      <c r="O658" s="145"/>
      <c r="P658" s="145"/>
      <c r="Q658" s="146"/>
      <c r="R658" s="147"/>
      <c r="S658" s="148"/>
      <c r="T658" s="148"/>
      <c r="U658" s="148"/>
      <c r="V658" s="148"/>
      <c r="W658" s="148"/>
      <c r="X658" s="148"/>
      <c r="Y658" s="148"/>
      <c r="Z658" s="148"/>
      <c r="AA658" s="148"/>
      <c r="AB658" s="148"/>
      <c r="AV658" s="150"/>
      <c r="AW658" s="150"/>
      <c r="AX658" s="150"/>
      <c r="AY658" s="150"/>
      <c r="AZ658" s="150"/>
      <c r="BA658" s="150"/>
      <c r="BB658" s="150"/>
      <c r="BC658" s="150"/>
      <c r="BD658" s="150"/>
      <c r="BE658" s="150"/>
      <c r="BF658" s="150"/>
      <c r="BG658" s="150"/>
      <c r="BH658" s="150"/>
      <c r="BI658" s="150"/>
      <c r="BJ658" s="150"/>
      <c r="BK658" s="150"/>
      <c r="BL658" s="150"/>
      <c r="BM658" s="150"/>
      <c r="BN658" s="150"/>
      <c r="BO658" s="150"/>
      <c r="BP658" s="150"/>
      <c r="BQ658" s="150"/>
      <c r="BR658" s="150"/>
      <c r="BS658" s="150"/>
      <c r="BT658" s="150"/>
      <c r="BU658" s="150"/>
      <c r="BV658" s="150"/>
      <c r="BW658" s="150"/>
      <c r="BX658" s="150"/>
      <c r="BY658" s="150"/>
      <c r="BZ658" s="150"/>
      <c r="CA658" s="150"/>
      <c r="CB658" s="150"/>
      <c r="CC658" s="150"/>
      <c r="CD658" s="150"/>
      <c r="CE658" s="150"/>
      <c r="CF658" s="150"/>
      <c r="CG658" s="150"/>
      <c r="CH658" s="150"/>
      <c r="CI658" s="150"/>
      <c r="CJ658" s="150"/>
      <c r="CK658" s="150"/>
      <c r="CL658" s="150"/>
      <c r="CM658" s="150"/>
      <c r="CN658" s="150"/>
      <c r="CO658" s="150"/>
      <c r="CP658" s="150"/>
      <c r="CQ658" s="150"/>
      <c r="CR658" s="150"/>
      <c r="CS658" s="150"/>
      <c r="CT658" s="150"/>
      <c r="CU658" s="150"/>
      <c r="CV658" s="150"/>
      <c r="CW658" s="150"/>
      <c r="CX658" s="150"/>
      <c r="CY658" s="150"/>
      <c r="CZ658" s="150"/>
      <c r="DA658" s="150"/>
      <c r="DB658" s="150"/>
      <c r="DC658" s="150"/>
      <c r="DD658" s="150"/>
      <c r="DE658" s="150"/>
      <c r="DF658" s="150"/>
      <c r="DG658" s="150"/>
      <c r="DH658" s="150"/>
      <c r="DI658" s="150"/>
      <c r="DJ658" s="150"/>
      <c r="DK658" s="150"/>
      <c r="DL658" s="150"/>
      <c r="DM658" s="150"/>
      <c r="DN658" s="150"/>
      <c r="DO658" s="150"/>
      <c r="DP658" s="150"/>
      <c r="DQ658" s="150"/>
      <c r="DR658" s="150"/>
      <c r="DS658" s="150"/>
      <c r="DT658" s="150"/>
      <c r="DU658" s="150"/>
      <c r="DV658" s="150"/>
      <c r="DW658" s="150"/>
      <c r="DX658" s="150"/>
      <c r="DY658" s="150"/>
      <c r="DZ658" s="150"/>
      <c r="EA658" s="150"/>
      <c r="EB658" s="150"/>
      <c r="EC658" s="150"/>
      <c r="ED658" s="150"/>
      <c r="EE658" s="150"/>
      <c r="EF658" s="150"/>
      <c r="EG658" s="150"/>
      <c r="EH658" s="150"/>
      <c r="EI658" s="150"/>
      <c r="EJ658" s="150"/>
      <c r="EK658" s="150"/>
      <c r="EL658" s="150"/>
      <c r="EM658" s="150"/>
      <c r="EN658" s="150"/>
      <c r="EO658" s="150"/>
      <c r="EP658" s="150"/>
      <c r="EQ658" s="150"/>
      <c r="ER658" s="150"/>
      <c r="ES658" s="150"/>
      <c r="ET658" s="150"/>
      <c r="EU658" s="150"/>
      <c r="EV658" s="150"/>
      <c r="EW658" s="150"/>
      <c r="EX658" s="150"/>
      <c r="EY658" s="150"/>
      <c r="EZ658" s="150"/>
      <c r="FA658" s="150"/>
      <c r="FB658" s="150"/>
      <c r="FC658" s="150"/>
      <c r="FD658" s="150"/>
      <c r="FE658" s="150"/>
      <c r="FF658" s="150"/>
      <c r="FG658" s="150"/>
      <c r="FH658" s="150"/>
      <c r="FI658" s="150"/>
      <c r="FJ658" s="150"/>
      <c r="FK658" s="150"/>
      <c r="FL658" s="150"/>
      <c r="FM658" s="150"/>
      <c r="FN658" s="150"/>
    </row>
    <row r="659" spans="1:170" s="149" customFormat="1" x14ac:dyDescent="0.25">
      <c r="A659" s="142"/>
      <c r="B659" s="142"/>
      <c r="C659" s="142"/>
      <c r="D659" s="144"/>
      <c r="E659" s="143"/>
      <c r="F659" s="143"/>
      <c r="G659" s="144"/>
      <c r="H659" s="143"/>
      <c r="I659" s="143"/>
      <c r="J659" s="319"/>
      <c r="K659" s="319"/>
      <c r="L659" s="315"/>
      <c r="M659" s="315"/>
      <c r="N659" s="145"/>
      <c r="O659" s="145"/>
      <c r="P659" s="145"/>
      <c r="Q659" s="146"/>
      <c r="R659" s="147"/>
      <c r="S659" s="148"/>
      <c r="T659" s="148"/>
      <c r="U659" s="148"/>
      <c r="V659" s="148"/>
      <c r="W659" s="148"/>
      <c r="X659" s="148"/>
      <c r="Y659" s="148"/>
      <c r="Z659" s="148"/>
      <c r="AA659" s="148"/>
      <c r="AB659" s="148"/>
      <c r="AV659" s="150"/>
      <c r="AW659" s="150"/>
      <c r="AX659" s="150"/>
      <c r="AY659" s="150"/>
      <c r="AZ659" s="150"/>
      <c r="BA659" s="150"/>
      <c r="BB659" s="150"/>
      <c r="BC659" s="150"/>
      <c r="BD659" s="150"/>
      <c r="BE659" s="150"/>
      <c r="BF659" s="150"/>
      <c r="BG659" s="150"/>
      <c r="BH659" s="150"/>
      <c r="BI659" s="150"/>
      <c r="BJ659" s="150"/>
      <c r="BK659" s="150"/>
      <c r="BL659" s="150"/>
      <c r="BM659" s="150"/>
      <c r="BN659" s="150"/>
      <c r="BO659" s="150"/>
      <c r="BP659" s="150"/>
      <c r="BQ659" s="150"/>
      <c r="BR659" s="150"/>
      <c r="BS659" s="150"/>
      <c r="BT659" s="150"/>
      <c r="BU659" s="150"/>
      <c r="BV659" s="150"/>
      <c r="BW659" s="150"/>
      <c r="BX659" s="150"/>
      <c r="BY659" s="150"/>
      <c r="BZ659" s="150"/>
      <c r="CA659" s="150"/>
      <c r="CB659" s="150"/>
      <c r="CC659" s="150"/>
      <c r="CD659" s="150"/>
      <c r="CE659" s="150"/>
      <c r="CF659" s="150"/>
      <c r="CG659" s="150"/>
      <c r="CH659" s="150"/>
      <c r="CI659" s="150"/>
      <c r="CJ659" s="150"/>
      <c r="CK659" s="150"/>
      <c r="CL659" s="150"/>
      <c r="CM659" s="150"/>
      <c r="CN659" s="150"/>
      <c r="CO659" s="150"/>
      <c r="CP659" s="150"/>
      <c r="CQ659" s="150"/>
      <c r="CR659" s="150"/>
      <c r="CS659" s="150"/>
      <c r="CT659" s="150"/>
      <c r="CU659" s="150"/>
      <c r="CV659" s="150"/>
      <c r="CW659" s="150"/>
      <c r="CX659" s="150"/>
      <c r="CY659" s="150"/>
      <c r="CZ659" s="150"/>
      <c r="DA659" s="150"/>
      <c r="DB659" s="150"/>
      <c r="DC659" s="150"/>
      <c r="DD659" s="150"/>
      <c r="DE659" s="150"/>
      <c r="DF659" s="150"/>
      <c r="DG659" s="150"/>
      <c r="DH659" s="150"/>
      <c r="DI659" s="150"/>
      <c r="DJ659" s="150"/>
      <c r="DK659" s="150"/>
      <c r="DL659" s="150"/>
      <c r="DM659" s="150"/>
      <c r="DN659" s="150"/>
      <c r="DO659" s="150"/>
      <c r="DP659" s="150"/>
      <c r="DQ659" s="150"/>
      <c r="DR659" s="150"/>
      <c r="DS659" s="150"/>
      <c r="DT659" s="150"/>
      <c r="DU659" s="150"/>
      <c r="DV659" s="150"/>
      <c r="DW659" s="150"/>
      <c r="DX659" s="150"/>
      <c r="DY659" s="150"/>
      <c r="DZ659" s="150"/>
      <c r="EA659" s="150"/>
      <c r="EB659" s="150"/>
      <c r="EC659" s="150"/>
      <c r="ED659" s="150"/>
      <c r="EE659" s="150"/>
      <c r="EF659" s="150"/>
      <c r="EG659" s="150"/>
      <c r="EH659" s="150"/>
      <c r="EI659" s="150"/>
      <c r="EJ659" s="150"/>
      <c r="EK659" s="150"/>
      <c r="EL659" s="150"/>
      <c r="EM659" s="150"/>
      <c r="EN659" s="150"/>
      <c r="EO659" s="150"/>
      <c r="EP659" s="150"/>
      <c r="EQ659" s="150"/>
      <c r="ER659" s="150"/>
      <c r="ES659" s="150"/>
      <c r="ET659" s="150"/>
      <c r="EU659" s="150"/>
      <c r="EV659" s="150"/>
      <c r="EW659" s="150"/>
      <c r="EX659" s="150"/>
      <c r="EY659" s="150"/>
      <c r="EZ659" s="150"/>
      <c r="FA659" s="150"/>
      <c r="FB659" s="150"/>
      <c r="FC659" s="150"/>
      <c r="FD659" s="150"/>
      <c r="FE659" s="150"/>
      <c r="FF659" s="150"/>
      <c r="FG659" s="150"/>
      <c r="FH659" s="150"/>
      <c r="FI659" s="150"/>
      <c r="FJ659" s="150"/>
      <c r="FK659" s="150"/>
      <c r="FL659" s="150"/>
      <c r="FM659" s="150"/>
      <c r="FN659" s="150"/>
    </row>
    <row r="660" spans="1:170" s="149" customFormat="1" x14ac:dyDescent="0.25">
      <c r="A660" s="142"/>
      <c r="B660" s="142"/>
      <c r="C660" s="142"/>
      <c r="D660" s="144"/>
      <c r="E660" s="143"/>
      <c r="F660" s="143"/>
      <c r="G660" s="144"/>
      <c r="H660" s="143"/>
      <c r="I660" s="143"/>
      <c r="J660" s="319"/>
      <c r="K660" s="319"/>
      <c r="L660" s="315"/>
      <c r="M660" s="315"/>
      <c r="N660" s="145"/>
      <c r="O660" s="145"/>
      <c r="P660" s="145"/>
      <c r="Q660" s="146"/>
      <c r="R660" s="147"/>
      <c r="S660" s="148"/>
      <c r="T660" s="148"/>
      <c r="U660" s="148"/>
      <c r="V660" s="148"/>
      <c r="W660" s="148"/>
      <c r="X660" s="148"/>
      <c r="Y660" s="148"/>
      <c r="Z660" s="148"/>
      <c r="AA660" s="148"/>
      <c r="AB660" s="148"/>
      <c r="AV660" s="150"/>
      <c r="AW660" s="150"/>
      <c r="AX660" s="150"/>
      <c r="AY660" s="150"/>
      <c r="AZ660" s="150"/>
      <c r="BA660" s="150"/>
      <c r="BB660" s="150"/>
      <c r="BC660" s="150"/>
      <c r="BD660" s="150"/>
      <c r="BE660" s="150"/>
      <c r="BF660" s="150"/>
      <c r="BG660" s="150"/>
      <c r="BH660" s="150"/>
      <c r="BI660" s="150"/>
      <c r="BJ660" s="150"/>
      <c r="BK660" s="150"/>
      <c r="BL660" s="150"/>
      <c r="BM660" s="150"/>
      <c r="BN660" s="150"/>
      <c r="BO660" s="150"/>
      <c r="BP660" s="150"/>
      <c r="BQ660" s="150"/>
      <c r="BR660" s="150"/>
      <c r="BS660" s="150"/>
      <c r="BT660" s="150"/>
      <c r="BU660" s="150"/>
      <c r="BV660" s="150"/>
      <c r="BW660" s="150"/>
      <c r="BX660" s="150"/>
      <c r="BY660" s="150"/>
      <c r="BZ660" s="150"/>
      <c r="CA660" s="150"/>
      <c r="CB660" s="150"/>
      <c r="CC660" s="150"/>
      <c r="CD660" s="150"/>
      <c r="CE660" s="150"/>
      <c r="CF660" s="150"/>
      <c r="CG660" s="150"/>
      <c r="CH660" s="150"/>
      <c r="CI660" s="150"/>
      <c r="CJ660" s="150"/>
      <c r="CK660" s="150"/>
      <c r="CL660" s="150"/>
      <c r="CM660" s="150"/>
      <c r="CN660" s="150"/>
      <c r="CO660" s="150"/>
      <c r="CP660" s="150"/>
      <c r="CQ660" s="150"/>
      <c r="CR660" s="150"/>
      <c r="CS660" s="150"/>
      <c r="CT660" s="150"/>
      <c r="CU660" s="150"/>
      <c r="CV660" s="150"/>
      <c r="CW660" s="150"/>
      <c r="CX660" s="150"/>
      <c r="CY660" s="150"/>
      <c r="CZ660" s="150"/>
      <c r="DA660" s="150"/>
      <c r="DB660" s="150"/>
      <c r="DC660" s="150"/>
      <c r="DD660" s="150"/>
      <c r="DE660" s="150"/>
      <c r="DF660" s="150"/>
      <c r="DG660" s="150"/>
      <c r="DH660" s="150"/>
      <c r="DI660" s="150"/>
      <c r="DJ660" s="150"/>
      <c r="DK660" s="150"/>
      <c r="DL660" s="150"/>
      <c r="DM660" s="150"/>
      <c r="DN660" s="150"/>
      <c r="DO660" s="150"/>
      <c r="DP660" s="150"/>
      <c r="DQ660" s="150"/>
      <c r="DR660" s="150"/>
      <c r="DS660" s="150"/>
      <c r="DT660" s="150"/>
      <c r="DU660" s="150"/>
      <c r="DV660" s="150"/>
      <c r="DW660" s="150"/>
      <c r="DX660" s="150"/>
      <c r="DY660" s="150"/>
      <c r="DZ660" s="150"/>
      <c r="EA660" s="150"/>
      <c r="EB660" s="150"/>
      <c r="EC660" s="150"/>
      <c r="ED660" s="150"/>
      <c r="EE660" s="150"/>
      <c r="EF660" s="150"/>
      <c r="EG660" s="150"/>
      <c r="EH660" s="150"/>
      <c r="EI660" s="150"/>
      <c r="EJ660" s="150"/>
      <c r="EK660" s="150"/>
      <c r="EL660" s="150"/>
      <c r="EM660" s="150"/>
      <c r="EN660" s="150"/>
      <c r="EO660" s="150"/>
      <c r="EP660" s="150"/>
      <c r="EQ660" s="150"/>
      <c r="ER660" s="150"/>
      <c r="ES660" s="150"/>
      <c r="ET660" s="150"/>
      <c r="EU660" s="150"/>
      <c r="EV660" s="150"/>
      <c r="EW660" s="150"/>
      <c r="EX660" s="150"/>
      <c r="EY660" s="150"/>
      <c r="EZ660" s="150"/>
      <c r="FA660" s="150"/>
      <c r="FB660" s="150"/>
      <c r="FC660" s="150"/>
      <c r="FD660" s="150"/>
      <c r="FE660" s="150"/>
      <c r="FF660" s="150"/>
      <c r="FG660" s="150"/>
      <c r="FH660" s="150"/>
      <c r="FI660" s="150"/>
      <c r="FJ660" s="150"/>
      <c r="FK660" s="150"/>
      <c r="FL660" s="150"/>
      <c r="FM660" s="150"/>
      <c r="FN660" s="150"/>
    </row>
    <row r="661" spans="1:170" s="149" customFormat="1" x14ac:dyDescent="0.25">
      <c r="A661" s="142"/>
      <c r="B661" s="142"/>
      <c r="C661" s="142"/>
      <c r="D661" s="144"/>
      <c r="E661" s="143"/>
      <c r="F661" s="143"/>
      <c r="G661" s="144"/>
      <c r="H661" s="143"/>
      <c r="I661" s="143"/>
      <c r="J661" s="319"/>
      <c r="K661" s="319"/>
      <c r="L661" s="315"/>
      <c r="M661" s="315"/>
      <c r="N661" s="145"/>
      <c r="O661" s="145"/>
      <c r="P661" s="145"/>
      <c r="Q661" s="146"/>
      <c r="R661" s="147"/>
      <c r="S661" s="148"/>
      <c r="T661" s="148"/>
      <c r="U661" s="148"/>
      <c r="V661" s="148"/>
      <c r="W661" s="148"/>
      <c r="X661" s="148"/>
      <c r="Y661" s="148"/>
      <c r="Z661" s="148"/>
      <c r="AA661" s="148"/>
      <c r="AB661" s="148"/>
      <c r="AV661" s="150"/>
      <c r="AW661" s="150"/>
      <c r="AX661" s="150"/>
      <c r="AY661" s="150"/>
      <c r="AZ661" s="150"/>
      <c r="BA661" s="150"/>
      <c r="BB661" s="150"/>
      <c r="BC661" s="150"/>
      <c r="BD661" s="150"/>
      <c r="BE661" s="150"/>
      <c r="BF661" s="150"/>
      <c r="BG661" s="150"/>
      <c r="BH661" s="150"/>
      <c r="BI661" s="150"/>
      <c r="BJ661" s="150"/>
      <c r="BK661" s="150"/>
      <c r="BL661" s="150"/>
      <c r="BM661" s="150"/>
      <c r="BN661" s="150"/>
      <c r="BO661" s="150"/>
      <c r="BP661" s="150"/>
      <c r="BQ661" s="150"/>
      <c r="BR661" s="150"/>
      <c r="BS661" s="150"/>
      <c r="BT661" s="150"/>
      <c r="BU661" s="150"/>
      <c r="BV661" s="150"/>
      <c r="BW661" s="150"/>
      <c r="BX661" s="150"/>
      <c r="BY661" s="150"/>
      <c r="BZ661" s="150"/>
      <c r="CA661" s="150"/>
      <c r="CB661" s="150"/>
      <c r="CC661" s="150"/>
      <c r="CD661" s="150"/>
      <c r="CE661" s="150"/>
      <c r="CF661" s="150"/>
      <c r="CG661" s="150"/>
      <c r="CH661" s="150"/>
      <c r="CI661" s="150"/>
      <c r="CJ661" s="150"/>
      <c r="CK661" s="150"/>
      <c r="CL661" s="150"/>
      <c r="CM661" s="150"/>
      <c r="CN661" s="150"/>
      <c r="CO661" s="150"/>
      <c r="CP661" s="150"/>
      <c r="CQ661" s="150"/>
      <c r="CR661" s="150"/>
      <c r="CS661" s="150"/>
      <c r="CT661" s="150"/>
      <c r="CU661" s="150"/>
      <c r="CV661" s="150"/>
      <c r="CW661" s="150"/>
      <c r="CX661" s="150"/>
      <c r="CY661" s="150"/>
      <c r="CZ661" s="150"/>
      <c r="DA661" s="150"/>
      <c r="DB661" s="150"/>
      <c r="DC661" s="150"/>
      <c r="DD661" s="150"/>
      <c r="DE661" s="150"/>
      <c r="DF661" s="150"/>
      <c r="DG661" s="150"/>
      <c r="DH661" s="150"/>
      <c r="DI661" s="150"/>
      <c r="DJ661" s="150"/>
      <c r="DK661" s="150"/>
      <c r="DL661" s="150"/>
      <c r="DM661" s="150"/>
      <c r="DN661" s="150"/>
      <c r="DO661" s="150"/>
      <c r="DP661" s="150"/>
      <c r="DQ661" s="150"/>
      <c r="DR661" s="150"/>
      <c r="DS661" s="150"/>
      <c r="DT661" s="150"/>
      <c r="DU661" s="150"/>
      <c r="DV661" s="150"/>
      <c r="DW661" s="150"/>
      <c r="DX661" s="150"/>
      <c r="DY661" s="150"/>
      <c r="DZ661" s="150"/>
      <c r="EA661" s="150"/>
      <c r="EB661" s="150"/>
      <c r="EC661" s="150"/>
      <c r="ED661" s="150"/>
      <c r="EE661" s="150"/>
      <c r="EF661" s="150"/>
      <c r="EG661" s="150"/>
      <c r="EH661" s="150"/>
      <c r="EI661" s="150"/>
      <c r="EJ661" s="150"/>
      <c r="EK661" s="150"/>
      <c r="EL661" s="150"/>
      <c r="EM661" s="150"/>
      <c r="EN661" s="150"/>
      <c r="EO661" s="150"/>
      <c r="EP661" s="150"/>
      <c r="EQ661" s="150"/>
      <c r="ER661" s="150"/>
      <c r="ES661" s="150"/>
      <c r="ET661" s="150"/>
      <c r="EU661" s="150"/>
      <c r="EV661" s="150"/>
      <c r="EW661" s="150"/>
      <c r="EX661" s="150"/>
      <c r="EY661" s="150"/>
      <c r="EZ661" s="150"/>
      <c r="FA661" s="150"/>
      <c r="FB661" s="150"/>
      <c r="FC661" s="150"/>
      <c r="FD661" s="150"/>
      <c r="FE661" s="150"/>
      <c r="FF661" s="150"/>
      <c r="FG661" s="150"/>
      <c r="FH661" s="150"/>
      <c r="FI661" s="150"/>
      <c r="FJ661" s="150"/>
      <c r="FK661" s="150"/>
      <c r="FL661" s="150"/>
      <c r="FM661" s="150"/>
      <c r="FN661" s="150"/>
    </row>
    <row r="662" spans="1:170" s="149" customFormat="1" x14ac:dyDescent="0.25">
      <c r="A662" s="142"/>
      <c r="B662" s="142"/>
      <c r="C662" s="142"/>
      <c r="D662" s="144"/>
      <c r="E662" s="143"/>
      <c r="F662" s="143"/>
      <c r="G662" s="144"/>
      <c r="H662" s="143"/>
      <c r="I662" s="143"/>
      <c r="J662" s="319"/>
      <c r="K662" s="319"/>
      <c r="L662" s="315"/>
      <c r="M662" s="315"/>
      <c r="N662" s="145"/>
      <c r="O662" s="145"/>
      <c r="P662" s="145"/>
      <c r="Q662" s="146"/>
      <c r="R662" s="147"/>
      <c r="S662" s="148"/>
      <c r="T662" s="148"/>
      <c r="U662" s="148"/>
      <c r="V662" s="148"/>
      <c r="W662" s="148"/>
      <c r="X662" s="148"/>
      <c r="Y662" s="148"/>
      <c r="Z662" s="148"/>
      <c r="AA662" s="148"/>
      <c r="AB662" s="148"/>
      <c r="AV662" s="150"/>
      <c r="AW662" s="150"/>
      <c r="AX662" s="150"/>
      <c r="AY662" s="150"/>
      <c r="AZ662" s="150"/>
      <c r="BA662" s="150"/>
      <c r="BB662" s="150"/>
      <c r="BC662" s="150"/>
      <c r="BD662" s="150"/>
      <c r="BE662" s="150"/>
      <c r="BF662" s="150"/>
      <c r="BG662" s="150"/>
      <c r="BH662" s="150"/>
      <c r="BI662" s="150"/>
      <c r="BJ662" s="150"/>
      <c r="BK662" s="150"/>
      <c r="BL662" s="150"/>
      <c r="BM662" s="150"/>
      <c r="BN662" s="150"/>
      <c r="BO662" s="150"/>
      <c r="BP662" s="150"/>
      <c r="BQ662" s="150"/>
      <c r="BR662" s="150"/>
      <c r="BS662" s="150"/>
      <c r="BT662" s="150"/>
      <c r="BU662" s="150"/>
      <c r="BV662" s="150"/>
      <c r="BW662" s="150"/>
      <c r="BX662" s="150"/>
      <c r="BY662" s="150"/>
      <c r="BZ662" s="150"/>
      <c r="CA662" s="150"/>
      <c r="CB662" s="150"/>
      <c r="CC662" s="150"/>
      <c r="CD662" s="150"/>
      <c r="CE662" s="150"/>
      <c r="CF662" s="150"/>
      <c r="CG662" s="150"/>
      <c r="CH662" s="150"/>
      <c r="CI662" s="150"/>
      <c r="CJ662" s="150"/>
      <c r="CK662" s="150"/>
      <c r="CL662" s="150"/>
      <c r="CM662" s="150"/>
      <c r="CN662" s="150"/>
      <c r="CO662" s="150"/>
      <c r="CP662" s="150"/>
      <c r="CQ662" s="150"/>
      <c r="CR662" s="150"/>
      <c r="CS662" s="150"/>
      <c r="CT662" s="150"/>
      <c r="CU662" s="150"/>
      <c r="CV662" s="150"/>
      <c r="CW662" s="150"/>
      <c r="CX662" s="150"/>
      <c r="CY662" s="150"/>
      <c r="CZ662" s="150"/>
      <c r="DA662" s="150"/>
      <c r="DB662" s="150"/>
      <c r="DC662" s="150"/>
      <c r="DD662" s="150"/>
      <c r="DE662" s="150"/>
      <c r="DF662" s="150"/>
      <c r="DG662" s="150"/>
      <c r="DH662" s="150"/>
      <c r="DI662" s="150"/>
      <c r="DJ662" s="150"/>
      <c r="DK662" s="150"/>
      <c r="DL662" s="150"/>
      <c r="DM662" s="150"/>
      <c r="DN662" s="150"/>
      <c r="DO662" s="150"/>
      <c r="DP662" s="150"/>
      <c r="DQ662" s="150"/>
      <c r="DR662" s="150"/>
      <c r="DS662" s="150"/>
      <c r="DT662" s="150"/>
      <c r="DU662" s="150"/>
      <c r="DV662" s="150"/>
      <c r="DW662" s="150"/>
      <c r="DX662" s="150"/>
      <c r="DY662" s="150"/>
      <c r="DZ662" s="150"/>
      <c r="EA662" s="150"/>
      <c r="EB662" s="150"/>
      <c r="EC662" s="150"/>
      <c r="ED662" s="150"/>
      <c r="EE662" s="150"/>
      <c r="EF662" s="150"/>
      <c r="EG662" s="150"/>
      <c r="EH662" s="150"/>
      <c r="EI662" s="150"/>
      <c r="EJ662" s="150"/>
      <c r="EK662" s="150"/>
      <c r="EL662" s="150"/>
      <c r="EM662" s="150"/>
      <c r="EN662" s="150"/>
      <c r="EO662" s="150"/>
      <c r="EP662" s="150"/>
      <c r="EQ662" s="150"/>
      <c r="ER662" s="150"/>
      <c r="ES662" s="150"/>
      <c r="ET662" s="150"/>
      <c r="EU662" s="150"/>
      <c r="EV662" s="150"/>
      <c r="EW662" s="150"/>
      <c r="EX662" s="150"/>
      <c r="EY662" s="150"/>
      <c r="EZ662" s="150"/>
      <c r="FA662" s="150"/>
      <c r="FB662" s="150"/>
      <c r="FC662" s="150"/>
      <c r="FD662" s="150"/>
      <c r="FE662" s="150"/>
      <c r="FF662" s="150"/>
      <c r="FG662" s="150"/>
      <c r="FH662" s="150"/>
      <c r="FI662" s="150"/>
      <c r="FJ662" s="150"/>
      <c r="FK662" s="150"/>
      <c r="FL662" s="150"/>
      <c r="FM662" s="150"/>
      <c r="FN662" s="150"/>
    </row>
  </sheetData>
  <sortState xmlns:xlrd2="http://schemas.microsoft.com/office/spreadsheetml/2017/richdata2" ref="A7:AB381">
    <sortCondition descending="1" ref="D10"/>
  </sortState>
  <mergeCells count="10">
    <mergeCell ref="F4:G4"/>
    <mergeCell ref="A2:A3"/>
    <mergeCell ref="K5:K6"/>
    <mergeCell ref="L5:L6"/>
    <mergeCell ref="M5:M6"/>
    <mergeCell ref="A5:A6"/>
    <mergeCell ref="B5:B6"/>
    <mergeCell ref="C5:C6"/>
    <mergeCell ref="B2:C3"/>
    <mergeCell ref="A4:B4"/>
  </mergeCells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BF674"/>
  <sheetViews>
    <sheetView showGridLines="0" zoomScale="115" zoomScaleNormal="115" workbookViewId="0">
      <pane xSplit="3" ySplit="6" topLeftCell="D343" activePane="bottomRight" state="frozen"/>
      <selection pane="topRight" activeCell="D1" sqref="D1"/>
      <selection pane="bottomLeft" activeCell="A7" sqref="A7"/>
      <selection pane="bottomRight" activeCell="C378" sqref="C360:H378"/>
    </sheetView>
  </sheetViews>
  <sheetFormatPr defaultColWidth="9.140625" defaultRowHeight="10.3" x14ac:dyDescent="0.25"/>
  <cols>
    <col min="1" max="1" width="5.85546875" style="115" customWidth="1"/>
    <col min="2" max="2" width="9.35546875" style="115" bestFit="1" customWidth="1"/>
    <col min="3" max="3" width="8.7109375" style="115" bestFit="1" customWidth="1"/>
    <col min="4" max="4" width="8.5" style="115" bestFit="1" customWidth="1"/>
    <col min="5" max="5" width="9.5" style="115" bestFit="1" customWidth="1"/>
    <col min="6" max="6" width="8.5" style="115" bestFit="1" customWidth="1"/>
    <col min="7" max="7" width="8.85546875" style="115" customWidth="1"/>
    <col min="8" max="8" width="9.640625" style="115" customWidth="1"/>
    <col min="9" max="9" width="121.0703125" style="115" bestFit="1" customWidth="1"/>
    <col min="10" max="10" width="6.85546875" style="115" bestFit="1" customWidth="1"/>
    <col min="11" max="11" width="8.140625" style="115" bestFit="1" customWidth="1"/>
    <col min="12" max="12" width="7.35546875" style="115" bestFit="1" customWidth="1"/>
    <col min="13" max="13" width="8.640625" style="115" customWidth="1"/>
    <col min="14" max="14" width="9.35546875" style="115" bestFit="1" customWidth="1"/>
    <col min="15" max="15" width="1.640625" style="115" customWidth="1"/>
    <col min="16" max="16" width="6.7109375" style="115" bestFit="1" customWidth="1"/>
    <col min="17" max="17" width="8.7109375" style="115" bestFit="1" customWidth="1"/>
    <col min="18" max="18" width="5.2109375" style="115" bestFit="1" customWidth="1"/>
    <col min="19" max="19" width="8.7109375" style="115" bestFit="1" customWidth="1"/>
    <col min="20" max="20" width="7.7109375" style="115" bestFit="1" customWidth="1"/>
    <col min="21" max="21" width="1.640625" style="115" customWidth="1"/>
    <col min="22" max="22" width="6.140625" style="166" bestFit="1" customWidth="1"/>
    <col min="23" max="23" width="6.35546875" style="160" bestFit="1" customWidth="1"/>
    <col min="24" max="24" width="6.7109375" style="160" bestFit="1" customWidth="1"/>
    <col min="25" max="25" width="6.140625" style="160" bestFit="1" customWidth="1"/>
    <col min="26" max="26" width="7.35546875" style="160" bestFit="1" customWidth="1"/>
    <col min="27" max="27" width="1.640625" style="115" customWidth="1"/>
    <col min="28" max="28" width="6.7109375" style="160" customWidth="1"/>
    <col min="29" max="29" width="4.5" style="160" bestFit="1" customWidth="1"/>
    <col min="30" max="30" width="5.35546875" style="160" bestFit="1" customWidth="1"/>
    <col min="31" max="34" width="6" style="160" bestFit="1" customWidth="1"/>
    <col min="35" max="35" width="6.85546875" style="165" customWidth="1"/>
    <col min="36" max="36" width="4.5" style="166" bestFit="1" customWidth="1"/>
    <col min="37" max="37" width="6" style="160" bestFit="1" customWidth="1"/>
    <col min="38" max="39" width="6.5" style="160" bestFit="1" customWidth="1"/>
    <col min="40" max="40" width="6" style="160" bestFit="1" customWidth="1"/>
    <col min="41" max="41" width="6.5" style="160" bestFit="1" customWidth="1"/>
    <col min="42" max="42" width="1.85546875" style="166" customWidth="1"/>
    <col min="43" max="43" width="6" style="160" bestFit="1" customWidth="1"/>
    <col min="44" max="45" width="6.35546875" style="160" bestFit="1" customWidth="1"/>
    <col min="46" max="46" width="8" style="160" bestFit="1" customWidth="1"/>
    <col min="47" max="47" width="1.5" style="160" customWidth="1"/>
    <col min="48" max="53" width="9.140625" style="160"/>
    <col min="54" max="16384" width="9.140625" style="161"/>
  </cols>
  <sheetData>
    <row r="1" spans="1:58" s="4" customFormat="1" ht="18" customHeight="1" x14ac:dyDescent="0.35">
      <c r="A1" s="1"/>
      <c r="B1" s="333" t="s">
        <v>893</v>
      </c>
      <c r="C1" s="334" t="s">
        <v>894</v>
      </c>
      <c r="D1" s="454" t="s">
        <v>1652</v>
      </c>
      <c r="E1" s="455"/>
      <c r="F1" s="455"/>
      <c r="G1" s="455"/>
      <c r="H1" s="455"/>
      <c r="I1" s="452" t="s">
        <v>1653</v>
      </c>
      <c r="J1" s="335">
        <f ca="1">COUNTIF(J7:J700,"&lt;100")</f>
        <v>216</v>
      </c>
      <c r="K1" s="452" t="s">
        <v>1654</v>
      </c>
      <c r="L1" s="335">
        <f ca="1">COUNT(J7:J700)-J1-N1</f>
        <v>125</v>
      </c>
      <c r="M1" s="452" t="s">
        <v>1655</v>
      </c>
      <c r="N1" s="336">
        <f ca="1">COUNTIF(J7:J700,"&gt;500")</f>
        <v>34</v>
      </c>
      <c r="O1" s="2"/>
      <c r="P1" s="2"/>
      <c r="Q1" s="2"/>
      <c r="R1" s="2"/>
      <c r="S1" s="2"/>
      <c r="T1" s="2"/>
      <c r="U1" s="2"/>
      <c r="V1" s="9"/>
      <c r="W1" s="3"/>
      <c r="X1" s="3"/>
      <c r="Y1" s="3"/>
      <c r="Z1" s="3"/>
      <c r="AA1" s="2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9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</row>
    <row r="2" spans="1:58" s="4" customFormat="1" ht="18" customHeight="1" thickBot="1" x14ac:dyDescent="0.4">
      <c r="A2" s="1"/>
      <c r="B2" s="337" t="str">
        <f ca="1">[1]!td(TODAY())</f>
        <v>2021-09-08</v>
      </c>
      <c r="C2" s="407">
        <f ca="1">[1]!TDaysOffset(B2,"Days=Alldays","Period=Q","Offset=-4")</f>
        <v>44082</v>
      </c>
      <c r="D2" s="408">
        <f ca="1">[1]!TDays(C2,B2,"Days=Alldays","Period=Q","Direction=H","Order=D","cols=5;rows=1")</f>
        <v>44447</v>
      </c>
      <c r="E2" s="408">
        <v>44377</v>
      </c>
      <c r="F2" s="408">
        <v>44286</v>
      </c>
      <c r="G2" s="408">
        <v>44196</v>
      </c>
      <c r="H2" s="409">
        <v>44104</v>
      </c>
      <c r="I2" s="453"/>
      <c r="J2" s="338">
        <f ca="1">J1/COUNT(J7:J701)</f>
        <v>0.57599999999999996</v>
      </c>
      <c r="K2" s="453"/>
      <c r="L2" s="338">
        <f ca="1">L1/COUNT(J7:J701)</f>
        <v>0.33333333333333331</v>
      </c>
      <c r="M2" s="453"/>
      <c r="N2" s="339">
        <f ca="1">N1/COUNT(J7:J701)</f>
        <v>9.0666666666666673E-2</v>
      </c>
      <c r="T2" s="2"/>
      <c r="V2" s="9"/>
      <c r="W2" s="3"/>
      <c r="X2" s="3"/>
      <c r="Y2" s="3"/>
      <c r="Z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9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</row>
    <row r="3" spans="1:58" s="4" customFormat="1" ht="18" customHeight="1" thickBot="1" x14ac:dyDescent="0.4">
      <c r="A3" s="1"/>
      <c r="B3" s="340" t="s">
        <v>810</v>
      </c>
      <c r="C3" s="341">
        <v>44104</v>
      </c>
      <c r="D3" s="2"/>
      <c r="E3" s="92"/>
      <c r="F3" s="92"/>
      <c r="O3" s="91"/>
      <c r="P3" s="2"/>
      <c r="Q3" s="2"/>
      <c r="R3" s="2"/>
      <c r="S3" s="2"/>
      <c r="T3" s="2"/>
      <c r="U3" s="91"/>
      <c r="V3" s="9"/>
      <c r="W3" s="3"/>
      <c r="X3" s="3"/>
      <c r="Y3" s="3"/>
      <c r="Z3" s="3"/>
      <c r="AA3" s="91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9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</row>
    <row r="4" spans="1:58" s="4" customFormat="1" ht="14.15" x14ac:dyDescent="0.35">
      <c r="A4" s="1"/>
      <c r="B4" s="2"/>
      <c r="C4" s="1"/>
      <c r="D4" s="6"/>
      <c r="E4" s="7"/>
      <c r="F4" s="7"/>
      <c r="G4" s="8"/>
      <c r="H4" s="5"/>
      <c r="I4" s="195"/>
      <c r="J4" s="195"/>
      <c r="K4" s="195"/>
      <c r="L4" s="195"/>
      <c r="M4" s="195"/>
      <c r="N4" s="195"/>
      <c r="O4" s="2"/>
      <c r="P4" s="2"/>
      <c r="Q4" s="2"/>
      <c r="R4" s="2"/>
      <c r="S4" s="2"/>
      <c r="T4" s="2"/>
      <c r="U4" s="2"/>
      <c r="V4" s="9"/>
      <c r="W4" s="3"/>
      <c r="X4" s="3"/>
      <c r="Y4" s="3"/>
      <c r="Z4" s="3"/>
      <c r="AA4" s="2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9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</row>
    <row r="5" spans="1:58" s="324" customFormat="1" ht="16.850000000000001" customHeight="1" x14ac:dyDescent="0.3">
      <c r="A5" s="458" t="s">
        <v>1595</v>
      </c>
      <c r="B5" s="458" t="s">
        <v>1596</v>
      </c>
      <c r="C5" s="458" t="s">
        <v>1597</v>
      </c>
      <c r="D5" s="458" t="s">
        <v>1634</v>
      </c>
      <c r="E5" s="458" t="s">
        <v>1598</v>
      </c>
      <c r="F5" s="320" t="s">
        <v>1583</v>
      </c>
      <c r="G5" s="320" t="s">
        <v>1584</v>
      </c>
      <c r="H5" s="320" t="s">
        <v>1585</v>
      </c>
      <c r="I5" s="456" t="s">
        <v>892</v>
      </c>
      <c r="J5" s="462" t="s">
        <v>1635</v>
      </c>
      <c r="K5" s="462"/>
      <c r="L5" s="462"/>
      <c r="M5" s="462"/>
      <c r="N5" s="462"/>
      <c r="O5" s="321"/>
      <c r="P5" s="462" t="s">
        <v>1636</v>
      </c>
      <c r="Q5" s="462"/>
      <c r="R5" s="462"/>
      <c r="S5" s="462"/>
      <c r="T5" s="462"/>
      <c r="U5" s="321"/>
      <c r="V5" s="462" t="s">
        <v>1637</v>
      </c>
      <c r="W5" s="462"/>
      <c r="X5" s="462"/>
      <c r="Y5" s="462"/>
      <c r="Z5" s="462"/>
      <c r="AA5" s="321"/>
      <c r="AB5" s="322"/>
      <c r="AC5" s="458" t="s">
        <v>1638</v>
      </c>
      <c r="AD5" s="458"/>
      <c r="AE5" s="458"/>
      <c r="AF5" s="458"/>
      <c r="AG5" s="458"/>
      <c r="AH5" s="461"/>
      <c r="AI5" s="322"/>
      <c r="AJ5" s="458" t="s">
        <v>1639</v>
      </c>
      <c r="AK5" s="458"/>
      <c r="AL5" s="458"/>
      <c r="AM5" s="458"/>
      <c r="AN5" s="458"/>
      <c r="AO5" s="461"/>
      <c r="AP5" s="321"/>
      <c r="AQ5" s="460" t="s">
        <v>916</v>
      </c>
      <c r="AR5" s="460"/>
      <c r="AS5" s="460"/>
      <c r="AT5" s="460"/>
      <c r="AU5" s="323"/>
      <c r="AV5" s="323"/>
      <c r="AW5" s="323"/>
      <c r="AX5" s="323"/>
      <c r="AY5" s="323"/>
      <c r="AZ5" s="323"/>
      <c r="BA5" s="323"/>
      <c r="BB5" s="323"/>
      <c r="BC5" s="323"/>
      <c r="BD5" s="323"/>
      <c r="BE5" s="323"/>
    </row>
    <row r="6" spans="1:58" s="332" customFormat="1" ht="16.850000000000001" customHeight="1" x14ac:dyDescent="0.3">
      <c r="A6" s="459"/>
      <c r="B6" s="459"/>
      <c r="C6" s="459"/>
      <c r="D6" s="459"/>
      <c r="E6" s="459"/>
      <c r="F6" s="325" t="s">
        <v>1615</v>
      </c>
      <c r="G6" s="325" t="s">
        <v>1615</v>
      </c>
      <c r="H6" s="325" t="s">
        <v>1615</v>
      </c>
      <c r="I6" s="457"/>
      <c r="J6" s="326" t="s">
        <v>1640</v>
      </c>
      <c r="K6" s="326" t="s">
        <v>1641</v>
      </c>
      <c r="L6" s="326" t="s">
        <v>1642</v>
      </c>
      <c r="M6" s="326" t="s">
        <v>1643</v>
      </c>
      <c r="N6" s="326" t="s">
        <v>1644</v>
      </c>
      <c r="O6" s="327"/>
      <c r="P6" s="326" t="s">
        <v>811</v>
      </c>
      <c r="Q6" s="326" t="s">
        <v>1645</v>
      </c>
      <c r="R6" s="326" t="s">
        <v>812</v>
      </c>
      <c r="S6" s="326" t="s">
        <v>1645</v>
      </c>
      <c r="T6" s="326" t="s">
        <v>1646</v>
      </c>
      <c r="U6" s="327"/>
      <c r="V6" s="326" t="s">
        <v>831</v>
      </c>
      <c r="W6" s="326" t="s">
        <v>1647</v>
      </c>
      <c r="X6" s="326" t="s">
        <v>1648</v>
      </c>
      <c r="Y6" s="326" t="s">
        <v>830</v>
      </c>
      <c r="Z6" s="326" t="s">
        <v>1649</v>
      </c>
      <c r="AA6" s="327"/>
      <c r="AB6" s="328"/>
      <c r="AC6" s="329">
        <f ca="1">YEAR(D2)</f>
        <v>2021</v>
      </c>
      <c r="AD6" s="329">
        <f ca="1">YEAR($D$2)-1</f>
        <v>2020</v>
      </c>
      <c r="AE6" s="329">
        <f ca="1">YEAR($D$2)-2</f>
        <v>2019</v>
      </c>
      <c r="AF6" s="329">
        <f ca="1">YEAR($D$2)-3</f>
        <v>2018</v>
      </c>
      <c r="AG6" s="329">
        <f ca="1">YEAR($D$2)-4</f>
        <v>2017</v>
      </c>
      <c r="AH6" s="329">
        <f ca="1">YEAR($D$2)-5</f>
        <v>2016</v>
      </c>
      <c r="AI6" s="330"/>
      <c r="AJ6" s="329">
        <f ca="1">YEAR(D2)</f>
        <v>2021</v>
      </c>
      <c r="AK6" s="329">
        <f ca="1">YEAR($D$2)-1</f>
        <v>2020</v>
      </c>
      <c r="AL6" s="329">
        <f ca="1">YEAR($D$2)-2</f>
        <v>2019</v>
      </c>
      <c r="AM6" s="329">
        <f ca="1">YEAR($D$2)-3</f>
        <v>2018</v>
      </c>
      <c r="AN6" s="329">
        <f ca="1">YEAR($D$2)-4</f>
        <v>2017</v>
      </c>
      <c r="AO6" s="329">
        <f ca="1">YEAR($D$2)-5</f>
        <v>2016</v>
      </c>
      <c r="AP6" s="327"/>
      <c r="AQ6" s="326" t="s">
        <v>831</v>
      </c>
      <c r="AR6" s="326" t="s">
        <v>1648</v>
      </c>
      <c r="AS6" s="326" t="s">
        <v>1650</v>
      </c>
      <c r="AT6" s="326" t="s">
        <v>1651</v>
      </c>
      <c r="AU6" s="331"/>
      <c r="AV6" s="331"/>
      <c r="AW6" s="331"/>
      <c r="AX6" s="331"/>
      <c r="AY6" s="331"/>
      <c r="AZ6" s="331"/>
      <c r="BA6" s="331"/>
      <c r="BB6" s="331"/>
      <c r="BC6" s="331"/>
      <c r="BD6" s="331"/>
      <c r="BE6" s="331"/>
      <c r="BF6" s="331"/>
    </row>
    <row r="7" spans="1:58" s="191" customFormat="1" ht="12" customHeight="1" x14ac:dyDescent="0.35">
      <c r="A7" s="182" t="s">
        <v>396</v>
      </c>
      <c r="B7" s="182" t="s">
        <v>531</v>
      </c>
      <c r="C7" s="182" t="s">
        <v>532</v>
      </c>
      <c r="D7" s="182" t="str">
        <f ca="1">[1]!cb_info_underlyingname(B7)</f>
        <v>上海建工</v>
      </c>
      <c r="E7" s="183" t="str">
        <f ca="1">[1]!cb_info_underlyingcode(B7)</f>
        <v>600170.SH</v>
      </c>
      <c r="F7" s="184" t="str">
        <f ca="1">[1]!s_info_industry_sw(B7,1)</f>
        <v>综合</v>
      </c>
      <c r="G7" s="184" t="str">
        <f ca="1">[1]!s_info_industry_sw(E7,2)</f>
        <v>房屋建设Ⅱ</v>
      </c>
      <c r="H7" s="184" t="str">
        <f ca="1">[1]!s_info_industry_sw(E7,3)</f>
        <v>房屋建设Ⅲ</v>
      </c>
      <c r="I7" s="192" t="str">
        <f ca="1">[1]!s_info_majorproducttype(E7)</f>
        <v>民用建筑、住宅建筑</v>
      </c>
      <c r="J7" s="189">
        <f ca="1">[1]!s_val_ev(E7,$B$2,100000000)</f>
        <v>260.89885343039998</v>
      </c>
      <c r="K7" s="193">
        <f ca="1">[1]!s_share_total(E7,$B$2,100000000)</f>
        <v>89.043977279999993</v>
      </c>
      <c r="L7" s="193">
        <f ca="1">[1]!s_share_liqa(E7,$B$2,100000000)</f>
        <v>89.043977279999993</v>
      </c>
      <c r="M7" s="186">
        <f ca="1">[1]!s_fa_gr_ttm2(E7,$C$3,100000000)</f>
        <v>2185.7043515076998</v>
      </c>
      <c r="N7" s="187">
        <f ca="1">[1]!s_fa_netprofit_ttm2(E7,$C$3,100000000)</f>
        <v>34.522349097700001</v>
      </c>
      <c r="O7" s="186"/>
      <c r="P7" s="187">
        <f ca="1">[1]!s_val_pe_ttm(E7,[1]!td($B$2-1))</f>
        <v>7.4936313629150391</v>
      </c>
      <c r="Q7" s="187">
        <f ca="1">[1]!i_val_pe_percentile(E7,[1]!td($B$2-1),$B$2-365*5,[1]!td($B$2-1))</f>
        <v>5.8114035087719298</v>
      </c>
      <c r="R7" s="187">
        <f ca="1">[1]!pb_mrq(E7,[1]!td($B$2-1))</f>
        <v>0.93475593580151639</v>
      </c>
      <c r="S7" s="187">
        <f ca="1">[1]!i_val_pb_percentile(E7,[1]!td($B$2-1),$B$2-365*5,[1]!td($B$2-1))</f>
        <v>17.269736842105264</v>
      </c>
      <c r="T7" s="187">
        <f ca="1">[1]!s_val_pe_ttm([1]!to_windcode_index(H7&amp;"(申万)"),[1]!td($B$2-1))</f>
        <v>5.5100002288818359</v>
      </c>
      <c r="U7" s="187"/>
      <c r="V7" s="187">
        <f ca="1">[1]!s_fa_roe(E7,$C$3)</f>
        <v>6.4919000000000002</v>
      </c>
      <c r="W7" s="187">
        <f ca="1">[1]!s_fa_grossprofitmargin(E7,$C$3)</f>
        <v>8.8315000000000001</v>
      </c>
      <c r="X7" s="187">
        <f ca="1">[1]!s_fa_netprofitmargin(E7,$C$3)</f>
        <v>1.4521999999999999</v>
      </c>
      <c r="Y7" s="187">
        <f ca="1">[1]!s_fa_roic(E7,$C$3)</f>
        <v>3.1206999999999998</v>
      </c>
      <c r="Z7" s="187">
        <f ca="1">[1]!s_fa_operateincometoebt_ttm2(E7,$C$3)</f>
        <v>79.467799999999997</v>
      </c>
      <c r="AA7" s="186"/>
      <c r="AB7" s="342"/>
      <c r="AC7" s="186">
        <f ca="1">[1]!s_fa_cagr_tr($E7,AC$6,3)</f>
        <v>0</v>
      </c>
      <c r="AD7" s="186">
        <f ca="1">[1]!s_fa_cagr_tr($E7,AD$6,3)</f>
        <v>17.641869069999004</v>
      </c>
      <c r="AE7" s="187">
        <f ca="1">[1]!s_fa_cagr_tr($E7,AE$6,3)</f>
        <v>15.417471741477918</v>
      </c>
      <c r="AF7" s="187">
        <f ca="1">[1]!s_fa_cagr_tr($E7,AF$6,3)</f>
        <v>10.784509191409498</v>
      </c>
      <c r="AG7" s="187">
        <f ca="1">[1]!s_fa_cagr_tr($E7,AG$6,3)</f>
        <v>7.723131907759706</v>
      </c>
      <c r="AH7" s="187">
        <f ca="1">[1]!s_fa_cagr_tr($E7,AH$6,3)</f>
        <v>9.4154994529831448</v>
      </c>
      <c r="AI7" s="194"/>
      <c r="AJ7" s="187">
        <f ca="1">[1]!s_fa_cagr_netprofit($E7,AJ$6,3)</f>
        <v>0</v>
      </c>
      <c r="AK7" s="187">
        <f ca="1">[1]!s_fa_cagr_netprofit($E7,AK$6,3)</f>
        <v>9.0422324380224239</v>
      </c>
      <c r="AL7" s="187">
        <f ca="1">[1]!s_fa_cagr_netprofit($E7,AL$6,3)</f>
        <v>23.322556717711841</v>
      </c>
      <c r="AM7" s="187">
        <f ca="1">[1]!s_fa_cagr_netprofit($E7,AM$6,3)</f>
        <v>14.117594417504019</v>
      </c>
      <c r="AN7" s="187">
        <f ca="1">[1]!s_fa_cagr_netprofit($E7,AN$6,3)</f>
        <v>13.410134039196775</v>
      </c>
      <c r="AO7" s="187">
        <f ca="1">[1]!s_fa_cagr_netprofit($E7,AO$6,3)</f>
        <v>9.0004810456490105</v>
      </c>
      <c r="AP7" s="189"/>
      <c r="AQ7" s="202">
        <f ca="1">[1]!s_fa_dupont_roe(E7,$C$3)</f>
        <v>6.4919000000000002</v>
      </c>
      <c r="AR7" s="202">
        <f ca="1">[1]!s_fa_dupont_nptosales(B7,$C$3)</f>
        <v>-14.451700000000001</v>
      </c>
      <c r="AS7" s="237">
        <f ca="1">[1]!s_fa_dupont_faturnover(E7,$C$3)</f>
        <v>0.63419999999999999</v>
      </c>
      <c r="AT7" s="202">
        <f ca="1">[1]!s_fa_dupont_assetstoequity(E7,$C$3)</f>
        <v>7.5494000000000003</v>
      </c>
      <c r="AU7" s="189"/>
      <c r="AV7" s="201"/>
      <c r="AW7" s="189"/>
      <c r="AX7" s="189"/>
      <c r="AY7" s="189"/>
      <c r="AZ7" s="189"/>
      <c r="BA7" s="189"/>
      <c r="BB7" s="189"/>
      <c r="BC7" s="189"/>
      <c r="BD7" s="189"/>
      <c r="BE7" s="189"/>
    </row>
    <row r="8" spans="1:58" s="130" customFormat="1" ht="12" customHeight="1" x14ac:dyDescent="0.35">
      <c r="A8" s="121" t="s">
        <v>0</v>
      </c>
      <c r="B8" s="121" t="s">
        <v>547</v>
      </c>
      <c r="C8" s="121" t="s">
        <v>548</v>
      </c>
      <c r="D8" s="121" t="str">
        <f ca="1">[1]!cb_info_underlyingname(B8)</f>
        <v>紫金矿业</v>
      </c>
      <c r="E8" s="122" t="str">
        <f ca="1">[1]!cb_info_underlyingcode(B8)</f>
        <v>601899.SH</v>
      </c>
      <c r="F8" s="123" t="str">
        <f ca="1">[1]!s_info_industry_sw(B8,1)</f>
        <v>有色金属</v>
      </c>
      <c r="G8" s="123" t="str">
        <f ca="1">[1]!s_info_industry_sw(E8,2)</f>
        <v>黄金Ⅱ</v>
      </c>
      <c r="H8" s="123" t="str">
        <f ca="1">[1]!s_info_industry_sw(E8,3)</f>
        <v>黄金Ⅲ</v>
      </c>
      <c r="I8" s="156" t="str">
        <f ca="1">[1]!s_info_majorproducttype(E8)</f>
        <v>白银、合金、黑色金属矿产、黄金、耐火材料、铜、无机化工原料、有色金属矿产、重有色金属</v>
      </c>
      <c r="J8" s="129">
        <f ca="1">[1]!s_val_ev(E8,$B$2,100000000)</f>
        <v>2787.62757824044</v>
      </c>
      <c r="K8" s="157">
        <f ca="1">[1]!s_share_total(E8,$B$2,100000000)</f>
        <v>263.27602239999999</v>
      </c>
      <c r="L8" s="157">
        <f ca="1">[1]!s_share_liqa(E8,$B$2,100000000)</f>
        <v>204.94681639999999</v>
      </c>
      <c r="M8" s="125">
        <f ca="1">[1]!s_fa_gr_ttm2(E8,$C$3,100000000)</f>
        <v>1649.0416134300001</v>
      </c>
      <c r="N8" s="126">
        <f ca="1">[1]!s_fa_netprofit_ttm2(E8,$C$3,100000000)</f>
        <v>58.504613810000002</v>
      </c>
      <c r="O8" s="125"/>
      <c r="P8" s="126">
        <f ca="1">[1]!s_val_pe_ttm(E8,[1]!td($B$2-1))</f>
        <v>26.925466537475586</v>
      </c>
      <c r="Q8" s="126">
        <f ca="1">[1]!i_val_pe_percentile(E8,[1]!td($B$2-1),$B$2-365*5,[1]!td($B$2-1))</f>
        <v>43.201754385964911</v>
      </c>
      <c r="R8" s="126">
        <f ca="1">[1]!pb_mrq(E8,[1]!td($B$2-1))</f>
        <v>4.6326705616563633</v>
      </c>
      <c r="S8" s="126">
        <f ca="1">[1]!i_val_pb_percentile(E8,[1]!td($B$2-1),$B$2-365*5,[1]!td($B$2-1))</f>
        <v>87.225877192982466</v>
      </c>
      <c r="T8" s="126">
        <f ca="1">[1]!s_val_pe_ttm([1]!to_windcode_index(H8&amp;"(申万)"),[1]!td($B$2-1))</f>
        <v>29.809999465942383</v>
      </c>
      <c r="U8" s="125"/>
      <c r="V8" s="125">
        <f ca="1">[1]!s_fa_roe(E8,$C$3)</f>
        <v>8.8259000000000007</v>
      </c>
      <c r="W8" s="125">
        <f ca="1">[1]!s_fa_grossprofitmargin(E8,$C$3)</f>
        <v>11.480499999999999</v>
      </c>
      <c r="X8" s="125">
        <f ca="1">[1]!s_fa_netprofitmargin(E8,$C$3)</f>
        <v>4.4443999999999999</v>
      </c>
      <c r="Y8" s="125">
        <f ca="1">[1]!s_fa_roic(E8,$C$3)</f>
        <v>5.5768000000000004</v>
      </c>
      <c r="Z8" s="125">
        <f ca="1">[1]!s_fa_operateincometoebt_ttm2(E8,$C$3)</f>
        <v>105.18340000000001</v>
      </c>
      <c r="AA8" s="125"/>
      <c r="AB8" s="343"/>
      <c r="AC8" s="125">
        <f ca="1">[1]!s_fa_cagr_tr($E8,AC$6,3)</f>
        <v>0</v>
      </c>
      <c r="AD8" s="125">
        <f ca="1">[1]!s_fa_cagr_tr($E8,AD$6,3)</f>
        <v>21.956262909352951</v>
      </c>
      <c r="AE8" s="126">
        <f ca="1">[1]!s_fa_cagr_tr($E8,AE$6,3)</f>
        <v>19.953954404404818</v>
      </c>
      <c r="AF8" s="126">
        <f ca="1">[1]!s_fa_cagr_tr($E8,AF$6,3)</f>
        <v>12.570396558623177</v>
      </c>
      <c r="AG8" s="126">
        <f ca="1">[1]!s_fa_cagr_tr($E8,AG$6,3)</f>
        <v>17.180807285727816</v>
      </c>
      <c r="AH8" s="126">
        <f ca="1">[1]!s_fa_cagr_tr($E8,AH$6,3)</f>
        <v>16.575971584759831</v>
      </c>
      <c r="AI8" s="169"/>
      <c r="AJ8" s="126">
        <f ca="1">[1]!s_fa_cagr_netprofit($E8,AJ$6,3)</f>
        <v>0</v>
      </c>
      <c r="AK8" s="126">
        <f ca="1">[1]!s_fa_cagr_netprofit($E8,AK$6,3)</f>
        <v>22.88153481663646</v>
      </c>
      <c r="AL8" s="126">
        <f ca="1">[1]!s_fa_cagr_netprofit($E8,AL$6,3)</f>
        <v>32.543449163599128</v>
      </c>
      <c r="AM8" s="126">
        <f ca="1">[1]!s_fa_cagr_netprofit($E8,AM$6,3)</f>
        <v>35.222784126833375</v>
      </c>
      <c r="AN8" s="126">
        <f ca="1">[1]!s_fa_cagr_netprofit($E8,AN$6,3)</f>
        <v>14.364189723846653</v>
      </c>
      <c r="AO8" s="126">
        <f ca="1">[1]!s_fa_cagr_netprofit($E8,AO$6,3)</f>
        <v>-4.695582386404884</v>
      </c>
      <c r="AP8" s="129"/>
      <c r="AQ8" s="203">
        <f ca="1">[1]!s_fa_dupont_roe(E8,$C$3)</f>
        <v>8.8259000000000007</v>
      </c>
      <c r="AR8" s="203">
        <f ca="1">[1]!s_fa_dupont_nptosales(B8,$C$3)</f>
        <v>4.4443999999999999</v>
      </c>
      <c r="AS8" s="238">
        <f ca="1">[1]!s_fa_dupont_faturnover(E8,$C$3)</f>
        <v>0.8851</v>
      </c>
      <c r="AT8" s="203">
        <f ca="1">[1]!s_fa_dupont_assetstoequity(E8,$C$3)</f>
        <v>2.8447</v>
      </c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</row>
    <row r="9" spans="1:58" s="191" customFormat="1" ht="12" customHeight="1" x14ac:dyDescent="0.35">
      <c r="A9" s="182" t="s">
        <v>5</v>
      </c>
      <c r="B9" s="182" t="s">
        <v>46</v>
      </c>
      <c r="C9" s="182" t="s">
        <v>47</v>
      </c>
      <c r="D9" s="182" t="str">
        <f ca="1">[1]!cb_info_underlyingname(B9)</f>
        <v>赣锋锂业</v>
      </c>
      <c r="E9" s="183" t="str">
        <f ca="1">[1]!cb_info_underlyingcode(B9)</f>
        <v>002460.SZ</v>
      </c>
      <c r="F9" s="184" t="str">
        <f ca="1">[1]!s_info_industry_sw(B9,1)</f>
        <v>有色金属</v>
      </c>
      <c r="G9" s="184" t="str">
        <f ca="1">[1]!s_info_industry_sw(E9,2)</f>
        <v>稀有金属</v>
      </c>
      <c r="H9" s="184" t="str">
        <f ca="1">[1]!s_info_industry_sw(E9,3)</f>
        <v>锂</v>
      </c>
      <c r="I9" s="192" t="str">
        <f ca="1">[1]!s_info_majorproducttype(E9)</f>
        <v>轻有色金属、无机化工原料、有机化工原料</v>
      </c>
      <c r="J9" s="189">
        <f ca="1">[1]!s_val_ev(E9,$B$2,100000000)</f>
        <v>2549.3491942945598</v>
      </c>
      <c r="K9" s="193">
        <f ca="1">[1]!s_share_total(E9,$B$2,100000000)</f>
        <v>14.374788799999999</v>
      </c>
      <c r="L9" s="193">
        <f ca="1">[1]!s_share_liqa(E9,$B$2,100000000)</f>
        <v>8.5945253099999999</v>
      </c>
      <c r="M9" s="186">
        <f ca="1">[1]!s_fa_gr_ttm2(E9,$C$3,100000000)</f>
        <v>50.241810205100002</v>
      </c>
      <c r="N9" s="187">
        <f ca="1">[1]!s_fa_netprofit_ttm2(E9,$C$3,100000000)</f>
        <v>3.5938857311999999</v>
      </c>
      <c r="O9" s="186"/>
      <c r="P9" s="187">
        <f ca="1">[1]!s_val_pe_ttm(E9,[1]!td($B$2-1))</f>
        <v>118.20944976806641</v>
      </c>
      <c r="Q9" s="187">
        <f ca="1">[1]!i_val_pe_percentile(E9,[1]!td($B$2-1),$B$2-365*5,[1]!td($B$2-1))</f>
        <v>70.175438596491219</v>
      </c>
      <c r="R9" s="187">
        <f ca="1">[1]!pb_mrq(E9,[1]!td($B$2-1))</f>
        <v>14.842921320262304</v>
      </c>
      <c r="S9" s="187">
        <f ca="1">[1]!i_val_pb_percentile(E9,[1]!td($B$2-1),$B$2-365*5,[1]!td($B$2-1))</f>
        <v>83.936403508771932</v>
      </c>
      <c r="T9" s="187">
        <f ca="1">[1]!s_val_pe_ttm([1]!to_windcode_index(H9&amp;"(申万)"),[1]!td($B$2-1))</f>
        <v>201.52999877929688</v>
      </c>
      <c r="U9" s="187"/>
      <c r="V9" s="187">
        <f ca="1">[1]!s_fa_roe(E9,$C$3)</f>
        <v>3.6147</v>
      </c>
      <c r="W9" s="187">
        <f ca="1">[1]!s_fa_grossprofitmargin(E9,$C$3)</f>
        <v>18.8157</v>
      </c>
      <c r="X9" s="187">
        <f ca="1">[1]!s_fa_netprofitmargin(E9,$C$3)</f>
        <v>8.5874000000000006</v>
      </c>
      <c r="Y9" s="187">
        <f ca="1">[1]!s_fa_roic(E9,$C$3)</f>
        <v>2.5840000000000001</v>
      </c>
      <c r="Z9" s="187">
        <f ca="1">[1]!s_fa_operateincometoebt_ttm2(E9,$C$3)</f>
        <v>92.607600000000005</v>
      </c>
      <c r="AA9" s="186"/>
      <c r="AB9" s="342"/>
      <c r="AC9" s="186">
        <f ca="1">[1]!s_fa_cagr_tr($E9,AC$6,3)</f>
        <v>0</v>
      </c>
      <c r="AD9" s="186">
        <f ca="1">[1]!s_fa_cagr_tr($E9,AD$6,3)</f>
        <v>8.0137307920501009</v>
      </c>
      <c r="AE9" s="187">
        <f ca="1">[1]!s_fa_cagr_tr($E9,AE$6,3)</f>
        <v>23.379892900743492</v>
      </c>
      <c r="AF9" s="187">
        <f ca="1">[1]!s_fa_cagr_tr($E9,AF$6,3)</f>
        <v>54.609984271547084</v>
      </c>
      <c r="AG9" s="187">
        <f ca="1">[1]!s_fa_cagr_tr($E9,AG$6,3)</f>
        <v>71.468889370628034</v>
      </c>
      <c r="AH9" s="187">
        <f ca="1">[1]!s_fa_cagr_tr($E9,AH$6,3)</f>
        <v>60.626902454916731</v>
      </c>
      <c r="AI9" s="194"/>
      <c r="AJ9" s="187">
        <f ca="1">[1]!s_fa_cagr_netprofit($E9,AJ$6,3)</f>
        <v>0</v>
      </c>
      <c r="AK9" s="187">
        <f ca="1">[1]!s_fa_cagr_netprofit($E9,AK$6,3)</f>
        <v>-11.316105717109959</v>
      </c>
      <c r="AL9" s="187">
        <f ca="1">[1]!s_fa_cagr_netprofit($E9,AL$6,3)</f>
        <v>-8.2998912697923366</v>
      </c>
      <c r="AM9" s="187">
        <f ca="1">[1]!s_fa_cagr_netprofit($E9,AM$6,3)</f>
        <v>113.80991421512815</v>
      </c>
      <c r="AN9" s="187">
        <f ca="1">[1]!s_fa_cagr_netprofit($E9,AN$6,3)</f>
        <v>157.81516790682107</v>
      </c>
      <c r="AO9" s="187">
        <f ca="1">[1]!s_fa_cagr_netprofit($E9,AO$6,3)</f>
        <v>84.346330925427665</v>
      </c>
      <c r="AP9" s="189"/>
      <c r="AQ9" s="202">
        <f ca="1">[1]!s_fa_dupont_roe(E9,$C$3)</f>
        <v>3.6147</v>
      </c>
      <c r="AR9" s="202">
        <f ca="1">[1]!s_fa_dupont_nptosales(B9,$C$3)</f>
        <v>8.5874000000000006</v>
      </c>
      <c r="AS9" s="237">
        <f ca="1">[1]!s_fa_dupont_faturnover(E9,$C$3)</f>
        <v>0.21529999999999999</v>
      </c>
      <c r="AT9" s="202">
        <f ca="1">[1]!s_fa_dupont_assetstoequity(E9,$C$3)</f>
        <v>1.978</v>
      </c>
      <c r="AU9" s="189"/>
      <c r="AV9" s="189"/>
      <c r="AW9" s="189"/>
      <c r="AX9" s="189"/>
      <c r="AY9" s="189"/>
      <c r="AZ9" s="189"/>
      <c r="BA9" s="189"/>
      <c r="BB9" s="189"/>
      <c r="BC9" s="189"/>
      <c r="BD9" s="189"/>
      <c r="BE9" s="189"/>
    </row>
    <row r="10" spans="1:58" s="130" customFormat="1" ht="12" customHeight="1" x14ac:dyDescent="0.35">
      <c r="A10" s="121" t="s">
        <v>5</v>
      </c>
      <c r="B10" s="121" t="s">
        <v>248</v>
      </c>
      <c r="C10" s="121" t="s">
        <v>249</v>
      </c>
      <c r="D10" s="121" t="str">
        <f ca="1">[1]!cb_info_underlyingname(B10)</f>
        <v>海亮股份</v>
      </c>
      <c r="E10" s="122" t="str">
        <f ca="1">[1]!cb_info_underlyingcode(B10)</f>
        <v>002203.SZ</v>
      </c>
      <c r="F10" s="123" t="str">
        <f ca="1">[1]!s_info_industry_sw(B10,1)</f>
        <v>有色金属</v>
      </c>
      <c r="G10" s="123" t="str">
        <f ca="1">[1]!s_info_industry_sw(E10,2)</f>
        <v>工业金属</v>
      </c>
      <c r="H10" s="123" t="str">
        <f ca="1">[1]!s_info_industry_sw(E10,3)</f>
        <v>铜</v>
      </c>
      <c r="I10" s="156" t="str">
        <f ca="1">[1]!s_info_majorproducttype(E10)</f>
        <v>高分子聚合物、铜、冶金机械</v>
      </c>
      <c r="J10" s="129">
        <f ca="1">[1]!s_val_ev(E10,$B$2,100000000)</f>
        <v>234.05504766000001</v>
      </c>
      <c r="K10" s="157">
        <f ca="1">[1]!s_share_total(E10,$B$2,100000000)</f>
        <v>19.668491400000001</v>
      </c>
      <c r="L10" s="157">
        <f ca="1">[1]!s_share_liqa(E10,$B$2,100000000)</f>
        <v>18.620734760000001</v>
      </c>
      <c r="M10" s="125">
        <f ca="1">[1]!s_fa_gr_ttm2(E10,$C$3,100000000)</f>
        <v>436.98825881120001</v>
      </c>
      <c r="N10" s="126">
        <f ca="1">[1]!s_fa_netprofit_ttm2(E10,$C$3,100000000)</f>
        <v>7.8638349751999996</v>
      </c>
      <c r="O10" s="125"/>
      <c r="P10" s="126">
        <f ca="1">[1]!s_val_pe_ttm(E10,[1]!td($B$2-1))</f>
        <v>24.998800277709961</v>
      </c>
      <c r="Q10" s="126">
        <f ca="1">[1]!i_val_pe_percentile(E10,[1]!td($B$2-1),$B$2-365*5,[1]!td($B$2-1))</f>
        <v>82.182017543859658</v>
      </c>
      <c r="R10" s="126">
        <f ca="1">[1]!pb_mrq(E10,[1]!td($B$2-1))</f>
        <v>2.414265935152982</v>
      </c>
      <c r="S10" s="126">
        <f ca="1">[1]!i_val_pb_percentile(E10,[1]!td($B$2-1),$B$2-365*5,[1]!td($B$2-1))</f>
        <v>49.506578947368425</v>
      </c>
      <c r="T10" s="126">
        <f ca="1">[1]!s_val_pe_ttm([1]!to_windcode_index(H10&amp;"(申万)"),[1]!td($B$2-1))</f>
        <v>0</v>
      </c>
      <c r="U10" s="125"/>
      <c r="V10" s="125">
        <f ca="1">[1]!s_fa_roe(E10,$C$3)</f>
        <v>5.6844000000000001</v>
      </c>
      <c r="W10" s="125">
        <f ca="1">[1]!s_fa_grossprofitmargin(E10,$C$3)</f>
        <v>5.0231000000000003</v>
      </c>
      <c r="X10" s="125">
        <f ca="1">[1]!s_fa_netprofitmargin(E10,$C$3)</f>
        <v>1.62</v>
      </c>
      <c r="Y10" s="125">
        <f ca="1">[1]!s_fa_roic(E10,$C$3)</f>
        <v>3.5316999999999998</v>
      </c>
      <c r="Z10" s="125">
        <f ca="1">[1]!s_fa_operateincometoebt_ttm2(E10,$C$3)</f>
        <v>91.173699999999997</v>
      </c>
      <c r="AA10" s="125"/>
      <c r="AB10" s="343"/>
      <c r="AC10" s="125">
        <f ca="1">[1]!s_fa_cagr_tr($E10,AC$6,3)</f>
        <v>0</v>
      </c>
      <c r="AD10" s="125">
        <f ca="1">[1]!s_fa_cagr_tr($E10,AD$6,3)</f>
        <v>15.857713202721024</v>
      </c>
      <c r="AE10" s="126">
        <f ca="1">[1]!s_fa_cagr_tr($E10,AE$6,3)</f>
        <v>31.851324100297983</v>
      </c>
      <c r="AF10" s="126">
        <f ca="1">[1]!s_fa_cagr_tr($E10,AF$6,3)</f>
        <v>44.047385576198252</v>
      </c>
      <c r="AG10" s="126">
        <f ca="1">[1]!s_fa_cagr_tr($E10,AG$6,3)</f>
        <v>35.359505631215015</v>
      </c>
      <c r="AH10" s="126">
        <f ca="1">[1]!s_fa_cagr_tr($E10,AH$6,3)</f>
        <v>11.187319120575602</v>
      </c>
      <c r="AI10" s="169"/>
      <c r="AJ10" s="126">
        <f ca="1">[1]!s_fa_cagr_netprofit($E10,AJ$6,3)</f>
        <v>0</v>
      </c>
      <c r="AK10" s="126">
        <f ca="1">[1]!s_fa_cagr_netprofit($E10,AK$6,3)</f>
        <v>-1.3197002032846017</v>
      </c>
      <c r="AL10" s="126">
        <f ca="1">[1]!s_fa_cagr_netprofit($E10,AL$6,3)</f>
        <v>24.484931414183286</v>
      </c>
      <c r="AM10" s="126">
        <f ca="1">[1]!s_fa_cagr_netprofit($E10,AM$6,3)</f>
        <v>25.780825529397532</v>
      </c>
      <c r="AN10" s="126">
        <f ca="1">[1]!s_fa_cagr_netprofit($E10,AN$6,3)</f>
        <v>16.000971791115994</v>
      </c>
      <c r="AO10" s="126">
        <f ca="1">[1]!s_fa_cagr_netprofit($E10,AO$6,3)</f>
        <v>24.087089290328791</v>
      </c>
      <c r="AP10" s="129"/>
      <c r="AQ10" s="203">
        <f ca="1">[1]!s_fa_dupont_roe(E10,$C$3)</f>
        <v>5.6844000000000001</v>
      </c>
      <c r="AR10" s="203">
        <f ca="1">[1]!s_fa_dupont_nptosales(B10,$C$3)</f>
        <v>1.6162000000000001</v>
      </c>
      <c r="AS10" s="238">
        <f ca="1">[1]!s_fa_dupont_faturnover(E10,$C$3)</f>
        <v>1.34</v>
      </c>
      <c r="AT10" s="203">
        <f ca="1">[1]!s_fa_dupont_assetstoequity(E10,$C$3)</f>
        <v>2.6993999999999998</v>
      </c>
      <c r="AU10" s="129"/>
      <c r="AV10" s="129"/>
      <c r="AW10" s="129"/>
      <c r="AX10" s="129"/>
      <c r="AY10" s="129"/>
      <c r="AZ10" s="129"/>
      <c r="BA10" s="129"/>
      <c r="BB10" s="129"/>
      <c r="BC10" s="129"/>
      <c r="BD10" s="129"/>
      <c r="BE10" s="129"/>
    </row>
    <row r="11" spans="1:58" s="191" customFormat="1" ht="12" customHeight="1" x14ac:dyDescent="0.35">
      <c r="A11" s="182" t="s">
        <v>0</v>
      </c>
      <c r="B11" s="182" t="s">
        <v>192</v>
      </c>
      <c r="C11" s="182" t="s">
        <v>193</v>
      </c>
      <c r="D11" s="182" t="str">
        <f ca="1">[1]!cb_info_underlyingname(B11)</f>
        <v>盛屯矿业</v>
      </c>
      <c r="E11" s="183" t="str">
        <f ca="1">[1]!cb_info_underlyingcode(B11)</f>
        <v>600711.SH</v>
      </c>
      <c r="F11" s="184" t="str">
        <f ca="1">[1]!s_info_industry_sw(B11,1)</f>
        <v>有色金属</v>
      </c>
      <c r="G11" s="184" t="str">
        <f ca="1">[1]!s_info_industry_sw(E11,2)</f>
        <v>稀有金属</v>
      </c>
      <c r="H11" s="184" t="str">
        <f ca="1">[1]!s_info_industry_sw(E11,3)</f>
        <v>其他稀有小金属</v>
      </c>
      <c r="I11" s="192" t="str">
        <f ca="1">[1]!s_info_majorproducttype(E11)</f>
        <v>铅、锌、有色金属矿产、专业咨询服务</v>
      </c>
      <c r="J11" s="189">
        <f ca="1">[1]!s_val_ev(E11,$B$2,100000000)</f>
        <v>353.00230785199994</v>
      </c>
      <c r="K11" s="193">
        <f ca="1">[1]!s_share_total(E11,$B$2,100000000)</f>
        <v>27.470996719999999</v>
      </c>
      <c r="L11" s="193">
        <f ca="1">[1]!s_share_liqa(E11,$B$2,100000000)</f>
        <v>24.973787340000001</v>
      </c>
      <c r="M11" s="186">
        <f ca="1">[1]!s_fa_gr_ttm2(E11,$C$3,100000000)</f>
        <v>454.56487351779998</v>
      </c>
      <c r="N11" s="187">
        <f ca="1">[1]!s_fa_netprofit_ttm2(E11,$C$3,100000000)</f>
        <v>3.8620506036000002</v>
      </c>
      <c r="O11" s="186"/>
      <c r="P11" s="187">
        <f ca="1">[1]!s_val_pe_ttm(E11,[1]!td($B$2-1))</f>
        <v>48.018604278564453</v>
      </c>
      <c r="Q11" s="187">
        <f ca="1">[1]!i_val_pe_percentile(E11,[1]!td($B$2-1),$B$2-365*5,[1]!td($B$2-1))</f>
        <v>66.392543859649123</v>
      </c>
      <c r="R11" s="187">
        <f ca="1">[1]!pb_mrq(E11,[1]!td($B$2-1))</f>
        <v>3.0870123511756309</v>
      </c>
      <c r="S11" s="187">
        <f ca="1">[1]!i_val_pb_percentile(E11,[1]!td($B$2-1),$B$2-365*5,[1]!td($B$2-1))</f>
        <v>94.133771929824562</v>
      </c>
      <c r="T11" s="187">
        <f ca="1">[1]!s_val_pe_ttm([1]!to_windcode_index(H11&amp;"(申万)"),[1]!td($B$2-1))</f>
        <v>42.5</v>
      </c>
      <c r="U11" s="187"/>
      <c r="V11" s="187">
        <f ca="1">[1]!s_fa_roe(E11,$C$3)</f>
        <v>2.8544</v>
      </c>
      <c r="W11" s="187">
        <f ca="1">[1]!s_fa_grossprofitmargin(E11,$C$3)</f>
        <v>3.4222000000000001</v>
      </c>
      <c r="X11" s="187">
        <f ca="1">[1]!s_fa_netprofitmargin(E11,$C$3)</f>
        <v>1.1029</v>
      </c>
      <c r="Y11" s="187">
        <f ca="1">[1]!s_fa_roic(E11,$C$3)</f>
        <v>4.0757000000000003</v>
      </c>
      <c r="Z11" s="187">
        <f ca="1">[1]!s_fa_operateincometoebt_ttm2(E11,$C$3)</f>
        <v>93.151499999999999</v>
      </c>
      <c r="AA11" s="186"/>
      <c r="AB11" s="342"/>
      <c r="AC11" s="186">
        <f ca="1">[1]!s_fa_cagr_tr($E11,AC$6,3)</f>
        <v>0</v>
      </c>
      <c r="AD11" s="186">
        <f ca="1">[1]!s_fa_cagr_tr($E11,AD$6,3)</f>
        <v>23.822228738755925</v>
      </c>
      <c r="AE11" s="187">
        <f ca="1">[1]!s_fa_cagr_tr($E11,AE$6,3)</f>
        <v>41.360471135822642</v>
      </c>
      <c r="AF11" s="187">
        <f ca="1">[1]!s_fa_cagr_tr($E11,AF$6,3)</f>
        <v>69.887523896134994</v>
      </c>
      <c r="AG11" s="187">
        <f ca="1">[1]!s_fa_cagr_tr($E11,AG$6,3)</f>
        <v>83.444068384527739</v>
      </c>
      <c r="AH11" s="187">
        <f ca="1">[1]!s_fa_cagr_tr($E11,AH$6,3)</f>
        <v>84.081926888365089</v>
      </c>
      <c r="AI11" s="194"/>
      <c r="AJ11" s="187">
        <f ca="1">[1]!s_fa_cagr_netprofit($E11,AJ$6,3)</f>
        <v>0</v>
      </c>
      <c r="AK11" s="187">
        <f ca="1">[1]!s_fa_cagr_netprofit($E11,AK$6,3)</f>
        <v>-54.082607062341602</v>
      </c>
      <c r="AL11" s="187">
        <f ca="1">[1]!s_fa_cagr_netprofit($E11,AL$6,3)</f>
        <v>16.708890510154827</v>
      </c>
      <c r="AM11" s="187">
        <f ca="1">[1]!s_fa_cagr_netprofit($E11,AM$6,3)</f>
        <v>52.209659928508323</v>
      </c>
      <c r="AN11" s="187">
        <f ca="1">[1]!s_fa_cagr_netprofit($E11,AN$6,3)</f>
        <v>59.577634543252465</v>
      </c>
      <c r="AO11" s="187">
        <f ca="1">[1]!s_fa_cagr_netprofit($E11,AO$6,3)</f>
        <v>21.126704713919974</v>
      </c>
      <c r="AP11" s="189"/>
      <c r="AQ11" s="202">
        <f ca="1">[1]!s_fa_dupont_roe(E11,$C$3)</f>
        <v>2.8544</v>
      </c>
      <c r="AR11" s="202">
        <f ca="1">[1]!s_fa_dupont_nptosales(B11,$C$3)</f>
        <v>1.1029</v>
      </c>
      <c r="AS11" s="237">
        <f ca="1">[1]!s_fa_dupont_faturnover(E11,$C$3)</f>
        <v>1.4964</v>
      </c>
      <c r="AT11" s="202">
        <f ca="1">[1]!s_fa_dupont_assetstoequity(E11,$C$3)</f>
        <v>2.3809</v>
      </c>
      <c r="AU11" s="189"/>
      <c r="AV11" s="201"/>
      <c r="AW11" s="189"/>
      <c r="AX11" s="189"/>
      <c r="AY11" s="189"/>
      <c r="AZ11" s="189"/>
      <c r="BA11" s="189"/>
      <c r="BB11" s="189"/>
      <c r="BC11" s="189"/>
      <c r="BD11" s="189"/>
      <c r="BE11" s="189"/>
    </row>
    <row r="12" spans="1:58" s="130" customFormat="1" ht="12" customHeight="1" x14ac:dyDescent="0.35">
      <c r="A12" s="121" t="s">
        <v>0</v>
      </c>
      <c r="B12" s="121" t="s">
        <v>880</v>
      </c>
      <c r="C12" s="121" t="s">
        <v>915</v>
      </c>
      <c r="D12" s="121" t="str">
        <f ca="1">[1]!cb_info_underlyingname(B12)</f>
        <v>嘉元科技</v>
      </c>
      <c r="E12" s="122" t="str">
        <f ca="1">[1]!cb_info_underlyingcode(B12)</f>
        <v>688388.SH</v>
      </c>
      <c r="F12" s="123" t="str">
        <f ca="1">[1]!s_info_industry_sw(B12,1)</f>
        <v>有色金属</v>
      </c>
      <c r="G12" s="123" t="str">
        <f ca="1">[1]!s_info_industry_sw(E12,2)</f>
        <v>工业金属</v>
      </c>
      <c r="H12" s="123" t="str">
        <f ca="1">[1]!s_info_industry_sw(E12,3)</f>
        <v>铜</v>
      </c>
      <c r="I12" s="156" t="str">
        <f ca="1">[1]!s_info_majorproducttype(E12)</f>
        <v>铜</v>
      </c>
      <c r="J12" s="129">
        <f ca="1">[1]!s_val_ev(E12,$B$2,100000000)</f>
        <v>286.28624000000002</v>
      </c>
      <c r="K12" s="157">
        <f ca="1">[1]!s_share_total(E12,$B$2,100000000)</f>
        <v>2.3087599999999999</v>
      </c>
      <c r="L12" s="157">
        <f ca="1">[1]!s_share_liqa(E12,$B$2,100000000)</f>
        <v>1.675516</v>
      </c>
      <c r="M12" s="125">
        <f ca="1">[1]!s_fa_gr_ttm2(E12,$C$3,100000000)</f>
        <v>10.6164419482</v>
      </c>
      <c r="N12" s="126">
        <f ca="1">[1]!s_fa_netprofit_ttm2(E12,$C$3,100000000)</f>
        <v>1.7794902380000002</v>
      </c>
      <c r="O12" s="125"/>
      <c r="P12" s="126">
        <f ca="1">[1]!s_val_pe_ttm(E12,[1]!td($B$2-1))</f>
        <v>76.7418212890625</v>
      </c>
      <c r="Q12" s="126">
        <f ca="1">[1]!i_val_pe_percentile(E12,[1]!td($B$2-1),$B$2-365*5,[1]!td($B$2-1))</f>
        <v>73.650385604113112</v>
      </c>
      <c r="R12" s="126">
        <f ca="1">[1]!pb_mrq(E12,[1]!td($B$2-1))</f>
        <v>10.236272155564404</v>
      </c>
      <c r="S12" s="126">
        <f ca="1">[1]!i_val_pb_percentile(E12,[1]!td($B$2-1),$B$2-365*5,[1]!td($B$2-1))</f>
        <v>100</v>
      </c>
      <c r="T12" s="126">
        <f ca="1">[1]!s_val_pe_ttm([1]!to_windcode_index(H12&amp;"(申万)"),[1]!td($B$2-1))</f>
        <v>0</v>
      </c>
      <c r="U12" s="126"/>
      <c r="V12" s="126">
        <f ca="1">[1]!s_fa_roe(E12,$C$3)</f>
        <v>4.6009000000000002</v>
      </c>
      <c r="W12" s="126">
        <f ca="1">[1]!s_fa_grossprofitmargin(E12,$C$3)</f>
        <v>23.874400000000001</v>
      </c>
      <c r="X12" s="126">
        <f ca="1">[1]!s_fa_netprofitmargin(E12,$C$3)</f>
        <v>14.781599999999999</v>
      </c>
      <c r="Y12" s="126">
        <f ca="1">[1]!s_fa_roic(E12,$C$3)</f>
        <v>4.0042999999999997</v>
      </c>
      <c r="Z12" s="126">
        <f ca="1">[1]!s_fa_operateincometoebt_ttm2(E12,$C$3)</f>
        <v>81.380899999999997</v>
      </c>
      <c r="AA12" s="125"/>
      <c r="AB12" s="343"/>
      <c r="AC12" s="125">
        <f ca="1">[1]!s_fa_cagr_tr($E12,AC$6,3)</f>
        <v>0</v>
      </c>
      <c r="AD12" s="125">
        <f ca="1">[1]!s_fa_cagr_tr($E12,AD$6,3)</f>
        <v>28.526427535059405</v>
      </c>
      <c r="AE12" s="126">
        <f ca="1">[1]!s_fa_cagr_tr($E12,AE$6,3)</f>
        <v>51.147558978881506</v>
      </c>
      <c r="AF12" s="126">
        <f ca="1">[1]!s_fa_cagr_tr($E12,AF$6,3)</f>
        <v>51.522385747777989</v>
      </c>
      <c r="AG12" s="126">
        <f ca="1">[1]!s_fa_cagr_tr($E12,AG$6,3)</f>
        <v>23.262473243470794</v>
      </c>
      <c r="AH12" s="126">
        <f ca="1">[1]!s_fa_cagr_tr($E12,AH$6,3)</f>
        <v>19.765709880207005</v>
      </c>
      <c r="AI12" s="169"/>
      <c r="AJ12" s="126">
        <f ca="1">[1]!s_fa_cagr_netprofit($E12,AJ$6,3)</f>
        <v>0</v>
      </c>
      <c r="AK12" s="126">
        <f ca="1">[1]!s_fa_cagr_netprofit($E12,AK$6,3)</f>
        <v>29.825306622920312</v>
      </c>
      <c r="AL12" s="126">
        <f ca="1">[1]!s_fa_cagr_netprofit($E12,AL$6,3)</f>
        <v>74.056608447774394</v>
      </c>
      <c r="AM12" s="126">
        <f ca="1">[1]!s_fa_cagr_netprofit($E12,AM$6,3)</f>
        <v>109.3749876016048</v>
      </c>
      <c r="AN12" s="126">
        <f ca="1">[1]!s_fa_cagr_netprofit($E12,AN$6,3)</f>
        <v>106.63546704842383</v>
      </c>
      <c r="AO12" s="126">
        <f ca="1">[1]!s_fa_cagr_netprofit($E12,AO$6,3)</f>
        <v>231.82785857824061</v>
      </c>
      <c r="AP12" s="129"/>
      <c r="AQ12" s="203">
        <f ca="1">[1]!s_fa_dupont_roe(E12,$C$3)</f>
        <v>4.6009000000000002</v>
      </c>
      <c r="AR12" s="203">
        <f ca="1">[1]!s_fa_dupont_nptosales(B12,$C$3)</f>
        <v>14.781599999999999</v>
      </c>
      <c r="AS12" s="238">
        <f ca="1">[1]!s_fa_dupont_faturnover(E12,$C$3)</f>
        <v>0.28339999999999999</v>
      </c>
      <c r="AT12" s="203">
        <f ca="1">[1]!s_fa_dupont_assetstoequity(E12,$C$3)</f>
        <v>1.0991</v>
      </c>
      <c r="AU12" s="129"/>
      <c r="AV12" s="129"/>
      <c r="AW12" s="129"/>
      <c r="AX12" s="129"/>
      <c r="AY12" s="129"/>
      <c r="AZ12" s="129"/>
      <c r="BA12" s="129"/>
      <c r="BB12" s="129"/>
      <c r="BC12" s="129"/>
      <c r="BD12" s="129"/>
      <c r="BE12" s="129"/>
    </row>
    <row r="13" spans="1:58" s="191" customFormat="1" ht="12" customHeight="1" x14ac:dyDescent="0.35">
      <c r="A13" s="182" t="s">
        <v>5</v>
      </c>
      <c r="B13" s="182" t="s">
        <v>80</v>
      </c>
      <c r="C13" s="182" t="s">
        <v>81</v>
      </c>
      <c r="D13" s="182" t="str">
        <f ca="1">[1]!cb_info_underlyingname(B13)</f>
        <v>中金岭南</v>
      </c>
      <c r="E13" s="183" t="str">
        <f ca="1">[1]!cb_info_underlyingcode(B13)</f>
        <v>000060.SZ</v>
      </c>
      <c r="F13" s="184" t="str">
        <f ca="1">[1]!s_info_industry_sw(B13,1)</f>
        <v>有色金属</v>
      </c>
      <c r="G13" s="184" t="str">
        <f ca="1">[1]!s_info_industry_sw(E13,2)</f>
        <v>工业金属</v>
      </c>
      <c r="H13" s="184" t="str">
        <f ca="1">[1]!s_info_industry_sw(E13,3)</f>
        <v>铅锌</v>
      </c>
      <c r="I13" s="192" t="str">
        <f ca="1">[1]!s_info_majorproducttype(E13)</f>
        <v>白银、建筑型材、铝合金及制品、镍、铅、锌、型钢类</v>
      </c>
      <c r="J13" s="189">
        <f ca="1">[1]!s_val_ev(E13,$B$2,100000000)</f>
        <v>223.47880890239998</v>
      </c>
      <c r="K13" s="193">
        <f ca="1">[1]!s_share_total(E13,$B$2,100000000)</f>
        <v>35.699490240000003</v>
      </c>
      <c r="L13" s="193">
        <f ca="1">[1]!s_share_liqa(E13,$B$2,100000000)</f>
        <v>35.68859174</v>
      </c>
      <c r="M13" s="186">
        <f ca="1">[1]!s_fa_gr_ttm2(E13,$C$3,100000000)</f>
        <v>273.89732158099997</v>
      </c>
      <c r="N13" s="187">
        <f ca="1">[1]!s_fa_netprofit_ttm2(E13,$C$3,100000000)</f>
        <v>8.4179300329999993</v>
      </c>
      <c r="O13" s="186"/>
      <c r="P13" s="187">
        <f ca="1">[1]!s_val_pe_ttm(E13,[1]!td($B$2-1))</f>
        <v>17.366096496582031</v>
      </c>
      <c r="Q13" s="187">
        <f ca="1">[1]!i_val_pe_percentile(E13,[1]!td($B$2-1),$B$2-365*5,[1]!td($B$2-1))</f>
        <v>28.234649122807014</v>
      </c>
      <c r="R13" s="187">
        <f ca="1">[1]!pb_mrq(E13,[1]!td($B$2-1))</f>
        <v>1.8772998490834329</v>
      </c>
      <c r="S13" s="187">
        <f ca="1">[1]!i_val_pb_percentile(E13,[1]!td($B$2-1),$B$2-365*5,[1]!td($B$2-1))</f>
        <v>62.609649122807021</v>
      </c>
      <c r="T13" s="187">
        <f ca="1">[1]!s_val_pe_ttm([1]!to_windcode_index(H13&amp;"(申万)"),[1]!td($B$2-1))</f>
        <v>0</v>
      </c>
      <c r="U13" s="187"/>
      <c r="V13" s="187">
        <f ca="1">[1]!s_fa_roe(E13,$C$3)</f>
        <v>5.4718999999999998</v>
      </c>
      <c r="W13" s="187">
        <f ca="1">[1]!s_fa_grossprofitmargin(E13,$C$3)</f>
        <v>6.8320999999999996</v>
      </c>
      <c r="X13" s="187">
        <f ca="1">[1]!s_fa_netprofitmargin(E13,$C$3)</f>
        <v>2.9062000000000001</v>
      </c>
      <c r="Y13" s="187">
        <f ca="1">[1]!s_fa_roic(E13,$C$3)</f>
        <v>4.0838000000000001</v>
      </c>
      <c r="Z13" s="187">
        <f ca="1">[1]!s_fa_operateincometoebt_ttm2(E13,$C$3)</f>
        <v>70.472700000000003</v>
      </c>
      <c r="AA13" s="186"/>
      <c r="AB13" s="342"/>
      <c r="AC13" s="186">
        <f ca="1">[1]!s_fa_cagr_tr($E13,AC$6,3)</f>
        <v>0</v>
      </c>
      <c r="AD13" s="186">
        <f ca="1">[1]!s_fa_cagr_tr($E13,AD$6,3)</f>
        <v>16.739598652687771</v>
      </c>
      <c r="AE13" s="187">
        <f ca="1">[1]!s_fa_cagr_tr($E13,AE$6,3)</f>
        <v>14.822931395256788</v>
      </c>
      <c r="AF13" s="187">
        <f ca="1">[1]!s_fa_cagr_tr($E13,AF$6,3)</f>
        <v>5.652172974530556</v>
      </c>
      <c r="AG13" s="187">
        <f ca="1">[1]!s_fa_cagr_tr($E13,AG$6,3)</f>
        <v>-8.2356541591538051</v>
      </c>
      <c r="AH13" s="187">
        <f ca="1">[1]!s_fa_cagr_tr($E13,AH$6,3)</f>
        <v>-10.668876363112878</v>
      </c>
      <c r="AI13" s="194"/>
      <c r="AJ13" s="187">
        <f ca="1">[1]!s_fa_cagr_netprofit($E13,AJ$6,3)</f>
        <v>0</v>
      </c>
      <c r="AK13" s="187">
        <f ca="1">[1]!s_fa_cagr_netprofit($E13,AK$6,3)</f>
        <v>-2.2984922133415742</v>
      </c>
      <c r="AL13" s="187">
        <f ca="1">[1]!s_fa_cagr_netprofit($E13,AL$6,3)</f>
        <v>38.142625248471738</v>
      </c>
      <c r="AM13" s="187">
        <f ca="1">[1]!s_fa_cagr_netprofit($E13,AM$6,3)</f>
        <v>66.045145757181828</v>
      </c>
      <c r="AN13" s="187">
        <f ca="1">[1]!s_fa_cagr_netprofit($E13,AN$6,3)</f>
        <v>31.415447707189713</v>
      </c>
      <c r="AO13" s="187">
        <f ca="1">[1]!s_fa_cagr_netprofit($E13,AO$6,3)</f>
        <v>-7.85387050413423</v>
      </c>
      <c r="AP13" s="189"/>
      <c r="AQ13" s="202">
        <f ca="1">[1]!s_fa_dupont_roe(E13,$C$3)</f>
        <v>5.4718999999999998</v>
      </c>
      <c r="AR13" s="202">
        <f ca="1">[1]!s_fa_dupont_nptosales(B13,$C$3)</f>
        <v>2.9028999999999998</v>
      </c>
      <c r="AS13" s="237">
        <f ca="1">[1]!s_fa_dupont_faturnover(E13,$C$3)</f>
        <v>0.99780000000000002</v>
      </c>
      <c r="AT13" s="202">
        <f ca="1">[1]!s_fa_dupont_assetstoequity(E13,$C$3)</f>
        <v>1.921</v>
      </c>
      <c r="AU13" s="189"/>
      <c r="AV13" s="189"/>
      <c r="AW13" s="189"/>
      <c r="AX13" s="189"/>
      <c r="AY13" s="189"/>
      <c r="AZ13" s="189"/>
      <c r="BA13" s="189"/>
      <c r="BB13" s="189"/>
      <c r="BC13" s="189"/>
      <c r="BD13" s="189"/>
      <c r="BE13" s="189"/>
    </row>
    <row r="14" spans="1:58" s="130" customFormat="1" ht="12" customHeight="1" x14ac:dyDescent="0.35">
      <c r="A14" s="121" t="s">
        <v>5</v>
      </c>
      <c r="B14" s="121" t="s">
        <v>260</v>
      </c>
      <c r="C14" s="121" t="s">
        <v>261</v>
      </c>
      <c r="D14" s="121" t="str">
        <f ca="1">[1]!cb_info_underlyingname(B14)</f>
        <v>金力永磁</v>
      </c>
      <c r="E14" s="122" t="str">
        <f ca="1">[1]!cb_info_underlyingcode(B14)</f>
        <v>300748.SZ</v>
      </c>
      <c r="F14" s="123" t="str">
        <f ca="1">[1]!s_info_industry_sw(B14,1)</f>
        <v>有色金属</v>
      </c>
      <c r="G14" s="123" t="str">
        <f ca="1">[1]!s_info_industry_sw(E14,2)</f>
        <v>金属非金属新材料</v>
      </c>
      <c r="H14" s="123" t="str">
        <f ca="1">[1]!s_info_industry_sw(E14,3)</f>
        <v>磁性材料</v>
      </c>
      <c r="I14" s="156" t="str">
        <f ca="1">[1]!s_info_majorproducttype(E14)</f>
        <v>电子元器件</v>
      </c>
      <c r="J14" s="129">
        <f ca="1">[1]!s_val_ev(E14,$B$2,100000000)</f>
        <v>263.86433459099999</v>
      </c>
      <c r="K14" s="157">
        <f ca="1">[1]!s_share_total(E14,$B$2,100000000)</f>
        <v>7.0760078999999996</v>
      </c>
      <c r="L14" s="157">
        <f ca="1">[1]!s_share_liqa(E14,$B$2,100000000)</f>
        <v>4.5682523000000002</v>
      </c>
      <c r="M14" s="125">
        <f ca="1">[1]!s_fa_gr_ttm2(E14,$C$3,100000000)</f>
        <v>21.435572475200001</v>
      </c>
      <c r="N14" s="126">
        <f ca="1">[1]!s_fa_netprofit_ttm2(E14,$C$3,100000000)</f>
        <v>2.0307956950000001</v>
      </c>
      <c r="O14" s="125"/>
      <c r="P14" s="126">
        <f ca="1">[1]!s_val_pe_ttm(E14,[1]!td($B$2-1))</f>
        <v>69.191429138183594</v>
      </c>
      <c r="Q14" s="126">
        <f ca="1">[1]!i_val_pe_percentile(E14,[1]!td($B$2-1),$B$2-365*5,[1]!td($B$2-1))</f>
        <v>23.01293900184843</v>
      </c>
      <c r="R14" s="126">
        <f ca="1">[1]!pb_mrq(E14,[1]!td($B$2-1))</f>
        <v>11.9981614759021</v>
      </c>
      <c r="S14" s="126">
        <f ca="1">[1]!i_val_pb_percentile(E14,[1]!td($B$2-1),$B$2-365*5,[1]!td($B$2-1))</f>
        <v>48.983364140480589</v>
      </c>
      <c r="T14" s="126">
        <f ca="1">[1]!s_val_pe_ttm([1]!to_windcode_index(H14&amp;"(申万)"),[1]!td($B$2-1))</f>
        <v>39.090000152587891</v>
      </c>
      <c r="U14" s="126"/>
      <c r="V14" s="126">
        <f ca="1">[1]!s_fa_roe(E14,$C$3)</f>
        <v>10.9758</v>
      </c>
      <c r="W14" s="126">
        <f ca="1">[1]!s_fa_grossprofitmargin(E14,$C$3)</f>
        <v>23.147400000000001</v>
      </c>
      <c r="X14" s="126">
        <f ca="1">[1]!s_fa_netprofitmargin(E14,$C$3)</f>
        <v>9.4556000000000004</v>
      </c>
      <c r="Y14" s="126">
        <f ca="1">[1]!s_fa_roic(E14,$C$3)</f>
        <v>8.0513999999999992</v>
      </c>
      <c r="Z14" s="126">
        <f ca="1">[1]!s_fa_operateincometoebt_ttm2(E14,$C$3)</f>
        <v>93.299599999999998</v>
      </c>
      <c r="AA14" s="125"/>
      <c r="AB14" s="343"/>
      <c r="AC14" s="125">
        <f ca="1">[1]!s_fa_cagr_tr($E14,AC$6,3)</f>
        <v>0</v>
      </c>
      <c r="AD14" s="125">
        <f ca="1">[1]!s_fa_cagr_tr($E14,AD$6,3)</f>
        <v>38.408969119630477</v>
      </c>
      <c r="AE14" s="126">
        <f ca="1">[1]!s_fa_cagr_tr($E14,AE$6,3)</f>
        <v>28.146624347951722</v>
      </c>
      <c r="AF14" s="126">
        <f ca="1">[1]!s_fa_cagr_tr($E14,AF$6,3)</f>
        <v>15.627749977347793</v>
      </c>
      <c r="AG14" s="126">
        <f ca="1">[1]!s_fa_cagr_tr($E14,AG$6,3)</f>
        <v>13.069845336628759</v>
      </c>
      <c r="AH14" s="126">
        <f ca="1">[1]!s_fa_cagr_tr($E14,AH$6,3)</f>
        <v>10.201290384538474</v>
      </c>
      <c r="AI14" s="169"/>
      <c r="AJ14" s="126">
        <f ca="1">[1]!s_fa_cagr_netprofit($E14,AJ$6,3)</f>
        <v>0</v>
      </c>
      <c r="AK14" s="126">
        <f ca="1">[1]!s_fa_cagr_netprofit($E14,AK$6,3)</f>
        <v>20.60549909976006</v>
      </c>
      <c r="AL14" s="126">
        <f ca="1">[1]!s_fa_cagr_netprofit($E14,AL$6,3)</f>
        <v>31.648238560258402</v>
      </c>
      <c r="AM14" s="126">
        <f ca="1">[1]!s_fa_cagr_netprofit($E14,AM$6,3)</f>
        <v>12.527777567637166</v>
      </c>
      <c r="AN14" s="126">
        <f ca="1">[1]!s_fa_cagr_netprofit($E14,AN$6,3)</f>
        <v>42.409513321365779</v>
      </c>
      <c r="AO14" s="126">
        <f ca="1">[1]!s_fa_cagr_netprofit($E14,AO$6,3)</f>
        <v>37.296711076082325</v>
      </c>
      <c r="AP14" s="129"/>
      <c r="AQ14" s="203">
        <f ca="1">[1]!s_fa_dupont_roe(E14,$C$3)</f>
        <v>10.9758</v>
      </c>
      <c r="AR14" s="203">
        <f ca="1">[1]!s_fa_dupont_nptosales(B14,$C$3)</f>
        <v>9.4556000000000004</v>
      </c>
      <c r="AS14" s="238">
        <f ca="1">[1]!s_fa_dupont_faturnover(E14,$C$3)</f>
        <v>0.53900000000000003</v>
      </c>
      <c r="AT14" s="203">
        <f ca="1">[1]!s_fa_dupont_assetstoequity(E14,$C$3)</f>
        <v>2.1558000000000002</v>
      </c>
      <c r="AU14" s="129"/>
      <c r="AV14" s="129"/>
      <c r="AW14" s="129"/>
      <c r="AX14" s="129"/>
      <c r="AY14" s="129"/>
      <c r="AZ14" s="129"/>
      <c r="BA14" s="129"/>
      <c r="BB14" s="129"/>
      <c r="BC14" s="129"/>
      <c r="BD14" s="129"/>
      <c r="BE14" s="129"/>
    </row>
    <row r="15" spans="1:58" s="191" customFormat="1" ht="12" customHeight="1" x14ac:dyDescent="0.35">
      <c r="A15" s="182" t="s">
        <v>0</v>
      </c>
      <c r="B15" s="182" t="s">
        <v>919</v>
      </c>
      <c r="C15" s="182" t="s">
        <v>920</v>
      </c>
      <c r="D15" s="182" t="str">
        <f ca="1">[1]!cb_info_underlyingname(B15)</f>
        <v>金田铜业</v>
      </c>
      <c r="E15" s="183" t="str">
        <f ca="1">[1]!cb_info_underlyingcode(B15)</f>
        <v>601609.SH</v>
      </c>
      <c r="F15" s="184" t="str">
        <f ca="1">[1]!s_info_industry_sw(B15,1)</f>
        <v>有色金属</v>
      </c>
      <c r="G15" s="184" t="str">
        <f ca="1">[1]!s_info_industry_sw(E15,2)</f>
        <v>工业金属</v>
      </c>
      <c r="H15" s="184" t="str">
        <f ca="1">[1]!s_info_industry_sw(E15,3)</f>
        <v>铜</v>
      </c>
      <c r="I15" s="192" t="str">
        <f ca="1">[1]!s_info_majorproducttype(E15)</f>
        <v>磁性材料、电气仪器仪表、合金、铜</v>
      </c>
      <c r="J15" s="189">
        <f ca="1">[1]!s_val_ev(E15,$B$2,100000000)</f>
        <v>143.30964119999999</v>
      </c>
      <c r="K15" s="193">
        <f ca="1">[1]!s_share_total(E15,$B$2,100000000)</f>
        <v>14.804715</v>
      </c>
      <c r="L15" s="193">
        <f ca="1">[1]!s_share_liqa(E15,$B$2,100000000)</f>
        <v>5.9744950000000001</v>
      </c>
      <c r="M15" s="186">
        <f ca="1">[1]!s_fa_gr_ttm2(E15,$C$3,100000000)</f>
        <v>424.20173216940003</v>
      </c>
      <c r="N15" s="187">
        <f ca="1">[1]!s_fa_netprofit_ttm2(E15,$C$3,100000000)</f>
        <v>5.3084096816000006</v>
      </c>
      <c r="O15" s="186"/>
      <c r="P15" s="187">
        <f ca="1">[1]!s_val_pe_ttm(E15,[1]!td($B$2-1))</f>
        <v>22.468780517578125</v>
      </c>
      <c r="Q15" s="187">
        <f ca="1">[1]!i_val_pe_percentile(E15,[1]!td($B$2-1),$B$2-365*5,[1]!td($B$2-1))</f>
        <v>2.5844930417495031</v>
      </c>
      <c r="R15" s="187">
        <f ca="1">[1]!pb_mrq(E15,[1]!td($B$2-1))</f>
        <v>2.0785949471391838</v>
      </c>
      <c r="S15" s="187">
        <f ca="1">[1]!i_val_pb_percentile(E15,[1]!td($B$2-1),$B$2-365*5,[1]!td($B$2-1))</f>
        <v>31.610337972166995</v>
      </c>
      <c r="T15" s="187">
        <f ca="1">[1]!s_val_pe_ttm([1]!to_windcode_index(H15&amp;"(申万)"),[1]!td($B$2-1))</f>
        <v>0</v>
      </c>
      <c r="U15" s="186"/>
      <c r="V15" s="186">
        <f ca="1">[1]!s_fa_roe(E15,$C$3)</f>
        <v>6.3315000000000001</v>
      </c>
      <c r="W15" s="186">
        <f ca="1">[1]!s_fa_grossprofitmargin(E15,$C$3)</f>
        <v>4.6719999999999997</v>
      </c>
      <c r="X15" s="186">
        <f ca="1">[1]!s_fa_netprofitmargin(E15,$C$3)</f>
        <v>1.1172</v>
      </c>
      <c r="Y15" s="186">
        <f ca="1">[1]!s_fa_roic(E15,$C$3)</f>
        <v>4.5804999999999998</v>
      </c>
      <c r="Z15" s="186">
        <f ca="1">[1]!s_fa_operateincometoebt_ttm2(E15,$C$3)</f>
        <v>96.930800000000005</v>
      </c>
      <c r="AA15" s="186"/>
      <c r="AB15" s="342"/>
      <c r="AC15" s="186">
        <f ca="1">[1]!s_fa_cagr_tr($E15,AC$6,3)</f>
        <v>0</v>
      </c>
      <c r="AD15" s="186">
        <f ca="1">[1]!s_fa_cagr_tr($E15,AD$6,3)</f>
        <v>9.1688238086157234</v>
      </c>
      <c r="AE15" s="187">
        <f ca="1">[1]!s_fa_cagr_tr($E15,AE$6,3)</f>
        <v>7.0905038166675594</v>
      </c>
      <c r="AF15" s="187">
        <f ca="1">[1]!s_fa_cagr_tr($E15,AF$6,3)</f>
        <v>8.9407301126047223</v>
      </c>
      <c r="AG15" s="187">
        <f ca="1">[1]!s_fa_cagr_tr($E15,AG$6,3)</f>
        <v>9.3598723452654085</v>
      </c>
      <c r="AH15" s="187">
        <f ca="1">[1]!s_fa_cagr_tr($E15,AH$6,3)</f>
        <v>11.132381448746219</v>
      </c>
      <c r="AI15" s="194"/>
      <c r="AJ15" s="187">
        <f ca="1">[1]!s_fa_cagr_netprofit($E15,AJ$6,3)</f>
        <v>0</v>
      </c>
      <c r="AK15" s="187">
        <f ca="1">[1]!s_fa_cagr_netprofit($E15,AK$6,3)</f>
        <v>5.554480663975303</v>
      </c>
      <c r="AL15" s="187">
        <f ca="1">[1]!s_fa_cagr_netprofit($E15,AL$6,3)</f>
        <v>19.928198443912848</v>
      </c>
      <c r="AM15" s="187">
        <f ca="1">[1]!s_fa_cagr_netprofit($E15,AM$6,3)</f>
        <v>35.424964972137587</v>
      </c>
      <c r="AN15" s="187">
        <f ca="1">[1]!s_fa_cagr_netprofit($E15,AN$6,3)</f>
        <v>44.236642520022841</v>
      </c>
      <c r="AO15" s="187">
        <f ca="1">[1]!s_fa_cagr_netprofit($E15,AO$6,3)</f>
        <v>44.961943229527492</v>
      </c>
      <c r="AP15" s="189"/>
      <c r="AQ15" s="202">
        <f ca="1">[1]!s_fa_dupont_roe(E15,$C$3)</f>
        <v>6.3315000000000001</v>
      </c>
      <c r="AR15" s="202">
        <f ca="1">[1]!s_fa_dupont_nptosales(B15,$C$3)</f>
        <v>1.1172</v>
      </c>
      <c r="AS15" s="237">
        <f ca="1">[1]!s_fa_dupont_faturnover(E15,$C$3)</f>
        <v>2.6453000000000002</v>
      </c>
      <c r="AT15" s="202">
        <f ca="1">[1]!s_fa_dupont_assetstoequity(E15,$C$3)</f>
        <v>2.0962999999999998</v>
      </c>
      <c r="AU15" s="189"/>
      <c r="AV15" s="201"/>
      <c r="AW15" s="189"/>
      <c r="AX15" s="189"/>
      <c r="AY15" s="189"/>
      <c r="AZ15" s="189"/>
      <c r="BA15" s="189"/>
      <c r="BB15" s="189"/>
      <c r="BC15" s="189"/>
      <c r="BD15" s="189"/>
      <c r="BE15" s="189"/>
    </row>
    <row r="16" spans="1:58" s="130" customFormat="1" ht="12" customHeight="1" x14ac:dyDescent="0.35">
      <c r="A16" s="121" t="s">
        <v>0</v>
      </c>
      <c r="B16" s="121" t="s">
        <v>324</v>
      </c>
      <c r="C16" s="121" t="s">
        <v>325</v>
      </c>
      <c r="D16" s="121" t="str">
        <f ca="1">[1]!cb_info_underlyingname(B16)</f>
        <v>明泰铝业</v>
      </c>
      <c r="E16" s="122" t="str">
        <f ca="1">[1]!cb_info_underlyingcode(B16)</f>
        <v>601677.SH</v>
      </c>
      <c r="F16" s="123" t="str">
        <f ca="1">[1]!s_info_industry_sw(B16,1)</f>
        <v>有色金属</v>
      </c>
      <c r="G16" s="123" t="str">
        <f ca="1">[1]!s_info_industry_sw(E16,2)</f>
        <v>工业金属</v>
      </c>
      <c r="H16" s="123" t="str">
        <f ca="1">[1]!s_info_industry_sw(E16,3)</f>
        <v>铝</v>
      </c>
      <c r="I16" s="156" t="str">
        <f ca="1">[1]!s_info_majorproducttype(E16)</f>
        <v>铝加工材</v>
      </c>
      <c r="J16" s="129">
        <f ca="1">[1]!s_val_ev(E16,$B$2,100000000)</f>
        <v>263.80757320499998</v>
      </c>
      <c r="K16" s="157">
        <f ca="1">[1]!s_share_total(E16,$B$2,100000000)</f>
        <v>6.825551700000001</v>
      </c>
      <c r="L16" s="157">
        <f ca="1">[1]!s_share_liqa(E16,$B$2,100000000)</f>
        <v>6.8162907000000015</v>
      </c>
      <c r="M16" s="125">
        <f ca="1">[1]!s_fa_gr_ttm2(E16,$C$3,100000000)</f>
        <v>152.03795117229998</v>
      </c>
      <c r="N16" s="126">
        <f ca="1">[1]!s_fa_netprofit_ttm2(E16,$C$3,100000000)</f>
        <v>9.3517232911000008</v>
      </c>
      <c r="O16" s="125"/>
      <c r="P16" s="126">
        <f ca="1">[1]!s_val_pe_ttm(E16,[1]!td($B$2-1))</f>
        <v>16.872028350830078</v>
      </c>
      <c r="Q16" s="126">
        <f ca="1">[1]!i_val_pe_percentile(E16,[1]!td($B$2-1),$B$2-365*5,[1]!td($B$2-1))</f>
        <v>66.173245614035096</v>
      </c>
      <c r="R16" s="126">
        <f ca="1">[1]!pb_mrq(E16,[1]!td($B$2-1))</f>
        <v>2.8033703284241276</v>
      </c>
      <c r="S16" s="126">
        <f ca="1">[1]!i_val_pb_percentile(E16,[1]!td($B$2-1),$B$2-365*5,[1]!td($B$2-1))</f>
        <v>99.945175438596493</v>
      </c>
      <c r="T16" s="126">
        <f ca="1">[1]!s_val_pe_ttm([1]!to_windcode_index(H16&amp;"(申万)"),[1]!td($B$2-1))</f>
        <v>0</v>
      </c>
      <c r="U16" s="126"/>
      <c r="V16" s="126">
        <f ca="1">[1]!s_fa_roe(E16,$C$3)</f>
        <v>9.6623999999999999</v>
      </c>
      <c r="W16" s="126">
        <f ca="1">[1]!s_fa_grossprofitmargin(E16,$C$3)</f>
        <v>13.339600000000001</v>
      </c>
      <c r="X16" s="126">
        <f ca="1">[1]!s_fa_netprofitmargin(E16,$C$3)</f>
        <v>6.4302999999999999</v>
      </c>
      <c r="Y16" s="126">
        <f ca="1">[1]!s_fa_roic(E16,$C$3)</f>
        <v>8.3977000000000004</v>
      </c>
      <c r="Z16" s="126">
        <f ca="1">[1]!s_fa_operateincometoebt_ttm2(E16,$C$3)</f>
        <v>69.826400000000007</v>
      </c>
      <c r="AA16" s="125"/>
      <c r="AB16" s="343"/>
      <c r="AC16" s="125">
        <f ca="1">[1]!s_fa_cagr_tr($E16,AC$6,3)</f>
        <v>0</v>
      </c>
      <c r="AD16" s="125">
        <f ca="1">[1]!s_fa_cagr_tr($E16,AD$6,3)</f>
        <v>16.36379436182045</v>
      </c>
      <c r="AE16" s="126">
        <f ca="1">[1]!s_fa_cagr_tr($E16,AE$6,3)</f>
        <v>23.661627213436919</v>
      </c>
      <c r="AF16" s="126">
        <f ca="1">[1]!s_fa_cagr_tr($E16,AF$6,3)</f>
        <v>28.388300865043426</v>
      </c>
      <c r="AG16" s="126">
        <f ca="1">[1]!s_fa_cagr_tr($E16,AG$6,3)</f>
        <v>16.727898342632642</v>
      </c>
      <c r="AH16" s="126">
        <f ca="1">[1]!s_fa_cagr_tr($E16,AH$6,3)</f>
        <v>9.7029144412063673</v>
      </c>
      <c r="AI16" s="169"/>
      <c r="AJ16" s="126">
        <f ca="1">[1]!s_fa_cagr_netprofit($E16,AJ$6,3)</f>
        <v>0</v>
      </c>
      <c r="AK16" s="126">
        <f ca="1">[1]!s_fa_cagr_netprofit($E16,AK$6,3)</f>
        <v>44.866424007519498</v>
      </c>
      <c r="AL16" s="126">
        <f ca="1">[1]!s_fa_cagr_netprofit($E16,AL$6,3)</f>
        <v>50.468035658210454</v>
      </c>
      <c r="AM16" s="126">
        <f ca="1">[1]!s_fa_cagr_netprofit($E16,AM$6,3)</f>
        <v>42.036229391799651</v>
      </c>
      <c r="AN16" s="126">
        <f ca="1">[1]!s_fa_cagr_netprofit($E16,AN$6,3)</f>
        <v>25.637257736103791</v>
      </c>
      <c r="AO16" s="126">
        <f ca="1">[1]!s_fa_cagr_netprofit($E16,AO$6,3)</f>
        <v>65.452302420199686</v>
      </c>
      <c r="AP16" s="129"/>
      <c r="AQ16" s="203">
        <f ca="1">[1]!s_fa_dupont_roe(E16,$C$3)</f>
        <v>9.6623999999999999</v>
      </c>
      <c r="AR16" s="203">
        <f ca="1">[1]!s_fa_dupont_nptosales(B16,$C$3)</f>
        <v>6.4302999999999999</v>
      </c>
      <c r="AS16" s="238">
        <f ca="1">[1]!s_fa_dupont_faturnover(E16,$C$3)</f>
        <v>0.94289999999999996</v>
      </c>
      <c r="AT16" s="203">
        <f ca="1">[1]!s_fa_dupont_assetstoequity(E16,$C$3)</f>
        <v>1.6439999999999999</v>
      </c>
      <c r="AU16" s="129"/>
      <c r="AV16" s="129"/>
      <c r="AW16" s="129"/>
      <c r="AX16" s="129"/>
      <c r="AY16" s="129"/>
      <c r="AZ16" s="129"/>
      <c r="BA16" s="129"/>
      <c r="BB16" s="129"/>
      <c r="BC16" s="129"/>
      <c r="BD16" s="129"/>
      <c r="BE16" s="129"/>
    </row>
    <row r="17" spans="1:57" s="191" customFormat="1" ht="12" customHeight="1" x14ac:dyDescent="0.35">
      <c r="A17" s="182" t="s">
        <v>5</v>
      </c>
      <c r="B17" s="182" t="s">
        <v>88</v>
      </c>
      <c r="C17" s="182" t="s">
        <v>89</v>
      </c>
      <c r="D17" s="182" t="str">
        <f ca="1">[1]!cb_info_underlyingname(B17)</f>
        <v>国城矿业</v>
      </c>
      <c r="E17" s="183" t="str">
        <f ca="1">[1]!cb_info_underlyingcode(B17)</f>
        <v>000688.SZ</v>
      </c>
      <c r="F17" s="184" t="str">
        <f ca="1">[1]!s_info_industry_sw(B17,1)</f>
        <v>有色金属</v>
      </c>
      <c r="G17" s="184" t="str">
        <f ca="1">[1]!s_info_industry_sw(E17,2)</f>
        <v>工业金属</v>
      </c>
      <c r="H17" s="184" t="str">
        <f ca="1">[1]!s_info_industry_sw(E17,3)</f>
        <v>铅锌</v>
      </c>
      <c r="I17" s="192" t="str">
        <f ca="1">[1]!s_info_majorproducttype(E17)</f>
        <v>化学矿、化学试剂、有色金属矿产</v>
      </c>
      <c r="J17" s="189">
        <f ca="1">[1]!s_val_ev(E17,$B$2,100000000)</f>
        <v>171.39202535180002</v>
      </c>
      <c r="K17" s="193">
        <f ca="1">[1]!s_share_total(E17,$B$2,100000000)</f>
        <v>11.37306074</v>
      </c>
      <c r="L17" s="193">
        <f ca="1">[1]!s_share_liqa(E17,$B$2,100000000)</f>
        <v>11.373016979999999</v>
      </c>
      <c r="M17" s="186">
        <f ca="1">[1]!s_fa_gr_ttm2(E17,$C$3,100000000)</f>
        <v>8.0327689175000003</v>
      </c>
      <c r="N17" s="187">
        <f ca="1">[1]!s_fa_netprofit_ttm2(E17,$C$3,100000000)</f>
        <v>0.66865196859999998</v>
      </c>
      <c r="O17" s="186"/>
      <c r="P17" s="187">
        <f ca="1">[1]!s_val_pe_ttm(E17,[1]!td($B$2-1))</f>
        <v>78.177932739257813</v>
      </c>
      <c r="Q17" s="187">
        <f ca="1">[1]!i_val_pe_percentile(E17,[1]!td($B$2-1),$B$2-365*5,[1]!td($B$2-1))</f>
        <v>79.60526315789474</v>
      </c>
      <c r="R17" s="187">
        <f ca="1">[1]!pb_mrq(E17,[1]!td($B$2-1))</f>
        <v>7.1749264853532289</v>
      </c>
      <c r="S17" s="187">
        <f ca="1">[1]!i_val_pb_percentile(E17,[1]!td($B$2-1),$B$2-365*5,[1]!td($B$2-1))</f>
        <v>82.291666666666657</v>
      </c>
      <c r="T17" s="187">
        <f ca="1">[1]!s_val_pe_ttm([1]!to_windcode_index(H17&amp;"(申万)"),[1]!td($B$2-1))</f>
        <v>0</v>
      </c>
      <c r="U17" s="187"/>
      <c r="V17" s="187">
        <f ca="1">[1]!s_fa_roe(E17,$C$3)</f>
        <v>3.8942999999999999</v>
      </c>
      <c r="W17" s="187">
        <f ca="1">[1]!s_fa_grossprofitmargin(E17,$C$3)</f>
        <v>34.825000000000003</v>
      </c>
      <c r="X17" s="187">
        <f ca="1">[1]!s_fa_netprofitmargin(E17,$C$3)</f>
        <v>14.7658</v>
      </c>
      <c r="Y17" s="187">
        <f ca="1">[1]!s_fa_roic(E17,$C$3)</f>
        <v>3.2654999999999998</v>
      </c>
      <c r="Z17" s="187">
        <f ca="1">[1]!s_fa_operateincometoebt_ttm2(E17,$C$3)</f>
        <v>116.6955</v>
      </c>
      <c r="AA17" s="186"/>
      <c r="AB17" s="342"/>
      <c r="AC17" s="186">
        <f ca="1">[1]!s_fa_cagr_tr($E17,AC$6,3)</f>
        <v>0</v>
      </c>
      <c r="AD17" s="186">
        <f ca="1">[1]!s_fa_cagr_tr($E17,AD$6,3)</f>
        <v>-9.8911303978269078</v>
      </c>
      <c r="AE17" s="187">
        <f ca="1">[1]!s_fa_cagr_tr($E17,AE$6,3)</f>
        <v>-2.8879979663458122</v>
      </c>
      <c r="AF17" s="187">
        <f ca="1">[1]!s_fa_cagr_tr($E17,AF$6,3)</f>
        <v>3.9717833663427404</v>
      </c>
      <c r="AG17" s="187">
        <f ca="1">[1]!s_fa_cagr_tr($E17,AG$6,3)</f>
        <v>7.9192704233598699</v>
      </c>
      <c r="AH17" s="187">
        <f ca="1">[1]!s_fa_cagr_tr($E17,AH$6,3)</f>
        <v>18.498069431348576</v>
      </c>
      <c r="AI17" s="194"/>
      <c r="AJ17" s="187">
        <f ca="1">[1]!s_fa_cagr_netprofit($E17,AJ$6,3)</f>
        <v>0</v>
      </c>
      <c r="AK17" s="187">
        <f ca="1">[1]!s_fa_cagr_netprofit($E17,AK$6,3)</f>
        <v>-29.070832589578455</v>
      </c>
      <c r="AL17" s="187">
        <f ca="1">[1]!s_fa_cagr_netprofit($E17,AL$6,3)</f>
        <v>-9.9934039466527231</v>
      </c>
      <c r="AM17" s="187">
        <f ca="1">[1]!s_fa_cagr_netprofit($E17,AM$6,3)</f>
        <v>11.987199791446601</v>
      </c>
      <c r="AN17" s="187">
        <f ca="1">[1]!s_fa_cagr_netprofit($E17,AN$6,3)</f>
        <v>8.5291792354736948</v>
      </c>
      <c r="AO17" s="187">
        <f ca="1">[1]!s_fa_cagr_netprofit($E17,AO$6,3)</f>
        <v>-6.0146853567863197</v>
      </c>
      <c r="AP17" s="189"/>
      <c r="AQ17" s="202">
        <f ca="1">[1]!s_fa_dupont_roe(E17,$C$3)</f>
        <v>3.8942999999999999</v>
      </c>
      <c r="AR17" s="202">
        <f ca="1">[1]!s_fa_dupont_nptosales(B17,$C$3)</f>
        <v>14.7658</v>
      </c>
      <c r="AS17" s="237">
        <f ca="1">[1]!s_fa_dupont_faturnover(E17,$C$3)</f>
        <v>0.1905</v>
      </c>
      <c r="AT17" s="202">
        <f ca="1">[1]!s_fa_dupont_assetstoequity(E17,$C$3)</f>
        <v>1.3846000000000001</v>
      </c>
      <c r="AU17" s="189"/>
      <c r="AV17" s="189"/>
      <c r="AW17" s="189"/>
      <c r="AX17" s="189"/>
      <c r="AY17" s="189"/>
      <c r="AZ17" s="189"/>
      <c r="BA17" s="189"/>
      <c r="BB17" s="189"/>
      <c r="BC17" s="189"/>
      <c r="BD17" s="189"/>
      <c r="BE17" s="189"/>
    </row>
    <row r="18" spans="1:57" s="130" customFormat="1" ht="12" customHeight="1" x14ac:dyDescent="0.35">
      <c r="A18" s="121" t="s">
        <v>5</v>
      </c>
      <c r="B18" s="121" t="s">
        <v>132</v>
      </c>
      <c r="C18" s="121" t="s">
        <v>133</v>
      </c>
      <c r="D18" s="121" t="str">
        <f ca="1">[1]!cb_info_underlyingname(B18)</f>
        <v>楚江新材</v>
      </c>
      <c r="E18" s="122" t="str">
        <f ca="1">[1]!cb_info_underlyingcode(B18)</f>
        <v>002171.SZ</v>
      </c>
      <c r="F18" s="123" t="str">
        <f ca="1">[1]!s_info_industry_sw(B18,1)</f>
        <v>有色金属</v>
      </c>
      <c r="G18" s="123" t="str">
        <f ca="1">[1]!s_info_industry_sw(E18,2)</f>
        <v>工业金属</v>
      </c>
      <c r="H18" s="123" t="str">
        <f ca="1">[1]!s_info_industry_sw(E18,3)</f>
        <v>铜</v>
      </c>
      <c r="I18" s="156" t="str">
        <f ca="1">[1]!s_info_majorproducttype(E18)</f>
        <v>铜</v>
      </c>
      <c r="J18" s="129">
        <f ca="1">[1]!s_val_ev(E18,$B$2,100000000)</f>
        <v>166.8436418439</v>
      </c>
      <c r="K18" s="157">
        <f ca="1">[1]!s_share_total(E18,$B$2,100000000)</f>
        <v>13.33682189</v>
      </c>
      <c r="L18" s="157">
        <f ca="1">[1]!s_share_liqa(E18,$B$2,100000000)</f>
        <v>12.438374700000001</v>
      </c>
      <c r="M18" s="125">
        <f ca="1">[1]!s_fa_gr_ttm2(E18,$C$3,100000000)</f>
        <v>210.7518958826</v>
      </c>
      <c r="N18" s="126">
        <f ca="1">[1]!s_fa_netprofit_ttm2(E18,$C$3,100000000)</f>
        <v>3.0289115783999998</v>
      </c>
      <c r="O18" s="125"/>
      <c r="P18" s="126">
        <f ca="1">[1]!s_val_pe_ttm(E18,[1]!td($B$2-1))</f>
        <v>35.404472351074219</v>
      </c>
      <c r="Q18" s="126">
        <f ca="1">[1]!i_val_pe_percentile(E18,[1]!td($B$2-1),$B$2-365*5,[1]!td($B$2-1))</f>
        <v>70.39473684210526</v>
      </c>
      <c r="R18" s="126">
        <f ca="1">[1]!pb_mrq(E18,[1]!td($B$2-1))</f>
        <v>2.9607544462558062</v>
      </c>
      <c r="S18" s="126">
        <f ca="1">[1]!i_val_pb_percentile(E18,[1]!td($B$2-1),$B$2-365*5,[1]!td($B$2-1))</f>
        <v>91.282894736842096</v>
      </c>
      <c r="T18" s="126">
        <f ca="1">[1]!s_val_pe_ttm([1]!to_windcode_index(H18&amp;"(申万)"),[1]!td($B$2-1))</f>
        <v>0</v>
      </c>
      <c r="U18" s="125"/>
      <c r="V18" s="125">
        <f ca="1">[1]!s_fa_roe(E18,$C$3)</f>
        <v>3.5474000000000001</v>
      </c>
      <c r="W18" s="125">
        <f ca="1">[1]!s_fa_grossprofitmargin(E18,$C$3)</f>
        <v>7.5067000000000004</v>
      </c>
      <c r="X18" s="125">
        <f ca="1">[1]!s_fa_netprofitmargin(E18,$C$3)</f>
        <v>1.3838999999999999</v>
      </c>
      <c r="Y18" s="125">
        <f ca="1">[1]!s_fa_roic(E18,$C$3)</f>
        <v>3.0457000000000001</v>
      </c>
      <c r="Z18" s="125">
        <f ca="1">[1]!s_fa_operateincometoebt_ttm2(E18,$C$3)</f>
        <v>54.407800000000002</v>
      </c>
      <c r="AA18" s="125"/>
      <c r="AB18" s="343"/>
      <c r="AC18" s="125">
        <f ca="1">[1]!s_fa_cagr_tr($E18,AC$6,3)</f>
        <v>0</v>
      </c>
      <c r="AD18" s="125">
        <f ca="1">[1]!s_fa_cagr_tr($E18,AD$6,3)</f>
        <v>27.654753484976013</v>
      </c>
      <c r="AE18" s="126">
        <f ca="1">[1]!s_fa_cagr_tr($E18,AE$6,3)</f>
        <v>29.125058120336298</v>
      </c>
      <c r="AF18" s="126">
        <f ca="1">[1]!s_fa_cagr_tr($E18,AF$6,3)</f>
        <v>17.833651360630796</v>
      </c>
      <c r="AG18" s="126">
        <f ca="1">[1]!s_fa_cagr_tr($E18,AG$6,3)</f>
        <v>10.332971729094908</v>
      </c>
      <c r="AH18" s="126">
        <f ca="1">[1]!s_fa_cagr_tr($E18,AH$6,3)</f>
        <v>27.212678219997155</v>
      </c>
      <c r="AI18" s="169"/>
      <c r="AJ18" s="126">
        <f ca="1">[1]!s_fa_cagr_netprofit($E18,AJ$6,3)</f>
        <v>0</v>
      </c>
      <c r="AK18" s="126">
        <f ca="1">[1]!s_fa_cagr_netprofit($E18,AK$6,3)</f>
        <v>-8.7235514318762863</v>
      </c>
      <c r="AL18" s="126">
        <f ca="1">[1]!s_fa_cagr_netprofit($E18,AL$6,3)</f>
        <v>34.993378537483764</v>
      </c>
      <c r="AM18" s="126">
        <f ca="1">[1]!s_fa_cagr_netprofit($E18,AM$6,3)</f>
        <v>79.668341193743146</v>
      </c>
      <c r="AN18" s="126">
        <f ca="1">[1]!s_fa_cagr_netprofit($E18,AN$6,3)</f>
        <v>90.216266106478599</v>
      </c>
      <c r="AO18" s="126">
        <f ca="1">[1]!s_fa_cagr_netprofit($E18,AO$6,3)</f>
        <v>153.72708807442015</v>
      </c>
      <c r="AP18" s="129"/>
      <c r="AQ18" s="203">
        <f ca="1">[1]!s_fa_dupont_roe(E18,$C$3)</f>
        <v>3.5474000000000001</v>
      </c>
      <c r="AR18" s="203">
        <f ca="1">[1]!s_fa_dupont_nptosales(B18,$C$3)</f>
        <v>1.3838999999999999</v>
      </c>
      <c r="AS18" s="238">
        <f ca="1">[1]!s_fa_dupont_faturnover(E18,$C$3)</f>
        <v>1.613</v>
      </c>
      <c r="AT18" s="203">
        <f ca="1">[1]!s_fa_dupont_assetstoequity(E18,$C$3)</f>
        <v>1.7476</v>
      </c>
      <c r="AU18" s="129"/>
      <c r="AV18" s="129"/>
      <c r="AW18" s="129"/>
      <c r="AX18" s="129"/>
      <c r="AY18" s="129"/>
      <c r="AZ18" s="129"/>
      <c r="BA18" s="129"/>
      <c r="BB18" s="129"/>
      <c r="BC18" s="129"/>
      <c r="BD18" s="129"/>
      <c r="BE18" s="129"/>
    </row>
    <row r="19" spans="1:57" s="191" customFormat="1" ht="12" customHeight="1" x14ac:dyDescent="0.35">
      <c r="A19" s="182" t="s">
        <v>5</v>
      </c>
      <c r="B19" s="182" t="s">
        <v>118</v>
      </c>
      <c r="C19" s="182" t="s">
        <v>119</v>
      </c>
      <c r="D19" s="182" t="str">
        <f ca="1">[1]!cb_info_underlyingname(B19)</f>
        <v>中矿资源</v>
      </c>
      <c r="E19" s="183" t="str">
        <f ca="1">[1]!cb_info_underlyingcode(B19)</f>
        <v>002738.SZ</v>
      </c>
      <c r="F19" s="184" t="str">
        <f ca="1">[1]!s_info_industry_sw(B19,1)</f>
        <v>有色金属</v>
      </c>
      <c r="G19" s="184" t="str">
        <f ca="1">[1]!s_info_industry_sw(E19,2)</f>
        <v>稀有金属</v>
      </c>
      <c r="H19" s="184" t="str">
        <f ca="1">[1]!s_info_industry_sw(E19,3)</f>
        <v>锂</v>
      </c>
      <c r="I19" s="192" t="str">
        <f ca="1">[1]!s_info_majorproducttype(E19)</f>
        <v>矿制品、原油勘探与生产、重有色金属</v>
      </c>
      <c r="J19" s="189">
        <f ca="1">[1]!s_val_ev(E19,$B$2,100000000)</f>
        <v>192.01029105330002</v>
      </c>
      <c r="K19" s="193">
        <f ca="1">[1]!s_share_total(E19,$B$2,100000000)</f>
        <v>3.2276061700000001</v>
      </c>
      <c r="L19" s="193">
        <f ca="1">[1]!s_share_liqa(E19,$B$2,100000000)</f>
        <v>2.59853924</v>
      </c>
      <c r="M19" s="186">
        <f ca="1">[1]!s_fa_gr_ttm2(E19,$C$3,100000000)</f>
        <v>11.3503202203</v>
      </c>
      <c r="N19" s="187">
        <f ca="1">[1]!s_fa_netprofit_ttm2(E19,$C$3,100000000)</f>
        <v>1.1416127725</v>
      </c>
      <c r="O19" s="186"/>
      <c r="P19" s="187">
        <f ca="1">[1]!s_val_pe_ttm(E19,[1]!td($B$2-1))</f>
        <v>70.483253479003906</v>
      </c>
      <c r="Q19" s="187">
        <f ca="1">[1]!i_val_pe_percentile(E19,[1]!td($B$2-1),$B$2-365*5,[1]!td($B$2-1))</f>
        <v>58.991228070175438</v>
      </c>
      <c r="R19" s="187">
        <f ca="1">[1]!pb_mrq(E19,[1]!td($B$2-1))</f>
        <v>5.4648793125779758</v>
      </c>
      <c r="S19" s="187">
        <f ca="1">[1]!i_val_pb_percentile(E19,[1]!td($B$2-1),$B$2-365*5,[1]!td($B$2-1))</f>
        <v>62.993421052631582</v>
      </c>
      <c r="T19" s="187">
        <f ca="1">[1]!s_val_pe_ttm([1]!to_windcode_index(H19&amp;"(申万)"),[1]!td($B$2-1))</f>
        <v>201.52999877929688</v>
      </c>
      <c r="U19" s="187"/>
      <c r="V19" s="187">
        <f ca="1">[1]!s_fa_roe(E19,$C$3)</f>
        <v>3.6497000000000002</v>
      </c>
      <c r="W19" s="187">
        <f ca="1">[1]!s_fa_grossprofitmargin(E19,$C$3)</f>
        <v>38.109099999999998</v>
      </c>
      <c r="X19" s="187">
        <f ca="1">[1]!s_fa_netprofitmargin(E19,$C$3)</f>
        <v>11.895300000000001</v>
      </c>
      <c r="Y19" s="187">
        <f ca="1">[1]!s_fa_roic(E19,$C$3)</f>
        <v>3.7677999999999998</v>
      </c>
      <c r="Z19" s="187">
        <f ca="1">[1]!s_fa_operateincometoebt_ttm2(E19,$C$3)</f>
        <v>77.284599999999998</v>
      </c>
      <c r="AA19" s="186"/>
      <c r="AB19" s="342"/>
      <c r="AC19" s="186">
        <f ca="1">[1]!s_fa_cagr_tr($E19,AC$6,3)</f>
        <v>0</v>
      </c>
      <c r="AD19" s="186">
        <f ca="1">[1]!s_fa_cagr_tr($E19,AD$6,3)</f>
        <v>33.123569108764393</v>
      </c>
      <c r="AE19" s="187">
        <f ca="1">[1]!s_fa_cagr_tr($E19,AE$6,3)</f>
        <v>48.000513392763992</v>
      </c>
      <c r="AF19" s="187">
        <f ca="1">[1]!s_fa_cagr_tr($E19,AF$6,3)</f>
        <v>35.9814063601724</v>
      </c>
      <c r="AG19" s="187">
        <f ca="1">[1]!s_fa_cagr_tr($E19,AG$6,3)</f>
        <v>20.592664794521177</v>
      </c>
      <c r="AH19" s="187">
        <f ca="1">[1]!s_fa_cagr_tr($E19,AH$6,3)</f>
        <v>2.8807535738025969</v>
      </c>
      <c r="AI19" s="194"/>
      <c r="AJ19" s="187">
        <f ca="1">[1]!s_fa_cagr_netprofit($E19,AJ$6,3)</f>
        <v>0</v>
      </c>
      <c r="AK19" s="187">
        <f ca="1">[1]!s_fa_cagr_netprofit($E19,AK$6,3)</f>
        <v>47.060769266296454</v>
      </c>
      <c r="AL19" s="187">
        <f ca="1">[1]!s_fa_cagr_netprofit($E19,AL$6,3)</f>
        <v>37.89621578210933</v>
      </c>
      <c r="AM19" s="187">
        <f ca="1">[1]!s_fa_cagr_netprofit($E19,AM$6,3)</f>
        <v>31.303707433186069</v>
      </c>
      <c r="AN19" s="187">
        <f ca="1">[1]!s_fa_cagr_netprofit($E19,AN$6,3)</f>
        <v>6.8937340543513637</v>
      </c>
      <c r="AO19" s="187">
        <f ca="1">[1]!s_fa_cagr_netprofit($E19,AO$6,3)</f>
        <v>2.9057363047867879</v>
      </c>
      <c r="AP19" s="189"/>
      <c r="AQ19" s="202">
        <f ca="1">[1]!s_fa_dupont_roe(E19,$C$3)</f>
        <v>3.6497000000000002</v>
      </c>
      <c r="AR19" s="202">
        <f ca="1">[1]!s_fa_dupont_nptosales(B19,$C$3)</f>
        <v>11.895300000000001</v>
      </c>
      <c r="AS19" s="237">
        <f ca="1">[1]!s_fa_dupont_faturnover(E19,$C$3)</f>
        <v>0.18540000000000001</v>
      </c>
      <c r="AT19" s="202">
        <f ca="1">[1]!s_fa_dupont_assetstoequity(E19,$C$3)</f>
        <v>1.6121000000000001</v>
      </c>
      <c r="AU19" s="189"/>
      <c r="AV19" s="201"/>
      <c r="AW19" s="189"/>
      <c r="AX19" s="189"/>
      <c r="AY19" s="189"/>
      <c r="AZ19" s="189"/>
      <c r="BA19" s="189"/>
      <c r="BB19" s="189"/>
      <c r="BC19" s="189"/>
      <c r="BD19" s="189"/>
      <c r="BE19" s="189"/>
    </row>
    <row r="20" spans="1:57" s="130" customFormat="1" ht="12" customHeight="1" x14ac:dyDescent="0.35">
      <c r="A20" s="121" t="s">
        <v>0</v>
      </c>
      <c r="B20" s="121" t="s">
        <v>264</v>
      </c>
      <c r="C20" s="121" t="s">
        <v>265</v>
      </c>
      <c r="D20" s="121" t="str">
        <f ca="1">[1]!cb_info_underlyingname(B20)</f>
        <v>石英股份</v>
      </c>
      <c r="E20" s="122" t="str">
        <f ca="1">[1]!cb_info_underlyingcode(B20)</f>
        <v>603688.SH</v>
      </c>
      <c r="F20" s="123" t="str">
        <f ca="1">[1]!s_info_industry_sw(B20,1)</f>
        <v>有色金属</v>
      </c>
      <c r="G20" s="123" t="str">
        <f ca="1">[1]!s_info_industry_sw(E20,2)</f>
        <v>金属非金属新材料</v>
      </c>
      <c r="H20" s="123" t="str">
        <f ca="1">[1]!s_info_industry_sw(E20,3)</f>
        <v>非金属新材料</v>
      </c>
      <c r="I20" s="156" t="str">
        <f ca="1">[1]!s_info_majorproducttype(E20)</f>
        <v>半导体材料</v>
      </c>
      <c r="J20" s="129">
        <f ca="1">[1]!s_val_ev(E20,$B$2,100000000)</f>
        <v>145.67151839990001</v>
      </c>
      <c r="K20" s="157">
        <f ca="1">[1]!s_share_total(E20,$B$2,100000000)</f>
        <v>3.5297193700000005</v>
      </c>
      <c r="L20" s="157">
        <f ca="1">[1]!s_share_liqa(E20,$B$2,100000000)</f>
        <v>3.5297193700000005</v>
      </c>
      <c r="M20" s="125">
        <f ca="1">[1]!s_fa_gr_ttm2(E20,$C$3,100000000)</f>
        <v>6.2920441776000002</v>
      </c>
      <c r="N20" s="126">
        <f ca="1">[1]!s_fa_netprofit_ttm2(E20,$C$3,100000000)</f>
        <v>1.9841802125000001</v>
      </c>
      <c r="O20" s="125"/>
      <c r="P20" s="126">
        <f ca="1">[1]!s_val_pe_ttm(E20,[1]!td($B$2-1))</f>
        <v>81.166069030761719</v>
      </c>
      <c r="Q20" s="126">
        <f ca="1">[1]!i_val_pe_percentile(E20,[1]!td($B$2-1),$B$2-365*5,[1]!td($B$2-1))</f>
        <v>98.464912280701753</v>
      </c>
      <c r="R20" s="126">
        <f ca="1">[1]!pb_mrq(E20,[1]!td($B$2-1))</f>
        <v>7.3311122893067751</v>
      </c>
      <c r="S20" s="126">
        <f ca="1">[1]!i_val_pb_percentile(E20,[1]!td($B$2-1),$B$2-365*5,[1]!td($B$2-1))</f>
        <v>99.396929824561411</v>
      </c>
      <c r="T20" s="126">
        <f ca="1">[1]!s_val_pe_ttm([1]!to_windcode_index(H20&amp;"(申万)"),[1]!td($B$2-1))</f>
        <v>49.970001220703125</v>
      </c>
      <c r="U20" s="126"/>
      <c r="V20" s="126">
        <f ca="1">[1]!s_fa_roe(E20,$C$3)</f>
        <v>8.6468000000000007</v>
      </c>
      <c r="W20" s="126">
        <f ca="1">[1]!s_fa_grossprofitmargin(E20,$C$3)</f>
        <v>42.274000000000001</v>
      </c>
      <c r="X20" s="126">
        <f ca="1">[1]!s_fa_netprofitmargin(E20,$C$3)</f>
        <v>31.672499999999999</v>
      </c>
      <c r="Y20" s="126">
        <f ca="1">[1]!s_fa_roic(E20,$C$3)</f>
        <v>7.7664</v>
      </c>
      <c r="Z20" s="126">
        <f ca="1">[1]!s_fa_operateincometoebt_ttm2(E20,$C$3)</f>
        <v>59.214700000000001</v>
      </c>
      <c r="AA20" s="125"/>
      <c r="AB20" s="343"/>
      <c r="AC20" s="125">
        <f ca="1">[1]!s_fa_cagr_tr($E20,AC$6,3)</f>
        <v>0</v>
      </c>
      <c r="AD20" s="125">
        <f ca="1">[1]!s_fa_cagr_tr($E20,AD$6,3)</f>
        <v>4.6597653106109638</v>
      </c>
      <c r="AE20" s="126">
        <f ca="1">[1]!s_fa_cagr_tr($E20,AE$6,3)</f>
        <v>11.696766691146943</v>
      </c>
      <c r="AF20" s="126">
        <f ca="1">[1]!s_fa_cagr_tr($E20,AF$6,3)</f>
        <v>15.713283380768072</v>
      </c>
      <c r="AG20" s="126">
        <f ca="1">[1]!s_fa_cagr_tr($E20,AG$6,3)</f>
        <v>16.550961053877124</v>
      </c>
      <c r="AH20" s="126">
        <f ca="1">[1]!s_fa_cagr_tr($E20,AH$6,3)</f>
        <v>9.6208545185277217</v>
      </c>
      <c r="AI20" s="169"/>
      <c r="AJ20" s="126">
        <f ca="1">[1]!s_fa_cagr_netprofit($E20,AJ$6,3)</f>
        <v>0</v>
      </c>
      <c r="AK20" s="126">
        <f ca="1">[1]!s_fa_cagr_netprofit($E20,AK$6,3)</f>
        <v>20.391658535292901</v>
      </c>
      <c r="AL20" s="126">
        <f ca="1">[1]!s_fa_cagr_netprofit($E20,AL$6,3)</f>
        <v>26.318181940949348</v>
      </c>
      <c r="AM20" s="126">
        <f ca="1">[1]!s_fa_cagr_netprofit($E20,AM$6,3)</f>
        <v>25.365138425047995</v>
      </c>
      <c r="AN20" s="126">
        <f ca="1">[1]!s_fa_cagr_netprofit($E20,AN$6,3)</f>
        <v>18.561857272848094</v>
      </c>
      <c r="AO20" s="126">
        <f ca="1">[1]!s_fa_cagr_netprofit($E20,AO$6,3)</f>
        <v>1.1359967375561109</v>
      </c>
      <c r="AP20" s="129"/>
      <c r="AQ20" s="203">
        <f ca="1">[1]!s_fa_dupont_roe(E20,$C$3)</f>
        <v>8.6468000000000007</v>
      </c>
      <c r="AR20" s="203">
        <f ca="1">[1]!s_fa_dupont_nptosales(B20,$C$3)</f>
        <v>31.672499999999999</v>
      </c>
      <c r="AS20" s="238">
        <f ca="1">[1]!s_fa_dupont_faturnover(E20,$C$3)</f>
        <v>0.23169999999999999</v>
      </c>
      <c r="AT20" s="203">
        <f ca="1">[1]!s_fa_dupont_assetstoequity(E20,$C$3)</f>
        <v>1.1782999999999999</v>
      </c>
      <c r="AU20" s="129"/>
      <c r="AV20" s="129"/>
      <c r="AW20" s="129"/>
      <c r="AX20" s="129"/>
      <c r="AY20" s="129"/>
      <c r="AZ20" s="129"/>
      <c r="BA20" s="129"/>
      <c r="BB20" s="129"/>
      <c r="BC20" s="129"/>
      <c r="BD20" s="129"/>
      <c r="BE20" s="129"/>
    </row>
    <row r="21" spans="1:57" s="191" customFormat="1" ht="12" customHeight="1" x14ac:dyDescent="0.35">
      <c r="A21" s="182" t="s">
        <v>0</v>
      </c>
      <c r="B21" s="182" t="s">
        <v>326</v>
      </c>
      <c r="C21" s="182" t="s">
        <v>327</v>
      </c>
      <c r="D21" s="182" t="str">
        <f ca="1">[1]!cb_info_underlyingname(B21)</f>
        <v>鼎胜新材</v>
      </c>
      <c r="E21" s="183" t="str">
        <f ca="1">[1]!cb_info_underlyingcode(B21)</f>
        <v>603876.SH</v>
      </c>
      <c r="F21" s="184" t="str">
        <f ca="1">[1]!s_info_industry_sw(B21,1)</f>
        <v>有色金属</v>
      </c>
      <c r="G21" s="184" t="str">
        <f ca="1">[1]!s_info_industry_sw(E21,2)</f>
        <v>工业金属</v>
      </c>
      <c r="H21" s="184" t="str">
        <f ca="1">[1]!s_info_industry_sw(E21,3)</f>
        <v>铝</v>
      </c>
      <c r="I21" s="192" t="str">
        <f ca="1">[1]!s_info_majorproducttype(E21)</f>
        <v>专用设备与零部件</v>
      </c>
      <c r="J21" s="189">
        <f ca="1">[1]!s_val_ev(E21,$B$2,100000000)</f>
        <v>222.3386877188</v>
      </c>
      <c r="K21" s="193">
        <f ca="1">[1]!s_share_total(E21,$B$2,100000000)</f>
        <v>4.8366040400000001</v>
      </c>
      <c r="L21" s="193">
        <f ca="1">[1]!s_share_liqa(E21,$B$2,100000000)</f>
        <v>4.8366040400000001</v>
      </c>
      <c r="M21" s="186">
        <f ca="1">[1]!s_fa_gr_ttm2(E21,$C$3,100000000)</f>
        <v>118.8430924705</v>
      </c>
      <c r="N21" s="187">
        <f ca="1">[1]!s_fa_netprofit_ttm2(E21,$C$3,100000000)</f>
        <v>1.0503520820000001</v>
      </c>
      <c r="O21" s="186"/>
      <c r="P21" s="187">
        <f ca="1">[1]!s_val_pe_ttm(E21,[1]!td($B$2-1))</f>
        <v>148.6087646484375</v>
      </c>
      <c r="Q21" s="187">
        <f ca="1">[1]!i_val_pe_percentile(E21,[1]!td($B$2-1),$B$2-365*5,[1]!td($B$2-1))</f>
        <v>100</v>
      </c>
      <c r="R21" s="187">
        <f ca="1">[1]!pb_mrq(E21,[1]!td($B$2-1))</f>
        <v>5.1074770317620937</v>
      </c>
      <c r="S21" s="187">
        <f ca="1">[1]!i_val_pb_percentile(E21,[1]!td($B$2-1),$B$2-365*5,[1]!td($B$2-1))</f>
        <v>97.738287560581583</v>
      </c>
      <c r="T21" s="187">
        <f ca="1">[1]!s_val_pe_ttm([1]!to_windcode_index(H21&amp;"(申万)"),[1]!td($B$2-1))</f>
        <v>0</v>
      </c>
      <c r="U21" s="187"/>
      <c r="V21" s="187">
        <f ca="1">[1]!s_fa_roe(E21,$C$3)</f>
        <v>-0.31090000000000001</v>
      </c>
      <c r="W21" s="187">
        <f ca="1">[1]!s_fa_grossprofitmargin(E21,$C$3)</f>
        <v>10.367800000000001</v>
      </c>
      <c r="X21" s="187">
        <f ca="1">[1]!s_fa_netprofitmargin(E21,$C$3)</f>
        <v>-0.14369999999999999</v>
      </c>
      <c r="Y21" s="187">
        <f ca="1">[1]!s_fa_roic(E21,$C$3)</f>
        <v>3.7545000000000002</v>
      </c>
      <c r="Z21" s="187">
        <f ca="1">[1]!s_fa_operateincometoebt_ttm2(E21,$C$3)</f>
        <v>-5.2663000000000002</v>
      </c>
      <c r="AA21" s="186"/>
      <c r="AB21" s="342"/>
      <c r="AC21" s="186">
        <f ca="1">[1]!s_fa_cagr_tr($E21,AC$6,3)</f>
        <v>0</v>
      </c>
      <c r="AD21" s="186">
        <f ca="1">[1]!s_fa_cagr_tr($E21,AD$6,3)</f>
        <v>10.538778988502195</v>
      </c>
      <c r="AE21" s="187">
        <f ca="1">[1]!s_fa_cagr_tr($E21,AE$6,3)</f>
        <v>16.592662825328851</v>
      </c>
      <c r="AF21" s="187">
        <f ca="1">[1]!s_fa_cagr_tr($E21,AF$6,3)</f>
        <v>17.048635549176929</v>
      </c>
      <c r="AG21" s="187">
        <f ca="1">[1]!s_fa_cagr_tr($E21,AG$6,3)</f>
        <v>11.204466914650023</v>
      </c>
      <c r="AH21" s="187">
        <f ca="1">[1]!s_fa_cagr_tr($E21,AH$6,3)</f>
        <v>0</v>
      </c>
      <c r="AI21" s="194"/>
      <c r="AJ21" s="187">
        <f ca="1">[1]!s_fa_cagr_netprofit($E21,AJ$6,3)</f>
        <v>0</v>
      </c>
      <c r="AK21" s="187">
        <f ca="1">[1]!s_fa_cagr_netprofit($E21,AK$6,3)</f>
        <v>-138.02112110439069</v>
      </c>
      <c r="AL21" s="187">
        <f ca="1">[1]!s_fa_cagr_netprofit($E21,AL$6,3)</f>
        <v>-2.5796913472185379</v>
      </c>
      <c r="AM21" s="187">
        <f ca="1">[1]!s_fa_cagr_netprofit($E21,AM$6,3)</f>
        <v>19.678297811498503</v>
      </c>
      <c r="AN21" s="187">
        <f ca="1">[1]!s_fa_cagr_netprofit($E21,AN$6,3)</f>
        <v>53.535603214042602</v>
      </c>
      <c r="AO21" s="187">
        <f ca="1">[1]!s_fa_cagr_netprofit($E21,AO$6,3)</f>
        <v>0</v>
      </c>
      <c r="AP21" s="189"/>
      <c r="AQ21" s="202">
        <f ca="1">[1]!s_fa_dupont_roe(E21,$C$3)</f>
        <v>-0.31090000000000001</v>
      </c>
      <c r="AR21" s="202">
        <f ca="1">[1]!s_fa_dupont_nptosales(B21,$C$3)</f>
        <v>-0.14369999999999999</v>
      </c>
      <c r="AS21" s="237">
        <f ca="1">[1]!s_fa_dupont_faturnover(E21,$C$3)</f>
        <v>0.63660000000000005</v>
      </c>
      <c r="AT21" s="202">
        <f ca="1">[1]!s_fa_dupont_assetstoequity(E21,$C$3)</f>
        <v>3.6789999999999998</v>
      </c>
      <c r="AU21" s="189"/>
      <c r="AV21" s="189"/>
      <c r="AW21" s="189"/>
      <c r="AX21" s="189"/>
      <c r="AY21" s="189"/>
      <c r="AZ21" s="189"/>
      <c r="BA21" s="189"/>
      <c r="BB21" s="189"/>
      <c r="BC21" s="189"/>
      <c r="BD21" s="189"/>
      <c r="BE21" s="189"/>
    </row>
    <row r="22" spans="1:57" s="130" customFormat="1" ht="12" customHeight="1" x14ac:dyDescent="0.35">
      <c r="A22" s="121" t="s">
        <v>0</v>
      </c>
      <c r="B22" s="121" t="s">
        <v>308</v>
      </c>
      <c r="C22" s="121" t="s">
        <v>309</v>
      </c>
      <c r="D22" s="121" t="str">
        <f ca="1">[1]!cb_info_underlyingname(B22)</f>
        <v>ST华钰</v>
      </c>
      <c r="E22" s="122" t="str">
        <f ca="1">[1]!cb_info_underlyingcode(B22)</f>
        <v>601020.SH</v>
      </c>
      <c r="F22" s="123" t="str">
        <f ca="1">[1]!s_info_industry_sw(B22,1)</f>
        <v>有色金属</v>
      </c>
      <c r="G22" s="123" t="str">
        <f ca="1">[1]!s_info_industry_sw(E22,2)</f>
        <v>工业金属</v>
      </c>
      <c r="H22" s="123" t="str">
        <f ca="1">[1]!s_info_industry_sw(E22,3)</f>
        <v>铅锌</v>
      </c>
      <c r="I22" s="156" t="str">
        <f ca="1">[1]!s_info_majorproducttype(E22)</f>
        <v>有色金属矿产</v>
      </c>
      <c r="J22" s="129">
        <f ca="1">[1]!s_val_ev(E22,$B$2,100000000)</f>
        <v>81.856942620599995</v>
      </c>
      <c r="K22" s="157">
        <f ca="1">[1]!s_share_total(E22,$B$2,100000000)</f>
        <v>5.5383587700000003</v>
      </c>
      <c r="L22" s="157">
        <f ca="1">[1]!s_share_liqa(E22,$B$2,100000000)</f>
        <v>5.5383587700000003</v>
      </c>
      <c r="M22" s="125">
        <f ca="1">[1]!s_fa_gr_ttm2(E22,$C$3,100000000)</f>
        <v>26.738161728000001</v>
      </c>
      <c r="N22" s="126">
        <f ca="1">[1]!s_fa_netprofit_ttm2(E22,$C$3,100000000)</f>
        <v>1.1066617006999999</v>
      </c>
      <c r="O22" s="125"/>
      <c r="P22" s="126">
        <f ca="1">[1]!s_val_pe_ttm(E22,[1]!td($B$2-1))</f>
        <v>67.1485595703125</v>
      </c>
      <c r="Q22" s="126">
        <f ca="1">[1]!i_val_pe_percentile(E22,[1]!td($B$2-1),$B$2-365*5,[1]!td($B$2-1))</f>
        <v>85.635964912280699</v>
      </c>
      <c r="R22" s="126">
        <f ca="1">[1]!pb_mrq(E22,[1]!td($B$2-1))</f>
        <v>3.2477628944913874</v>
      </c>
      <c r="S22" s="126">
        <f ca="1">[1]!i_val_pb_percentile(E22,[1]!td($B$2-1),$B$2-365*5,[1]!td($B$2-1))</f>
        <v>57.894736842105267</v>
      </c>
      <c r="T22" s="126">
        <f ca="1">[1]!s_val_pe_ttm([1]!to_windcode_index(H22&amp;"(申万)"),[1]!td($B$2-1))</f>
        <v>0</v>
      </c>
      <c r="U22" s="126"/>
      <c r="V22" s="126">
        <f ca="1">[1]!s_fa_roe(E22,$C$3)</f>
        <v>2.5760999999999998</v>
      </c>
      <c r="W22" s="126">
        <f ca="1">[1]!s_fa_grossprofitmargin(E22,$C$3)</f>
        <v>9.8925999999999998</v>
      </c>
      <c r="X22" s="126">
        <f ca="1">[1]!s_fa_netprofitmargin(E22,$C$3)</f>
        <v>3.0764999999999998</v>
      </c>
      <c r="Y22" s="126">
        <f ca="1">[1]!s_fa_roic(E22,$C$3)</f>
        <v>2.1238999999999999</v>
      </c>
      <c r="Z22" s="126">
        <f ca="1">[1]!s_fa_operateincometoebt_ttm2(E22,$C$3)</f>
        <v>99.308000000000007</v>
      </c>
      <c r="AA22" s="125"/>
      <c r="AB22" s="343"/>
      <c r="AC22" s="125">
        <f ca="1">[1]!s_fa_cagr_tr($E22,AC$6,3)</f>
        <v>0</v>
      </c>
      <c r="AD22" s="125">
        <f ca="1">[1]!s_fa_cagr_tr($E22,AD$6,3)</f>
        <v>38.029389641016721</v>
      </c>
      <c r="AE22" s="126">
        <f ca="1">[1]!s_fa_cagr_tr($E22,AE$6,3)</f>
        <v>31.495673056445519</v>
      </c>
      <c r="AF22" s="126">
        <f ca="1">[1]!s_fa_cagr_tr($E22,AF$6,3)</f>
        <v>24.150324984233929</v>
      </c>
      <c r="AG22" s="126">
        <f ca="1">[1]!s_fa_cagr_tr($E22,AG$6,3)</f>
        <v>10.563718556324165</v>
      </c>
      <c r="AH22" s="126">
        <f ca="1">[1]!s_fa_cagr_tr($E22,AH$6,3)</f>
        <v>10.142752080903961</v>
      </c>
      <c r="AI22" s="169"/>
      <c r="AJ22" s="126">
        <f ca="1">[1]!s_fa_cagr_netprofit($E22,AJ$6,3)</f>
        <v>0</v>
      </c>
      <c r="AK22" s="126">
        <f ca="1">[1]!s_fa_cagr_netprofit($E22,AK$6,3)</f>
        <v>-38.051972225235254</v>
      </c>
      <c r="AL22" s="126">
        <f ca="1">[1]!s_fa_cagr_netprofit($E22,AL$6,3)</f>
        <v>-12.555157461178734</v>
      </c>
      <c r="AM22" s="126">
        <f ca="1">[1]!s_fa_cagr_netprofit($E22,AM$6,3)</f>
        <v>11.385455158570679</v>
      </c>
      <c r="AN22" s="126">
        <f ca="1">[1]!s_fa_cagr_netprofit($E22,AN$6,3)</f>
        <v>14.260852414907887</v>
      </c>
      <c r="AO22" s="126">
        <f ca="1">[1]!s_fa_cagr_netprofit($E22,AO$6,3)</f>
        <v>14.033145165966232</v>
      </c>
      <c r="AP22" s="129"/>
      <c r="AQ22" s="203">
        <f ca="1">[1]!s_fa_dupont_roe(E22,$C$3)</f>
        <v>2.5760999999999998</v>
      </c>
      <c r="AR22" s="203">
        <f ca="1">[1]!s_fa_dupont_nptosales(B22,$C$3)</f>
        <v>3.0764999999999998</v>
      </c>
      <c r="AS22" s="238">
        <f ca="1">[1]!s_fa_dupont_faturnover(E22,$C$3)</f>
        <v>0.38419999999999999</v>
      </c>
      <c r="AT22" s="203">
        <f ca="1">[1]!s_fa_dupont_assetstoequity(E22,$C$3)</f>
        <v>2.0105</v>
      </c>
      <c r="AU22" s="129"/>
      <c r="AV22" s="129"/>
      <c r="AW22" s="129"/>
      <c r="AX22" s="129"/>
      <c r="AY22" s="129"/>
      <c r="AZ22" s="129"/>
      <c r="BA22" s="129"/>
      <c r="BB22" s="129"/>
      <c r="BC22" s="129"/>
      <c r="BD22" s="129"/>
      <c r="BE22" s="129"/>
    </row>
    <row r="23" spans="1:57" s="191" customFormat="1" ht="12" customHeight="1" x14ac:dyDescent="0.35">
      <c r="A23" s="182" t="s">
        <v>0</v>
      </c>
      <c r="B23" s="182" t="s">
        <v>174</v>
      </c>
      <c r="C23" s="182" t="s">
        <v>175</v>
      </c>
      <c r="D23" s="182" t="str">
        <f ca="1">[1]!cb_info_underlyingname(B23)</f>
        <v>三祥新材</v>
      </c>
      <c r="E23" s="183" t="str">
        <f ca="1">[1]!cb_info_underlyingcode(B23)</f>
        <v>603663.SH</v>
      </c>
      <c r="F23" s="184" t="str">
        <f ca="1">[1]!s_info_industry_sw(B23,1)</f>
        <v>有色金属</v>
      </c>
      <c r="G23" s="184" t="str">
        <f ca="1">[1]!s_info_industry_sw(E23,2)</f>
        <v>稀有金属</v>
      </c>
      <c r="H23" s="184" t="str">
        <f ca="1">[1]!s_info_industry_sw(E23,3)</f>
        <v>其他稀有小金属</v>
      </c>
      <c r="I23" s="192" t="str">
        <f ca="1">[1]!s_info_majorproducttype(E23)</f>
        <v>耐火材料</v>
      </c>
      <c r="J23" s="189">
        <f ca="1">[1]!s_val_ev(E23,$B$2,100000000)</f>
        <v>46.387486047599999</v>
      </c>
      <c r="K23" s="193">
        <f ca="1">[1]!s_share_total(E23,$B$2,100000000)</f>
        <v>1.93039892</v>
      </c>
      <c r="L23" s="193">
        <f ca="1">[1]!s_share_liqa(E23,$B$2,100000000)</f>
        <v>1.9237237199999999</v>
      </c>
      <c r="M23" s="186">
        <f ca="1">[1]!s_fa_gr_ttm2(E23,$C$3,100000000)</f>
        <v>6.7372513926000002</v>
      </c>
      <c r="N23" s="187">
        <f ca="1">[1]!s_fa_netprofit_ttm2(E23,$C$3,100000000)</f>
        <v>0.59930108030000007</v>
      </c>
      <c r="O23" s="186"/>
      <c r="P23" s="187">
        <f ca="1">[1]!s_val_pe_ttm(E23,[1]!td($B$2-1))</f>
        <v>61.250415802001953</v>
      </c>
      <c r="Q23" s="187">
        <f ca="1">[1]!i_val_pe_percentile(E23,[1]!td($B$2-1),$B$2-365*5,[1]!td($B$2-1))</f>
        <v>75.411184210526315</v>
      </c>
      <c r="R23" s="187">
        <f ca="1">[1]!pb_mrq(E23,[1]!td($B$2-1))</f>
        <v>7.1868452208026055</v>
      </c>
      <c r="S23" s="187">
        <f ca="1">[1]!i_val_pb_percentile(E23,[1]!td($B$2-1),$B$2-365*5,[1]!td($B$2-1))</f>
        <v>75.411184210526315</v>
      </c>
      <c r="T23" s="187">
        <f ca="1">[1]!s_val_pe_ttm([1]!to_windcode_index(H23&amp;"(申万)"),[1]!td($B$2-1))</f>
        <v>42.5</v>
      </c>
      <c r="U23" s="187"/>
      <c r="V23" s="187">
        <f ca="1">[1]!s_fa_roe(E23,$C$3)</f>
        <v>7.5279999999999996</v>
      </c>
      <c r="W23" s="187">
        <f ca="1">[1]!s_fa_grossprofitmargin(E23,$C$3)</f>
        <v>29.072099999999999</v>
      </c>
      <c r="X23" s="187">
        <f ca="1">[1]!s_fa_netprofitmargin(E23,$C$3)</f>
        <v>9.9806000000000008</v>
      </c>
      <c r="Y23" s="187">
        <f ca="1">[1]!s_fa_roic(E23,$C$3)</f>
        <v>6.3429000000000002</v>
      </c>
      <c r="Z23" s="187">
        <f ca="1">[1]!s_fa_operateincometoebt_ttm2(E23,$C$3)</f>
        <v>92.767700000000005</v>
      </c>
      <c r="AA23" s="186"/>
      <c r="AB23" s="342"/>
      <c r="AC23" s="186">
        <f ca="1">[1]!s_fa_cagr_tr($E23,AC$6,3)</f>
        <v>0</v>
      </c>
      <c r="AD23" s="186">
        <f ca="1">[1]!s_fa_cagr_tr($E23,AD$6,3)</f>
        <v>21.588225461551545</v>
      </c>
      <c r="AE23" s="187">
        <f ca="1">[1]!s_fa_cagr_tr($E23,AE$6,3)</f>
        <v>39.948298164978134</v>
      </c>
      <c r="AF23" s="187">
        <f ca="1">[1]!s_fa_cagr_tr($E23,AF$6,3)</f>
        <v>29.239230715614006</v>
      </c>
      <c r="AG23" s="187">
        <f ca="1">[1]!s_fa_cagr_tr($E23,AG$6,3)</f>
        <v>9.7898404621020276</v>
      </c>
      <c r="AH23" s="187">
        <f ca="1">[1]!s_fa_cagr_tr($E23,AH$6,3)</f>
        <v>-4.9442688903142518</v>
      </c>
      <c r="AI23" s="194"/>
      <c r="AJ23" s="187">
        <f ca="1">[1]!s_fa_cagr_netprofit($E23,AJ$6,3)</f>
        <v>0</v>
      </c>
      <c r="AK23" s="187">
        <f ca="1">[1]!s_fa_cagr_netprofit($E23,AK$6,3)</f>
        <v>6.2822498150339579</v>
      </c>
      <c r="AL23" s="187">
        <f ca="1">[1]!s_fa_cagr_netprofit($E23,AL$6,3)</f>
        <v>28.11686719310147</v>
      </c>
      <c r="AM23" s="187">
        <f ca="1">[1]!s_fa_cagr_netprofit($E23,AM$6,3)</f>
        <v>30.869463178340272</v>
      </c>
      <c r="AN23" s="187">
        <f ca="1">[1]!s_fa_cagr_netprofit($E23,AN$6,3)</f>
        <v>21.192129000718275</v>
      </c>
      <c r="AO23" s="187">
        <f ca="1">[1]!s_fa_cagr_netprofit($E23,AO$6,3)</f>
        <v>3.3391369476946542</v>
      </c>
      <c r="AP23" s="189"/>
      <c r="AQ23" s="202">
        <f ca="1">[1]!s_fa_dupont_roe(E23,$C$3)</f>
        <v>7.5279999999999996</v>
      </c>
      <c r="AR23" s="202">
        <f ca="1">[1]!s_fa_dupont_nptosales(B23,$C$3)</f>
        <v>9.9806000000000008</v>
      </c>
      <c r="AS23" s="237">
        <f ca="1">[1]!s_fa_dupont_faturnover(E23,$C$3)</f>
        <v>0.42349999999999999</v>
      </c>
      <c r="AT23" s="202">
        <f ca="1">[1]!s_fa_dupont_assetstoequity(E23,$C$3)</f>
        <v>1.9903999999999999</v>
      </c>
      <c r="AU23" s="189"/>
      <c r="AV23" s="201"/>
      <c r="AW23" s="189"/>
      <c r="AX23" s="189"/>
      <c r="AY23" s="189"/>
      <c r="AZ23" s="189"/>
      <c r="BA23" s="189"/>
      <c r="BB23" s="189"/>
      <c r="BC23" s="189"/>
      <c r="BD23" s="189"/>
      <c r="BE23" s="189"/>
    </row>
    <row r="24" spans="1:57" s="130" customFormat="1" ht="12" customHeight="1" x14ac:dyDescent="0.35">
      <c r="A24" s="121" t="s">
        <v>0</v>
      </c>
      <c r="B24" s="121" t="s">
        <v>44</v>
      </c>
      <c r="C24" s="121" t="s">
        <v>45</v>
      </c>
      <c r="D24" s="121" t="str">
        <f ca="1">[1]!cb_info_underlyingname(B24)</f>
        <v>深圳新星</v>
      </c>
      <c r="E24" s="122" t="str">
        <f ca="1">[1]!cb_info_underlyingcode(B24)</f>
        <v>603978.SH</v>
      </c>
      <c r="F24" s="123" t="str">
        <f ca="1">[1]!s_info_industry_sw(B24,1)</f>
        <v>有色金属</v>
      </c>
      <c r="G24" s="123" t="str">
        <f ca="1">[1]!s_info_industry_sw(E24,2)</f>
        <v>金属非金属新材料</v>
      </c>
      <c r="H24" s="123" t="str">
        <f ca="1">[1]!s_info_industry_sw(E24,3)</f>
        <v>金属新材料Ⅲ</v>
      </c>
      <c r="I24" s="156" t="str">
        <f ca="1">[1]!s_info_majorproducttype(E24)</f>
        <v>铝合金及制品</v>
      </c>
      <c r="J24" s="129">
        <f ca="1">[1]!s_val_ev(E24,$B$2,100000000)</f>
        <v>32.7047499436</v>
      </c>
      <c r="K24" s="157">
        <f ca="1">[1]!s_share_total(E24,$B$2,100000000)</f>
        <v>1.60003669</v>
      </c>
      <c r="L24" s="157">
        <f ca="1">[1]!s_share_liqa(E24,$B$2,100000000)</f>
        <v>1.60003669</v>
      </c>
      <c r="M24" s="125">
        <f ca="1">[1]!s_fa_gr_ttm2(E24,$C$3,100000000)</f>
        <v>9.7912998322</v>
      </c>
      <c r="N24" s="126">
        <f ca="1">[1]!s_fa_netprofit_ttm2(E24,$C$3,100000000)</f>
        <v>0.46213900840000005</v>
      </c>
      <c r="O24" s="125"/>
      <c r="P24" s="126">
        <f ca="1">[1]!s_val_pe_ttm(E24,[1]!td($B$2-1))</f>
        <v>86.148277282714844</v>
      </c>
      <c r="Q24" s="126">
        <f ca="1">[1]!i_val_pe_percentile(E24,[1]!td($B$2-1),$B$2-365*5,[1]!td($B$2-1))</f>
        <v>92.225201072386056</v>
      </c>
      <c r="R24" s="126">
        <f ca="1">[1]!pb_mrq(E24,[1]!td($B$2-1))</f>
        <v>2.1516055297885526</v>
      </c>
      <c r="S24" s="126">
        <f ca="1">[1]!i_val_pb_percentile(E24,[1]!td($B$2-1),$B$2-365*5,[1]!td($B$2-1))</f>
        <v>25</v>
      </c>
      <c r="T24" s="126">
        <f ca="1">[1]!s_val_pe_ttm([1]!to_windcode_index(H24&amp;"(申万)"),[1]!td($B$2-1))</f>
        <v>74.959999084472656</v>
      </c>
      <c r="U24" s="125"/>
      <c r="V24" s="125">
        <f ca="1">[1]!s_fa_roe(E24,$C$3)</f>
        <v>1.7784</v>
      </c>
      <c r="W24" s="125">
        <f ca="1">[1]!s_fa_grossprofitmargin(E24,$C$3)</f>
        <v>16.1189</v>
      </c>
      <c r="X24" s="125">
        <f ca="1">[1]!s_fa_netprofitmargin(E24,$C$3)</f>
        <v>3.9157000000000002</v>
      </c>
      <c r="Y24" s="125">
        <f ca="1">[1]!s_fa_roic(E24,$C$3)</f>
        <v>1.8874</v>
      </c>
      <c r="Z24" s="125">
        <f ca="1">[1]!s_fa_operateincometoebt_ttm2(E24,$C$3)</f>
        <v>64.469700000000003</v>
      </c>
      <c r="AA24" s="125"/>
      <c r="AB24" s="343"/>
      <c r="AC24" s="125">
        <f ca="1">[1]!s_fa_cagr_tr($E24,AC$6,3)</f>
        <v>0</v>
      </c>
      <c r="AD24" s="125">
        <f ca="1">[1]!s_fa_cagr_tr($E24,AD$6,3)</f>
        <v>-0.76852898830710448</v>
      </c>
      <c r="AE24" s="126">
        <f ca="1">[1]!s_fa_cagr_tr($E24,AE$6,3)</f>
        <v>9.2006504175545345</v>
      </c>
      <c r="AF24" s="126">
        <f ca="1">[1]!s_fa_cagr_tr($E24,AF$6,3)</f>
        <v>16.201953997880224</v>
      </c>
      <c r="AG24" s="126">
        <f ca="1">[1]!s_fa_cagr_tr($E24,AG$6,3)</f>
        <v>10.864007261412079</v>
      </c>
      <c r="AH24" s="126">
        <f ca="1">[1]!s_fa_cagr_tr($E24,AH$6,3)</f>
        <v>3.9701405522242661</v>
      </c>
      <c r="AI24" s="169"/>
      <c r="AJ24" s="126">
        <f ca="1">[1]!s_fa_cagr_netprofit($E24,AJ$6,3)</f>
        <v>0</v>
      </c>
      <c r="AK24" s="126">
        <f ca="1">[1]!s_fa_cagr_netprofit($E24,AK$6,3)</f>
        <v>-35.440152080668078</v>
      </c>
      <c r="AL24" s="126">
        <f ca="1">[1]!s_fa_cagr_netprofit($E24,AL$6,3)</f>
        <v>-10.793339816946013</v>
      </c>
      <c r="AM24" s="126">
        <f ca="1">[1]!s_fa_cagr_netprofit($E24,AM$6,3)</f>
        <v>15.001838030406823</v>
      </c>
      <c r="AN24" s="126">
        <f ca="1">[1]!s_fa_cagr_netprofit($E24,AN$6,3)</f>
        <v>1.254608273656399</v>
      </c>
      <c r="AO24" s="126">
        <f ca="1">[1]!s_fa_cagr_netprofit($E24,AO$6,3)</f>
        <v>16.484208515639697</v>
      </c>
      <c r="AP24" s="129"/>
      <c r="AQ24" s="203">
        <f ca="1">[1]!s_fa_dupont_roe(E24,$C$3)</f>
        <v>1.7784</v>
      </c>
      <c r="AR24" s="203">
        <f ca="1">[1]!s_fa_dupont_nptosales(B24,$C$3)</f>
        <v>3.9157000000000002</v>
      </c>
      <c r="AS24" s="238">
        <f ca="1">[1]!s_fa_dupont_faturnover(E24,$C$3)</f>
        <v>0.29509999999999997</v>
      </c>
      <c r="AT24" s="203">
        <f ca="1">[1]!s_fa_dupont_assetstoequity(E24,$C$3)</f>
        <v>1.5389999999999999</v>
      </c>
      <c r="AU24" s="129"/>
      <c r="AV24" s="129"/>
      <c r="AW24" s="129"/>
      <c r="AX24" s="129"/>
      <c r="AY24" s="129"/>
      <c r="AZ24" s="129"/>
      <c r="BA24" s="129"/>
      <c r="BB24" s="129"/>
      <c r="BC24" s="129"/>
      <c r="BD24" s="129"/>
      <c r="BE24" s="129"/>
    </row>
    <row r="25" spans="1:57" s="191" customFormat="1" ht="12" customHeight="1" x14ac:dyDescent="0.35">
      <c r="A25" s="182" t="s">
        <v>5</v>
      </c>
      <c r="B25" s="182" t="s">
        <v>286</v>
      </c>
      <c r="C25" s="182" t="s">
        <v>287</v>
      </c>
      <c r="D25" s="182" t="str">
        <f ca="1">[1]!cb_info_underlyingname(B25)</f>
        <v>翔鹭钨业</v>
      </c>
      <c r="E25" s="183" t="str">
        <f ca="1">[1]!cb_info_underlyingcode(B25)</f>
        <v>002842.SZ</v>
      </c>
      <c r="F25" s="184" t="str">
        <f ca="1">[1]!s_info_industry_sw(B25,1)</f>
        <v>有色金属</v>
      </c>
      <c r="G25" s="184" t="str">
        <f ca="1">[1]!s_info_industry_sw(E25,2)</f>
        <v>稀有金属</v>
      </c>
      <c r="H25" s="184" t="str">
        <f ca="1">[1]!s_info_industry_sw(E25,3)</f>
        <v>钨</v>
      </c>
      <c r="I25" s="192" t="str">
        <f ca="1">[1]!s_info_majorproducttype(E25)</f>
        <v>有色金属矿产</v>
      </c>
      <c r="J25" s="189">
        <f ca="1">[1]!s_val_ev(E25,$B$2,100000000)</f>
        <v>32.214033747999999</v>
      </c>
      <c r="K25" s="193">
        <f ca="1">[1]!s_share_total(E25,$B$2,100000000)</f>
        <v>2.7300028599999999</v>
      </c>
      <c r="L25" s="193">
        <f ca="1">[1]!s_share_liqa(E25,$B$2,100000000)</f>
        <v>2.1220007299999999</v>
      </c>
      <c r="M25" s="186">
        <f ca="1">[1]!s_fa_gr_ttm2(E25,$C$3,100000000)</f>
        <v>14.3816153178</v>
      </c>
      <c r="N25" s="187">
        <f ca="1">[1]!s_fa_netprofit_ttm2(E25,$C$3,100000000)</f>
        <v>0.89658752470000003</v>
      </c>
      <c r="O25" s="186"/>
      <c r="P25" s="187">
        <f ca="1">[1]!s_val_pe_ttm(E25,[1]!td($B$2-1))</f>
        <v>62.066768646240234</v>
      </c>
      <c r="Q25" s="187">
        <f ca="1">[1]!i_val_pe_percentile(E25,[1]!td($B$2-1),$B$2-365*5,[1]!td($B$2-1))</f>
        <v>64.952718676122927</v>
      </c>
      <c r="R25" s="187">
        <f ca="1">[1]!pb_mrq(E25,[1]!td($B$2-1))</f>
        <v>3.4250934448093417</v>
      </c>
      <c r="S25" s="187">
        <f ca="1">[1]!i_val_pb_percentile(E25,[1]!td($B$2-1),$B$2-365*5,[1]!td($B$2-1))</f>
        <v>37.115839243498819</v>
      </c>
      <c r="T25" s="187">
        <f ca="1">[1]!s_val_pe_ttm([1]!to_windcode_index(H25&amp;"(申万)"),[1]!td($B$2-1))</f>
        <v>43.919998168945313</v>
      </c>
      <c r="U25" s="187"/>
      <c r="V25" s="187">
        <f ca="1">[1]!s_fa_roe(E25,$C$3)</f>
        <v>3.0163000000000002</v>
      </c>
      <c r="W25" s="187">
        <f ca="1">[1]!s_fa_grossprofitmargin(E25,$C$3)</f>
        <v>9.8490000000000002</v>
      </c>
      <c r="X25" s="187">
        <f ca="1">[1]!s_fa_netprofitmargin(E25,$C$3)</f>
        <v>2.8047</v>
      </c>
      <c r="Y25" s="187">
        <f ca="1">[1]!s_fa_roic(E25,$C$3)</f>
        <v>2.8837999999999999</v>
      </c>
      <c r="Z25" s="187">
        <f ca="1">[1]!s_fa_operateincometoebt_ttm2(E25,$C$3)</f>
        <v>31.385200000000001</v>
      </c>
      <c r="AA25" s="186"/>
      <c r="AB25" s="342"/>
      <c r="AC25" s="186">
        <f ca="1">[1]!s_fa_cagr_tr($E25,AC$6,3)</f>
        <v>0</v>
      </c>
      <c r="AD25" s="186">
        <f ca="1">[1]!s_fa_cagr_tr($E25,AD$6,3)</f>
        <v>9.7619738493404107</v>
      </c>
      <c r="AE25" s="187">
        <f ca="1">[1]!s_fa_cagr_tr($E25,AE$6,3)</f>
        <v>27.452196385271254</v>
      </c>
      <c r="AF25" s="187">
        <f ca="1">[1]!s_fa_cagr_tr($E25,AF$6,3)</f>
        <v>31.98146522575971</v>
      </c>
      <c r="AG25" s="187">
        <f ca="1">[1]!s_fa_cagr_tr($E25,AG$6,3)</f>
        <v>9.6322667810380569</v>
      </c>
      <c r="AH25" s="187">
        <f ca="1">[1]!s_fa_cagr_tr($E25,AH$6,3)</f>
        <v>0.70948204551839478</v>
      </c>
      <c r="AI25" s="194"/>
      <c r="AJ25" s="187">
        <f ca="1">[1]!s_fa_cagr_netprofit($E25,AJ$6,3)</f>
        <v>0</v>
      </c>
      <c r="AK25" s="187">
        <f ca="1">[1]!s_fa_cagr_netprofit($E25,AK$6,3)</f>
        <v>-15.484984261920754</v>
      </c>
      <c r="AL25" s="187">
        <f ca="1">[1]!s_fa_cagr_netprofit($E25,AL$6,3)</f>
        <v>5.3228810115017566</v>
      </c>
      <c r="AM25" s="187">
        <f ca="1">[1]!s_fa_cagr_netprofit($E25,AM$6,3)</f>
        <v>26.87866673550139</v>
      </c>
      <c r="AN25" s="187">
        <f ca="1">[1]!s_fa_cagr_netprofit($E25,AN$6,3)</f>
        <v>7.0714901370534822</v>
      </c>
      <c r="AO25" s="187">
        <f ca="1">[1]!s_fa_cagr_netprofit($E25,AO$6,3)</f>
        <v>1.9608048941039513</v>
      </c>
      <c r="AP25" s="189"/>
      <c r="AQ25" s="202">
        <f ca="1">[1]!s_fa_dupont_roe(E25,$C$3)</f>
        <v>3.0163000000000002</v>
      </c>
      <c r="AR25" s="202">
        <f ca="1">[1]!s_fa_dupont_nptosales(B25,$C$3)</f>
        <v>2.8047</v>
      </c>
      <c r="AS25" s="237">
        <f ca="1">[1]!s_fa_dupont_faturnover(E25,$C$3)</f>
        <v>0.42059999999999997</v>
      </c>
      <c r="AT25" s="202">
        <f ca="1">[1]!s_fa_dupont_assetstoequity(E25,$C$3)</f>
        <v>2.3967999999999998</v>
      </c>
      <c r="AU25" s="189"/>
      <c r="AV25" s="189"/>
      <c r="AW25" s="189"/>
      <c r="AX25" s="189"/>
      <c r="AY25" s="189"/>
      <c r="AZ25" s="189"/>
      <c r="BA25" s="189"/>
      <c r="BB25" s="189"/>
      <c r="BC25" s="189"/>
      <c r="BD25" s="189"/>
      <c r="BE25" s="189"/>
    </row>
    <row r="26" spans="1:57" s="130" customFormat="1" ht="12" customHeight="1" x14ac:dyDescent="0.35">
      <c r="A26" s="121" t="s">
        <v>5</v>
      </c>
      <c r="B26" s="121" t="s">
        <v>244</v>
      </c>
      <c r="C26" s="121" t="s">
        <v>245</v>
      </c>
      <c r="D26" s="121" t="str">
        <f ca="1">[1]!cb_info_underlyingname(B26)</f>
        <v>华锋股份</v>
      </c>
      <c r="E26" s="122" t="str">
        <f ca="1">[1]!cb_info_underlyingcode(B26)</f>
        <v>002806.SZ</v>
      </c>
      <c r="F26" s="123" t="str">
        <f ca="1">[1]!s_info_industry_sw(B26,1)</f>
        <v>有色金属</v>
      </c>
      <c r="G26" s="123" t="str">
        <f ca="1">[1]!s_info_industry_sw(E26,2)</f>
        <v>工业金属</v>
      </c>
      <c r="H26" s="123" t="str">
        <f ca="1">[1]!s_info_industry_sw(E26,3)</f>
        <v>铝</v>
      </c>
      <c r="I26" s="156" t="str">
        <f ca="1">[1]!s_info_majorproducttype(E26)</f>
        <v>电子元器件、汽车及零配件经销</v>
      </c>
      <c r="J26" s="129">
        <f ca="1">[1]!s_val_ev(E26,$B$2,100000000)</f>
        <v>30.148044379200002</v>
      </c>
      <c r="K26" s="157">
        <f ca="1">[1]!s_share_total(E26,$B$2,100000000)</f>
        <v>1.9032856300000001</v>
      </c>
      <c r="L26" s="157">
        <f ca="1">[1]!s_share_liqa(E26,$B$2,100000000)</f>
        <v>1.7245635800000001</v>
      </c>
      <c r="M26" s="125">
        <f ca="1">[1]!s_fa_gr_ttm2(E26,$C$3,100000000)</f>
        <v>5.8440946760000001</v>
      </c>
      <c r="N26" s="126">
        <f ca="1">[1]!s_fa_netprofit_ttm2(E26,$C$3,100000000)</f>
        <v>-7.783937610000001E-2</v>
      </c>
      <c r="O26" s="125"/>
      <c r="P26" s="126">
        <f ca="1">[1]!s_val_pe_ttm(E26,[1]!td($B$2-1))</f>
        <v>-11.293333053588867</v>
      </c>
      <c r="Q26" s="126">
        <f ca="1">[1]!i_val_pe_percentile(E26,[1]!td($B$2-1),$B$2-365*5,[1]!td($B$2-1))</f>
        <v>0</v>
      </c>
      <c r="R26" s="126">
        <f ca="1">[1]!pb_mrq(E26,[1]!td($B$2-1))</f>
        <v>2.933159452692788</v>
      </c>
      <c r="S26" s="126">
        <f ca="1">[1]!i_val_pb_percentile(E26,[1]!td($B$2-1),$B$2-365*5,[1]!td($B$2-1))</f>
        <v>50.109649122807021</v>
      </c>
      <c r="T26" s="126">
        <f ca="1">[1]!s_val_pe_ttm([1]!to_windcode_index(H26&amp;"(申万)"),[1]!td($B$2-1))</f>
        <v>0</v>
      </c>
      <c r="U26" s="126"/>
      <c r="V26" s="126">
        <f ca="1">[1]!s_fa_roe(E26,$C$3)</f>
        <v>-2.8773</v>
      </c>
      <c r="W26" s="126">
        <f ca="1">[1]!s_fa_grossprofitmargin(E26,$C$3)</f>
        <v>13.7508</v>
      </c>
      <c r="X26" s="126">
        <f ca="1">[1]!s_fa_netprofitmargin(E26,$C$3)</f>
        <v>-12.058</v>
      </c>
      <c r="Y26" s="126">
        <f ca="1">[1]!s_fa_roic(E26,$C$3)</f>
        <v>-1.1744000000000001</v>
      </c>
      <c r="Z26" s="126">
        <f ca="1">[1]!s_fa_operateincometoebt_ttm2(E26,$C$3)</f>
        <v>-1734.8046999999999</v>
      </c>
      <c r="AA26" s="125"/>
      <c r="AB26" s="343"/>
      <c r="AC26" s="125">
        <f ca="1">[1]!s_fa_cagr_tr($E26,AC$6,3)</f>
        <v>0</v>
      </c>
      <c r="AD26" s="125">
        <f ca="1">[1]!s_fa_cagr_tr($E26,AD$6,3)</f>
        <v>5.9425590954531593E-2</v>
      </c>
      <c r="AE26" s="126">
        <f ca="1">[1]!s_fa_cagr_tr($E26,AE$6,3)</f>
        <v>23.853485944712439</v>
      </c>
      <c r="AF26" s="126">
        <f ca="1">[1]!s_fa_cagr_tr($E26,AF$6,3)</f>
        <v>29.445055115690355</v>
      </c>
      <c r="AG26" s="126">
        <f ca="1">[1]!s_fa_cagr_tr($E26,AG$6,3)</f>
        <v>13.774655337478215</v>
      </c>
      <c r="AH26" s="126">
        <f ca="1">[1]!s_fa_cagr_tr($E26,AH$6,3)</f>
        <v>6.8937583145227466</v>
      </c>
      <c r="AI26" s="169"/>
      <c r="AJ26" s="126">
        <f ca="1">[1]!s_fa_cagr_netprofit($E26,AJ$6,3)</f>
        <v>0</v>
      </c>
      <c r="AK26" s="126">
        <f ca="1">[1]!s_fa_cagr_netprofit($E26,AK$6,3)</f>
        <v>-320.39024052353346</v>
      </c>
      <c r="AL26" s="126">
        <f ca="1">[1]!s_fa_cagr_netprofit($E26,AL$6,3)</f>
        <v>9.241911296955486</v>
      </c>
      <c r="AM26" s="126">
        <f ca="1">[1]!s_fa_cagr_netprofit($E26,AM$6,3)</f>
        <v>44.986694192304654</v>
      </c>
      <c r="AN26" s="126">
        <f ca="1">[1]!s_fa_cagr_netprofit($E26,AN$6,3)</f>
        <v>20.720175002268483</v>
      </c>
      <c r="AO26" s="126">
        <f ca="1">[1]!s_fa_cagr_netprofit($E26,AO$6,3)</f>
        <v>1.7065943768898029</v>
      </c>
      <c r="AP26" s="129"/>
      <c r="AQ26" s="203">
        <f ca="1">[1]!s_fa_dupont_roe(E26,$C$3)</f>
        <v>-2.8773</v>
      </c>
      <c r="AR26" s="203">
        <f ca="1">[1]!s_fa_dupont_nptosales(B26,$C$3)</f>
        <v>-12.058</v>
      </c>
      <c r="AS26" s="238">
        <f ca="1">[1]!s_fa_dupont_faturnover(E26,$C$3)</f>
        <v>0.16200000000000001</v>
      </c>
      <c r="AT26" s="203">
        <f ca="1">[1]!s_fa_dupont_assetstoequity(E26,$C$3)</f>
        <v>1.4677</v>
      </c>
      <c r="AU26" s="129"/>
      <c r="AV26" s="129"/>
      <c r="AW26" s="129"/>
      <c r="AX26" s="129"/>
      <c r="AY26" s="129"/>
      <c r="AZ26" s="129"/>
      <c r="BA26" s="129"/>
      <c r="BB26" s="129"/>
      <c r="BC26" s="129"/>
      <c r="BD26" s="129"/>
      <c r="BE26" s="129"/>
    </row>
    <row r="27" spans="1:57" s="191" customFormat="1" ht="12" customHeight="1" x14ac:dyDescent="0.35">
      <c r="A27" s="182" t="s">
        <v>0</v>
      </c>
      <c r="B27" s="182" t="s">
        <v>860</v>
      </c>
      <c r="C27" s="182" t="s">
        <v>861</v>
      </c>
      <c r="D27" s="182" t="str">
        <f ca="1">[1]!cb_info_underlyingname(B27)</f>
        <v>浦发银行</v>
      </c>
      <c r="E27" s="183" t="str">
        <f ca="1">[1]!cb_info_underlyingcode(B27)</f>
        <v>600000.SH</v>
      </c>
      <c r="F27" s="184" t="str">
        <f ca="1">[1]!s_info_industry_sw(B27,1)</f>
        <v>银行</v>
      </c>
      <c r="G27" s="184" t="str">
        <f ca="1">[1]!s_info_industry_sw(E27,2)</f>
        <v>银行Ⅱ</v>
      </c>
      <c r="H27" s="184" t="str">
        <f ca="1">[1]!s_info_industry_sw(E27,3)</f>
        <v>银行Ⅲ</v>
      </c>
      <c r="I27" s="192" t="str">
        <f ca="1">[1]!s_info_majorproducttype(E27)</f>
        <v>存贷款业务、国际业务、机构业务、结算业务、托管业务、外汇理财、银行卡、证券业务、中间业务</v>
      </c>
      <c r="J27" s="189">
        <f ca="1">[1]!s_val_ev(E27,$B$2,100000000)</f>
        <v>2741.4917985456</v>
      </c>
      <c r="K27" s="193">
        <f ca="1">[1]!s_share_total(E27,$B$2,100000000)</f>
        <v>293.52160584000001</v>
      </c>
      <c r="L27" s="193">
        <f ca="1">[1]!s_share_liqa(E27,$B$2,100000000)</f>
        <v>293.52160584000001</v>
      </c>
      <c r="M27" s="186">
        <f ca="1">[1]!s_fa_gr_ttm2(E27,$C$3,100000000)</f>
        <v>1930.33</v>
      </c>
      <c r="N27" s="187">
        <f ca="1">[1]!s_fa_netprofit_ttm2(E27,$C$3,100000000)</f>
        <v>553.03</v>
      </c>
      <c r="O27" s="186"/>
      <c r="P27" s="187">
        <f ca="1">[1]!s_val_pe_ttm(E27,[1]!td($B$2-1))</f>
        <v>4.630272388458252</v>
      </c>
      <c r="Q27" s="187">
        <f ca="1">[1]!i_val_pe_percentile(E27,[1]!td($B$2-1),$B$2-365*5,[1]!td($B$2-1))</f>
        <v>2.3574561403508771</v>
      </c>
      <c r="R27" s="187">
        <f ca="1">[1]!pb_mrq(E27,[1]!td($B$2-1))</f>
        <v>0.5077852234420217</v>
      </c>
      <c r="S27" s="187">
        <f ca="1">[1]!i_val_pb_percentile(E27,[1]!td($B$2-1),$B$2-365*5,[1]!td($B$2-1))</f>
        <v>1.2335526315789473</v>
      </c>
      <c r="T27" s="187">
        <f ca="1">[1]!s_val_pe_ttm([1]!to_windcode_index(H27&amp;"(申万)"),[1]!td($B$2-1))</f>
        <v>6.5500001907348633</v>
      </c>
      <c r="U27" s="187"/>
      <c r="V27" s="187">
        <f ca="1">[1]!s_fa_roe(E27,$C$3)</f>
        <v>7.9413</v>
      </c>
      <c r="W27" s="187">
        <f ca="1">[1]!s_fa_grossprofitmargin(E27,$C$3)</f>
        <v>0</v>
      </c>
      <c r="X27" s="187">
        <f ca="1">[1]!s_fa_netprofitmargin(E27,$C$3)</f>
        <v>30.383700000000001</v>
      </c>
      <c r="Y27" s="187">
        <f ca="1">[1]!s_fa_roic(E27,$C$3)</f>
        <v>0</v>
      </c>
      <c r="Z27" s="187">
        <f ca="1">[1]!s_fa_operateincometoebt_ttm2(E27,$C$3)</f>
        <v>68.1571</v>
      </c>
      <c r="AA27" s="186"/>
      <c r="AB27" s="342"/>
      <c r="AC27" s="186">
        <f ca="1">[1]!s_fa_cagr_tr($E27,AC$6,3)</f>
        <v>0</v>
      </c>
      <c r="AD27" s="186">
        <f ca="1">[1]!s_fa_cagr_tr($E27,AD$6,3)</f>
        <v>5.2123039042672792</v>
      </c>
      <c r="AE27" s="187">
        <f ca="1">[1]!s_fa_cagr_tr($E27,AE$6,3)</f>
        <v>5.848890187013156</v>
      </c>
      <c r="AF27" s="187">
        <f ca="1">[1]!s_fa_cagr_tr($E27,AF$6,3)</f>
        <v>5.3889025639198618</v>
      </c>
      <c r="AG27" s="187">
        <f ca="1">[1]!s_fa_cagr_tr($E27,AG$6,3)</f>
        <v>11.033559172590524</v>
      </c>
      <c r="AH27" s="187">
        <f ca="1">[1]!s_fa_cagr_tr($E27,AH$6,3)</f>
        <v>17.147520063337176</v>
      </c>
      <c r="AI27" s="194"/>
      <c r="AJ27" s="187">
        <f ca="1">[1]!s_fa_cagr_netprofit($E27,AJ$6,3)</f>
        <v>0</v>
      </c>
      <c r="AK27" s="187">
        <f ca="1">[1]!s_fa_cagr_netprofit($E27,AK$6,3)</f>
        <v>2.4386049437240986</v>
      </c>
      <c r="AL27" s="187">
        <f ca="1">[1]!s_fa_cagr_netprofit($E27,AL$6,3)</f>
        <v>3.5229607303446597</v>
      </c>
      <c r="AM27" s="187">
        <f ca="1">[1]!s_fa_cagr_netprofit($E27,AM$6,3)</f>
        <v>3.3820734838091671</v>
      </c>
      <c r="AN27" s="187">
        <f ca="1">[1]!s_fa_cagr_netprofit($E27,AN$6,3)</f>
        <v>4.8838402983155005</v>
      </c>
      <c r="AO27" s="187">
        <f ca="1">[1]!s_fa_cagr_netprofit($E27,AO$6,3)</f>
        <v>9.0711344821189144</v>
      </c>
      <c r="AP27" s="189"/>
      <c r="AQ27" s="202">
        <f ca="1">[1]!s_fa_dupont_roe(E27,$C$3)</f>
        <v>7.9413</v>
      </c>
      <c r="AR27" s="202">
        <f ca="1">[1]!s_fa_dupont_nptosales(B27,$C$3)</f>
        <v>30.383700000000001</v>
      </c>
      <c r="AS27" s="237">
        <f ca="1">[1]!s_fa_dupont_faturnover(E27,$C$3)</f>
        <v>2.0299999999999999E-2</v>
      </c>
      <c r="AT27" s="202">
        <f ca="1">[1]!s_fa_dupont_assetstoequity(E27,$C$3)</f>
        <v>13.0283</v>
      </c>
      <c r="AU27" s="189"/>
      <c r="AV27" s="201"/>
      <c r="AW27" s="189"/>
      <c r="AX27" s="189"/>
      <c r="AY27" s="189"/>
      <c r="AZ27" s="189"/>
      <c r="BA27" s="189"/>
      <c r="BB27" s="189"/>
      <c r="BC27" s="189"/>
      <c r="BD27" s="189"/>
      <c r="BE27" s="189"/>
    </row>
    <row r="28" spans="1:57" s="130" customFormat="1" ht="12" customHeight="1" x14ac:dyDescent="0.35">
      <c r="A28" s="121" t="s">
        <v>0</v>
      </c>
      <c r="B28" s="121" t="s">
        <v>868</v>
      </c>
      <c r="C28" s="121" t="s">
        <v>869</v>
      </c>
      <c r="D28" s="121" t="str">
        <f ca="1">[1]!cb_info_underlyingname(B28)</f>
        <v>中信银行</v>
      </c>
      <c r="E28" s="122" t="str">
        <f ca="1">[1]!cb_info_underlyingcode(B28)</f>
        <v>601998.SH</v>
      </c>
      <c r="F28" s="123" t="str">
        <f ca="1">[1]!s_info_industry_sw(B28,1)</f>
        <v>银行</v>
      </c>
      <c r="G28" s="123" t="str">
        <f ca="1">[1]!s_info_industry_sw(E28,2)</f>
        <v>银行Ⅱ</v>
      </c>
      <c r="H28" s="123" t="str">
        <f ca="1">[1]!s_info_industry_sw(E28,3)</f>
        <v>银行Ⅲ</v>
      </c>
      <c r="I28" s="156" t="str">
        <f ca="1">[1]!s_info_majorproducttype(E28)</f>
        <v>存贷款业务、电子银行业务、机构业务、外汇理财、银行卡、证券业务、中间业务</v>
      </c>
      <c r="J28" s="129">
        <f ca="1">[1]!s_val_ev(E28,$B$2,100000000)</f>
        <v>2067.5372360224605</v>
      </c>
      <c r="K28" s="157">
        <f ca="1">[1]!s_share_total(E28,$B$2,100000000)</f>
        <v>489.34841727000003</v>
      </c>
      <c r="L28" s="157">
        <f ca="1">[1]!s_share_liqa(E28,$B$2,100000000)</f>
        <v>340.52678750000001</v>
      </c>
      <c r="M28" s="125">
        <f ca="1">[1]!s_fa_gr_ttm2(E28,$C$3,100000000)</f>
        <v>1943.71</v>
      </c>
      <c r="N28" s="126">
        <f ca="1">[1]!s_fa_netprofit_ttm2(E28,$C$3,100000000)</f>
        <v>441.81</v>
      </c>
      <c r="O28" s="125"/>
      <c r="P28" s="126">
        <f ca="1">[1]!s_val_pe_ttm(E28,[1]!td($B$2-1))</f>
        <v>4.4206433296203613</v>
      </c>
      <c r="Q28" s="126">
        <f ca="1">[1]!i_val_pe_percentile(E28,[1]!td($B$2-1),$B$2-365*5,[1]!td($B$2-1))</f>
        <v>0.93201754385964908</v>
      </c>
      <c r="R28" s="126">
        <f ca="1">[1]!pb_mrq(E28,[1]!td($B$2-1))</f>
        <v>0.48060226715092019</v>
      </c>
      <c r="S28" s="126">
        <f ca="1">[1]!i_val_pb_percentile(E28,[1]!td($B$2-1),$B$2-365*5,[1]!td($B$2-1))</f>
        <v>2.1929824561403506</v>
      </c>
      <c r="T28" s="126">
        <f ca="1">[1]!s_val_pe_ttm([1]!to_windcode_index(H28&amp;"(申万)"),[1]!td($B$2-1))</f>
        <v>6.5500001907348633</v>
      </c>
      <c r="U28" s="126"/>
      <c r="V28" s="126">
        <f ca="1">[1]!s_fa_roe(E28,$C$3)</f>
        <v>7.0228000000000002</v>
      </c>
      <c r="W28" s="126">
        <f ca="1">[1]!s_fa_grossprofitmargin(E28,$C$3)</f>
        <v>0</v>
      </c>
      <c r="X28" s="126">
        <f ca="1">[1]!s_fa_netprofitmargin(E28,$C$3)</f>
        <v>25.046600000000002</v>
      </c>
      <c r="Y28" s="126">
        <f ca="1">[1]!s_fa_roic(E28,$C$3)</f>
        <v>0</v>
      </c>
      <c r="Z28" s="126">
        <f ca="1">[1]!s_fa_operateincometoebt_ttm2(E28,$C$3)</f>
        <v>69.780799999999999</v>
      </c>
      <c r="AA28" s="125"/>
      <c r="AB28" s="343"/>
      <c r="AC28" s="125">
        <f ca="1">[1]!s_fa_cagr_tr($E28,AC$6,3)</f>
        <v>0</v>
      </c>
      <c r="AD28" s="125">
        <f ca="1">[1]!s_fa_cagr_tr($E28,AD$6,3)</f>
        <v>7.5097805530503159</v>
      </c>
      <c r="AE28" s="126">
        <f ca="1">[1]!s_fa_cagr_tr($E28,AE$6,3)</f>
        <v>6.8475013554333497</v>
      </c>
      <c r="AF28" s="126">
        <f ca="1">[1]!s_fa_cagr_tr($E28,AF$6,3)</f>
        <v>4.3382243322507508</v>
      </c>
      <c r="AG28" s="126">
        <f ca="1">[1]!s_fa_cagr_tr($E28,AG$6,3)</f>
        <v>7.9086679480934619</v>
      </c>
      <c r="AH28" s="126">
        <f ca="1">[1]!s_fa_cagr_tr($E28,AH$6,3)</f>
        <v>13.72304275711469</v>
      </c>
      <c r="AI28" s="169"/>
      <c r="AJ28" s="126">
        <f ca="1">[1]!s_fa_cagr_netprofit($E28,AJ$6,3)</f>
        <v>0</v>
      </c>
      <c r="AK28" s="126">
        <f ca="1">[1]!s_fa_cagr_netprofit($E28,AK$6,3)</f>
        <v>4.7897119846313618</v>
      </c>
      <c r="AL28" s="126">
        <f ca="1">[1]!s_fa_cagr_netprofit($E28,AL$6,3)</f>
        <v>4.8721853994545317</v>
      </c>
      <c r="AM28" s="126">
        <f ca="1">[1]!s_fa_cagr_netprofit($E28,AM$6,3)</f>
        <v>2.646513038373044</v>
      </c>
      <c r="AN28" s="126">
        <f ca="1">[1]!s_fa_cagr_netprofit($E28,AN$6,3)</f>
        <v>1.5121286932576306</v>
      </c>
      <c r="AO28" s="126">
        <f ca="1">[1]!s_fa_cagr_netprofit($E28,AO$6,3)</f>
        <v>2.0459229027779635</v>
      </c>
      <c r="AP28" s="129"/>
      <c r="AQ28" s="203">
        <f ca="1">[1]!s_fa_dupont_roe(E28,$C$3)</f>
        <v>7.0228000000000002</v>
      </c>
      <c r="AR28" s="203">
        <f ca="1">[1]!s_fa_dupont_nptosales(B28,$C$3)</f>
        <v>25.046600000000002</v>
      </c>
      <c r="AS28" s="238">
        <f ca="1">[1]!s_fa_dupont_faturnover(E28,$C$3)</f>
        <v>2.12E-2</v>
      </c>
      <c r="AT28" s="203">
        <f ca="1">[1]!s_fa_dupont_assetstoequity(E28,$C$3)</f>
        <v>13.386100000000001</v>
      </c>
      <c r="AU28" s="129"/>
      <c r="AV28" s="129"/>
      <c r="AW28" s="129"/>
      <c r="AX28" s="129"/>
      <c r="AY28" s="129"/>
      <c r="AZ28" s="129"/>
      <c r="BA28" s="129"/>
      <c r="BB28" s="129"/>
      <c r="BC28" s="129"/>
      <c r="BD28" s="129"/>
      <c r="BE28" s="129"/>
    </row>
    <row r="29" spans="1:57" s="191" customFormat="1" ht="12" customHeight="1" x14ac:dyDescent="0.35">
      <c r="A29" s="182" t="s">
        <v>0</v>
      </c>
      <c r="B29" s="182" t="s">
        <v>864</v>
      </c>
      <c r="C29" s="182" t="s">
        <v>865</v>
      </c>
      <c r="D29" s="182" t="str">
        <f ca="1">[1]!cb_info_underlyingname(B29)</f>
        <v>光大银行</v>
      </c>
      <c r="E29" s="183" t="str">
        <f ca="1">[1]!cb_info_underlyingcode(B29)</f>
        <v>601818.SH</v>
      </c>
      <c r="F29" s="184" t="str">
        <f ca="1">[1]!s_info_industry_sw(B29,1)</f>
        <v>银行</v>
      </c>
      <c r="G29" s="184" t="str">
        <f ca="1">[1]!s_info_industry_sw(E29,2)</f>
        <v>银行Ⅱ</v>
      </c>
      <c r="H29" s="184" t="str">
        <f ca="1">[1]!s_info_industry_sw(E29,3)</f>
        <v>银行Ⅲ</v>
      </c>
      <c r="I29" s="192" t="str">
        <f ca="1">[1]!s_info_majorproducttype(E29)</f>
        <v>存贷款业务、机构业务、结算业务、人民币理财、中间业务</v>
      </c>
      <c r="J29" s="189">
        <f ca="1">[1]!s_val_ev(E29,$B$2,100000000)</f>
        <v>1759.8337669834498</v>
      </c>
      <c r="K29" s="193">
        <f ca="1">[1]!s_share_total(E29,$B$2,100000000)</f>
        <v>540.31917070999998</v>
      </c>
      <c r="L29" s="193">
        <f ca="1">[1]!s_share_liqa(E29,$B$2,100000000)</f>
        <v>413.53181570999999</v>
      </c>
      <c r="M29" s="186">
        <f ca="1">[1]!s_fa_gr_ttm2(E29,$C$3,100000000)</f>
        <v>1394.12</v>
      </c>
      <c r="N29" s="187">
        <f ca="1">[1]!s_fa_netprofit_ttm2(E29,$C$3,100000000)</f>
        <v>355.6</v>
      </c>
      <c r="O29" s="186"/>
      <c r="P29" s="187">
        <f ca="1">[1]!s_val_pe_ttm(E29,[1]!td($B$2-1))</f>
        <v>4.5395216941833496</v>
      </c>
      <c r="Q29" s="187">
        <f ca="1">[1]!i_val_pe_percentile(E29,[1]!td($B$2-1),$B$2-365*5,[1]!td($B$2-1))</f>
        <v>0.38377192982456138</v>
      </c>
      <c r="R29" s="187">
        <f ca="1">[1]!pb_mrq(E29,[1]!td($B$2-1))</f>
        <v>0.53806145262611149</v>
      </c>
      <c r="S29" s="187">
        <f ca="1">[1]!i_val_pb_percentile(E29,[1]!td($B$2-1),$B$2-365*5,[1]!td($B$2-1))</f>
        <v>2.3026315789473681</v>
      </c>
      <c r="T29" s="187">
        <f ca="1">[1]!s_val_pe_ttm([1]!to_windcode_index(H29&amp;"(申万)"),[1]!td($B$2-1))</f>
        <v>6.5500001907348633</v>
      </c>
      <c r="U29" s="187"/>
      <c r="V29" s="187">
        <f ca="1">[1]!s_fa_roe(E29,$C$3)</f>
        <v>7.1840999999999999</v>
      </c>
      <c r="W29" s="187">
        <f ca="1">[1]!s_fa_grossprofitmargin(E29,$C$3)</f>
        <v>0</v>
      </c>
      <c r="X29" s="187">
        <f ca="1">[1]!s_fa_netprofitmargin(E29,$C$3)</f>
        <v>27.807300000000001</v>
      </c>
      <c r="Y29" s="187">
        <f ca="1">[1]!s_fa_roic(E29,$C$3)</f>
        <v>0</v>
      </c>
      <c r="Z29" s="187">
        <f ca="1">[1]!s_fa_operateincometoebt_ttm2(E29,$C$3)</f>
        <v>86.775800000000004</v>
      </c>
      <c r="AA29" s="186"/>
      <c r="AB29" s="342"/>
      <c r="AC29" s="186">
        <f ca="1">[1]!s_fa_cagr_tr($E29,AC$6,3)</f>
        <v>0</v>
      </c>
      <c r="AD29" s="186">
        <f ca="1">[1]!s_fa_cagr_tr($E29,AD$6,3)</f>
        <v>15.759657341697064</v>
      </c>
      <c r="AE29" s="187">
        <f ca="1">[1]!s_fa_cagr_tr($E29,AE$6,3)</f>
        <v>12.196553690046773</v>
      </c>
      <c r="AF29" s="187">
        <f ca="1">[1]!s_fa_cagr_tr($E29,AF$6,3)</f>
        <v>5.7734609315440943</v>
      </c>
      <c r="AG29" s="187">
        <f ca="1">[1]!s_fa_cagr_tr($E29,AG$6,3)</f>
        <v>5.3608690840741824</v>
      </c>
      <c r="AH29" s="187">
        <f ca="1">[1]!s_fa_cagr_tr($E29,AH$6,3)</f>
        <v>12.922866472091311</v>
      </c>
      <c r="AI29" s="194"/>
      <c r="AJ29" s="187">
        <f ca="1">[1]!s_fa_cagr_netprofit($E29,AJ$6,3)</f>
        <v>0</v>
      </c>
      <c r="AK29" s="187">
        <f ca="1">[1]!s_fa_cagr_netprofit($E29,AK$6,3)</f>
        <v>6.2377769420784768</v>
      </c>
      <c r="AL29" s="187">
        <f ca="1">[1]!s_fa_cagr_netprofit($E29,AL$6,3)</f>
        <v>7.1913336750154988</v>
      </c>
      <c r="AM29" s="187">
        <f ca="1">[1]!s_fa_cagr_netprofit($E29,AM$6,3)</f>
        <v>4.4613720103355181</v>
      </c>
      <c r="AN29" s="187">
        <f ca="1">[1]!s_fa_cagr_netprofit($E29,AN$6,3)</f>
        <v>2.9823371640417484</v>
      </c>
      <c r="AO29" s="187">
        <f ca="1">[1]!s_fa_cagr_netprofit($E29,AO$6,3)</f>
        <v>4.3200142056149415</v>
      </c>
      <c r="AP29" s="189"/>
      <c r="AQ29" s="202">
        <f ca="1">[1]!s_fa_dupont_roe(E29,$C$3)</f>
        <v>7.1840999999999999</v>
      </c>
      <c r="AR29" s="202">
        <f ca="1">[1]!s_fa_dupont_nptosales(B29,$C$3)</f>
        <v>27.807300000000001</v>
      </c>
      <c r="AS29" s="237">
        <f ca="1">[1]!s_fa_dupont_faturnover(E29,$C$3)</f>
        <v>2.1299999999999999E-2</v>
      </c>
      <c r="AT29" s="202">
        <f ca="1">[1]!s_fa_dupont_assetstoequity(E29,$C$3)</f>
        <v>12.1587</v>
      </c>
      <c r="AU29" s="189"/>
      <c r="AV29" s="189"/>
      <c r="AW29" s="189"/>
      <c r="AX29" s="189"/>
      <c r="AY29" s="189"/>
      <c r="AZ29" s="189"/>
      <c r="BA29" s="189"/>
      <c r="BB29" s="189"/>
      <c r="BC29" s="189"/>
      <c r="BD29" s="189"/>
      <c r="BE29" s="189"/>
    </row>
    <row r="30" spans="1:57" s="130" customFormat="1" ht="12" customHeight="1" x14ac:dyDescent="0.35">
      <c r="A30" s="121" t="s">
        <v>0</v>
      </c>
      <c r="B30" s="121" t="s">
        <v>872</v>
      </c>
      <c r="C30" s="121" t="s">
        <v>873</v>
      </c>
      <c r="D30" s="121" t="str">
        <f ca="1">[1]!cb_info_underlyingname(B30)</f>
        <v>上海银行</v>
      </c>
      <c r="E30" s="122" t="str">
        <f ca="1">[1]!cb_info_underlyingcode(B30)</f>
        <v>601229.SH</v>
      </c>
      <c r="F30" s="123" t="str">
        <f ca="1">[1]!s_info_industry_sw(B30,1)</f>
        <v>银行</v>
      </c>
      <c r="G30" s="123" t="str">
        <f ca="1">[1]!s_info_industry_sw(E30,2)</f>
        <v>银行Ⅱ</v>
      </c>
      <c r="H30" s="123" t="str">
        <f ca="1">[1]!s_info_industry_sw(E30,3)</f>
        <v>银行Ⅲ</v>
      </c>
      <c r="I30" s="156" t="str">
        <f ca="1">[1]!s_info_majorproducttype(E30)</f>
        <v>存贷款业务、投资银行业务、养老保险、银行卡、中间业务</v>
      </c>
      <c r="J30" s="129">
        <f ca="1">[1]!s_val_ev(E30,$B$2,100000000)</f>
        <v>1065.4896524999999</v>
      </c>
      <c r="K30" s="157">
        <f ca="1">[1]!s_share_total(E30,$B$2,100000000)</f>
        <v>142.06528700000001</v>
      </c>
      <c r="L30" s="157">
        <f ca="1">[1]!s_share_liqa(E30,$B$2,100000000)</f>
        <v>137.03855032000001</v>
      </c>
      <c r="M30" s="125">
        <f ca="1">[1]!s_fa_gr_ttm2(E30,$C$3,100000000)</f>
        <v>494.54505999999998</v>
      </c>
      <c r="N30" s="126">
        <f ca="1">[1]!s_fa_netprofit_ttm2(E30,$C$3,100000000)</f>
        <v>189.90337</v>
      </c>
      <c r="O30" s="125"/>
      <c r="P30" s="126">
        <f ca="1">[1]!s_val_pe_ttm(E30,[1]!td($B$2-1))</f>
        <v>4.8361177444458008</v>
      </c>
      <c r="Q30" s="126">
        <f ca="1">[1]!i_val_pe_percentile(E30,[1]!td($B$2-1),$B$2-365*5,[1]!td($B$2-1))</f>
        <v>1.6514806378132119</v>
      </c>
      <c r="R30" s="126">
        <f ca="1">[1]!pb_mrq(E30,[1]!td($B$2-1))</f>
        <v>0.60560375082833684</v>
      </c>
      <c r="S30" s="126">
        <f ca="1">[1]!i_val_pb_percentile(E30,[1]!td($B$2-1),$B$2-365*5,[1]!td($B$2-1))</f>
        <v>1.6514806378132119</v>
      </c>
      <c r="T30" s="126">
        <f ca="1">[1]!s_val_pe_ttm([1]!to_windcode_index(H30&amp;"(申万)"),[1]!td($B$2-1))</f>
        <v>6.5500001907348633</v>
      </c>
      <c r="U30" s="125"/>
      <c r="V30" s="125">
        <f ca="1">[1]!s_fa_roe(E30,$C$3)</f>
        <v>8.2811000000000003</v>
      </c>
      <c r="W30" s="125">
        <f ca="1">[1]!s_fa_grossprofitmargin(E30,$C$3)</f>
        <v>0</v>
      </c>
      <c r="X30" s="125">
        <f ca="1">[1]!s_fa_netprofitmargin(E30,$C$3)</f>
        <v>40.166699999999999</v>
      </c>
      <c r="Y30" s="125">
        <f ca="1">[1]!s_fa_roic(E30,$C$3)</f>
        <v>0</v>
      </c>
      <c r="Z30" s="125">
        <f ca="1">[1]!s_fa_operateincometoebt_ttm2(E30,$C$3)</f>
        <v>58.912700000000001</v>
      </c>
      <c r="AA30" s="125"/>
      <c r="AB30" s="343"/>
      <c r="AC30" s="125">
        <f ca="1">[1]!s_fa_cagr_tr($E30,AC$6,3)</f>
        <v>0</v>
      </c>
      <c r="AD30" s="125">
        <f ca="1">[1]!s_fa_cagr_tr($E30,AD$6,3)</f>
        <v>15.278685448233919</v>
      </c>
      <c r="AE30" s="126">
        <f ca="1">[1]!s_fa_cagr_tr($E30,AE$6,3)</f>
        <v>13.11513879351207</v>
      </c>
      <c r="AF30" s="126">
        <f ca="1">[1]!s_fa_cagr_tr($E30,AF$6,3)</f>
        <v>9.7944279982919102</v>
      </c>
      <c r="AG30" s="126">
        <f ca="1">[1]!s_fa_cagr_tr($E30,AG$6,3)</f>
        <v>5.6401651228844329</v>
      </c>
      <c r="AH30" s="126">
        <f ca="1">[1]!s_fa_cagr_tr($E30,AH$6,3)</f>
        <v>17.029716797600546</v>
      </c>
      <c r="AI30" s="169"/>
      <c r="AJ30" s="126">
        <f ca="1">[1]!s_fa_cagr_netprofit($E30,AJ$6,3)</f>
        <v>0</v>
      </c>
      <c r="AK30" s="126">
        <f ca="1">[1]!s_fa_cagr_netprofit($E30,AK$6,3)</f>
        <v>10.860979898513934</v>
      </c>
      <c r="AL30" s="126">
        <f ca="1">[1]!s_fa_cagr_netprofit($E30,AL$6,3)</f>
        <v>12.361920255482017</v>
      </c>
      <c r="AM30" s="126">
        <f ca="1">[1]!s_fa_cagr_netprofit($E30,AM$6,3)</f>
        <v>11.521055066896713</v>
      </c>
      <c r="AN30" s="126">
        <f ca="1">[1]!s_fa_cagr_netprofit($E30,AN$6,3)</f>
        <v>10.449610164423584</v>
      </c>
      <c r="AO30" s="126">
        <f ca="1">[1]!s_fa_cagr_netprofit($E30,AO$6,3)</f>
        <v>15.268120352548941</v>
      </c>
      <c r="AP30" s="129"/>
      <c r="AQ30" s="203">
        <f ca="1">[1]!s_fa_dupont_roe(E30,$C$3)</f>
        <v>8.2811000000000003</v>
      </c>
      <c r="AR30" s="203">
        <f ca="1">[1]!s_fa_dupont_nptosales(B30,$C$3)</f>
        <v>40.166699999999999</v>
      </c>
      <c r="AS30" s="238">
        <f ca="1">[1]!s_fa_dupont_faturnover(E30,$C$3)</f>
        <v>1.6E-2</v>
      </c>
      <c r="AT30" s="203">
        <f ca="1">[1]!s_fa_dupont_assetstoequity(E30,$C$3)</f>
        <v>12.876799999999999</v>
      </c>
      <c r="AU30" s="129"/>
      <c r="AV30" s="129"/>
      <c r="AW30" s="129"/>
      <c r="AX30" s="129"/>
      <c r="AY30" s="129"/>
      <c r="AZ30" s="129"/>
      <c r="BA30" s="129"/>
      <c r="BB30" s="129"/>
      <c r="BC30" s="129"/>
      <c r="BD30" s="129"/>
      <c r="BE30" s="129"/>
    </row>
    <row r="31" spans="1:57" s="191" customFormat="1" ht="12" customHeight="1" x14ac:dyDescent="0.35">
      <c r="A31" s="182" t="s">
        <v>0</v>
      </c>
      <c r="B31" s="182" t="s">
        <v>1283</v>
      </c>
      <c r="C31" s="182" t="s">
        <v>1284</v>
      </c>
      <c r="D31" s="182" t="str">
        <f ca="1">[1]!cb_info_underlyingname(B31)</f>
        <v>杭州银行</v>
      </c>
      <c r="E31" s="183" t="str">
        <f ca="1">[1]!cb_info_underlyingcode(B31)</f>
        <v>600926.SH</v>
      </c>
      <c r="F31" s="184" t="str">
        <f ca="1">[1]!s_info_industry_sw(B31,1)</f>
        <v>银行</v>
      </c>
      <c r="G31" s="184" t="str">
        <f ca="1">[1]!s_info_industry_sw(E31,2)</f>
        <v>银行Ⅱ</v>
      </c>
      <c r="H31" s="184" t="str">
        <f ca="1">[1]!s_info_industry_sw(E31,3)</f>
        <v>银行Ⅲ</v>
      </c>
      <c r="I31" s="192" t="str">
        <f ca="1">[1]!s_info_majorproducttype(E31)</f>
        <v>存贷款业务、投资银行业务、银行卡</v>
      </c>
      <c r="J31" s="189">
        <f ca="1">[1]!s_val_ev(E31,$B$2,100000000)</f>
        <v>881.22778419519989</v>
      </c>
      <c r="K31" s="193">
        <f ca="1">[1]!s_share_total(E31,$B$2,100000000)</f>
        <v>59.302004320000002</v>
      </c>
      <c r="L31" s="193">
        <f ca="1">[1]!s_share_liqa(E31,$B$2,100000000)</f>
        <v>50.413602670000003</v>
      </c>
      <c r="M31" s="186">
        <f ca="1">[1]!s_fa_gr_ttm2(E31,$C$3,100000000)</f>
        <v>240.14160000000001</v>
      </c>
      <c r="N31" s="187">
        <f ca="1">[1]!s_fa_netprofit_ttm2(E31,$C$3,100000000)</f>
        <v>68.731800000000007</v>
      </c>
      <c r="O31" s="186"/>
      <c r="P31" s="187">
        <f ca="1">[1]!s_val_pe_ttm(E31,[1]!td($B$2-1))</f>
        <v>10.912894248962402</v>
      </c>
      <c r="Q31" s="187">
        <f ca="1">[1]!i_val_pe_percentile(E31,[1]!td($B$2-1),$B$2-365*5,[1]!td($B$2-1))</f>
        <v>63.119369369369373</v>
      </c>
      <c r="R31" s="187">
        <f ca="1">[1]!pb_mrq(E31,[1]!td($B$2-1))</f>
        <v>1.318345180978985</v>
      </c>
      <c r="S31" s="187">
        <f ca="1">[1]!i_val_pb_percentile(E31,[1]!td($B$2-1),$B$2-365*5,[1]!td($B$2-1))</f>
        <v>71.734234234234222</v>
      </c>
      <c r="T31" s="187">
        <f ca="1">[1]!s_val_pe_ttm([1]!to_windcode_index(H31&amp;"(申万)"),[1]!td($B$2-1))</f>
        <v>6.5500001907348633</v>
      </c>
      <c r="U31" s="187"/>
      <c r="V31" s="187">
        <f ca="1">[1]!s_fa_roe(E31,$C$3)</f>
        <v>7.8543000000000003</v>
      </c>
      <c r="W31" s="187">
        <f ca="1">[1]!s_fa_grossprofitmargin(E31,$C$3)</f>
        <v>0</v>
      </c>
      <c r="X31" s="187">
        <f ca="1">[1]!s_fa_netprofitmargin(E31,$C$3)</f>
        <v>29.900300000000001</v>
      </c>
      <c r="Y31" s="187">
        <f ca="1">[1]!s_fa_roic(E31,$C$3)</f>
        <v>0</v>
      </c>
      <c r="Z31" s="187">
        <f ca="1">[1]!s_fa_operateincometoebt_ttm2(E31,$C$3)</f>
        <v>65.316800000000001</v>
      </c>
      <c r="AA31" s="186"/>
      <c r="AB31" s="342"/>
      <c r="AC31" s="186">
        <f ca="1">[1]!s_fa_cagr_tr($E31,AC$6,3)</f>
        <v>0</v>
      </c>
      <c r="AD31" s="186">
        <f ca="1">[1]!s_fa_cagr_tr($E31,AD$6,3)</f>
        <v>20.658123503141425</v>
      </c>
      <c r="AE31" s="187">
        <f ca="1">[1]!s_fa_cagr_tr($E31,AE$6,3)</f>
        <v>15.951632356778521</v>
      </c>
      <c r="AF31" s="187">
        <f ca="1">[1]!s_fa_cagr_tr($E31,AF$6,3)</f>
        <v>11.196483185308059</v>
      </c>
      <c r="AG31" s="187">
        <f ca="1">[1]!s_fa_cagr_tr($E31,AG$6,3)</f>
        <v>8.5941427939909545</v>
      </c>
      <c r="AH31" s="187">
        <f ca="1">[1]!s_fa_cagr_tr($E31,AH$6,3)</f>
        <v>11.998014407284252</v>
      </c>
      <c r="AI31" s="194"/>
      <c r="AJ31" s="187">
        <f ca="1">[1]!s_fa_cagr_netprofit($E31,AJ$6,3)</f>
        <v>0</v>
      </c>
      <c r="AK31" s="187">
        <f ca="1">[1]!s_fa_cagr_netprofit($E31,AK$6,3)</f>
        <v>16.18373426231161</v>
      </c>
      <c r="AL31" s="187">
        <f ca="1">[1]!s_fa_cagr_netprofit($E31,AL$6,3)</f>
        <v>17.973864930228967</v>
      </c>
      <c r="AM31" s="187">
        <f ca="1">[1]!s_fa_cagr_netprofit($E31,AM$6,3)</f>
        <v>13.469483228053768</v>
      </c>
      <c r="AN31" s="187">
        <f ca="1">[1]!s_fa_cagr_netprofit($E31,AN$6,3)</f>
        <v>9.075845766588241</v>
      </c>
      <c r="AO31" s="187">
        <f ca="1">[1]!s_fa_cagr_netprofit($E31,AO$6,3)</f>
        <v>2.0058272022836166</v>
      </c>
      <c r="AP31" s="189"/>
      <c r="AQ31" s="202">
        <f ca="1">[1]!s_fa_dupont_roe(E31,$C$3)</f>
        <v>7.8543000000000003</v>
      </c>
      <c r="AR31" s="202">
        <f ca="1">[1]!s_fa_dupont_nptosales(B31,$C$3)</f>
        <v>29.900300000000001</v>
      </c>
      <c r="AS31" s="237">
        <f ca="1">[1]!s_fa_dupont_faturnover(E31,$C$3)</f>
        <v>1.7500000000000002E-2</v>
      </c>
      <c r="AT31" s="202">
        <f ca="1">[1]!s_fa_dupont_assetstoequity(E31,$C$3)</f>
        <v>15.0345</v>
      </c>
      <c r="AU31" s="189"/>
      <c r="AV31" s="201"/>
      <c r="AW31" s="189"/>
      <c r="AX31" s="189"/>
      <c r="AY31" s="189"/>
      <c r="AZ31" s="189"/>
      <c r="BA31" s="189"/>
      <c r="BB31" s="189"/>
      <c r="BC31" s="189"/>
      <c r="BD31" s="189"/>
      <c r="BE31" s="189"/>
    </row>
    <row r="32" spans="1:57" s="130" customFormat="1" ht="12" customHeight="1" x14ac:dyDescent="0.35">
      <c r="A32" s="121" t="s">
        <v>0</v>
      </c>
      <c r="B32" s="121" t="s">
        <v>858</v>
      </c>
      <c r="C32" s="121" t="s">
        <v>859</v>
      </c>
      <c r="D32" s="121" t="str">
        <f ca="1">[1]!cb_info_underlyingname(B32)</f>
        <v>江苏银行</v>
      </c>
      <c r="E32" s="122" t="str">
        <f ca="1">[1]!cb_info_underlyingcode(B32)</f>
        <v>600919.SH</v>
      </c>
      <c r="F32" s="123" t="str">
        <f ca="1">[1]!s_info_industry_sw(B32,1)</f>
        <v>银行</v>
      </c>
      <c r="G32" s="123" t="str">
        <f ca="1">[1]!s_info_industry_sw(E32,2)</f>
        <v>银行Ⅱ</v>
      </c>
      <c r="H32" s="123" t="str">
        <f ca="1">[1]!s_info_industry_sw(E32,3)</f>
        <v>银行Ⅲ</v>
      </c>
      <c r="I32" s="156" t="str">
        <f ca="1">[1]!s_info_majorproducttype(E32)</f>
        <v>存贷款业务、电子银行业务、国际业务、机构业务、结算业务、理财保险、人民币理财、投资银行业务、外汇理财、银行卡、证券业务、资产管理业务</v>
      </c>
      <c r="J32" s="129">
        <f ca="1">[1]!s_val_ev(E32,$B$2,100000000)</f>
        <v>951.16391208160007</v>
      </c>
      <c r="K32" s="157">
        <f ca="1">[1]!s_share_total(E32,$B$2,100000000)</f>
        <v>147.69625963999999</v>
      </c>
      <c r="L32" s="157">
        <f ca="1">[1]!s_share_liqa(E32,$B$2,100000000)</f>
        <v>146.79864130999999</v>
      </c>
      <c r="M32" s="125">
        <f ca="1">[1]!s_fa_gr_ttm2(E32,$C$3,100000000)</f>
        <v>492.79442999999998</v>
      </c>
      <c r="N32" s="126">
        <f ca="1">[1]!s_fa_netprofit_ttm2(E32,$C$3,100000000)</f>
        <v>146.94502</v>
      </c>
      <c r="O32" s="125"/>
      <c r="P32" s="126">
        <f ca="1">[1]!s_val_pe_ttm(E32,[1]!td($B$2-1))</f>
        <v>5.5563106536865234</v>
      </c>
      <c r="Q32" s="126">
        <f ca="1">[1]!i_val_pe_percentile(E32,[1]!td($B$2-1),$B$2-365*5,[1]!td($B$2-1))</f>
        <v>28.07017543859649</v>
      </c>
      <c r="R32" s="126">
        <f ca="1">[1]!pb_mrq(E32,[1]!td($B$2-1))</f>
        <v>0.67672424726714731</v>
      </c>
      <c r="S32" s="126">
        <f ca="1">[1]!i_val_pb_percentile(E32,[1]!td($B$2-1),$B$2-365*5,[1]!td($B$2-1))</f>
        <v>19.353070175438596</v>
      </c>
      <c r="T32" s="126">
        <f ca="1">[1]!s_val_pe_ttm([1]!to_windcode_index(H32&amp;"(申万)"),[1]!td($B$2-1))</f>
        <v>6.5500001907348633</v>
      </c>
      <c r="U32" s="126"/>
      <c r="V32" s="126">
        <f ca="1">[1]!s_fa_roe(E32,$C$3)</f>
        <v>8.1393000000000004</v>
      </c>
      <c r="W32" s="126">
        <f ca="1">[1]!s_fa_grossprofitmargin(E32,$C$3)</f>
        <v>0</v>
      </c>
      <c r="X32" s="126">
        <f ca="1">[1]!s_fa_netprofitmargin(E32,$C$3)</f>
        <v>33.188400000000001</v>
      </c>
      <c r="Y32" s="126">
        <f ca="1">[1]!s_fa_roic(E32,$C$3)</f>
        <v>0</v>
      </c>
      <c r="Z32" s="126">
        <f ca="1">[1]!s_fa_operateincometoebt_ttm2(E32,$C$3)</f>
        <v>37.598700000000001</v>
      </c>
      <c r="AA32" s="125"/>
      <c r="AB32" s="343"/>
      <c r="AC32" s="125">
        <f ca="1">[1]!s_fa_cagr_tr($E32,AC$6,3)</f>
        <v>0</v>
      </c>
      <c r="AD32" s="125">
        <f ca="1">[1]!s_fa_cagr_tr($E32,AD$6,3)</f>
        <v>15.416334818934541</v>
      </c>
      <c r="AE32" s="126">
        <f ca="1">[1]!s_fa_cagr_tr($E32,AE$6,3)</f>
        <v>12.771565007540776</v>
      </c>
      <c r="AF32" s="126">
        <f ca="1">[1]!s_fa_cagr_tr($E32,AF$6,3)</f>
        <v>7.8906166602318972</v>
      </c>
      <c r="AG32" s="126">
        <f ca="1">[1]!s_fa_cagr_tr($E32,AG$6,3)</f>
        <v>10.141785309110428</v>
      </c>
      <c r="AH32" s="126">
        <f ca="1">[1]!s_fa_cagr_tr($E32,AH$6,3)</f>
        <v>11.991704911999923</v>
      </c>
      <c r="AI32" s="169"/>
      <c r="AJ32" s="126">
        <f ca="1">[1]!s_fa_cagr_netprofit($E32,AJ$6,3)</f>
        <v>0</v>
      </c>
      <c r="AK32" s="126">
        <f ca="1">[1]!s_fa_cagr_netprofit($E32,AK$6,3)</f>
        <v>8.2560976690717602</v>
      </c>
      <c r="AL32" s="126">
        <f ca="1">[1]!s_fa_cagr_netprofit($E32,AL$6,3)</f>
        <v>11.272792960846289</v>
      </c>
      <c r="AM32" s="126">
        <f ca="1">[1]!s_fa_cagr_netprofit($E32,AM$6,3)</f>
        <v>11.215931830506154</v>
      </c>
      <c r="AN32" s="126">
        <f ca="1">[1]!s_fa_cagr_netprofit($E32,AN$6,3)</f>
        <v>10.991259246511342</v>
      </c>
      <c r="AO32" s="126">
        <f ca="1">[1]!s_fa_cagr_netprofit($E32,AO$6,3)</f>
        <v>9.0346636202621298</v>
      </c>
      <c r="AP32" s="129"/>
      <c r="AQ32" s="203">
        <f ca="1">[1]!s_fa_dupont_roe(E32,$C$3)</f>
        <v>8.1393000000000004</v>
      </c>
      <c r="AR32" s="203">
        <f ca="1">[1]!s_fa_dupont_nptosales(B32,$C$3)</f>
        <v>33.188400000000001</v>
      </c>
      <c r="AS32" s="238">
        <f ca="1">[1]!s_fa_dupont_faturnover(E32,$C$3)</f>
        <v>1.7299999999999999E-2</v>
      </c>
      <c r="AT32" s="203">
        <f ca="1">[1]!s_fa_dupont_assetstoequity(E32,$C$3)</f>
        <v>14.741</v>
      </c>
      <c r="AU32" s="129"/>
      <c r="AV32" s="129"/>
      <c r="AW32" s="129"/>
      <c r="AX32" s="129"/>
      <c r="AY32" s="129"/>
      <c r="AZ32" s="129"/>
      <c r="BA32" s="129"/>
      <c r="BB32" s="129"/>
      <c r="BC32" s="129"/>
      <c r="BD32" s="129"/>
      <c r="BE32" s="129"/>
    </row>
    <row r="33" spans="1:57" s="191" customFormat="1" ht="12" customHeight="1" x14ac:dyDescent="0.35">
      <c r="A33" s="182" t="s">
        <v>5</v>
      </c>
      <c r="B33" s="182" t="s">
        <v>889</v>
      </c>
      <c r="C33" s="182" t="s">
        <v>890</v>
      </c>
      <c r="D33" s="182" t="str">
        <f ca="1">[1]!cb_info_underlyingname(B33)</f>
        <v>青农商行</v>
      </c>
      <c r="E33" s="183" t="str">
        <f ca="1">[1]!cb_info_underlyingcode(B33)</f>
        <v>002958.SZ</v>
      </c>
      <c r="F33" s="184" t="str">
        <f ca="1">[1]!s_info_industry_sw(B33,1)</f>
        <v>银行</v>
      </c>
      <c r="G33" s="184" t="str">
        <f ca="1">[1]!s_info_industry_sw(E33,2)</f>
        <v>银行Ⅱ</v>
      </c>
      <c r="H33" s="184" t="str">
        <f ca="1">[1]!s_info_industry_sw(E33,3)</f>
        <v>银行Ⅲ</v>
      </c>
      <c r="I33" s="192" t="str">
        <f ca="1">[1]!s_info_majorproducttype(E33)</f>
        <v>存贷款业务、中间业务</v>
      </c>
      <c r="J33" s="189">
        <f ca="1">[1]!s_val_ev(E33,$B$2,100000000)</f>
        <v>225.55708355459998</v>
      </c>
      <c r="K33" s="193">
        <f ca="1">[1]!s_share_total(E33,$B$2,100000000)</f>
        <v>55.555931909999998</v>
      </c>
      <c r="L33" s="193">
        <f ca="1">[1]!s_share_liqa(E33,$B$2,100000000)</f>
        <v>26.95512227</v>
      </c>
      <c r="M33" s="186">
        <f ca="1">[1]!s_fa_gr_ttm2(E33,$C$3,100000000)</f>
        <v>92.153059999999996</v>
      </c>
      <c r="N33" s="187">
        <f ca="1">[1]!s_fa_netprofit_ttm2(E33,$C$3,100000000)</f>
        <v>29.40597</v>
      </c>
      <c r="O33" s="186"/>
      <c r="P33" s="187">
        <f ca="1">[1]!s_val_pe_ttm(E33,[1]!td($B$2-1))</f>
        <v>7.1836576461791992</v>
      </c>
      <c r="Q33" s="187">
        <f ca="1">[1]!i_val_pe_percentile(E33,[1]!td($B$2-1),$B$2-365*5,[1]!td($B$2-1))</f>
        <v>2.7901785714285716</v>
      </c>
      <c r="R33" s="187">
        <f ca="1">[1]!pb_mrq(E33,[1]!td($B$2-1))</f>
        <v>0.82582773973744006</v>
      </c>
      <c r="S33" s="187">
        <f ca="1">[1]!i_val_pb_percentile(E33,[1]!td($B$2-1),$B$2-365*5,[1]!td($B$2-1))</f>
        <v>1.4508928571428572</v>
      </c>
      <c r="T33" s="187">
        <f ca="1">[1]!s_val_pe_ttm([1]!to_windcode_index(H33&amp;"(申万)"),[1]!td($B$2-1))</f>
        <v>6.5500001907348633</v>
      </c>
      <c r="U33" s="187"/>
      <c r="V33" s="187">
        <f ca="1">[1]!s_fa_roe(E33,$C$3)</f>
        <v>9.7603000000000009</v>
      </c>
      <c r="W33" s="187">
        <f ca="1">[1]!s_fa_grossprofitmargin(E33,$C$3)</f>
        <v>0</v>
      </c>
      <c r="X33" s="187">
        <f ca="1">[1]!s_fa_netprofitmargin(E33,$C$3)</f>
        <v>35.148800000000001</v>
      </c>
      <c r="Y33" s="187">
        <f ca="1">[1]!s_fa_roic(E33,$C$3)</f>
        <v>0</v>
      </c>
      <c r="Z33" s="187">
        <f ca="1">[1]!s_fa_operateincometoebt_ttm2(E33,$C$3)</f>
        <v>66.538899999999998</v>
      </c>
      <c r="AA33" s="186"/>
      <c r="AB33" s="342"/>
      <c r="AC33" s="186">
        <f ca="1">[1]!s_fa_cagr_tr($E33,AC$6,3)</f>
        <v>0</v>
      </c>
      <c r="AD33" s="186">
        <f ca="1">[1]!s_fa_cagr_tr($E33,AD$6,3)</f>
        <v>16.336033151985507</v>
      </c>
      <c r="AE33" s="187">
        <f ca="1">[1]!s_fa_cagr_tr($E33,AE$6,3)</f>
        <v>14.401186459848226</v>
      </c>
      <c r="AF33" s="187">
        <f ca="1">[1]!s_fa_cagr_tr($E33,AF$6,3)</f>
        <v>9.0720260057735693</v>
      </c>
      <c r="AG33" s="187">
        <f ca="1">[1]!s_fa_cagr_tr($E33,AG$6,3)</f>
        <v>2.7827191833440734</v>
      </c>
      <c r="AH33" s="187">
        <f ca="1">[1]!s_fa_cagr_tr($E33,AH$6,3)</f>
        <v>5.6613853043018691</v>
      </c>
      <c r="AI33" s="194"/>
      <c r="AJ33" s="187">
        <f ca="1">[1]!s_fa_cagr_netprofit($E33,AJ$6,3)</f>
        <v>0</v>
      </c>
      <c r="AK33" s="187">
        <f ca="1">[1]!s_fa_cagr_netprofit($E33,AK$6,3)</f>
        <v>11.475997421774142</v>
      </c>
      <c r="AL33" s="187">
        <f ca="1">[1]!s_fa_cagr_netprofit($E33,AL$6,3)</f>
        <v>13.60617030613045</v>
      </c>
      <c r="AM33" s="187">
        <f ca="1">[1]!s_fa_cagr_netprofit($E33,AM$6,3)</f>
        <v>9.0851830549181667</v>
      </c>
      <c r="AN33" s="187">
        <f ca="1">[1]!s_fa_cagr_netprofit($E33,AN$6,3)</f>
        <v>7.2616729925480294</v>
      </c>
      <c r="AO33" s="187">
        <f ca="1">[1]!s_fa_cagr_netprofit($E33,AO$6,3)</f>
        <v>5.2985069710094423</v>
      </c>
      <c r="AP33" s="189"/>
      <c r="AQ33" s="202">
        <f ca="1">[1]!s_fa_dupont_roe(E33,$C$3)</f>
        <v>9.7603000000000009</v>
      </c>
      <c r="AR33" s="202">
        <f ca="1">[1]!s_fa_dupont_nptosales(B33,$C$3)</f>
        <v>35.148800000000001</v>
      </c>
      <c r="AS33" s="237">
        <f ca="1">[1]!s_fa_dupont_faturnover(E33,$C$3)</f>
        <v>1.9300000000000001E-2</v>
      </c>
      <c r="AT33" s="202">
        <f ca="1">[1]!s_fa_dupont_assetstoequity(E33,$C$3)</f>
        <v>14.480600000000001</v>
      </c>
      <c r="AU33" s="189"/>
      <c r="AV33" s="189"/>
      <c r="AW33" s="189"/>
      <c r="AX33" s="189"/>
      <c r="AY33" s="189"/>
      <c r="AZ33" s="189"/>
      <c r="BA33" s="189"/>
      <c r="BB33" s="189"/>
      <c r="BC33" s="189"/>
      <c r="BD33" s="189"/>
      <c r="BE33" s="189"/>
    </row>
    <row r="34" spans="1:57" s="130" customFormat="1" ht="12" customHeight="1" x14ac:dyDescent="0.35">
      <c r="A34" s="121" t="s">
        <v>0</v>
      </c>
      <c r="B34" s="121" t="s">
        <v>870</v>
      </c>
      <c r="C34" s="121" t="s">
        <v>871</v>
      </c>
      <c r="D34" s="121" t="str">
        <f ca="1">[1]!cb_info_underlyingname(B34)</f>
        <v>紫金银行</v>
      </c>
      <c r="E34" s="122" t="str">
        <f ca="1">[1]!cb_info_underlyingcode(B34)</f>
        <v>601860.SH</v>
      </c>
      <c r="F34" s="123" t="str">
        <f ca="1">[1]!s_info_industry_sw(B34,1)</f>
        <v>银行</v>
      </c>
      <c r="G34" s="123" t="str">
        <f ca="1">[1]!s_info_industry_sw(E34,2)</f>
        <v>银行Ⅱ</v>
      </c>
      <c r="H34" s="123" t="str">
        <f ca="1">[1]!s_info_industry_sw(E34,3)</f>
        <v>银行Ⅲ</v>
      </c>
      <c r="I34" s="156" t="str">
        <f ca="1">[1]!s_info_majorproducttype(E34)</f>
        <v>存贷款业务、电子银行业务、结算业务、投资银行业务、中间业务</v>
      </c>
      <c r="J34" s="129">
        <f ca="1">[1]!s_val_ev(E34,$B$2,100000000)</f>
        <v>125.93630827360001</v>
      </c>
      <c r="K34" s="157">
        <f ca="1">[1]!s_share_total(E34,$B$2,100000000)</f>
        <v>36.609391940000002</v>
      </c>
      <c r="L34" s="157">
        <f ca="1">[1]!s_share_liqa(E34,$B$2,100000000)</f>
        <v>17.548778779999999</v>
      </c>
      <c r="M34" s="125">
        <f ca="1">[1]!s_fa_gr_ttm2(E34,$C$3,100000000)</f>
        <v>45.953209999999999</v>
      </c>
      <c r="N34" s="126">
        <f ca="1">[1]!s_fa_netprofit_ttm2(E34,$C$3,100000000)</f>
        <v>14.379350000000001</v>
      </c>
      <c r="O34" s="125"/>
      <c r="P34" s="126">
        <f ca="1">[1]!s_val_pe_ttm(E34,[1]!td($B$2-1))</f>
        <v>8.6177940368652344</v>
      </c>
      <c r="Q34" s="126">
        <f ca="1">[1]!i_val_pe_percentile(E34,[1]!td($B$2-1),$B$2-365*5,[1]!td($B$2-1))</f>
        <v>4.3967280163599183</v>
      </c>
      <c r="R34" s="126">
        <f ca="1">[1]!pb_mrq(E34,[1]!td($B$2-1))</f>
        <v>0.84699250182918484</v>
      </c>
      <c r="S34" s="126">
        <f ca="1">[1]!i_val_pb_percentile(E34,[1]!td($B$2-1),$B$2-365*5,[1]!td($B$2-1))</f>
        <v>4.0899795501022496</v>
      </c>
      <c r="T34" s="126">
        <f ca="1">[1]!s_val_pe_ttm([1]!to_windcode_index(H34&amp;"(申万)"),[1]!td($B$2-1))</f>
        <v>6.5500001907348633</v>
      </c>
      <c r="U34" s="126"/>
      <c r="V34" s="126">
        <f ca="1">[1]!s_fa_roe(E34,$C$3)</f>
        <v>8.1755999999999993</v>
      </c>
      <c r="W34" s="126">
        <f ca="1">[1]!s_fa_grossprofitmargin(E34,$C$3)</f>
        <v>0</v>
      </c>
      <c r="X34" s="126">
        <f ca="1">[1]!s_fa_netprofitmargin(E34,$C$3)</f>
        <v>33.073399999999999</v>
      </c>
      <c r="Y34" s="126">
        <f ca="1">[1]!s_fa_roic(E34,$C$3)</f>
        <v>0</v>
      </c>
      <c r="Z34" s="126">
        <f ca="1">[1]!s_fa_operateincometoebt_ttm2(E34,$C$3)</f>
        <v>66.915999999999997</v>
      </c>
      <c r="AA34" s="125"/>
      <c r="AB34" s="343"/>
      <c r="AC34" s="125">
        <f ca="1">[1]!s_fa_cagr_tr($E34,AC$6,3)</f>
        <v>0</v>
      </c>
      <c r="AD34" s="125">
        <f ca="1">[1]!s_fa_cagr_tr($E34,AD$6,3)</f>
        <v>7.3170921452739845</v>
      </c>
      <c r="AE34" s="126">
        <f ca="1">[1]!s_fa_cagr_tr($E34,AE$6,3)</f>
        <v>10.750229622139273</v>
      </c>
      <c r="AF34" s="126">
        <f ca="1">[1]!s_fa_cagr_tr($E34,AF$6,3)</f>
        <v>12.855341110928675</v>
      </c>
      <c r="AG34" s="126">
        <f ca="1">[1]!s_fa_cagr_tr($E34,AG$6,3)</f>
        <v>13.361159743661212</v>
      </c>
      <c r="AH34" s="126">
        <f ca="1">[1]!s_fa_cagr_tr($E34,AH$6,3)</f>
        <v>16.899523495634948</v>
      </c>
      <c r="AI34" s="169"/>
      <c r="AJ34" s="126">
        <f ca="1">[1]!s_fa_cagr_netprofit($E34,AJ$6,3)</f>
        <v>0</v>
      </c>
      <c r="AK34" s="126">
        <f ca="1">[1]!s_fa_cagr_netprofit($E34,AK$6,3)</f>
        <v>8.2096484771562395</v>
      </c>
      <c r="AL34" s="126">
        <f ca="1">[1]!s_fa_cagr_netprofit($E34,AL$6,3)</f>
        <v>11.112719077130029</v>
      </c>
      <c r="AM34" s="126">
        <f ca="1">[1]!s_fa_cagr_netprofit($E34,AM$6,3)</f>
        <v>14.300961770535835</v>
      </c>
      <c r="AN34" s="126">
        <f ca="1">[1]!s_fa_cagr_netprofit($E34,AN$6,3)</f>
        <v>14.970501622860933</v>
      </c>
      <c r="AO34" s="126">
        <f ca="1">[1]!s_fa_cagr_netprofit($E34,AO$6,3)</f>
        <v>21.396585077014606</v>
      </c>
      <c r="AP34" s="129"/>
      <c r="AQ34" s="203">
        <f ca="1">[1]!s_fa_dupont_roe(E34,$C$3)</f>
        <v>8.1755999999999993</v>
      </c>
      <c r="AR34" s="203">
        <f ca="1">[1]!s_fa_dupont_nptosales(B34,$C$3)</f>
        <v>33.073399999999999</v>
      </c>
      <c r="AS34" s="238">
        <f ca="1">[1]!s_fa_dupont_faturnover(E34,$C$3)</f>
        <v>1.67E-2</v>
      </c>
      <c r="AT34" s="203">
        <f ca="1">[1]!s_fa_dupont_assetstoequity(E34,$C$3)</f>
        <v>14.777200000000001</v>
      </c>
      <c r="AU34" s="129"/>
      <c r="AV34" s="129"/>
      <c r="AW34" s="129"/>
      <c r="AX34" s="129"/>
      <c r="AY34" s="129"/>
      <c r="AZ34" s="129"/>
      <c r="BA34" s="129"/>
      <c r="BB34" s="129"/>
      <c r="BC34" s="129"/>
      <c r="BD34" s="129"/>
      <c r="BE34" s="129"/>
    </row>
    <row r="35" spans="1:57" s="191" customFormat="1" ht="12" customHeight="1" x14ac:dyDescent="0.35">
      <c r="A35" s="182" t="s">
        <v>0</v>
      </c>
      <c r="B35" s="182" t="s">
        <v>856</v>
      </c>
      <c r="C35" s="182" t="s">
        <v>857</v>
      </c>
      <c r="D35" s="182" t="str">
        <f ca="1">[1]!cb_info_underlyingname(B35)</f>
        <v>无锡银行</v>
      </c>
      <c r="E35" s="183" t="str">
        <f ca="1">[1]!cb_info_underlyingcode(B35)</f>
        <v>600908.SH</v>
      </c>
      <c r="F35" s="184" t="str">
        <f ca="1">[1]!s_info_industry_sw(B35,1)</f>
        <v>银行</v>
      </c>
      <c r="G35" s="184" t="str">
        <f ca="1">[1]!s_info_industry_sw(E35,2)</f>
        <v>银行Ⅱ</v>
      </c>
      <c r="H35" s="184" t="str">
        <f ca="1">[1]!s_info_industry_sw(E35,3)</f>
        <v>银行Ⅲ</v>
      </c>
      <c r="I35" s="192" t="str">
        <f ca="1">[1]!s_info_majorproducttype(E35)</f>
        <v>存贷款业务、国际业务、人民币理财、投资银行业务、银行卡、中间业务</v>
      </c>
      <c r="J35" s="189">
        <f ca="1">[1]!s_val_ev(E35,$B$2,100000000)</f>
        <v>110.0247393156</v>
      </c>
      <c r="K35" s="193">
        <f ca="1">[1]!s_share_total(E35,$B$2,100000000)</f>
        <v>18.616707160000001</v>
      </c>
      <c r="L35" s="193">
        <f ca="1">[1]!s_share_liqa(E35,$B$2,100000000)</f>
        <v>17.369747910000001</v>
      </c>
      <c r="M35" s="186">
        <f ca="1">[1]!s_fa_gr_ttm2(E35,$C$3,100000000)</f>
        <v>38.4587</v>
      </c>
      <c r="N35" s="187">
        <f ca="1">[1]!s_fa_netprofit_ttm2(E35,$C$3,100000000)</f>
        <v>12.91634</v>
      </c>
      <c r="O35" s="186"/>
      <c r="P35" s="187">
        <f ca="1">[1]!s_val_pe_ttm(E35,[1]!td($B$2-1))</f>
        <v>7.7563982009887695</v>
      </c>
      <c r="Q35" s="187">
        <f ca="1">[1]!i_val_pe_percentile(E35,[1]!td($B$2-1),$B$2-365*5,[1]!td($B$2-1))</f>
        <v>10.552486187845304</v>
      </c>
      <c r="R35" s="187">
        <f ca="1">[1]!pb_mrq(E35,[1]!td($B$2-1))</f>
        <v>0.85760683527011461</v>
      </c>
      <c r="S35" s="187">
        <f ca="1">[1]!i_val_pb_percentile(E35,[1]!td($B$2-1),$B$2-365*5,[1]!td($B$2-1))</f>
        <v>9.4475138121546962</v>
      </c>
      <c r="T35" s="187">
        <f ca="1">[1]!s_val_pe_ttm([1]!to_windcode_index(H35&amp;"(申万)"),[1]!td($B$2-1))</f>
        <v>6.5500001907348633</v>
      </c>
      <c r="U35" s="187"/>
      <c r="V35" s="187">
        <f ca="1">[1]!s_fa_roe(E35,$C$3)</f>
        <v>8.4530999999999992</v>
      </c>
      <c r="W35" s="187">
        <f ca="1">[1]!s_fa_grossprofitmargin(E35,$C$3)</f>
        <v>0</v>
      </c>
      <c r="X35" s="187">
        <f ca="1">[1]!s_fa_netprofitmargin(E35,$C$3)</f>
        <v>35.053600000000003</v>
      </c>
      <c r="Y35" s="187">
        <f ca="1">[1]!s_fa_roic(E35,$C$3)</f>
        <v>0</v>
      </c>
      <c r="Z35" s="187">
        <f ca="1">[1]!s_fa_operateincometoebt_ttm2(E35,$C$3)</f>
        <v>66.307199999999995</v>
      </c>
      <c r="AA35" s="186"/>
      <c r="AB35" s="342"/>
      <c r="AC35" s="186">
        <f ca="1">[1]!s_fa_cagr_tr($E35,AC$6,3)</f>
        <v>0</v>
      </c>
      <c r="AD35" s="186">
        <f ca="1">[1]!s_fa_cagr_tr($E35,AD$6,3)</f>
        <v>10.964508489928914</v>
      </c>
      <c r="AE35" s="187">
        <f ca="1">[1]!s_fa_cagr_tr($E35,AE$6,3)</f>
        <v>11.968121007773046</v>
      </c>
      <c r="AF35" s="187">
        <f ca="1">[1]!s_fa_cagr_tr($E35,AF$6,3)</f>
        <v>10.026391559125813</v>
      </c>
      <c r="AG35" s="187">
        <f ca="1">[1]!s_fa_cagr_tr($E35,AG$6,3)</f>
        <v>7.7667733410480722</v>
      </c>
      <c r="AH35" s="187">
        <f ca="1">[1]!s_fa_cagr_tr($E35,AH$6,3)</f>
        <v>6.9856459573940377</v>
      </c>
      <c r="AI35" s="194"/>
      <c r="AJ35" s="187">
        <f ca="1">[1]!s_fa_cagr_netprofit($E35,AJ$6,3)</f>
        <v>0</v>
      </c>
      <c r="AK35" s="187">
        <f ca="1">[1]!s_fa_cagr_netprofit($E35,AK$6,3)</f>
        <v>9.6482402392853004</v>
      </c>
      <c r="AL35" s="187">
        <f ca="1">[1]!s_fa_cagr_netprofit($E35,AL$6,3)</f>
        <v>11.861399233428905</v>
      </c>
      <c r="AM35" s="187">
        <f ca="1">[1]!s_fa_cagr_netprofit($E35,AM$6,3)</f>
        <v>9.5467726558232222</v>
      </c>
      <c r="AN35" s="187">
        <f ca="1">[1]!s_fa_cagr_netprofit($E35,AN$6,3)</f>
        <v>2.4368776310135454</v>
      </c>
      <c r="AO35" s="187">
        <f ca="1">[1]!s_fa_cagr_netprofit($E35,AO$6,3)</f>
        <v>-1.187938771493513</v>
      </c>
      <c r="AP35" s="189"/>
      <c r="AQ35" s="202">
        <f ca="1">[1]!s_fa_dupont_roe(E35,$C$3)</f>
        <v>8.4530999999999992</v>
      </c>
      <c r="AR35" s="202">
        <f ca="1">[1]!s_fa_dupont_nptosales(B35,$C$3)</f>
        <v>35.053600000000003</v>
      </c>
      <c r="AS35" s="237">
        <f ca="1">[1]!s_fa_dupont_faturnover(E35,$C$3)</f>
        <v>1.6899999999999998E-2</v>
      </c>
      <c r="AT35" s="202">
        <f ca="1">[1]!s_fa_dupont_assetstoequity(E35,$C$3)</f>
        <v>14.332800000000001</v>
      </c>
      <c r="AU35" s="189"/>
      <c r="AV35" s="201"/>
      <c r="AW35" s="189"/>
      <c r="AX35" s="189"/>
      <c r="AY35" s="189"/>
      <c r="AZ35" s="189"/>
      <c r="BA35" s="189"/>
      <c r="BB35" s="189"/>
      <c r="BC35" s="189"/>
      <c r="BD35" s="189"/>
      <c r="BE35" s="189"/>
    </row>
    <row r="36" spans="1:57" s="130" customFormat="1" ht="12" customHeight="1" x14ac:dyDescent="0.35">
      <c r="A36" s="121" t="s">
        <v>5</v>
      </c>
      <c r="B36" s="121" t="s">
        <v>885</v>
      </c>
      <c r="C36" s="121" t="s">
        <v>886</v>
      </c>
      <c r="D36" s="121" t="str">
        <f ca="1">[1]!cb_info_underlyingname(B36)</f>
        <v>张家港行</v>
      </c>
      <c r="E36" s="122" t="str">
        <f ca="1">[1]!cb_info_underlyingcode(B36)</f>
        <v>002839.SZ</v>
      </c>
      <c r="F36" s="123" t="str">
        <f ca="1">[1]!s_info_industry_sw(B36,1)</f>
        <v>银行</v>
      </c>
      <c r="G36" s="123" t="str">
        <f ca="1">[1]!s_info_industry_sw(E36,2)</f>
        <v>银行Ⅱ</v>
      </c>
      <c r="H36" s="123" t="str">
        <f ca="1">[1]!s_info_industry_sw(E36,3)</f>
        <v>银行Ⅲ</v>
      </c>
      <c r="I36" s="156" t="str">
        <f ca="1">[1]!s_info_majorproducttype(E36)</f>
        <v>存贷款业务、电子银行业务、投资银行业务、银行卡</v>
      </c>
      <c r="J36" s="129">
        <f ca="1">[1]!s_val_ev(E36,$B$2,100000000)</f>
        <v>108.11587727720001</v>
      </c>
      <c r="K36" s="157">
        <f ca="1">[1]!s_share_total(E36,$B$2,100000000)</f>
        <v>18.079578139999999</v>
      </c>
      <c r="L36" s="157">
        <f ca="1">[1]!s_share_liqa(E36,$B$2,100000000)</f>
        <v>14.39960574</v>
      </c>
      <c r="M36" s="125">
        <f ca="1">[1]!s_fa_gr_ttm2(E36,$C$3,100000000)</f>
        <v>41.463756427100002</v>
      </c>
      <c r="N36" s="126">
        <f ca="1">[1]!s_fa_netprofit_ttm2(E36,$C$3,100000000)</f>
        <v>9.8944604775999991</v>
      </c>
      <c r="O36" s="125"/>
      <c r="P36" s="126">
        <f ca="1">[1]!s_val_pe_ttm(E36,[1]!td($B$2-1))</f>
        <v>9.795252799987793</v>
      </c>
      <c r="Q36" s="126">
        <f ca="1">[1]!i_val_pe_percentile(E36,[1]!td($B$2-1),$B$2-365*5,[1]!td($B$2-1))</f>
        <v>8.4173088322465919</v>
      </c>
      <c r="R36" s="126">
        <f ca="1">[1]!pb_mrq(E36,[1]!td($B$2-1))</f>
        <v>0.97015727141030661</v>
      </c>
      <c r="S36" s="126">
        <f ca="1">[1]!i_val_pb_percentile(E36,[1]!td($B$2-1),$B$2-365*5,[1]!td($B$2-1))</f>
        <v>17.545939537640781</v>
      </c>
      <c r="T36" s="126">
        <f ca="1">[1]!s_val_pe_ttm([1]!to_windcode_index(H36&amp;"(申万)"),[1]!td($B$2-1))</f>
        <v>6.5500001907348633</v>
      </c>
      <c r="U36" s="126"/>
      <c r="V36" s="126">
        <f ca="1">[1]!s_fa_roe(E36,$C$3)</f>
        <v>7.1037999999999997</v>
      </c>
      <c r="W36" s="126">
        <f ca="1">[1]!s_fa_grossprofitmargin(E36,$C$3)</f>
        <v>0</v>
      </c>
      <c r="X36" s="126">
        <f ca="1">[1]!s_fa_netprofitmargin(E36,$C$3)</f>
        <v>24.794599999999999</v>
      </c>
      <c r="Y36" s="126">
        <f ca="1">[1]!s_fa_roic(E36,$C$3)</f>
        <v>0</v>
      </c>
      <c r="Z36" s="126">
        <f ca="1">[1]!s_fa_operateincometoebt_ttm2(E36,$C$3)</f>
        <v>27.489899999999999</v>
      </c>
      <c r="AA36" s="125"/>
      <c r="AB36" s="343"/>
      <c r="AC36" s="125">
        <f ca="1">[1]!s_fa_cagr_tr($E36,AC$6,3)</f>
        <v>0</v>
      </c>
      <c r="AD36" s="125">
        <f ca="1">[1]!s_fa_cagr_tr($E36,AD$6,3)</f>
        <v>20.230019073497708</v>
      </c>
      <c r="AE36" s="126">
        <f ca="1">[1]!s_fa_cagr_tr($E36,AE$6,3)</f>
        <v>16.616250413318888</v>
      </c>
      <c r="AF36" s="126">
        <f ca="1">[1]!s_fa_cagr_tr($E36,AF$6,3)</f>
        <v>7.6203318678790044</v>
      </c>
      <c r="AG36" s="126">
        <f ca="1">[1]!s_fa_cagr_tr($E36,AG$6,3)</f>
        <v>0.69523298195581784</v>
      </c>
      <c r="AH36" s="126">
        <f ca="1">[1]!s_fa_cagr_tr($E36,AH$6,3)</f>
        <v>3.1178437546551807</v>
      </c>
      <c r="AI36" s="169"/>
      <c r="AJ36" s="126">
        <f ca="1">[1]!s_fa_cagr_netprofit($E36,AJ$6,3)</f>
        <v>0</v>
      </c>
      <c r="AK36" s="126">
        <f ca="1">[1]!s_fa_cagr_netprofit($E36,AK$6,3)</f>
        <v>9.4553836365254504</v>
      </c>
      <c r="AL36" s="126">
        <f ca="1">[1]!s_fa_cagr_netprofit($E36,AL$6,3)</f>
        <v>11.438597670234252</v>
      </c>
      <c r="AM36" s="126">
        <f ca="1">[1]!s_fa_cagr_netprofit($E36,AM$6,3)</f>
        <v>7.458877053455959</v>
      </c>
      <c r="AN36" s="126">
        <f ca="1">[1]!s_fa_cagr_netprofit($E36,AN$6,3)</f>
        <v>1.4431177661978101</v>
      </c>
      <c r="AO36" s="126">
        <f ca="1">[1]!s_fa_cagr_netprofit($E36,AO$6,3)</f>
        <v>-11.733450357668518</v>
      </c>
      <c r="AP36" s="129"/>
      <c r="AQ36" s="203">
        <f ca="1">[1]!s_fa_dupont_roe(E36,$C$3)</f>
        <v>7.1037999999999997</v>
      </c>
      <c r="AR36" s="203">
        <f ca="1">[1]!s_fa_dupont_nptosales(B36,$C$3)</f>
        <v>24.794599999999999</v>
      </c>
      <c r="AS36" s="238">
        <f ca="1">[1]!s_fa_dupont_faturnover(E36,$C$3)</f>
        <v>2.3900000000000001E-2</v>
      </c>
      <c r="AT36" s="203">
        <f ca="1">[1]!s_fa_dupont_assetstoequity(E36,$C$3)</f>
        <v>12.0062</v>
      </c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</row>
    <row r="37" spans="1:57" s="191" customFormat="1" ht="12" customHeight="1" x14ac:dyDescent="0.35">
      <c r="A37" s="182" t="s">
        <v>5</v>
      </c>
      <c r="B37" s="182" t="s">
        <v>883</v>
      </c>
      <c r="C37" s="182" t="s">
        <v>884</v>
      </c>
      <c r="D37" s="182" t="str">
        <f ca="1">[1]!cb_info_underlyingname(B37)</f>
        <v>江阴银行</v>
      </c>
      <c r="E37" s="183" t="str">
        <f ca="1">[1]!cb_info_underlyingcode(B37)</f>
        <v>002807.SZ</v>
      </c>
      <c r="F37" s="184" t="str">
        <f ca="1">[1]!s_info_industry_sw(B37,1)</f>
        <v>银行</v>
      </c>
      <c r="G37" s="184" t="str">
        <f ca="1">[1]!s_info_industry_sw(E37,2)</f>
        <v>银行Ⅱ</v>
      </c>
      <c r="H37" s="184" t="str">
        <f ca="1">[1]!s_info_industry_sw(E37,3)</f>
        <v>银行Ⅲ</v>
      </c>
      <c r="I37" s="192" t="str">
        <f ca="1">[1]!s_info_majorproducttype(E37)</f>
        <v>存贷款业务、国际业务、银行卡、中间业务、专业咨询服务、资金信托</v>
      </c>
      <c r="J37" s="189">
        <f ca="1">[1]!s_val_ev(E37,$B$2,100000000)</f>
        <v>84.925441598900008</v>
      </c>
      <c r="K37" s="193">
        <f ca="1">[1]!s_share_total(E37,$B$2,100000000)</f>
        <v>21.720061789999999</v>
      </c>
      <c r="L37" s="193">
        <f ca="1">[1]!s_share_liqa(E37,$B$2,100000000)</f>
        <v>21.694330959999998</v>
      </c>
      <c r="M37" s="186">
        <f ca="1">[1]!s_fa_gr_ttm2(E37,$C$3,100000000)</f>
        <v>33.196570000000001</v>
      </c>
      <c r="N37" s="187">
        <f ca="1">[1]!s_fa_netprofit_ttm2(E37,$C$3,100000000)</f>
        <v>10.24316</v>
      </c>
      <c r="O37" s="186"/>
      <c r="P37" s="187">
        <f ca="1">[1]!s_val_pe_ttm(E37,[1]!td($B$2-1))</f>
        <v>7.5846672058105469</v>
      </c>
      <c r="Q37" s="187">
        <f ca="1">[1]!i_val_pe_percentile(E37,[1]!td($B$2-1),$B$2-365*5,[1]!td($B$2-1))</f>
        <v>0.71271929824561397</v>
      </c>
      <c r="R37" s="187">
        <f ca="1">[1]!pb_mrq(E37,[1]!td($B$2-1))</f>
        <v>0.71496967044889337</v>
      </c>
      <c r="S37" s="187">
        <f ca="1">[1]!i_val_pb_percentile(E37,[1]!td($B$2-1),$B$2-365*5,[1]!td($B$2-1))</f>
        <v>1.9736842105263157</v>
      </c>
      <c r="T37" s="187">
        <f ca="1">[1]!s_val_pe_ttm([1]!to_windcode_index(H37&amp;"(申万)"),[1]!td($B$2-1))</f>
        <v>6.5500001907348633</v>
      </c>
      <c r="U37" s="186"/>
      <c r="V37" s="186">
        <f ca="1">[1]!s_fa_roe(E37,$C$3)</f>
        <v>5.5179999999999998</v>
      </c>
      <c r="W37" s="186">
        <f ca="1">[1]!s_fa_grossprofitmargin(E37,$C$3)</f>
        <v>0</v>
      </c>
      <c r="X37" s="186">
        <f ca="1">[1]!s_fa_netprofitmargin(E37,$C$3)</f>
        <v>25.848600000000001</v>
      </c>
      <c r="Y37" s="186">
        <f ca="1">[1]!s_fa_roic(E37,$C$3)</f>
        <v>0</v>
      </c>
      <c r="Z37" s="186">
        <f ca="1">[1]!s_fa_operateincometoebt_ttm2(E37,$C$3)</f>
        <v>37.542400000000001</v>
      </c>
      <c r="AA37" s="186"/>
      <c r="AB37" s="342"/>
      <c r="AC37" s="186">
        <f ca="1">[1]!s_fa_cagr_tr($E37,AC$6,3)</f>
        <v>0</v>
      </c>
      <c r="AD37" s="186">
        <f ca="1">[1]!s_fa_cagr_tr($E37,AD$6,3)</f>
        <v>10.161594138936225</v>
      </c>
      <c r="AE37" s="187">
        <f ca="1">[1]!s_fa_cagr_tr($E37,AE$6,3)</f>
        <v>11.296140669806531</v>
      </c>
      <c r="AF37" s="187">
        <f ca="1">[1]!s_fa_cagr_tr($E37,AF$6,3)</f>
        <v>8.3549748668738886</v>
      </c>
      <c r="AG37" s="187">
        <f ca="1">[1]!s_fa_cagr_tr($E37,AG$6,3)</f>
        <v>2.000246256982785</v>
      </c>
      <c r="AH37" s="187">
        <f ca="1">[1]!s_fa_cagr_tr($E37,AH$6,3)</f>
        <v>2.5672654866278011</v>
      </c>
      <c r="AI37" s="194"/>
      <c r="AJ37" s="187">
        <f ca="1">[1]!s_fa_cagr_netprofit($E37,AJ$6,3)</f>
        <v>0</v>
      </c>
      <c r="AK37" s="187">
        <f ca="1">[1]!s_fa_cagr_netprofit($E37,AK$6,3)</f>
        <v>9.3429974196438401</v>
      </c>
      <c r="AL37" s="187">
        <f ca="1">[1]!s_fa_cagr_netprofit($E37,AL$6,3)</f>
        <v>9.18902367100074</v>
      </c>
      <c r="AM37" s="187">
        <f ca="1">[1]!s_fa_cagr_netprofit($E37,AM$6,3)</f>
        <v>1.723829457692827</v>
      </c>
      <c r="AN37" s="187">
        <f ca="1">[1]!s_fa_cagr_netprofit($E37,AN$6,3)</f>
        <v>-0.38759983732313819</v>
      </c>
      <c r="AO37" s="187">
        <f ca="1">[1]!s_fa_cagr_netprofit($E37,AO$6,3)</f>
        <v>-8.0214951144904845</v>
      </c>
      <c r="AP37" s="189"/>
      <c r="AQ37" s="202">
        <f ca="1">[1]!s_fa_dupont_roe(E37,$C$3)</f>
        <v>5.5179999999999998</v>
      </c>
      <c r="AR37" s="202">
        <f ca="1">[1]!s_fa_dupont_nptosales(B37,$C$3)</f>
        <v>25.848600000000001</v>
      </c>
      <c r="AS37" s="237">
        <f ca="1">[1]!s_fa_dupont_faturnover(E37,$C$3)</f>
        <v>1.9099999999999999E-2</v>
      </c>
      <c r="AT37" s="202">
        <f ca="1">[1]!s_fa_dupont_assetstoequity(E37,$C$3)</f>
        <v>11.1267</v>
      </c>
      <c r="AU37" s="189"/>
      <c r="AV37" s="189"/>
      <c r="AW37" s="189"/>
      <c r="AX37" s="189"/>
      <c r="AY37" s="189"/>
      <c r="AZ37" s="189"/>
      <c r="BA37" s="189"/>
      <c r="BB37" s="189"/>
      <c r="BC37" s="189"/>
      <c r="BD37" s="189"/>
      <c r="BE37" s="189"/>
    </row>
    <row r="38" spans="1:57" s="130" customFormat="1" ht="12" customHeight="1" x14ac:dyDescent="0.35">
      <c r="A38" s="121" t="s">
        <v>0</v>
      </c>
      <c r="B38" s="121" t="s">
        <v>878</v>
      </c>
      <c r="C38" s="121" t="s">
        <v>879</v>
      </c>
      <c r="D38" s="121" t="str">
        <f ca="1">[1]!cb_info_underlyingname(B38)</f>
        <v>苏农银行</v>
      </c>
      <c r="E38" s="122" t="str">
        <f ca="1">[1]!cb_info_underlyingcode(B38)</f>
        <v>603323.SH</v>
      </c>
      <c r="F38" s="123" t="str">
        <f ca="1">[1]!s_info_industry_sw(B38,1)</f>
        <v>银行</v>
      </c>
      <c r="G38" s="123" t="str">
        <f ca="1">[1]!s_info_industry_sw(E38,2)</f>
        <v>银行Ⅱ</v>
      </c>
      <c r="H38" s="123" t="str">
        <f ca="1">[1]!s_info_industry_sw(E38,3)</f>
        <v>银行Ⅲ</v>
      </c>
      <c r="I38" s="156" t="str">
        <f ca="1">[1]!s_info_majorproducttype(E38)</f>
        <v>存贷款业务、电子银行业务、投资银行业务、银行卡</v>
      </c>
      <c r="J38" s="129">
        <f ca="1">[1]!s_val_ev(E38,$B$2,100000000)</f>
        <v>93.579346130700017</v>
      </c>
      <c r="K38" s="157">
        <f ca="1">[1]!s_share_total(E38,$B$2,100000000)</f>
        <v>18.030702529999999</v>
      </c>
      <c r="L38" s="157">
        <f ca="1">[1]!s_share_liqa(E38,$B$2,100000000)</f>
        <v>14.399920189999998</v>
      </c>
      <c r="M38" s="125">
        <f ca="1">[1]!s_fa_gr_ttm2(E38,$C$3,100000000)</f>
        <v>37.138080000000002</v>
      </c>
      <c r="N38" s="126">
        <f ca="1">[1]!s_fa_netprofit_ttm2(E38,$C$3,100000000)</f>
        <v>9.6884599999999992</v>
      </c>
      <c r="O38" s="125"/>
      <c r="P38" s="126">
        <f ca="1">[1]!s_val_pe_ttm(E38,[1]!td($B$2-1))</f>
        <v>8.8839578628540039</v>
      </c>
      <c r="Q38" s="126">
        <f ca="1">[1]!i_val_pe_percentile(E38,[1]!td($B$2-1),$B$2-365*5,[1]!td($B$2-1))</f>
        <v>15.261044176706829</v>
      </c>
      <c r="R38" s="126">
        <f ca="1">[1]!pb_mrq(E38,[1]!td($B$2-1))</f>
        <v>0.75926551891146643</v>
      </c>
      <c r="S38" s="126">
        <f ca="1">[1]!i_val_pb_percentile(E38,[1]!td($B$2-1),$B$2-365*5,[1]!td($B$2-1))</f>
        <v>30.292598967297764</v>
      </c>
      <c r="T38" s="126">
        <f ca="1">[1]!s_val_pe_ttm([1]!to_windcode_index(H38&amp;"(申万)"),[1]!td($B$2-1))</f>
        <v>6.5500001907348633</v>
      </c>
      <c r="U38" s="126"/>
      <c r="V38" s="126">
        <f ca="1">[1]!s_fa_roe(E38,$C$3)</f>
        <v>7.5141</v>
      </c>
      <c r="W38" s="126">
        <f ca="1">[1]!s_fa_grossprofitmargin(E38,$C$3)</f>
        <v>0</v>
      </c>
      <c r="X38" s="126">
        <f ca="1">[1]!s_fa_netprofitmargin(E38,$C$3)</f>
        <v>31.575600000000001</v>
      </c>
      <c r="Y38" s="126">
        <f ca="1">[1]!s_fa_roic(E38,$C$3)</f>
        <v>0</v>
      </c>
      <c r="Z38" s="126">
        <f ca="1">[1]!s_fa_operateincometoebt_ttm2(E38,$C$3)</f>
        <v>51.306800000000003</v>
      </c>
      <c r="AA38" s="125"/>
      <c r="AB38" s="343"/>
      <c r="AC38" s="125">
        <f ca="1">[1]!s_fa_cagr_tr($E38,AC$6,3)</f>
        <v>0</v>
      </c>
      <c r="AD38" s="125">
        <f ca="1">[1]!s_fa_cagr_tr($E38,AD$6,3)</f>
        <v>11.244449410773605</v>
      </c>
      <c r="AE38" s="126">
        <f ca="1">[1]!s_fa_cagr_tr($E38,AE$6,3)</f>
        <v>15.151752779106008</v>
      </c>
      <c r="AF38" s="126">
        <f ca="1">[1]!s_fa_cagr_tr($E38,AF$6,3)</f>
        <v>9.9663338072192964</v>
      </c>
      <c r="AG38" s="126">
        <f ca="1">[1]!s_fa_cagr_tr($E38,AG$6,3)</f>
        <v>3.9055595886064776</v>
      </c>
      <c r="AH38" s="126">
        <f ca="1">[1]!s_fa_cagr_tr($E38,AH$6,3)</f>
        <v>0.32186804314704442</v>
      </c>
      <c r="AI38" s="169"/>
      <c r="AJ38" s="126">
        <f ca="1">[1]!s_fa_cagr_netprofit($E38,AJ$6,3)</f>
        <v>0</v>
      </c>
      <c r="AK38" s="126">
        <f ca="1">[1]!s_fa_cagr_netprofit($E38,AK$6,3)</f>
        <v>9.1779528851692938</v>
      </c>
      <c r="AL38" s="126">
        <f ca="1">[1]!s_fa_cagr_netprofit($E38,AL$6,3)</f>
        <v>11.984321374478736</v>
      </c>
      <c r="AM38" s="126">
        <f ca="1">[1]!s_fa_cagr_netprofit($E38,AM$6,3)</f>
        <v>9.8930075579477297</v>
      </c>
      <c r="AN38" s="126">
        <f ca="1">[1]!s_fa_cagr_netprofit($E38,AN$6,3)</f>
        <v>-1.6163144281229003</v>
      </c>
      <c r="AO38" s="126">
        <f ca="1">[1]!s_fa_cagr_netprofit($E38,AO$6,3)</f>
        <v>-12.313295764819465</v>
      </c>
      <c r="AP38" s="129"/>
      <c r="AQ38" s="203">
        <f ca="1">[1]!s_fa_dupont_roe(E38,$C$3)</f>
        <v>7.5141</v>
      </c>
      <c r="AR38" s="203">
        <f ca="1">[1]!s_fa_dupont_nptosales(B38,$C$3)</f>
        <v>31.575600000000001</v>
      </c>
      <c r="AS38" s="238">
        <f ca="1">[1]!s_fa_dupont_faturnover(E38,$C$3)</f>
        <v>2.1600000000000001E-2</v>
      </c>
      <c r="AT38" s="203">
        <f ca="1">[1]!s_fa_dupont_assetstoequity(E38,$C$3)</f>
        <v>11.0443</v>
      </c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</row>
    <row r="39" spans="1:57" s="191" customFormat="1" ht="12" customHeight="1" x14ac:dyDescent="0.35">
      <c r="A39" s="182" t="s">
        <v>5</v>
      </c>
      <c r="B39" s="182" t="s">
        <v>290</v>
      </c>
      <c r="C39" s="182" t="s">
        <v>291</v>
      </c>
      <c r="D39" s="182" t="str">
        <f ca="1">[1]!cb_info_underlyingname(B39)</f>
        <v>英科医疗</v>
      </c>
      <c r="E39" s="183" t="str">
        <f ca="1">[1]!cb_info_underlyingcode(B39)</f>
        <v>300677.SZ</v>
      </c>
      <c r="F39" s="184" t="str">
        <f ca="1">[1]!s_info_industry_sw(B39,1)</f>
        <v>医药生物</v>
      </c>
      <c r="G39" s="184" t="str">
        <f ca="1">[1]!s_info_industry_sw(E39,2)</f>
        <v>医疗器械Ⅱ</v>
      </c>
      <c r="H39" s="184" t="str">
        <f ca="1">[1]!s_info_industry_sw(E39,3)</f>
        <v>医疗器械Ⅲ</v>
      </c>
      <c r="I39" s="192" t="str">
        <f ca="1">[1]!s_info_majorproducttype(E39)</f>
        <v>医用耗材</v>
      </c>
      <c r="J39" s="189">
        <f ca="1">[1]!s_val_ev(E39,$B$2,100000000)</f>
        <v>367.77453255760003</v>
      </c>
      <c r="K39" s="193">
        <f ca="1">[1]!s_share_total(E39,$B$2,100000000)</f>
        <v>3.66345784</v>
      </c>
      <c r="L39" s="193">
        <f ca="1">[1]!s_share_liqa(E39,$B$2,100000000)</f>
        <v>2.51423314</v>
      </c>
      <c r="M39" s="186">
        <f ca="1">[1]!s_fa_gr_ttm2(E39,$C$3,100000000)</f>
        <v>95.025722567700001</v>
      </c>
      <c r="N39" s="187">
        <f ca="1">[1]!s_fa_netprofit_ttm2(E39,$C$3,100000000)</f>
        <v>44.2512809722</v>
      </c>
      <c r="O39" s="186"/>
      <c r="P39" s="187">
        <f ca="1">[1]!s_val_pe_ttm(E39,[1]!td($B$2-1))</f>
        <v>3.3542106151580811</v>
      </c>
      <c r="Q39" s="187">
        <f ca="1">[1]!i_val_pe_percentile(E39,[1]!td($B$2-1),$B$2-365*5,[1]!td($B$2-1))</f>
        <v>0.39761431411530812</v>
      </c>
      <c r="R39" s="187">
        <f ca="1">[1]!pb_mrq(E39,[1]!td($B$2-1))</f>
        <v>2.5698575309191951</v>
      </c>
      <c r="S39" s="187">
        <f ca="1">[1]!i_val_pb_percentile(E39,[1]!td($B$2-1),$B$2-365*5,[1]!td($B$2-1))</f>
        <v>17.760106030483762</v>
      </c>
      <c r="T39" s="187">
        <f ca="1">[1]!s_val_pe_ttm([1]!to_windcode_index(H39&amp;"(申万)"),[1]!td($B$2-1))</f>
        <v>20.920000076293945</v>
      </c>
      <c r="U39" s="187"/>
      <c r="V39" s="187">
        <f ca="1">[1]!s_fa_roe(E39,$C$3)</f>
        <v>116.1914</v>
      </c>
      <c r="W39" s="187">
        <f ca="1">[1]!s_fa_grossprofitmargin(E39,$C$3)</f>
        <v>68.524900000000002</v>
      </c>
      <c r="X39" s="187">
        <f ca="1">[1]!s_fa_netprofitmargin(E39,$C$3)</f>
        <v>48.878500000000003</v>
      </c>
      <c r="Y39" s="187">
        <f ca="1">[1]!s_fa_roic(E39,$C$3)</f>
        <v>97.910700000000006</v>
      </c>
      <c r="Z39" s="187">
        <f ca="1">[1]!s_fa_operateincometoebt_ttm2(E39,$C$3)</f>
        <v>99.793800000000005</v>
      </c>
      <c r="AA39" s="186"/>
      <c r="AB39" s="342"/>
      <c r="AC39" s="186">
        <f ca="1">[1]!s_fa_cagr_tr($E39,AC$6,3)</f>
        <v>0</v>
      </c>
      <c r="AD39" s="186">
        <f ca="1">[1]!s_fa_cagr_tr($E39,AD$6,3)</f>
        <v>99.201286564011198</v>
      </c>
      <c r="AE39" s="187">
        <f ca="1">[1]!s_fa_cagr_tr($E39,AE$6,3)</f>
        <v>20.74911411990632</v>
      </c>
      <c r="AF39" s="187">
        <f ca="1">[1]!s_fa_cagr_tr($E39,AF$6,3)</f>
        <v>23.775596323939617</v>
      </c>
      <c r="AG39" s="187">
        <f ca="1">[1]!s_fa_cagr_tr($E39,AG$6,3)</f>
        <v>25.54074243671911</v>
      </c>
      <c r="AH39" s="187">
        <f ca="1">[1]!s_fa_cagr_tr($E39,AH$6,3)</f>
        <v>18.373614753844357</v>
      </c>
      <c r="AI39" s="194"/>
      <c r="AJ39" s="187">
        <f ca="1">[1]!s_fa_cagr_netprofit($E39,AJ$6,3)</f>
        <v>0</v>
      </c>
      <c r="AK39" s="187">
        <f ca="1">[1]!s_fa_cagr_netprofit($E39,AK$6,3)</f>
        <v>264.17074015866433</v>
      </c>
      <c r="AL39" s="187">
        <f ca="1">[1]!s_fa_cagr_netprofit($E39,AL$6,3)</f>
        <v>27.386347458860151</v>
      </c>
      <c r="AM39" s="187">
        <f ca="1">[1]!s_fa_cagr_netprofit($E39,AM$6,3)</f>
        <v>40.821173589283767</v>
      </c>
      <c r="AN39" s="187">
        <f ca="1">[1]!s_fa_cagr_netprofit($E39,AN$6,3)</f>
        <v>65.761638561233468</v>
      </c>
      <c r="AO39" s="187">
        <f ca="1">[1]!s_fa_cagr_netprofit($E39,AO$6,3)</f>
        <v>100.53240062115351</v>
      </c>
      <c r="AP39" s="189"/>
      <c r="AQ39" s="202">
        <f ca="1">[1]!s_fa_dupont_roe(E39,$C$3)</f>
        <v>116.1914</v>
      </c>
      <c r="AR39" s="202">
        <f ca="1">[1]!s_fa_dupont_nptosales(B39,$C$3)</f>
        <v>48.878500000000003</v>
      </c>
      <c r="AS39" s="237">
        <f ca="1">[1]!s_fa_dupont_faturnover(E39,$C$3)</f>
        <v>1.5335000000000001</v>
      </c>
      <c r="AT39" s="202">
        <f ca="1">[1]!s_fa_dupont_assetstoequity(E39,$C$3)</f>
        <v>1.55</v>
      </c>
      <c r="AU39" s="189"/>
      <c r="AV39" s="201"/>
      <c r="AW39" s="189"/>
      <c r="AX39" s="189"/>
      <c r="AY39" s="189"/>
      <c r="AZ39" s="189"/>
      <c r="BA39" s="189"/>
      <c r="BB39" s="189"/>
      <c r="BC39" s="189"/>
      <c r="BD39" s="189"/>
      <c r="BE39" s="189"/>
    </row>
    <row r="40" spans="1:57" s="130" customFormat="1" ht="12" customHeight="1" x14ac:dyDescent="0.35">
      <c r="A40" s="121" t="s">
        <v>0</v>
      </c>
      <c r="B40" s="121" t="s">
        <v>555</v>
      </c>
      <c r="C40" s="121" t="s">
        <v>556</v>
      </c>
      <c r="D40" s="121" t="str">
        <f ca="1">[1]!cb_info_underlyingname(B40)</f>
        <v>大参林</v>
      </c>
      <c r="E40" s="122" t="str">
        <f ca="1">[1]!cb_info_underlyingcode(B40)</f>
        <v>603233.SH</v>
      </c>
      <c r="F40" s="123" t="str">
        <f ca="1">[1]!s_info_industry_sw(B40,1)</f>
        <v>医药生物</v>
      </c>
      <c r="G40" s="123" t="str">
        <f ca="1">[1]!s_info_industry_sw(E40,2)</f>
        <v>医药商业Ⅱ</v>
      </c>
      <c r="H40" s="123" t="str">
        <f ca="1">[1]!s_info_industry_sw(E40,3)</f>
        <v>医药商业Ⅲ</v>
      </c>
      <c r="I40" s="156" t="str">
        <f ca="1">[1]!s_info_majorproducttype(E40)</f>
        <v>药品经销</v>
      </c>
      <c r="J40" s="129">
        <f ca="1">[1]!s_val_ev(E40,$B$2,100000000)</f>
        <v>369.96108009310007</v>
      </c>
      <c r="K40" s="157">
        <f ca="1">[1]!s_share_total(E40,$B$2,100000000)</f>
        <v>7.9034625099999998</v>
      </c>
      <c r="L40" s="157">
        <f ca="1">[1]!s_share_liqa(E40,$B$2,100000000)</f>
        <v>7.87609651</v>
      </c>
      <c r="M40" s="125">
        <f ca="1">[1]!s_fa_gr_ttm2(E40,$C$3,100000000)</f>
        <v>135.928005552</v>
      </c>
      <c r="N40" s="126">
        <f ca="1">[1]!s_fa_netprofit_ttm2(E40,$C$3,100000000)</f>
        <v>10.1354314629</v>
      </c>
      <c r="O40" s="125"/>
      <c r="P40" s="126">
        <f ca="1">[1]!s_val_pe_ttm(E40,[1]!td($B$2-1))</f>
        <v>33.237056732177734</v>
      </c>
      <c r="Q40" s="126">
        <f ca="1">[1]!i_val_pe_percentile(E40,[1]!td($B$2-1),$B$2-365*5,[1]!td($B$2-1))</f>
        <v>10.206804536357572</v>
      </c>
      <c r="R40" s="126">
        <f ca="1">[1]!pb_mrq(E40,[1]!td($B$2-1))</f>
        <v>7.2144843520075366</v>
      </c>
      <c r="S40" s="126">
        <f ca="1">[1]!i_val_pb_percentile(E40,[1]!td($B$2-1),$B$2-365*5,[1]!td($B$2-1))</f>
        <v>34.556370913942629</v>
      </c>
      <c r="T40" s="126">
        <f ca="1">[1]!s_val_pe_ttm([1]!to_windcode_index(H40&amp;"(申万)"),[1]!td($B$2-1))</f>
        <v>15.5</v>
      </c>
      <c r="U40" s="126"/>
      <c r="V40" s="126">
        <f ca="1">[1]!s_fa_roe(E40,$C$3)</f>
        <v>18.783200000000001</v>
      </c>
      <c r="W40" s="126">
        <f ca="1">[1]!s_fa_grossprofitmargin(E40,$C$3)</f>
        <v>38.584400000000002</v>
      </c>
      <c r="X40" s="126">
        <f ca="1">[1]!s_fa_netprofitmargin(E40,$C$3)</f>
        <v>8.3942999999999994</v>
      </c>
      <c r="Y40" s="126">
        <f ca="1">[1]!s_fa_roic(E40,$C$3)</f>
        <v>17.201000000000001</v>
      </c>
      <c r="Z40" s="126">
        <f ca="1">[1]!s_fa_operateincometoebt_ttm2(E40,$C$3)</f>
        <v>95.707400000000007</v>
      </c>
      <c r="AA40" s="125"/>
      <c r="AB40" s="343"/>
      <c r="AC40" s="125">
        <f ca="1">[1]!s_fa_cagr_tr($E40,AC$6,3)</f>
        <v>0</v>
      </c>
      <c r="AD40" s="125">
        <f ca="1">[1]!s_fa_cagr_tr($E40,AD$6,3)</f>
        <v>25.253432521077414</v>
      </c>
      <c r="AE40" s="126">
        <f ca="1">[1]!s_fa_cagr_tr($E40,AE$6,3)</f>
        <v>21.097481883879567</v>
      </c>
      <c r="AF40" s="126">
        <f ca="1">[1]!s_fa_cagr_tr($E40,AF$6,3)</f>
        <v>18.937826964538829</v>
      </c>
      <c r="AG40" s="126">
        <f ca="1">[1]!s_fa_cagr_tr($E40,AG$6,3)</f>
        <v>17.755085404180381</v>
      </c>
      <c r="AH40" s="126">
        <f ca="1">[1]!s_fa_cagr_tr($E40,AH$6,3)</f>
        <v>19.173856503980179</v>
      </c>
      <c r="AI40" s="169"/>
      <c r="AJ40" s="126">
        <f ca="1">[1]!s_fa_cagr_netprofit($E40,AJ$6,3)</f>
        <v>0</v>
      </c>
      <c r="AK40" s="126">
        <f ca="1">[1]!s_fa_cagr_netprofit($E40,AK$6,3)</f>
        <v>30.771634103364388</v>
      </c>
      <c r="AL40" s="126">
        <f ca="1">[1]!s_fa_cagr_netprofit($E40,AL$6,3)</f>
        <v>17.768504102023684</v>
      </c>
      <c r="AM40" s="126">
        <f ca="1">[1]!s_fa_cagr_netprofit($E40,AM$6,3)</f>
        <v>10.368768711867382</v>
      </c>
      <c r="AN40" s="126">
        <f ca="1">[1]!s_fa_cagr_netprofit($E40,AN$6,3)</f>
        <v>21.393924022643084</v>
      </c>
      <c r="AO40" s="126">
        <f ca="1">[1]!s_fa_cagr_netprofit($E40,AO$6,3)</f>
        <v>29.653329737174762</v>
      </c>
      <c r="AP40" s="129"/>
      <c r="AQ40" s="203">
        <f ca="1">[1]!s_fa_dupont_roe(E40,$C$3)</f>
        <v>18.783200000000001</v>
      </c>
      <c r="AR40" s="203">
        <f ca="1">[1]!s_fa_dupont_nptosales(B40,$C$3)</f>
        <v>8.3942999999999994</v>
      </c>
      <c r="AS40" s="238">
        <f ca="1">[1]!s_fa_dupont_faturnover(E40,$C$3)</f>
        <v>1.1287</v>
      </c>
      <c r="AT40" s="203">
        <f ca="1">[1]!s_fa_dupont_assetstoequity(E40,$C$3)</f>
        <v>2.0137</v>
      </c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</row>
    <row r="41" spans="1:57" s="191" customFormat="1" ht="12" customHeight="1" x14ac:dyDescent="0.35">
      <c r="A41" s="182" t="s">
        <v>5</v>
      </c>
      <c r="B41" s="182" t="s">
        <v>1289</v>
      </c>
      <c r="C41" s="182" t="s">
        <v>1290</v>
      </c>
      <c r="D41" s="182" t="str">
        <f ca="1">[1]!cb_info_underlyingname(B41)</f>
        <v>乐普医疗</v>
      </c>
      <c r="E41" s="183" t="str">
        <f ca="1">[1]!cb_info_underlyingcode(B41)</f>
        <v>300003.SZ</v>
      </c>
      <c r="F41" s="184" t="str">
        <f ca="1">[1]!s_info_industry_sw(B41,1)</f>
        <v>医药生物</v>
      </c>
      <c r="G41" s="184" t="str">
        <f ca="1">[1]!s_info_industry_sw(E41,2)</f>
        <v>医疗器械Ⅱ</v>
      </c>
      <c r="H41" s="184" t="str">
        <f ca="1">[1]!s_info_industry_sw(E41,3)</f>
        <v>医疗器械Ⅲ</v>
      </c>
      <c r="I41" s="192" t="str">
        <f ca="1">[1]!s_info_majorproducttype(E41)</f>
        <v>循环系统用制剂、药品经销、医用辅助设备、医院、中药饮片、专业咨询服务</v>
      </c>
      <c r="J41" s="189">
        <f ca="1">[1]!s_val_ev(E41,$B$2,100000000)</f>
        <v>480.5599514571</v>
      </c>
      <c r="K41" s="193">
        <f ca="1">[1]!s_share_total(E41,$B$2,100000000)</f>
        <v>18.04581117</v>
      </c>
      <c r="L41" s="193">
        <f ca="1">[1]!s_share_liqa(E41,$B$2,100000000)</f>
        <v>15.388380790000003</v>
      </c>
      <c r="M41" s="186">
        <f ca="1">[1]!s_fa_gr_ttm2(E41,$C$3,100000000)</f>
        <v>83.0295627088</v>
      </c>
      <c r="N41" s="187">
        <f ca="1">[1]!s_fa_netprofit_ttm2(E41,$C$3,100000000)</f>
        <v>20.861550894200001</v>
      </c>
      <c r="O41" s="186"/>
      <c r="P41" s="187">
        <f ca="1">[1]!s_val_pe_ttm(E41,[1]!td($B$2-1))</f>
        <v>20.129005432128906</v>
      </c>
      <c r="Q41" s="187">
        <f ca="1">[1]!i_val_pe_percentile(E41,[1]!td($B$2-1),$B$2-365*5,[1]!td($B$2-1))</f>
        <v>0.3289473684210526</v>
      </c>
      <c r="R41" s="187">
        <f ca="1">[1]!pb_mrq(E41,[1]!td($B$2-1))</f>
        <v>4.225873410662718</v>
      </c>
      <c r="S41" s="187">
        <f ca="1">[1]!i_val_pb_percentile(E41,[1]!td($B$2-1),$B$2-365*5,[1]!td($B$2-1))</f>
        <v>0.3289473684210526</v>
      </c>
      <c r="T41" s="187">
        <f ca="1">[1]!s_val_pe_ttm([1]!to_windcode_index(H41&amp;"(申万)"),[1]!td($B$2-1))</f>
        <v>20.920000076293945</v>
      </c>
      <c r="U41" s="187"/>
      <c r="V41" s="187">
        <f ca="1">[1]!s_fa_roe(E41,$C$3)</f>
        <v>22.503499999999999</v>
      </c>
      <c r="W41" s="187">
        <f ca="1">[1]!s_fa_grossprofitmargin(E41,$C$3)</f>
        <v>69.739000000000004</v>
      </c>
      <c r="X41" s="187">
        <f ca="1">[1]!s_fa_netprofitmargin(E41,$C$3)</f>
        <v>31.4772</v>
      </c>
      <c r="Y41" s="187">
        <f ca="1">[1]!s_fa_roic(E41,$C$3)</f>
        <v>14.1233</v>
      </c>
      <c r="Z41" s="187">
        <f ca="1">[1]!s_fa_operateincometoebt_ttm2(E41,$C$3)</f>
        <v>72.111199999999997</v>
      </c>
      <c r="AA41" s="186"/>
      <c r="AB41" s="342"/>
      <c r="AC41" s="186">
        <f ca="1">[1]!s_fa_cagr_tr($E41,AC$6,3)</f>
        <v>0</v>
      </c>
      <c r="AD41" s="186">
        <f ca="1">[1]!s_fa_cagr_tr($E41,AD$6,3)</f>
        <v>20.999783144269777</v>
      </c>
      <c r="AE41" s="187">
        <f ca="1">[1]!s_fa_cagr_tr($E41,AE$6,3)</f>
        <v>30.998408046912694</v>
      </c>
      <c r="AF41" s="187">
        <f ca="1">[1]!s_fa_cagr_tr($E41,AF$6,3)</f>
        <v>31.919407270500244</v>
      </c>
      <c r="AG41" s="187">
        <f ca="1">[1]!s_fa_cagr_tr($E41,AG$6,3)</f>
        <v>39.579877017722211</v>
      </c>
      <c r="AH41" s="187">
        <f ca="1">[1]!s_fa_cagr_tr($E41,AH$6,3)</f>
        <v>38.570662866548801</v>
      </c>
      <c r="AI41" s="194"/>
      <c r="AJ41" s="187">
        <f ca="1">[1]!s_fa_cagr_netprofit($E41,AJ$6,3)</f>
        <v>0</v>
      </c>
      <c r="AK41" s="187">
        <f ca="1">[1]!s_fa_cagr_netprofit($E41,AK$6,3)</f>
        <v>26.079904616105544</v>
      </c>
      <c r="AL41" s="187">
        <f ca="1">[1]!s_fa_cagr_netprofit($E41,AL$6,3)</f>
        <v>36.440809813634004</v>
      </c>
      <c r="AM41" s="187">
        <f ca="1">[1]!s_fa_cagr_netprofit($E41,AM$6,3)</f>
        <v>32.754500096083561</v>
      </c>
      <c r="AN41" s="187">
        <f ca="1">[1]!s_fa_cagr_netprofit($E41,AN$6,3)</f>
        <v>28.554603204071793</v>
      </c>
      <c r="AO41" s="187">
        <f ca="1">[1]!s_fa_cagr_netprofit($E41,AO$6,3)</f>
        <v>23.381513725534408</v>
      </c>
      <c r="AP41" s="189"/>
      <c r="AQ41" s="202">
        <f ca="1">[1]!s_fa_dupont_roe(E41,$C$3)</f>
        <v>22.503499999999999</v>
      </c>
      <c r="AR41" s="202">
        <f ca="1">[1]!s_fa_dupont_nptosales(B41,$C$3)</f>
        <v>31.4772</v>
      </c>
      <c r="AS41" s="237">
        <f ca="1">[1]!s_fa_dupont_faturnover(E41,$C$3)</f>
        <v>0.36759999999999998</v>
      </c>
      <c r="AT41" s="202">
        <f ca="1">[1]!s_fa_dupont_assetstoequity(E41,$C$3)</f>
        <v>1.9815</v>
      </c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189"/>
    </row>
    <row r="42" spans="1:57" s="130" customFormat="1" ht="12" customHeight="1" x14ac:dyDescent="0.35">
      <c r="A42" s="121" t="s">
        <v>0</v>
      </c>
      <c r="B42" s="121" t="s">
        <v>1</v>
      </c>
      <c r="C42" s="121" t="s">
        <v>2</v>
      </c>
      <c r="D42" s="121" t="str">
        <f ca="1">[1]!cb_info_underlyingname(B42)</f>
        <v>健友股份</v>
      </c>
      <c r="E42" s="122" t="str">
        <f ca="1">[1]!cb_info_underlyingcode(B42)</f>
        <v>603707.SH</v>
      </c>
      <c r="F42" s="123" t="str">
        <f ca="1">[1]!s_info_industry_sw(B42,1)</f>
        <v>医药生物</v>
      </c>
      <c r="G42" s="123" t="str">
        <f ca="1">[1]!s_info_industry_sw(E42,2)</f>
        <v>化学制药</v>
      </c>
      <c r="H42" s="123" t="str">
        <f ca="1">[1]!s_info_industry_sw(E42,3)</f>
        <v>化学原料药</v>
      </c>
      <c r="I42" s="156" t="str">
        <f ca="1">[1]!s_info_majorproducttype(E42)</f>
        <v>药品经销、原料药</v>
      </c>
      <c r="J42" s="129">
        <f ca="1">[1]!s_val_ev(E42,$B$2,100000000)</f>
        <v>343.63968255999998</v>
      </c>
      <c r="K42" s="157">
        <f ca="1">[1]!s_share_total(E42,$B$2,100000000)</f>
        <v>12.168544000000001</v>
      </c>
      <c r="L42" s="157">
        <f ca="1">[1]!s_share_liqa(E42,$B$2,100000000)</f>
        <v>12.141087349999999</v>
      </c>
      <c r="M42" s="125">
        <f ca="1">[1]!s_fa_gr_ttm2(E42,$C$3,100000000)</f>
        <v>28.000760004899998</v>
      </c>
      <c r="N42" s="126">
        <f ca="1">[1]!s_fa_netprofit_ttm2(E42,$C$3,100000000)</f>
        <v>7.695483404</v>
      </c>
      <c r="O42" s="125"/>
      <c r="P42" s="126">
        <f ca="1">[1]!s_val_pe_ttm(E42,[1]!td($B$2-1))</f>
        <v>36.052349090576172</v>
      </c>
      <c r="Q42" s="126">
        <f ca="1">[1]!i_val_pe_percentile(E42,[1]!td($B$2-1),$B$2-365*5,[1]!td($B$2-1))</f>
        <v>18.199867637326275</v>
      </c>
      <c r="R42" s="126">
        <f ca="1">[1]!pb_mrq(E42,[1]!td($B$2-1))</f>
        <v>8.5937253643519433</v>
      </c>
      <c r="S42" s="126">
        <f ca="1">[1]!i_val_pb_percentile(E42,[1]!td($B$2-1),$B$2-365*5,[1]!td($B$2-1))</f>
        <v>49.636002647253477</v>
      </c>
      <c r="T42" s="126">
        <f ca="1">[1]!s_val_pe_ttm([1]!to_windcode_index(H42&amp;"(申万)"),[1]!td($B$2-1))</f>
        <v>41.340000152587891</v>
      </c>
      <c r="U42" s="125"/>
      <c r="V42" s="125">
        <f ca="1">[1]!s_fa_roe(E42,$C$3)</f>
        <v>19.179600000000001</v>
      </c>
      <c r="W42" s="125">
        <f ca="1">[1]!s_fa_grossprofitmargin(E42,$C$3)</f>
        <v>59.393000000000001</v>
      </c>
      <c r="X42" s="125">
        <f ca="1">[1]!s_fa_netprofitmargin(E42,$C$3)</f>
        <v>28.225100000000001</v>
      </c>
      <c r="Y42" s="125">
        <f ca="1">[1]!s_fa_roic(E42,$C$3)</f>
        <v>12.724500000000001</v>
      </c>
      <c r="Z42" s="125">
        <f ca="1">[1]!s_fa_operateincometoebt_ttm2(E42,$C$3)</f>
        <v>95.649699999999996</v>
      </c>
      <c r="AA42" s="125"/>
      <c r="AB42" s="343"/>
      <c r="AC42" s="125">
        <f ca="1">[1]!s_fa_cagr_tr($E42,AC$6,3)</f>
        <v>0</v>
      </c>
      <c r="AD42" s="125">
        <f ca="1">[1]!s_fa_cagr_tr($E42,AD$6,3)</f>
        <v>37.851298275811416</v>
      </c>
      <c r="AE42" s="126">
        <f ca="1">[1]!s_fa_cagr_tr($E42,AE$6,3)</f>
        <v>61.904991752781171</v>
      </c>
      <c r="AF42" s="126">
        <f ca="1">[1]!s_fa_cagr_tr($E42,AF$6,3)</f>
        <v>53.651743535764936</v>
      </c>
      <c r="AG42" s="126">
        <f ca="1">[1]!s_fa_cagr_tr($E42,AG$6,3)</f>
        <v>38.800014266992314</v>
      </c>
      <c r="AH42" s="126">
        <f ca="1">[1]!s_fa_cagr_tr($E42,AH$6,3)</f>
        <v>5.1999664015852876</v>
      </c>
      <c r="AI42" s="169"/>
      <c r="AJ42" s="126">
        <f ca="1">[1]!s_fa_cagr_netprofit($E42,AJ$6,3)</f>
        <v>0</v>
      </c>
      <c r="AK42" s="126">
        <f ca="1">[1]!s_fa_cagr_netprofit($E42,AK$6,3)</f>
        <v>36.895102402569499</v>
      </c>
      <c r="AL42" s="126">
        <f ca="1">[1]!s_fa_cagr_netprofit($E42,AL$6,3)</f>
        <v>32.983164533116494</v>
      </c>
      <c r="AM42" s="126">
        <f ca="1">[1]!s_fa_cagr_netprofit($E42,AM$6,3)</f>
        <v>69.258914007070558</v>
      </c>
      <c r="AN42" s="126">
        <f ca="1">[1]!s_fa_cagr_netprofit($E42,AN$6,3)</f>
        <v>83.940448274757301</v>
      </c>
      <c r="AO42" s="126">
        <f ca="1">[1]!s_fa_cagr_netprofit($E42,AO$6,3)</f>
        <v>54.085158600637385</v>
      </c>
      <c r="AP42" s="129"/>
      <c r="AQ42" s="203">
        <f ca="1">[1]!s_fa_dupont_roe(E42,$C$3)</f>
        <v>19.179600000000001</v>
      </c>
      <c r="AR42" s="203">
        <f ca="1">[1]!s_fa_dupont_nptosales(B42,$C$3)</f>
        <v>28.225100000000001</v>
      </c>
      <c r="AS42" s="238">
        <f ca="1">[1]!s_fa_dupont_faturnover(E42,$C$3)</f>
        <v>0.38200000000000001</v>
      </c>
      <c r="AT42" s="203">
        <f ca="1">[1]!s_fa_dupont_assetstoequity(E42,$C$3)</f>
        <v>1.7674000000000001</v>
      </c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</row>
    <row r="43" spans="1:57" s="191" customFormat="1" ht="12" customHeight="1" x14ac:dyDescent="0.35">
      <c r="A43" s="182" t="s">
        <v>0</v>
      </c>
      <c r="B43" s="182" t="s">
        <v>571</v>
      </c>
      <c r="C43" s="182" t="s">
        <v>572</v>
      </c>
      <c r="D43" s="182" t="str">
        <f ca="1">[1]!cb_info_underlyingname(B43)</f>
        <v>健友股份</v>
      </c>
      <c r="E43" s="183" t="str">
        <f ca="1">[1]!cb_info_underlyingcode(B43)</f>
        <v>603707.SH</v>
      </c>
      <c r="F43" s="184" t="str">
        <f ca="1">[1]!s_info_industry_sw(B43,1)</f>
        <v>医药生物</v>
      </c>
      <c r="G43" s="184" t="str">
        <f ca="1">[1]!s_info_industry_sw(E43,2)</f>
        <v>化学制药</v>
      </c>
      <c r="H43" s="184" t="str">
        <f ca="1">[1]!s_info_industry_sw(E43,3)</f>
        <v>化学原料药</v>
      </c>
      <c r="I43" s="192" t="str">
        <f ca="1">[1]!s_info_majorproducttype(E43)</f>
        <v>药品经销、原料药</v>
      </c>
      <c r="J43" s="189">
        <f ca="1">[1]!s_val_ev(E43,$B$2,100000000)</f>
        <v>343.63968255999998</v>
      </c>
      <c r="K43" s="193">
        <f ca="1">[1]!s_share_total(E43,$B$2,100000000)</f>
        <v>12.168544000000001</v>
      </c>
      <c r="L43" s="193">
        <f ca="1">[1]!s_share_liqa(E43,$B$2,100000000)</f>
        <v>12.141087349999999</v>
      </c>
      <c r="M43" s="186">
        <f ca="1">[1]!s_fa_gr_ttm2(E43,$C$3,100000000)</f>
        <v>28.000760004899998</v>
      </c>
      <c r="N43" s="187">
        <f ca="1">[1]!s_fa_netprofit_ttm2(E43,$C$3,100000000)</f>
        <v>7.695483404</v>
      </c>
      <c r="O43" s="186"/>
      <c r="P43" s="187">
        <f ca="1">[1]!s_val_pe_ttm(E43,[1]!td($B$2-1))</f>
        <v>36.052349090576172</v>
      </c>
      <c r="Q43" s="187">
        <f ca="1">[1]!i_val_pe_percentile(E43,[1]!td($B$2-1),$B$2-365*5,[1]!td($B$2-1))</f>
        <v>18.199867637326275</v>
      </c>
      <c r="R43" s="187">
        <f ca="1">[1]!pb_mrq(E43,[1]!td($B$2-1))</f>
        <v>8.5937253643519433</v>
      </c>
      <c r="S43" s="187">
        <f ca="1">[1]!i_val_pb_percentile(E43,[1]!td($B$2-1),$B$2-365*5,[1]!td($B$2-1))</f>
        <v>49.636002647253477</v>
      </c>
      <c r="T43" s="187">
        <f ca="1">[1]!s_val_pe_ttm([1]!to_windcode_index(H43&amp;"(申万)"),[1]!td($B$2-1))</f>
        <v>41.340000152587891</v>
      </c>
      <c r="U43" s="187"/>
      <c r="V43" s="187">
        <f ca="1">[1]!s_fa_roe(E43,$C$3)</f>
        <v>19.179600000000001</v>
      </c>
      <c r="W43" s="187">
        <f ca="1">[1]!s_fa_grossprofitmargin(E43,$C$3)</f>
        <v>59.393000000000001</v>
      </c>
      <c r="X43" s="187">
        <f ca="1">[1]!s_fa_netprofitmargin(E43,$C$3)</f>
        <v>28.225100000000001</v>
      </c>
      <c r="Y43" s="187">
        <f ca="1">[1]!s_fa_roic(E43,$C$3)</f>
        <v>12.724500000000001</v>
      </c>
      <c r="Z43" s="187">
        <f ca="1">[1]!s_fa_operateincometoebt_ttm2(E43,$C$3)</f>
        <v>95.649699999999996</v>
      </c>
      <c r="AA43" s="186"/>
      <c r="AB43" s="342"/>
      <c r="AC43" s="186">
        <f ca="1">[1]!s_fa_cagr_tr($E43,AC$6,3)</f>
        <v>0</v>
      </c>
      <c r="AD43" s="186">
        <f ca="1">[1]!s_fa_cagr_tr($E43,AD$6,3)</f>
        <v>37.851298275811416</v>
      </c>
      <c r="AE43" s="187">
        <f ca="1">[1]!s_fa_cagr_tr($E43,AE$6,3)</f>
        <v>61.904991752781171</v>
      </c>
      <c r="AF43" s="187">
        <f ca="1">[1]!s_fa_cagr_tr($E43,AF$6,3)</f>
        <v>53.651743535764936</v>
      </c>
      <c r="AG43" s="187">
        <f ca="1">[1]!s_fa_cagr_tr($E43,AG$6,3)</f>
        <v>38.800014266992314</v>
      </c>
      <c r="AH43" s="187">
        <f ca="1">[1]!s_fa_cagr_tr($E43,AH$6,3)</f>
        <v>5.1999664015852876</v>
      </c>
      <c r="AI43" s="194"/>
      <c r="AJ43" s="187">
        <f ca="1">[1]!s_fa_cagr_netprofit($E43,AJ$6,3)</f>
        <v>0</v>
      </c>
      <c r="AK43" s="187">
        <f ca="1">[1]!s_fa_cagr_netprofit($E43,AK$6,3)</f>
        <v>36.895102402569499</v>
      </c>
      <c r="AL43" s="187">
        <f ca="1">[1]!s_fa_cagr_netprofit($E43,AL$6,3)</f>
        <v>32.983164533116494</v>
      </c>
      <c r="AM43" s="187">
        <f ca="1">[1]!s_fa_cagr_netprofit($E43,AM$6,3)</f>
        <v>69.258914007070558</v>
      </c>
      <c r="AN43" s="187">
        <f ca="1">[1]!s_fa_cagr_netprofit($E43,AN$6,3)</f>
        <v>83.940448274757301</v>
      </c>
      <c r="AO43" s="187">
        <f ca="1">[1]!s_fa_cagr_netprofit($E43,AO$6,3)</f>
        <v>54.085158600637385</v>
      </c>
      <c r="AP43" s="189"/>
      <c r="AQ43" s="202">
        <f ca="1">[1]!s_fa_dupont_roe(E43,$C$3)</f>
        <v>19.179600000000001</v>
      </c>
      <c r="AR43" s="202">
        <f ca="1">[1]!s_fa_dupont_nptosales(B43,$C$3)</f>
        <v>28.225100000000001</v>
      </c>
      <c r="AS43" s="237">
        <f ca="1">[1]!s_fa_dupont_faturnover(E43,$C$3)</f>
        <v>0.38200000000000001</v>
      </c>
      <c r="AT43" s="202">
        <f ca="1">[1]!s_fa_dupont_assetstoequity(E43,$C$3)</f>
        <v>1.7674000000000001</v>
      </c>
      <c r="AU43" s="189"/>
      <c r="AV43" s="201"/>
      <c r="AW43" s="189"/>
      <c r="AX43" s="189"/>
      <c r="AY43" s="189"/>
      <c r="AZ43" s="189"/>
      <c r="BA43" s="189"/>
      <c r="BB43" s="189"/>
      <c r="BC43" s="189"/>
      <c r="BD43" s="189"/>
      <c r="BE43" s="189"/>
    </row>
    <row r="44" spans="1:57" s="130" customFormat="1" ht="12" customHeight="1" x14ac:dyDescent="0.35">
      <c r="A44" s="121" t="s">
        <v>0</v>
      </c>
      <c r="B44" s="121" t="s">
        <v>541</v>
      </c>
      <c r="C44" s="121" t="s">
        <v>542</v>
      </c>
      <c r="D44" s="121" t="str">
        <f ca="1">[1]!cb_info_underlyingname(B44)</f>
        <v>华海药业</v>
      </c>
      <c r="E44" s="122" t="str">
        <f ca="1">[1]!cb_info_underlyingcode(B44)</f>
        <v>600521.SH</v>
      </c>
      <c r="F44" s="123" t="str">
        <f ca="1">[1]!s_info_industry_sw(B44,1)</f>
        <v>医药生物</v>
      </c>
      <c r="G44" s="123" t="str">
        <f ca="1">[1]!s_info_industry_sw(E44,2)</f>
        <v>化学制药</v>
      </c>
      <c r="H44" s="123" t="str">
        <f ca="1">[1]!s_info_industry_sw(E44,3)</f>
        <v>化学制剂</v>
      </c>
      <c r="I44" s="156" t="str">
        <f ca="1">[1]!s_info_majorproducttype(E44)</f>
        <v>抗生素类抗感染制剂、泌尿系统用制剂、神经系统用制剂、血液系统用制剂、医药中间体、原料药、植物类中药制剂</v>
      </c>
      <c r="J44" s="129">
        <f ca="1">[1]!s_val_ev(E44,$B$2,100000000)</f>
        <v>263.44392205080004</v>
      </c>
      <c r="K44" s="157">
        <f ca="1">[1]!s_share_total(E44,$B$2,100000000)</f>
        <v>14.917549380000001</v>
      </c>
      <c r="L44" s="157">
        <f ca="1">[1]!s_share_liqa(E44,$B$2,100000000)</f>
        <v>14.546099379999999</v>
      </c>
      <c r="M44" s="125">
        <f ca="1">[1]!s_fa_gr_ttm2(E44,$C$3,100000000)</f>
        <v>62.471114949499999</v>
      </c>
      <c r="N44" s="126">
        <f ca="1">[1]!s_fa_netprofit_ttm2(E44,$C$3,100000000)</f>
        <v>8.9833992712999997</v>
      </c>
      <c r="O44" s="125"/>
      <c r="P44" s="126">
        <f ca="1">[1]!s_val_pe_ttm(E44,[1]!td($B$2-1))</f>
        <v>30.380510330200195</v>
      </c>
      <c r="Q44" s="126">
        <f ca="1">[1]!i_val_pe_percentile(E44,[1]!td($B$2-1),$B$2-365*5,[1]!td($B$2-1))</f>
        <v>5.2083333333333339</v>
      </c>
      <c r="R44" s="126">
        <f ca="1">[1]!pb_mrq(E44,[1]!td($B$2-1))</f>
        <v>4.0448932093337326</v>
      </c>
      <c r="S44" s="126">
        <f ca="1">[1]!i_val_pb_percentile(E44,[1]!td($B$2-1),$B$2-365*5,[1]!td($B$2-1))</f>
        <v>13.267543859649123</v>
      </c>
      <c r="T44" s="126">
        <f ca="1">[1]!s_val_pe_ttm([1]!to_windcode_index(H44&amp;"(申万)"),[1]!td($B$2-1))</f>
        <v>36.959999084472656</v>
      </c>
      <c r="U44" s="126"/>
      <c r="V44" s="126">
        <f ca="1">[1]!s_fa_roe(E44,$C$3)</f>
        <v>14.2561</v>
      </c>
      <c r="W44" s="126">
        <f ca="1">[1]!s_fa_grossprofitmargin(E44,$C$3)</f>
        <v>63.804099999999998</v>
      </c>
      <c r="X44" s="126">
        <f ca="1">[1]!s_fa_netprofitmargin(E44,$C$3)</f>
        <v>18.212</v>
      </c>
      <c r="Y44" s="126">
        <f ca="1">[1]!s_fa_roic(E44,$C$3)</f>
        <v>10.065200000000001</v>
      </c>
      <c r="Z44" s="126">
        <f ca="1">[1]!s_fa_operateincometoebt_ttm2(E44,$C$3)</f>
        <v>96.706199999999995</v>
      </c>
      <c r="AA44" s="125"/>
      <c r="AB44" s="343"/>
      <c r="AC44" s="125">
        <f ca="1">[1]!s_fa_cagr_tr($E44,AC$6,3)</f>
        <v>0</v>
      </c>
      <c r="AD44" s="125">
        <f ca="1">[1]!s_fa_cagr_tr($E44,AD$6,3)</f>
        <v>9.0419099130598433</v>
      </c>
      <c r="AE44" s="126">
        <f ca="1">[1]!s_fa_cagr_tr($E44,AE$6,3)</f>
        <v>9.5980994245456586</v>
      </c>
      <c r="AF44" s="126">
        <f ca="1">[1]!s_fa_cagr_tr($E44,AF$6,3)</f>
        <v>13.326705985138187</v>
      </c>
      <c r="AG44" s="126">
        <f ca="1">[1]!s_fa_cagr_tr($E44,AG$6,3)</f>
        <v>24.612560996943866</v>
      </c>
      <c r="AH44" s="126">
        <f ca="1">[1]!s_fa_cagr_tr($E44,AH$6,3)</f>
        <v>21.243662961384537</v>
      </c>
      <c r="AI44" s="169"/>
      <c r="AJ44" s="126">
        <f ca="1">[1]!s_fa_cagr_netprofit($E44,AJ$6,3)</f>
        <v>0</v>
      </c>
      <c r="AK44" s="126">
        <f ca="1">[1]!s_fa_cagr_netprofit($E44,AK$6,3)</f>
        <v>13.303340138532294</v>
      </c>
      <c r="AL44" s="126">
        <f ca="1">[1]!s_fa_cagr_netprofit($E44,AL$6,3)</f>
        <v>4.3818335167817191</v>
      </c>
      <c r="AM44" s="126">
        <f ca="1">[1]!s_fa_cagr_netprofit($E44,AM$6,3)</f>
        <v>-37.598692421121207</v>
      </c>
      <c r="AN44" s="126">
        <f ca="1">[1]!s_fa_cagr_netprofit($E44,AN$6,3)</f>
        <v>34.029673008575244</v>
      </c>
      <c r="AO44" s="126">
        <f ca="1">[1]!s_fa_cagr_netprofit($E44,AO$6,3)</f>
        <v>11.720048242891391</v>
      </c>
      <c r="AP44" s="129"/>
      <c r="AQ44" s="203">
        <f ca="1">[1]!s_fa_dupont_roe(E44,$C$3)</f>
        <v>14.2561</v>
      </c>
      <c r="AR44" s="203">
        <f ca="1">[1]!s_fa_dupont_nptosales(B44,$C$3)</f>
        <v>18.212</v>
      </c>
      <c r="AS44" s="238">
        <f ca="1">[1]!s_fa_dupont_faturnover(E44,$C$3)</f>
        <v>0.42980000000000002</v>
      </c>
      <c r="AT44" s="203">
        <f ca="1">[1]!s_fa_dupont_assetstoequity(E44,$C$3)</f>
        <v>1.9220999999999999</v>
      </c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</row>
    <row r="45" spans="1:57" s="191" customFormat="1" ht="12" customHeight="1" x14ac:dyDescent="0.35">
      <c r="A45" s="182" t="s">
        <v>0</v>
      </c>
      <c r="B45" s="182" t="s">
        <v>527</v>
      </c>
      <c r="C45" s="182" t="s">
        <v>528</v>
      </c>
      <c r="D45" s="182" t="str">
        <f ca="1">[1]!cb_info_underlyingname(B45)</f>
        <v>九州通</v>
      </c>
      <c r="E45" s="183" t="str">
        <f ca="1">[1]!cb_info_underlyingcode(B45)</f>
        <v>600998.SH</v>
      </c>
      <c r="F45" s="184" t="str">
        <f ca="1">[1]!s_info_industry_sw(B45,1)</f>
        <v>医药生物</v>
      </c>
      <c r="G45" s="184" t="str">
        <f ca="1">[1]!s_info_industry_sw(E45,2)</f>
        <v>医药商业Ⅱ</v>
      </c>
      <c r="H45" s="184" t="str">
        <f ca="1">[1]!s_info_industry_sw(E45,3)</f>
        <v>医药商业Ⅲ</v>
      </c>
      <c r="I45" s="192" t="str">
        <f ca="1">[1]!s_info_majorproducttype(E45)</f>
        <v>药品经销</v>
      </c>
      <c r="J45" s="189">
        <f ca="1">[1]!s_val_ev(E45,$B$2,100000000)</f>
        <v>292.50008321799999</v>
      </c>
      <c r="K45" s="193">
        <f ca="1">[1]!s_share_total(E45,$B$2,100000000)</f>
        <v>18.737993800000002</v>
      </c>
      <c r="L45" s="193">
        <f ca="1">[1]!s_share_liqa(E45,$B$2,100000000)</f>
        <v>18.737993800000002</v>
      </c>
      <c r="M45" s="186">
        <f ca="1">[1]!s_fa_gr_ttm2(E45,$C$3,100000000)</f>
        <v>1064.3786091485999</v>
      </c>
      <c r="N45" s="187">
        <f ca="1">[1]!s_fa_netprofit_ttm2(E45,$C$3,100000000)</f>
        <v>28.492723452399996</v>
      </c>
      <c r="O45" s="186"/>
      <c r="P45" s="187">
        <f ca="1">[1]!s_val_pe_ttm(E45,[1]!td($B$2-1))</f>
        <v>7.3338313102722168</v>
      </c>
      <c r="Q45" s="187">
        <f ca="1">[1]!i_val_pe_percentile(E45,[1]!td($B$2-1),$B$2-365*5,[1]!td($B$2-1))</f>
        <v>0.6578947368421052</v>
      </c>
      <c r="R45" s="187">
        <f ca="1">[1]!pb_mrq(E45,[1]!td($B$2-1))</f>
        <v>1.4135902431054412</v>
      </c>
      <c r="S45" s="187">
        <f ca="1">[1]!i_val_pb_percentile(E45,[1]!td($B$2-1),$B$2-365*5,[1]!td($B$2-1))</f>
        <v>2.0010964912280702</v>
      </c>
      <c r="T45" s="187">
        <f ca="1">[1]!s_val_pe_ttm([1]!to_windcode_index(H45&amp;"(申万)"),[1]!td($B$2-1))</f>
        <v>15.5</v>
      </c>
      <c r="U45" s="187"/>
      <c r="V45" s="187">
        <f ca="1">[1]!s_fa_roe(E45,$C$3)</f>
        <v>10.770799999999999</v>
      </c>
      <c r="W45" s="187">
        <f ca="1">[1]!s_fa_grossprofitmargin(E45,$C$3)</f>
        <v>9.1110000000000007</v>
      </c>
      <c r="X45" s="187">
        <f ca="1">[1]!s_fa_netprofitmargin(E45,$C$3)</f>
        <v>3.2307999999999999</v>
      </c>
      <c r="Y45" s="187">
        <f ca="1">[1]!s_fa_roic(E45,$C$3)</f>
        <v>7.9714999999999998</v>
      </c>
      <c r="Z45" s="187">
        <f ca="1">[1]!s_fa_operateincometoebt_ttm2(E45,$C$3)</f>
        <v>68.784700000000001</v>
      </c>
      <c r="AA45" s="186"/>
      <c r="AB45" s="342"/>
      <c r="AC45" s="186">
        <f ca="1">[1]!s_fa_cagr_tr($E45,AC$6,3)</f>
        <v>0</v>
      </c>
      <c r="AD45" s="186">
        <f ca="1">[1]!s_fa_cagr_tr($E45,AD$6,3)</f>
        <v>14.452559191643942</v>
      </c>
      <c r="AE45" s="187">
        <f ca="1">[1]!s_fa_cagr_tr($E45,AE$6,3)</f>
        <v>17.357631445915711</v>
      </c>
      <c r="AF45" s="187">
        <f ca="1">[1]!s_fa_cagr_tr($E45,AF$6,3)</f>
        <v>20.671293028863037</v>
      </c>
      <c r="AG45" s="187">
        <f ca="1">[1]!s_fa_cagr_tr($E45,AG$6,3)</f>
        <v>21.654881098721024</v>
      </c>
      <c r="AH45" s="187">
        <f ca="1">[1]!s_fa_cagr_tr($E45,AH$6,3)</f>
        <v>22.558976653913774</v>
      </c>
      <c r="AI45" s="194"/>
      <c r="AJ45" s="187">
        <f ca="1">[1]!s_fa_cagr_netprofit($E45,AJ$6,3)</f>
        <v>0</v>
      </c>
      <c r="AK45" s="187">
        <f ca="1">[1]!s_fa_cagr_netprofit($E45,AK$6,3)</f>
        <v>28.610742034833404</v>
      </c>
      <c r="AL45" s="187">
        <f ca="1">[1]!s_fa_cagr_netprofit($E45,AL$6,3)</f>
        <v>25.343678574459894</v>
      </c>
      <c r="AM45" s="187">
        <f ca="1">[1]!s_fa_cagr_netprofit($E45,AM$6,3)</f>
        <v>24.508621612439185</v>
      </c>
      <c r="AN45" s="187">
        <f ca="1">[1]!s_fa_cagr_netprofit($E45,AN$6,3)</f>
        <v>37.118203024217863</v>
      </c>
      <c r="AO45" s="187">
        <f ca="1">[1]!s_fa_cagr_netprofit($E45,AO$6,3)</f>
        <v>22.415517240553264</v>
      </c>
      <c r="AP45" s="189"/>
      <c r="AQ45" s="202">
        <f ca="1">[1]!s_fa_dupont_roe(E45,$C$3)</f>
        <v>10.770799999999999</v>
      </c>
      <c r="AR45" s="202">
        <f ca="1">[1]!s_fa_dupont_nptosales(B45,$C$3)</f>
        <v>3.2307999999999999</v>
      </c>
      <c r="AS45" s="237">
        <f ca="1">[1]!s_fa_dupont_faturnover(E45,$C$3)</f>
        <v>1.0719000000000001</v>
      </c>
      <c r="AT45" s="202">
        <f ca="1">[1]!s_fa_dupont_assetstoequity(E45,$C$3)</f>
        <v>3.7692000000000001</v>
      </c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</row>
    <row r="46" spans="1:57" s="130" customFormat="1" ht="12" customHeight="1" x14ac:dyDescent="0.35">
      <c r="A46" s="121" t="s">
        <v>5</v>
      </c>
      <c r="B46" s="121" t="s">
        <v>26</v>
      </c>
      <c r="C46" s="121" t="s">
        <v>27</v>
      </c>
      <c r="D46" s="121" t="str">
        <f ca="1">[1]!cb_info_underlyingname(B46)</f>
        <v>万孚生物</v>
      </c>
      <c r="E46" s="122" t="str">
        <f ca="1">[1]!cb_info_underlyingcode(B46)</f>
        <v>300482.SZ</v>
      </c>
      <c r="F46" s="123" t="str">
        <f ca="1">[1]!s_info_industry_sw(B46,1)</f>
        <v>医药生物</v>
      </c>
      <c r="G46" s="123" t="str">
        <f ca="1">[1]!s_info_industry_sw(E46,2)</f>
        <v>医疗器械Ⅱ</v>
      </c>
      <c r="H46" s="123" t="str">
        <f ca="1">[1]!s_info_industry_sw(E46,3)</f>
        <v>医疗器械Ⅲ</v>
      </c>
      <c r="I46" s="156" t="str">
        <f ca="1">[1]!s_info_majorproducttype(E46)</f>
        <v>电子测试和测量仪器、生物诊断试剂</v>
      </c>
      <c r="J46" s="129">
        <f ca="1">[1]!s_val_ev(E46,$B$2,100000000)</f>
        <v>187.05780902880002</v>
      </c>
      <c r="K46" s="157">
        <f ca="1">[1]!s_share_total(E46,$B$2,100000000)</f>
        <v>4.4495197199999996</v>
      </c>
      <c r="L46" s="157">
        <f ca="1">[1]!s_share_liqa(E46,$B$2,100000000)</f>
        <v>3.20417913</v>
      </c>
      <c r="M46" s="125">
        <f ca="1">[1]!s_fa_gr_ttm2(E46,$C$3,100000000)</f>
        <v>28.213389294099997</v>
      </c>
      <c r="N46" s="126">
        <f ca="1">[1]!s_fa_netprofit_ttm2(E46,$C$3,100000000)</f>
        <v>6.6323587359000005</v>
      </c>
      <c r="O46" s="125"/>
      <c r="P46" s="126">
        <f ca="1">[1]!s_val_pe_ttm(E46,[1]!td($B$2-1))</f>
        <v>25.249366760253906</v>
      </c>
      <c r="Q46" s="126">
        <f ca="1">[1]!i_val_pe_percentile(E46,[1]!td($B$2-1),$B$2-365*5,[1]!td($B$2-1))</f>
        <v>0.21929824561403508</v>
      </c>
      <c r="R46" s="126">
        <f ca="1">[1]!pb_mrq(E46,[1]!td($B$2-1))</f>
        <v>5.9168987935840178</v>
      </c>
      <c r="S46" s="126">
        <f ca="1">[1]!i_val_pb_percentile(E46,[1]!td($B$2-1),$B$2-365*5,[1]!td($B$2-1))</f>
        <v>10.471491228070176</v>
      </c>
      <c r="T46" s="126">
        <f ca="1">[1]!s_val_pe_ttm([1]!to_windcode_index(H46&amp;"(申万)"),[1]!td($B$2-1))</f>
        <v>20.920000076293945</v>
      </c>
      <c r="U46" s="126"/>
      <c r="V46" s="126">
        <f ca="1">[1]!s_fa_roe(E46,$C$3)</f>
        <v>22.462299999999999</v>
      </c>
      <c r="W46" s="126">
        <f ca="1">[1]!s_fa_grossprofitmargin(E46,$C$3)</f>
        <v>71.542000000000002</v>
      </c>
      <c r="X46" s="126">
        <f ca="1">[1]!s_fa_netprofitmargin(E46,$C$3)</f>
        <v>26.107299999999999</v>
      </c>
      <c r="Y46" s="126">
        <f ca="1">[1]!s_fa_roic(E46,$C$3)</f>
        <v>18.9681</v>
      </c>
      <c r="Z46" s="126">
        <f ca="1">[1]!s_fa_operateincometoebt_ttm2(E46,$C$3)</f>
        <v>97.351100000000002</v>
      </c>
      <c r="AA46" s="125"/>
      <c r="AB46" s="343"/>
      <c r="AC46" s="125">
        <f ca="1">[1]!s_fa_cagr_tr($E46,AC$6,3)</f>
        <v>0</v>
      </c>
      <c r="AD46" s="125">
        <f ca="1">[1]!s_fa_cagr_tr($E46,AD$6,3)</f>
        <v>34.880459298967992</v>
      </c>
      <c r="AE46" s="126">
        <f ca="1">[1]!s_fa_cagr_tr($E46,AE$6,3)</f>
        <v>55.858236843569721</v>
      </c>
      <c r="AF46" s="126">
        <f ca="1">[1]!s_fa_cagr_tr($E46,AF$6,3)</f>
        <v>56.707005416032999</v>
      </c>
      <c r="AG46" s="126">
        <f ca="1">[1]!s_fa_cagr_tr($E46,AG$6,3)</f>
        <v>46.35532092966956</v>
      </c>
      <c r="AH46" s="126">
        <f ca="1">[1]!s_fa_cagr_tr($E46,AH$6,3)</f>
        <v>30.260829112599662</v>
      </c>
      <c r="AI46" s="169"/>
      <c r="AJ46" s="126">
        <f ca="1">[1]!s_fa_cagr_netprofit($E46,AJ$6,3)</f>
        <v>0</v>
      </c>
      <c r="AK46" s="126">
        <f ca="1">[1]!s_fa_cagr_netprofit($E46,AK$6,3)</f>
        <v>44.383381823450449</v>
      </c>
      <c r="AL46" s="126">
        <f ca="1">[1]!s_fa_cagr_netprofit($E46,AL$6,3)</f>
        <v>38.771419699879807</v>
      </c>
      <c r="AM46" s="126">
        <f ca="1">[1]!s_fa_cagr_netprofit($E46,AM$6,3)</f>
        <v>34.902562924137783</v>
      </c>
      <c r="AN46" s="126">
        <f ca="1">[1]!s_fa_cagr_netprofit($E46,AN$6,3)</f>
        <v>28.905847919056281</v>
      </c>
      <c r="AO46" s="126">
        <f ca="1">[1]!s_fa_cagr_netprofit($E46,AO$6,3)</f>
        <v>34.942901127735546</v>
      </c>
      <c r="AP46" s="129"/>
      <c r="AQ46" s="203">
        <f ca="1">[1]!s_fa_dupont_roe(E46,$C$3)</f>
        <v>22.462299999999999</v>
      </c>
      <c r="AR46" s="203">
        <f ca="1">[1]!s_fa_dupont_nptosales(B46,$C$3)</f>
        <v>26.107299999999999</v>
      </c>
      <c r="AS46" s="238">
        <f ca="1">[1]!s_fa_dupont_faturnover(E46,$C$3)</f>
        <v>0.60670000000000002</v>
      </c>
      <c r="AT46" s="203">
        <f ca="1">[1]!s_fa_dupont_assetstoequity(E46,$C$3)</f>
        <v>1.4217</v>
      </c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</row>
    <row r="47" spans="1:57" s="191" customFormat="1" ht="12" customHeight="1" x14ac:dyDescent="0.35">
      <c r="A47" s="182" t="s">
        <v>5</v>
      </c>
      <c r="B47" s="182" t="s">
        <v>136</v>
      </c>
      <c r="C47" s="182" t="s">
        <v>137</v>
      </c>
      <c r="D47" s="182" t="str">
        <f ca="1">[1]!cb_info_underlyingname(B47)</f>
        <v>蓝帆医疗</v>
      </c>
      <c r="E47" s="183" t="str">
        <f ca="1">[1]!cb_info_underlyingcode(B47)</f>
        <v>002382.SZ</v>
      </c>
      <c r="F47" s="184" t="str">
        <f ca="1">[1]!s_info_industry_sw(B47,1)</f>
        <v>医药生物</v>
      </c>
      <c r="G47" s="184" t="str">
        <f ca="1">[1]!s_info_industry_sw(E47,2)</f>
        <v>医疗器械Ⅱ</v>
      </c>
      <c r="H47" s="184" t="str">
        <f ca="1">[1]!s_info_industry_sw(E47,3)</f>
        <v>医疗器械Ⅲ</v>
      </c>
      <c r="I47" s="192" t="str">
        <f ca="1">[1]!s_info_majorproducttype(E47)</f>
        <v>高分子聚合物</v>
      </c>
      <c r="J47" s="189">
        <f ca="1">[1]!s_val_ev(E47,$B$2,100000000)</f>
        <v>196.30748202000001</v>
      </c>
      <c r="K47" s="193">
        <f ca="1">[1]!s_share_total(E47,$B$2,100000000)</f>
        <v>10.06705036</v>
      </c>
      <c r="L47" s="193">
        <f ca="1">[1]!s_share_liqa(E47,$B$2,100000000)</f>
        <v>10.01648284</v>
      </c>
      <c r="M47" s="186">
        <f ca="1">[1]!s_fa_gr_ttm2(E47,$C$3,100000000)</f>
        <v>55.320591143400001</v>
      </c>
      <c r="N47" s="187">
        <f ca="1">[1]!s_fa_netprofit_ttm2(E47,$C$3,100000000)</f>
        <v>20.031896356899999</v>
      </c>
      <c r="O47" s="186"/>
      <c r="P47" s="187">
        <f ca="1">[1]!s_val_pe_ttm(E47,[1]!td($B$2-1))</f>
        <v>4.2873110771179199</v>
      </c>
      <c r="Q47" s="187">
        <f ca="1">[1]!i_val_pe_percentile(E47,[1]!td($B$2-1),$B$2-365*5,[1]!td($B$2-1))</f>
        <v>0</v>
      </c>
      <c r="R47" s="187">
        <f ca="1">[1]!pb_mrq(E47,[1]!td($B$2-1))</f>
        <v>1.546708719253421</v>
      </c>
      <c r="S47" s="187">
        <f ca="1">[1]!i_val_pb_percentile(E47,[1]!td($B$2-1),$B$2-365*5,[1]!td($B$2-1))</f>
        <v>5.1535087719298245</v>
      </c>
      <c r="T47" s="187">
        <f ca="1">[1]!s_val_pe_ttm([1]!to_windcode_index(H47&amp;"(申万)"),[1]!td($B$2-1))</f>
        <v>20.920000076293945</v>
      </c>
      <c r="U47" s="187"/>
      <c r="V47" s="187">
        <f ca="1">[1]!s_fa_roe(E47,$C$3)</f>
        <v>20.451799999999999</v>
      </c>
      <c r="W47" s="187">
        <f ca="1">[1]!s_fa_grossprofitmargin(E47,$C$3)</f>
        <v>62.816200000000002</v>
      </c>
      <c r="X47" s="187">
        <f ca="1">[1]!s_fa_netprofitmargin(E47,$C$3)</f>
        <v>40.662700000000001</v>
      </c>
      <c r="Y47" s="187">
        <f ca="1">[1]!s_fa_roic(E47,$C$3)</f>
        <v>13.909000000000001</v>
      </c>
      <c r="Z47" s="187">
        <f ca="1">[1]!s_fa_operateincometoebt_ttm2(E47,$C$3)</f>
        <v>96.616500000000002</v>
      </c>
      <c r="AA47" s="186"/>
      <c r="AB47" s="342"/>
      <c r="AC47" s="186">
        <f ca="1">[1]!s_fa_cagr_tr($E47,AC$6,3)</f>
        <v>0</v>
      </c>
      <c r="AD47" s="186">
        <f ca="1">[1]!s_fa_cagr_tr($E47,AD$6,3)</f>
        <v>70.923045410142677</v>
      </c>
      <c r="AE47" s="187">
        <f ca="1">[1]!s_fa_cagr_tr($E47,AE$6,3)</f>
        <v>39.193396471219309</v>
      </c>
      <c r="AF47" s="187">
        <f ca="1">[1]!s_fa_cagr_tr($E47,AF$6,3)</f>
        <v>20.695392466898422</v>
      </c>
      <c r="AG47" s="187">
        <f ca="1">[1]!s_fa_cagr_tr($E47,AG$6,3)</f>
        <v>0.87944256580527735</v>
      </c>
      <c r="AH47" s="187">
        <f ca="1">[1]!s_fa_cagr_tr($E47,AH$6,3)</f>
        <v>-1.1725147367329547</v>
      </c>
      <c r="AI47" s="194"/>
      <c r="AJ47" s="187">
        <f ca="1">[1]!s_fa_cagr_netprofit($E47,AJ$6,3)</f>
        <v>0</v>
      </c>
      <c r="AK47" s="187">
        <f ca="1">[1]!s_fa_cagr_netprofit($E47,AK$6,3)</f>
        <v>106.09998953499225</v>
      </c>
      <c r="AL47" s="187">
        <f ca="1">[1]!s_fa_cagr_netprofit($E47,AL$6,3)</f>
        <v>39.381192318441748</v>
      </c>
      <c r="AM47" s="187">
        <f ca="1">[1]!s_fa_cagr_netprofit($E47,AM$6,3)</f>
        <v>26.763406467475903</v>
      </c>
      <c r="AN47" s="187">
        <f ca="1">[1]!s_fa_cagr_netprofit($E47,AN$6,3)</f>
        <v>48.206819384670283</v>
      </c>
      <c r="AO47" s="187">
        <f ca="1">[1]!s_fa_cagr_netprofit($E47,AO$6,3)</f>
        <v>56.793634892147949</v>
      </c>
      <c r="AP47" s="189"/>
      <c r="AQ47" s="202">
        <f ca="1">[1]!s_fa_dupont_roe(E47,$C$3)</f>
        <v>20.451799999999999</v>
      </c>
      <c r="AR47" s="202">
        <f ca="1">[1]!s_fa_dupont_nptosales(B47,$C$3)</f>
        <v>40.662700000000001</v>
      </c>
      <c r="AS47" s="237">
        <f ca="1">[1]!s_fa_dupont_faturnover(E47,$C$3)</f>
        <v>0.2979</v>
      </c>
      <c r="AT47" s="202">
        <f ca="1">[1]!s_fa_dupont_assetstoequity(E47,$C$3)</f>
        <v>1.6924999999999999</v>
      </c>
      <c r="AU47" s="189"/>
      <c r="AV47" s="201"/>
      <c r="AW47" s="189"/>
      <c r="AX47" s="189"/>
      <c r="AY47" s="189"/>
      <c r="AZ47" s="189"/>
      <c r="BA47" s="189"/>
      <c r="BB47" s="189"/>
      <c r="BC47" s="189"/>
      <c r="BD47" s="189"/>
      <c r="BE47" s="189"/>
    </row>
    <row r="48" spans="1:57" s="130" customFormat="1" ht="12" customHeight="1" x14ac:dyDescent="0.35">
      <c r="A48" s="121" t="s">
        <v>5</v>
      </c>
      <c r="B48" s="121" t="s">
        <v>852</v>
      </c>
      <c r="C48" s="121" t="s">
        <v>853</v>
      </c>
      <c r="D48" s="121" t="str">
        <f ca="1">[1]!cb_info_underlyingname(B48)</f>
        <v>普利制药</v>
      </c>
      <c r="E48" s="122" t="str">
        <f ca="1">[1]!cb_info_underlyingcode(B48)</f>
        <v>300630.SZ</v>
      </c>
      <c r="F48" s="123" t="str">
        <f ca="1">[1]!s_info_industry_sw(B48,1)</f>
        <v>医药生物</v>
      </c>
      <c r="G48" s="123" t="str">
        <f ca="1">[1]!s_info_industry_sw(E48,2)</f>
        <v>化学制药</v>
      </c>
      <c r="H48" s="123" t="str">
        <f ca="1">[1]!s_info_industry_sw(E48,3)</f>
        <v>化学制剂</v>
      </c>
      <c r="I48" s="156" t="str">
        <f ca="1">[1]!s_info_majorproducttype(E48)</f>
        <v>药品经销</v>
      </c>
      <c r="J48" s="129">
        <f ca="1">[1]!s_val_ev(E48,$B$2,100000000)</f>
        <v>173.93765304199997</v>
      </c>
      <c r="K48" s="157">
        <f ca="1">[1]!s_share_total(E48,$B$2,100000000)</f>
        <v>4.3702927899999997</v>
      </c>
      <c r="L48" s="157">
        <f ca="1">[1]!s_share_liqa(E48,$B$2,100000000)</f>
        <v>3.2158107500000002</v>
      </c>
      <c r="M48" s="125">
        <f ca="1">[1]!s_fa_gr_ttm2(E48,$C$3,100000000)</f>
        <v>11.2360371993</v>
      </c>
      <c r="N48" s="126">
        <f ca="1">[1]!s_fa_netprofit_ttm2(E48,$C$3,100000000)</f>
        <v>3.8006289327</v>
      </c>
      <c r="O48" s="125"/>
      <c r="P48" s="126">
        <f ca="1">[1]!s_val_pe_ttm(E48,[1]!td($B$2-1))</f>
        <v>36.687290191650391</v>
      </c>
      <c r="Q48" s="126">
        <f ca="1">[1]!i_val_pe_percentile(E48,[1]!td($B$2-1),$B$2-365*5,[1]!td($B$2-1))</f>
        <v>0.55418719211822665</v>
      </c>
      <c r="R48" s="126">
        <f ca="1">[1]!pb_mrq(E48,[1]!td($B$2-1))</f>
        <v>7.9263702969764855</v>
      </c>
      <c r="S48" s="126">
        <f ca="1">[1]!i_val_pb_percentile(E48,[1]!td($B$2-1),$B$2-365*5,[1]!td($B$2-1))</f>
        <v>9.5443349753694573</v>
      </c>
      <c r="T48" s="126">
        <f ca="1">[1]!s_val_pe_ttm([1]!to_windcode_index(H48&amp;"(申万)"),[1]!td($B$2-1))</f>
        <v>36.959999084472656</v>
      </c>
      <c r="U48" s="125"/>
      <c r="V48" s="125">
        <f ca="1">[1]!s_fa_roe(E48,$C$3)</f>
        <v>18.364799999999999</v>
      </c>
      <c r="W48" s="125">
        <f ca="1">[1]!s_fa_grossprofitmargin(E48,$C$3)</f>
        <v>81.328000000000003</v>
      </c>
      <c r="X48" s="125">
        <f ca="1">[1]!s_fa_netprofitmargin(E48,$C$3)</f>
        <v>36.436100000000003</v>
      </c>
      <c r="Y48" s="125">
        <f ca="1">[1]!s_fa_roic(E48,$C$3)</f>
        <v>15.017099999999999</v>
      </c>
      <c r="Z48" s="125">
        <f ca="1">[1]!s_fa_operateincometoebt_ttm2(E48,$C$3)</f>
        <v>91.335800000000006</v>
      </c>
      <c r="AA48" s="125"/>
      <c r="AB48" s="343"/>
      <c r="AC48" s="125">
        <f ca="1">[1]!s_fa_cagr_tr($E48,AC$6,3)</f>
        <v>0</v>
      </c>
      <c r="AD48" s="125">
        <f ca="1">[1]!s_fa_cagr_tr($E48,AD$6,3)</f>
        <v>54.097321600626877</v>
      </c>
      <c r="AE48" s="126">
        <f ca="1">[1]!s_fa_cagr_tr($E48,AE$6,3)</f>
        <v>56.470732074710718</v>
      </c>
      <c r="AF48" s="126">
        <f ca="1">[1]!s_fa_cagr_tr($E48,AF$6,3)</f>
        <v>45.434375065522303</v>
      </c>
      <c r="AG48" s="126">
        <f ca="1">[1]!s_fa_cagr_tr($E48,AG$6,3)</f>
        <v>25.441302144114353</v>
      </c>
      <c r="AH48" s="126">
        <f ca="1">[1]!s_fa_cagr_tr($E48,AH$6,3)</f>
        <v>23.253115255843191</v>
      </c>
      <c r="AI48" s="169"/>
      <c r="AJ48" s="126">
        <f ca="1">[1]!s_fa_cagr_netprofit($E48,AJ$6,3)</f>
        <v>0</v>
      </c>
      <c r="AK48" s="126">
        <f ca="1">[1]!s_fa_cagr_netprofit($E48,AK$6,3)</f>
        <v>60.578296475746953</v>
      </c>
      <c r="AL48" s="126">
        <f ca="1">[1]!s_fa_cagr_netprofit($E48,AL$6,3)</f>
        <v>62.811678867413875</v>
      </c>
      <c r="AM48" s="126">
        <f ca="1">[1]!s_fa_cagr_netprofit($E48,AM$6,3)</f>
        <v>52.953495695090226</v>
      </c>
      <c r="AN48" s="126">
        <f ca="1">[1]!s_fa_cagr_netprofit($E48,AN$6,3)</f>
        <v>38.969746001356739</v>
      </c>
      <c r="AO48" s="126">
        <f ca="1">[1]!s_fa_cagr_netprofit($E48,AO$6,3)</f>
        <v>41.193211600664846</v>
      </c>
      <c r="AP48" s="129"/>
      <c r="AQ48" s="203">
        <f ca="1">[1]!s_fa_dupont_roe(E48,$C$3)</f>
        <v>18.364799999999999</v>
      </c>
      <c r="AR48" s="203">
        <f ca="1">[1]!s_fa_dupont_nptosales(B48,$C$3)</f>
        <v>36.436100000000003</v>
      </c>
      <c r="AS48" s="238">
        <f ca="1">[1]!s_fa_dupont_faturnover(E48,$C$3)</f>
        <v>0.3473</v>
      </c>
      <c r="AT48" s="203">
        <f ca="1">[1]!s_fa_dupont_assetstoequity(E48,$C$3)</f>
        <v>1.4511000000000001</v>
      </c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</row>
    <row r="49" spans="1:57" s="191" customFormat="1" ht="12" customHeight="1" x14ac:dyDescent="0.35">
      <c r="A49" s="182" t="s">
        <v>5</v>
      </c>
      <c r="B49" s="182" t="s">
        <v>441</v>
      </c>
      <c r="C49" s="182" t="s">
        <v>442</v>
      </c>
      <c r="D49" s="182" t="str">
        <f ca="1">[1]!cb_info_underlyingname(B49)</f>
        <v>吉林敖东</v>
      </c>
      <c r="E49" s="183" t="str">
        <f ca="1">[1]!cb_info_underlyingcode(B49)</f>
        <v>000623.SZ</v>
      </c>
      <c r="F49" s="184" t="str">
        <f ca="1">[1]!s_info_industry_sw(B49,1)</f>
        <v>医药生物</v>
      </c>
      <c r="G49" s="184" t="str">
        <f ca="1">[1]!s_info_industry_sw(E49,2)</f>
        <v>化学制药</v>
      </c>
      <c r="H49" s="184" t="str">
        <f ca="1">[1]!s_info_industry_sw(E49,3)</f>
        <v>化学制剂</v>
      </c>
      <c r="I49" s="192" t="str">
        <f ca="1">[1]!s_info_majorproducttype(E49)</f>
        <v>保健酒、公路建设、经纪业务、普通公路收费、投资银行业务、休闲食品、植物类中药制剂、资产管理业务</v>
      </c>
      <c r="J49" s="189">
        <f ca="1">[1]!s_val_ev(E49,$B$2,100000000)</f>
        <v>203.41660652939998</v>
      </c>
      <c r="K49" s="193">
        <f ca="1">[1]!s_share_total(E49,$B$2,100000000)</f>
        <v>11.63045206</v>
      </c>
      <c r="L49" s="193">
        <f ca="1">[1]!s_share_liqa(E49,$B$2,100000000)</f>
        <v>11.601155289999999</v>
      </c>
      <c r="M49" s="186">
        <f ca="1">[1]!s_fa_gr_ttm2(E49,$C$3,100000000)</f>
        <v>23.458585387800003</v>
      </c>
      <c r="N49" s="187">
        <f ca="1">[1]!s_fa_netprofit_ttm2(E49,$C$3,100000000)</f>
        <v>17.475593236400002</v>
      </c>
      <c r="O49" s="186"/>
      <c r="P49" s="187">
        <f ca="1">[1]!s_val_pe_ttm(E49,[1]!td($B$2-1))</f>
        <v>12.320367813110352</v>
      </c>
      <c r="Q49" s="187">
        <f ca="1">[1]!i_val_pe_percentile(E49,[1]!td($B$2-1),$B$2-365*5,[1]!td($B$2-1))</f>
        <v>25.438596491228072</v>
      </c>
      <c r="R49" s="187">
        <f ca="1">[1]!pb_mrq(E49,[1]!td($B$2-1))</f>
        <v>0.87003170997489554</v>
      </c>
      <c r="S49" s="187">
        <f ca="1">[1]!i_val_pb_percentile(E49,[1]!td($B$2-1),$B$2-365*5,[1]!td($B$2-1))</f>
        <v>33.388157894736842</v>
      </c>
      <c r="T49" s="187">
        <f ca="1">[1]!s_val_pe_ttm([1]!to_windcode_index(H49&amp;"(申万)"),[1]!td($B$2-1))</f>
        <v>36.959999084472656</v>
      </c>
      <c r="U49" s="186"/>
      <c r="V49" s="186">
        <f ca="1">[1]!s_fa_roe(E49,$C$3)</f>
        <v>6.6131000000000002</v>
      </c>
      <c r="W49" s="186">
        <f ca="1">[1]!s_fa_grossprofitmargin(E49,$C$3)</f>
        <v>61.653700000000001</v>
      </c>
      <c r="X49" s="186">
        <f ca="1">[1]!s_fa_netprofitmargin(E49,$C$3)</f>
        <v>92.528300000000002</v>
      </c>
      <c r="Y49" s="186">
        <f ca="1">[1]!s_fa_roic(E49,$C$3)</f>
        <v>6.0609000000000002</v>
      </c>
      <c r="Z49" s="186">
        <f ca="1">[1]!s_fa_operateincometoebt_ttm2(E49,$C$3)</f>
        <v>-6.6669999999999998</v>
      </c>
      <c r="AA49" s="186"/>
      <c r="AB49" s="342"/>
      <c r="AC49" s="186">
        <f ca="1">[1]!s_fa_cagr_tr($E49,AC$6,3)</f>
        <v>0</v>
      </c>
      <c r="AD49" s="186">
        <f ca="1">[1]!s_fa_cagr_tr($E49,AD$6,3)</f>
        <v>-8.8859854485651919</v>
      </c>
      <c r="AE49" s="187">
        <f ca="1">[1]!s_fa_cagr_tr($E49,AE$6,3)</f>
        <v>4.1121260490912581</v>
      </c>
      <c r="AF49" s="187">
        <f ca="1">[1]!s_fa_cagr_tr($E49,AF$6,3)</f>
        <v>12.497519580307049</v>
      </c>
      <c r="AG49" s="187">
        <f ca="1">[1]!s_fa_cagr_tr($E49,AG$6,3)</f>
        <v>9.9409318633934198</v>
      </c>
      <c r="AH49" s="187">
        <f ca="1">[1]!s_fa_cagr_tr($E49,AH$6,3)</f>
        <v>11.829290839077601</v>
      </c>
      <c r="AI49" s="194"/>
      <c r="AJ49" s="187">
        <f ca="1">[1]!s_fa_cagr_netprofit($E49,AJ$6,3)</f>
        <v>0</v>
      </c>
      <c r="AK49" s="187">
        <f ca="1">[1]!s_fa_cagr_netprofit($E49,AK$6,3)</f>
        <v>-2.8455687606032898</v>
      </c>
      <c r="AL49" s="187">
        <f ca="1">[1]!s_fa_cagr_netprofit($E49,AL$6,3)</f>
        <v>-5.5610995209460672</v>
      </c>
      <c r="AM49" s="187">
        <f ca="1">[1]!s_fa_cagr_netprofit($E49,AM$6,3)</f>
        <v>-28.824167461533602</v>
      </c>
      <c r="AN49" s="187">
        <f ca="1">[1]!s_fa_cagr_netprofit($E49,AN$6,3)</f>
        <v>9.7227752338290721</v>
      </c>
      <c r="AO49" s="187">
        <f ca="1">[1]!s_fa_cagr_netprofit($E49,AO$6,3)</f>
        <v>16.322705205300547</v>
      </c>
      <c r="AP49" s="189"/>
      <c r="AQ49" s="202">
        <f ca="1">[1]!s_fa_dupont_roe(E49,$C$3)</f>
        <v>6.6131000000000002</v>
      </c>
      <c r="AR49" s="202">
        <f ca="1">[1]!s_fa_dupont_nptosales(B49,$C$3)</f>
        <v>92.528300000000002</v>
      </c>
      <c r="AS49" s="237">
        <f ca="1">[1]!s_fa_dupont_faturnover(E49,$C$3)</f>
        <v>6.1100000000000002E-2</v>
      </c>
      <c r="AT49" s="202">
        <f ca="1">[1]!s_fa_dupont_assetstoequity(E49,$C$3)</f>
        <v>1.1635</v>
      </c>
      <c r="AU49" s="189"/>
      <c r="AV49" s="189"/>
      <c r="AW49" s="189"/>
      <c r="AX49" s="189"/>
      <c r="AY49" s="189"/>
      <c r="AZ49" s="189"/>
      <c r="BA49" s="189"/>
      <c r="BB49" s="189"/>
      <c r="BC49" s="189"/>
      <c r="BD49" s="189"/>
      <c r="BE49" s="189"/>
    </row>
    <row r="50" spans="1:57" s="130" customFormat="1" ht="12" customHeight="1" x14ac:dyDescent="0.35">
      <c r="A50" s="121" t="s">
        <v>0</v>
      </c>
      <c r="B50" s="121" t="s">
        <v>507</v>
      </c>
      <c r="C50" s="121" t="s">
        <v>508</v>
      </c>
      <c r="D50" s="121" t="str">
        <f ca="1">[1]!cb_info_underlyingname(B50)</f>
        <v>济川药业</v>
      </c>
      <c r="E50" s="122" t="str">
        <f ca="1">[1]!cb_info_underlyingcode(B50)</f>
        <v>600566.SH</v>
      </c>
      <c r="F50" s="123" t="str">
        <f ca="1">[1]!s_info_industry_sw(B50,1)</f>
        <v>医药生物</v>
      </c>
      <c r="G50" s="123" t="str">
        <f ca="1">[1]!s_info_industry_sw(E50,2)</f>
        <v>中药Ⅱ</v>
      </c>
      <c r="H50" s="123" t="str">
        <f ca="1">[1]!s_info_industry_sw(E50,3)</f>
        <v>中药Ⅲ</v>
      </c>
      <c r="I50" s="156" t="str">
        <f ca="1">[1]!s_info_majorproducttype(E50)</f>
        <v>植物类中药制剂、中药饮片</v>
      </c>
      <c r="J50" s="129">
        <f ca="1">[1]!s_val_ev(E50,$B$2,100000000)</f>
        <v>153.04685529530002</v>
      </c>
      <c r="K50" s="157">
        <f ca="1">[1]!s_share_total(E50,$B$2,100000000)</f>
        <v>8.8825801099999993</v>
      </c>
      <c r="L50" s="157">
        <f ca="1">[1]!s_share_liqa(E50,$B$2,100000000)</f>
        <v>8.8825801099999993</v>
      </c>
      <c r="M50" s="125">
        <f ca="1">[1]!s_fa_gr_ttm2(E50,$C$3,100000000)</f>
        <v>58.679250289799995</v>
      </c>
      <c r="N50" s="126">
        <f ca="1">[1]!s_fa_netprofit_ttm2(E50,$C$3,100000000)</f>
        <v>12.769565078099999</v>
      </c>
      <c r="O50" s="125"/>
      <c r="P50" s="126">
        <f ca="1">[1]!s_val_pe_ttm(E50,[1]!td($B$2-1))</f>
        <v>10.581845283508301</v>
      </c>
      <c r="Q50" s="126">
        <f ca="1">[1]!i_val_pe_percentile(E50,[1]!td($B$2-1),$B$2-365*5,[1]!td($B$2-1))</f>
        <v>1.7543859649122806</v>
      </c>
      <c r="R50" s="126">
        <f ca="1">[1]!pb_mrq(E50,[1]!td($B$2-1))</f>
        <v>1.8856361121400538</v>
      </c>
      <c r="S50" s="126">
        <f ca="1">[1]!i_val_pb_percentile(E50,[1]!td($B$2-1),$B$2-365*5,[1]!td($B$2-1))</f>
        <v>2.7960526315789473</v>
      </c>
      <c r="T50" s="126">
        <f ca="1">[1]!s_val_pe_ttm([1]!to_windcode_index(H50&amp;"(申万)"),[1]!td($B$2-1))</f>
        <v>30.170000076293945</v>
      </c>
      <c r="U50" s="125"/>
      <c r="V50" s="125">
        <f ca="1">[1]!s_fa_roe(E50,$C$3)</f>
        <v>14.1631</v>
      </c>
      <c r="W50" s="125">
        <f ca="1">[1]!s_fa_grossprofitmargin(E50,$C$3)</f>
        <v>81.939599999999999</v>
      </c>
      <c r="X50" s="125">
        <f ca="1">[1]!s_fa_netprofitmargin(E50,$C$3)</f>
        <v>22.242999999999999</v>
      </c>
      <c r="Y50" s="125">
        <f ca="1">[1]!s_fa_roic(E50,$C$3)</f>
        <v>12.5905</v>
      </c>
      <c r="Z50" s="125">
        <f ca="1">[1]!s_fa_operateincometoebt_ttm2(E50,$C$3)</f>
        <v>97.691800000000001</v>
      </c>
      <c r="AA50" s="125"/>
      <c r="AB50" s="343"/>
      <c r="AC50" s="125">
        <f ca="1">[1]!s_fa_cagr_tr($E50,AC$6,3)</f>
        <v>0</v>
      </c>
      <c r="AD50" s="125">
        <f ca="1">[1]!s_fa_cagr_tr($E50,AD$6,3)</f>
        <v>2.9988775571083703</v>
      </c>
      <c r="AE50" s="126">
        <f ca="1">[1]!s_fa_cagr_tr($E50,AE$6,3)</f>
        <v>14.052018979007496</v>
      </c>
      <c r="AF50" s="126">
        <f ca="1">[1]!s_fa_cagr_tr($E50,AF$6,3)</f>
        <v>24.139992313183136</v>
      </c>
      <c r="AG50" s="126">
        <f ca="1">[1]!s_fa_cagr_tr($E50,AG$6,3)</f>
        <v>23.621691091784225</v>
      </c>
      <c r="AH50" s="126">
        <f ca="1">[1]!s_fa_cagr_tr($E50,AH$6,3)</f>
        <v>24.099841280436408</v>
      </c>
      <c r="AI50" s="169"/>
      <c r="AJ50" s="126">
        <f ca="1">[1]!s_fa_cagr_netprofit($E50,AJ$6,3)</f>
        <v>0</v>
      </c>
      <c r="AK50" s="126">
        <f ca="1">[1]!s_fa_cagr_netprofit($E50,AK$6,3)</f>
        <v>1.4434579429194905</v>
      </c>
      <c r="AL50" s="126">
        <f ca="1">[1]!s_fa_cagr_netprofit($E50,AL$6,3)</f>
        <v>20.21533386865082</v>
      </c>
      <c r="AM50" s="126">
        <f ca="1">[1]!s_fa_cagr_netprofit($E50,AM$6,3)</f>
        <v>34.963778568183642</v>
      </c>
      <c r="AN50" s="126">
        <f ca="1">[1]!s_fa_cagr_netprofit($E50,AN$6,3)</f>
        <v>33.055170293290523</v>
      </c>
      <c r="AO50" s="126">
        <f ca="1">[1]!s_fa_cagr_netprofit($E50,AO$6,3)</f>
        <v>32.375665629609209</v>
      </c>
      <c r="AP50" s="129"/>
      <c r="AQ50" s="203">
        <f ca="1">[1]!s_fa_dupont_roe(E50,$C$3)</f>
        <v>14.1631</v>
      </c>
      <c r="AR50" s="203">
        <f ca="1">[1]!s_fa_dupont_nptosales(B50,$C$3)</f>
        <v>22.242999999999999</v>
      </c>
      <c r="AS50" s="238">
        <f ca="1">[1]!s_fa_dupont_faturnover(E50,$C$3)</f>
        <v>0.4617</v>
      </c>
      <c r="AT50" s="203">
        <f ca="1">[1]!s_fa_dupont_assetstoequity(E50,$C$3)</f>
        <v>1.3792</v>
      </c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</row>
    <row r="51" spans="1:57" s="191" customFormat="1" ht="12" customHeight="1" x14ac:dyDescent="0.35">
      <c r="A51" s="182" t="s">
        <v>5</v>
      </c>
      <c r="B51" s="182" t="s">
        <v>620</v>
      </c>
      <c r="C51" s="182" t="s">
        <v>621</v>
      </c>
      <c r="D51" s="182" t="str">
        <f ca="1">[1]!cb_info_underlyingname(B51)</f>
        <v>三诺生物</v>
      </c>
      <c r="E51" s="183" t="str">
        <f ca="1">[1]!cb_info_underlyingcode(B51)</f>
        <v>300298.SZ</v>
      </c>
      <c r="F51" s="184" t="str">
        <f ca="1">[1]!s_info_industry_sw(B51,1)</f>
        <v>医药生物</v>
      </c>
      <c r="G51" s="184" t="str">
        <f ca="1">[1]!s_info_industry_sw(E51,2)</f>
        <v>医疗器械Ⅱ</v>
      </c>
      <c r="H51" s="184" t="str">
        <f ca="1">[1]!s_info_industry_sw(E51,3)</f>
        <v>医疗器械Ⅲ</v>
      </c>
      <c r="I51" s="192" t="str">
        <f ca="1">[1]!s_info_majorproducttype(E51)</f>
        <v>诊断用制剂、诊断治疗设备</v>
      </c>
      <c r="J51" s="189">
        <f ca="1">[1]!s_val_ev(E51,$B$2,100000000)</f>
        <v>148.36457487869998</v>
      </c>
      <c r="K51" s="193">
        <f ca="1">[1]!s_share_total(E51,$B$2,100000000)</f>
        <v>5.6476808099999998</v>
      </c>
      <c r="L51" s="193">
        <f ca="1">[1]!s_share_liqa(E51,$B$2,100000000)</f>
        <v>4.5507974800000008</v>
      </c>
      <c r="M51" s="186">
        <f ca="1">[1]!s_fa_gr_ttm2(E51,$C$3,100000000)</f>
        <v>20.492205589000001</v>
      </c>
      <c r="N51" s="187">
        <f ca="1">[1]!s_fa_netprofit_ttm2(E51,$C$3,100000000)</f>
        <v>2.8696468979</v>
      </c>
      <c r="O51" s="186"/>
      <c r="P51" s="187">
        <f ca="1">[1]!s_val_pe_ttm(E51,[1]!td($B$2-1))</f>
        <v>100.62096405029297</v>
      </c>
      <c r="Q51" s="187">
        <f ca="1">[1]!i_val_pe_percentile(E51,[1]!td($B$2-1),$B$2-365*5,[1]!td($B$2-1))</f>
        <v>94.73684210526315</v>
      </c>
      <c r="R51" s="187">
        <f ca="1">[1]!pb_mrq(E51,[1]!td($B$2-1))</f>
        <v>5.5027055896401267</v>
      </c>
      <c r="S51" s="187">
        <f ca="1">[1]!i_val_pb_percentile(E51,[1]!td($B$2-1),$B$2-365*5,[1]!td($B$2-1))</f>
        <v>56.907894736842103</v>
      </c>
      <c r="T51" s="187">
        <f ca="1">[1]!s_val_pe_ttm([1]!to_windcode_index(H51&amp;"(申万)"),[1]!td($B$2-1))</f>
        <v>20.920000076293945</v>
      </c>
      <c r="U51" s="187"/>
      <c r="V51" s="187">
        <f ca="1">[1]!s_fa_roe(E51,$C$3)</f>
        <v>9.3155999999999999</v>
      </c>
      <c r="W51" s="187">
        <f ca="1">[1]!s_fa_grossprofitmargin(E51,$C$3)</f>
        <v>65.442899999999995</v>
      </c>
      <c r="X51" s="187">
        <f ca="1">[1]!s_fa_netprofitmargin(E51,$C$3)</f>
        <v>16.313400000000001</v>
      </c>
      <c r="Y51" s="187">
        <f ca="1">[1]!s_fa_roic(E51,$C$3)</f>
        <v>8.9990000000000006</v>
      </c>
      <c r="Z51" s="187">
        <f ca="1">[1]!s_fa_operateincometoebt_ttm2(E51,$C$3)</f>
        <v>94.989500000000007</v>
      </c>
      <c r="AA51" s="186"/>
      <c r="AB51" s="342"/>
      <c r="AC51" s="186">
        <f ca="1">[1]!s_fa_cagr_tr($E51,AC$6,3)</f>
        <v>0</v>
      </c>
      <c r="AD51" s="186">
        <f ca="1">[1]!s_fa_cagr_tr($E51,AD$6,3)</f>
        <v>24.950850764704469</v>
      </c>
      <c r="AE51" s="187">
        <f ca="1">[1]!s_fa_cagr_tr($E51,AE$6,3)</f>
        <v>30.733073905063879</v>
      </c>
      <c r="AF51" s="187">
        <f ca="1">[1]!s_fa_cagr_tr($E51,AF$6,3)</f>
        <v>33.92436362183269</v>
      </c>
      <c r="AG51" s="187">
        <f ca="1">[1]!s_fa_cagr_tr($E51,AG$6,3)</f>
        <v>23.762597479385782</v>
      </c>
      <c r="AH51" s="187">
        <f ca="1">[1]!s_fa_cagr_tr($E51,AH$6,3)</f>
        <v>21.016010371030024</v>
      </c>
      <c r="AI51" s="194"/>
      <c r="AJ51" s="187">
        <f ca="1">[1]!s_fa_cagr_netprofit($E51,AJ$6,3)</f>
        <v>0</v>
      </c>
      <c r="AK51" s="187">
        <f ca="1">[1]!s_fa_cagr_netprofit($E51,AK$6,3)</f>
        <v>-10.187219860556841</v>
      </c>
      <c r="AL51" s="187">
        <f ca="1">[1]!s_fa_cagr_netprofit($E51,AL$6,3)</f>
        <v>29.58651591368886</v>
      </c>
      <c r="AM51" s="187">
        <f ca="1">[1]!s_fa_cagr_netprofit($E51,AM$6,3)</f>
        <v>29.285004920681889</v>
      </c>
      <c r="AN51" s="187">
        <f ca="1">[1]!s_fa_cagr_netprofit($E51,AN$6,3)</f>
        <v>9.3418327495466755</v>
      </c>
      <c r="AO51" s="187">
        <f ca="1">[1]!s_fa_cagr_netprofit($E51,AO$6,3)</f>
        <v>-11.341797267031728</v>
      </c>
      <c r="AP51" s="189"/>
      <c r="AQ51" s="202">
        <f ca="1">[1]!s_fa_dupont_roe(E51,$C$3)</f>
        <v>9.3155999999999999</v>
      </c>
      <c r="AR51" s="202">
        <f ca="1">[1]!s_fa_dupont_nptosales(B51,$C$3)</f>
        <v>16.313400000000001</v>
      </c>
      <c r="AS51" s="237">
        <f ca="1">[1]!s_fa_dupont_faturnover(E51,$C$3)</f>
        <v>0.45119999999999999</v>
      </c>
      <c r="AT51" s="202">
        <f ca="1">[1]!s_fa_dupont_assetstoequity(E51,$C$3)</f>
        <v>1.2655000000000001</v>
      </c>
      <c r="AU51" s="189"/>
      <c r="AV51" s="201"/>
      <c r="AW51" s="189"/>
      <c r="AX51" s="189"/>
      <c r="AY51" s="189"/>
      <c r="AZ51" s="189"/>
      <c r="BA51" s="189"/>
      <c r="BB51" s="189"/>
      <c r="BC51" s="189"/>
      <c r="BD51" s="189"/>
      <c r="BE51" s="189"/>
    </row>
    <row r="52" spans="1:57" s="130" customFormat="1" ht="12" customHeight="1" x14ac:dyDescent="0.35">
      <c r="A52" s="121" t="s">
        <v>5</v>
      </c>
      <c r="B52" s="121" t="s">
        <v>640</v>
      </c>
      <c r="C52" s="121" t="s">
        <v>641</v>
      </c>
      <c r="D52" s="121" t="str">
        <f ca="1">[1]!cb_info_underlyingname(B52)</f>
        <v>奇正藏药</v>
      </c>
      <c r="E52" s="122" t="str">
        <f ca="1">[1]!cb_info_underlyingcode(B52)</f>
        <v>002287.SZ</v>
      </c>
      <c r="F52" s="123" t="str">
        <f ca="1">[1]!s_info_industry_sw(B52,1)</f>
        <v>医药生物</v>
      </c>
      <c r="G52" s="123" t="str">
        <f ca="1">[1]!s_info_industry_sw(E52,2)</f>
        <v>中药Ⅱ</v>
      </c>
      <c r="H52" s="123" t="str">
        <f ca="1">[1]!s_info_industry_sw(E52,3)</f>
        <v>中药Ⅲ</v>
      </c>
      <c r="I52" s="156" t="str">
        <f ca="1">[1]!s_info_majorproducttype(E52)</f>
        <v>保健食品、中药提取物</v>
      </c>
      <c r="J52" s="129">
        <f ca="1">[1]!s_val_ev(E52,$B$2,100000000)</f>
        <v>174.909784535</v>
      </c>
      <c r="K52" s="157">
        <f ca="1">[1]!s_share_total(E52,$B$2,100000000)</f>
        <v>5.3035107500000001</v>
      </c>
      <c r="L52" s="157">
        <f ca="1">[1]!s_share_liqa(E52,$B$2,100000000)</f>
        <v>5.2794546999999996</v>
      </c>
      <c r="M52" s="125">
        <f ca="1">[1]!s_fa_gr_ttm2(E52,$C$3,100000000)</f>
        <v>14.469868697000001</v>
      </c>
      <c r="N52" s="126">
        <f ca="1">[1]!s_fa_netprofit_ttm2(E52,$C$3,100000000)</f>
        <v>4.1351161017000004</v>
      </c>
      <c r="O52" s="125"/>
      <c r="P52" s="126">
        <f ca="1">[1]!s_val_pe_ttm(E52,[1]!td($B$2-1))</f>
        <v>14.910373687744141</v>
      </c>
      <c r="Q52" s="126">
        <f ca="1">[1]!i_val_pe_percentile(E52,[1]!td($B$2-1),$B$2-365*5,[1]!td($B$2-1))</f>
        <v>2.1929824561403506</v>
      </c>
      <c r="R52" s="126">
        <f ca="1">[1]!pb_mrq(E52,[1]!td($B$2-1))</f>
        <v>5.3065047550107689</v>
      </c>
      <c r="S52" s="126">
        <f ca="1">[1]!i_val_pb_percentile(E52,[1]!td($B$2-1),$B$2-365*5,[1]!td($B$2-1))</f>
        <v>23.629385964912281</v>
      </c>
      <c r="T52" s="126">
        <f ca="1">[1]!s_val_pe_ttm([1]!to_windcode_index(H52&amp;"(申万)"),[1]!td($B$2-1))</f>
        <v>30.170000076293945</v>
      </c>
      <c r="U52" s="126"/>
      <c r="V52" s="126">
        <f ca="1">[1]!s_fa_roe(E52,$C$3)</f>
        <v>13.425700000000001</v>
      </c>
      <c r="W52" s="126">
        <f ca="1">[1]!s_fa_grossprofitmargin(E52,$C$3)</f>
        <v>86.699399999999997</v>
      </c>
      <c r="X52" s="126">
        <f ca="1">[1]!s_fa_netprofitmargin(E52,$C$3)</f>
        <v>31.9452</v>
      </c>
      <c r="Y52" s="126">
        <f ca="1">[1]!s_fa_roic(E52,$C$3)</f>
        <v>9.8225999999999996</v>
      </c>
      <c r="Z52" s="126">
        <f ca="1">[1]!s_fa_operateincometoebt_ttm2(E52,$C$3)</f>
        <v>74.6571</v>
      </c>
      <c r="AA52" s="125"/>
      <c r="AB52" s="343"/>
      <c r="AC52" s="125">
        <f ca="1">[1]!s_fa_cagr_tr($E52,AC$6,3)</f>
        <v>0</v>
      </c>
      <c r="AD52" s="125">
        <f ca="1">[1]!s_fa_cagr_tr($E52,AD$6,3)</f>
        <v>11.914464178464357</v>
      </c>
      <c r="AE52" s="126">
        <f ca="1">[1]!s_fa_cagr_tr($E52,AE$6,3)</f>
        <v>13.146512812871581</v>
      </c>
      <c r="AF52" s="126">
        <f ca="1">[1]!s_fa_cagr_tr($E52,AF$6,3)</f>
        <v>6.8424387827488831</v>
      </c>
      <c r="AG52" s="126">
        <f ca="1">[1]!s_fa_cagr_tr($E52,AG$6,3)</f>
        <v>3.491870421982779</v>
      </c>
      <c r="AH52" s="126">
        <f ca="1">[1]!s_fa_cagr_tr($E52,AH$6,3)</f>
        <v>-3.8277179804357964E-2</v>
      </c>
      <c r="AI52" s="169"/>
      <c r="AJ52" s="126">
        <f ca="1">[1]!s_fa_cagr_netprofit($E52,AJ$6,3)</f>
        <v>0</v>
      </c>
      <c r="AK52" s="126">
        <f ca="1">[1]!s_fa_cagr_netprofit($E52,AK$6,3)</f>
        <v>10.481319741985518</v>
      </c>
      <c r="AL52" s="126">
        <f ca="1">[1]!s_fa_cagr_netprofit($E52,AL$6,3)</f>
        <v>7.9123928547522926</v>
      </c>
      <c r="AM52" s="126">
        <f ca="1">[1]!s_fa_cagr_netprofit($E52,AM$6,3)</f>
        <v>6.3631286621697036</v>
      </c>
      <c r="AN52" s="126">
        <f ca="1">[1]!s_fa_cagr_netprofit($E52,AN$6,3)</f>
        <v>8.194289409709743</v>
      </c>
      <c r="AO52" s="126">
        <f ca="1">[1]!s_fa_cagr_netprofit($E52,AO$6,3)</f>
        <v>10.751750741194188</v>
      </c>
      <c r="AP52" s="129"/>
      <c r="AQ52" s="203">
        <f ca="1">[1]!s_fa_dupont_roe(E52,$C$3)</f>
        <v>13.425700000000001</v>
      </c>
      <c r="AR52" s="203">
        <f ca="1">[1]!s_fa_dupont_nptosales(B52,$C$3)</f>
        <v>31.9452</v>
      </c>
      <c r="AS52" s="238">
        <f ca="1">[1]!s_fa_dupont_faturnover(E52,$C$3)</f>
        <v>0.27900000000000003</v>
      </c>
      <c r="AT52" s="203">
        <f ca="1">[1]!s_fa_dupont_assetstoequity(E52,$C$3)</f>
        <v>1.5048999999999999</v>
      </c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</row>
    <row r="53" spans="1:57" s="191" customFormat="1" ht="12" customHeight="1" x14ac:dyDescent="0.35">
      <c r="A53" s="182" t="s">
        <v>0</v>
      </c>
      <c r="B53" s="182" t="s">
        <v>338</v>
      </c>
      <c r="C53" s="182" t="s">
        <v>339</v>
      </c>
      <c r="D53" s="182" t="str">
        <f ca="1">[1]!cb_info_underlyingname(B53)</f>
        <v>国药现代</v>
      </c>
      <c r="E53" s="183" t="str">
        <f ca="1">[1]!cb_info_underlyingcode(B53)</f>
        <v>600420.SH</v>
      </c>
      <c r="F53" s="184" t="str">
        <f ca="1">[1]!s_info_industry_sw(B53,1)</f>
        <v>医药生物</v>
      </c>
      <c r="G53" s="184" t="str">
        <f ca="1">[1]!s_info_industry_sw(E53,2)</f>
        <v>化学制药</v>
      </c>
      <c r="H53" s="184" t="str">
        <f ca="1">[1]!s_info_industry_sw(E53,3)</f>
        <v>化学制剂</v>
      </c>
      <c r="I53" s="192" t="str">
        <f ca="1">[1]!s_info_majorproducttype(E53)</f>
        <v>呼吸系统用制剂、激素及调节内分泌功能类制剂、抗生素类抗感染制剂、酶类及其它生化制剂、循环系统用制剂、医药中间体、原料药</v>
      </c>
      <c r="J53" s="189">
        <f ca="1">[1]!s_val_ev(E53,$B$2,100000000)</f>
        <v>103.6204558109</v>
      </c>
      <c r="K53" s="193">
        <f ca="1">[1]!s_share_total(E53,$B$2,100000000)</f>
        <v>10.269619010000001</v>
      </c>
      <c r="L53" s="193">
        <f ca="1">[1]!s_share_liqa(E53,$B$2,100000000)</f>
        <v>10.269619010000001</v>
      </c>
      <c r="M53" s="186">
        <f ca="1">[1]!s_fa_gr_ttm2(E53,$C$3,100000000)</f>
        <v>125.3843086623</v>
      </c>
      <c r="N53" s="187">
        <f ca="1">[1]!s_fa_netprofit_ttm2(E53,$C$3,100000000)</f>
        <v>7.125688105</v>
      </c>
      <c r="O53" s="186"/>
      <c r="P53" s="187">
        <f ca="1">[1]!s_val_pe_ttm(E53,[1]!td($B$2-1))</f>
        <v>13.846749305725098</v>
      </c>
      <c r="Q53" s="187">
        <f ca="1">[1]!i_val_pe_percentile(E53,[1]!td($B$2-1),$B$2-365*5,[1]!td($B$2-1))</f>
        <v>20.504385964912281</v>
      </c>
      <c r="R53" s="187">
        <f ca="1">[1]!pb_mrq(E53,[1]!td($B$2-1))</f>
        <v>1.2649460433099189</v>
      </c>
      <c r="S53" s="187">
        <f ca="1">[1]!i_val_pb_percentile(E53,[1]!td($B$2-1),$B$2-365*5,[1]!td($B$2-1))</f>
        <v>19.682017543859647</v>
      </c>
      <c r="T53" s="187">
        <f ca="1">[1]!s_val_pe_ttm([1]!to_windcode_index(H53&amp;"(申万)"),[1]!td($B$2-1))</f>
        <v>36.959999084472656</v>
      </c>
      <c r="U53" s="187"/>
      <c r="V53" s="187">
        <f ca="1">[1]!s_fa_roe(E53,$C$3)</f>
        <v>8.0340000000000007</v>
      </c>
      <c r="W53" s="187">
        <f ca="1">[1]!s_fa_grossprofitmargin(E53,$C$3)</f>
        <v>46.387300000000003</v>
      </c>
      <c r="X53" s="187">
        <f ca="1">[1]!s_fa_netprofitmargin(E53,$C$3)</f>
        <v>8.4587000000000003</v>
      </c>
      <c r="Y53" s="187">
        <f ca="1">[1]!s_fa_roic(E53,$C$3)</f>
        <v>6.3551000000000002</v>
      </c>
      <c r="Z53" s="187">
        <f ca="1">[1]!s_fa_operateincometoebt_ttm2(E53,$C$3)</f>
        <v>90.97</v>
      </c>
      <c r="AA53" s="186"/>
      <c r="AB53" s="342"/>
      <c r="AC53" s="186">
        <f ca="1">[1]!s_fa_cagr_tr($E53,AC$6,3)</f>
        <v>0</v>
      </c>
      <c r="AD53" s="186">
        <f ca="1">[1]!s_fa_cagr_tr($E53,AD$6,3)</f>
        <v>13.809536834358326</v>
      </c>
      <c r="AE53" s="187">
        <f ca="1">[1]!s_fa_cagr_tr($E53,AE$6,3)</f>
        <v>10.158858821971117</v>
      </c>
      <c r="AF53" s="187">
        <f ca="1">[1]!s_fa_cagr_tr($E53,AF$6,3)</f>
        <v>61.606690532886496</v>
      </c>
      <c r="AG53" s="187">
        <f ca="1">[1]!s_fa_cagr_tr($E53,AG$6,3)</f>
        <v>45.789227204505487</v>
      </c>
      <c r="AH53" s="187">
        <f ca="1">[1]!s_fa_cagr_tr($E53,AH$6,3)</f>
        <v>57.186829003022723</v>
      </c>
      <c r="AI53" s="194"/>
      <c r="AJ53" s="187">
        <f ca="1">[1]!s_fa_cagr_netprofit($E53,AJ$6,3)</f>
        <v>0</v>
      </c>
      <c r="AK53" s="187">
        <f ca="1">[1]!s_fa_cagr_netprofit($E53,AK$6,3)</f>
        <v>7.9462256157046829</v>
      </c>
      <c r="AL53" s="187">
        <f ca="1">[1]!s_fa_cagr_netprofit($E53,AL$6,3)</f>
        <v>11.231966167066542</v>
      </c>
      <c r="AM53" s="187">
        <f ca="1">[1]!s_fa_cagr_netprofit($E53,AM$6,3)</f>
        <v>47.232887341312768</v>
      </c>
      <c r="AN53" s="187">
        <f ca="1">[1]!s_fa_cagr_netprofit($E53,AN$6,3)</f>
        <v>39.502973649690553</v>
      </c>
      <c r="AO53" s="187">
        <f ca="1">[1]!s_fa_cagr_netprofit($E53,AO$6,3)</f>
        <v>53.14409004734997</v>
      </c>
      <c r="AP53" s="189"/>
      <c r="AQ53" s="202">
        <f ca="1">[1]!s_fa_dupont_roe(E53,$C$3)</f>
        <v>8.0340000000000007</v>
      </c>
      <c r="AR53" s="202">
        <f ca="1">[1]!s_fa_dupont_nptosales(B53,$C$3)</f>
        <v>8.4587000000000003</v>
      </c>
      <c r="AS53" s="237">
        <f ca="1">[1]!s_fa_dupont_faturnover(E53,$C$3)</f>
        <v>0.51719999999999999</v>
      </c>
      <c r="AT53" s="202">
        <f ca="1">[1]!s_fa_dupont_assetstoequity(E53,$C$3)</f>
        <v>2.3056999999999999</v>
      </c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189"/>
    </row>
    <row r="54" spans="1:57" s="130" customFormat="1" ht="12" customHeight="1" x14ac:dyDescent="0.35">
      <c r="A54" s="121" t="s">
        <v>5</v>
      </c>
      <c r="B54" s="121" t="s">
        <v>850</v>
      </c>
      <c r="C54" s="121" t="s">
        <v>851</v>
      </c>
      <c r="D54" s="121" t="str">
        <f ca="1">[1]!cb_info_underlyingname(B54)</f>
        <v>一品红</v>
      </c>
      <c r="E54" s="122" t="str">
        <f ca="1">[1]!cb_info_underlyingcode(B54)</f>
        <v>300723.SZ</v>
      </c>
      <c r="F54" s="123" t="str">
        <f ca="1">[1]!s_info_industry_sw(B54,1)</f>
        <v>医药生物</v>
      </c>
      <c r="G54" s="123" t="str">
        <f ca="1">[1]!s_info_industry_sw(E54,2)</f>
        <v>化学制药</v>
      </c>
      <c r="H54" s="123" t="str">
        <f ca="1">[1]!s_info_industry_sw(E54,3)</f>
        <v>化学制剂</v>
      </c>
      <c r="I54" s="156" t="str">
        <f ca="1">[1]!s_info_majorproducttype(E54)</f>
        <v>药品经销</v>
      </c>
      <c r="J54" s="129">
        <f ca="1">[1]!s_val_ev(E54,$B$2,100000000)</f>
        <v>100.72420220459999</v>
      </c>
      <c r="K54" s="157">
        <f ca="1">[1]!s_share_total(E54,$B$2,100000000)</f>
        <v>2.8803031799999999</v>
      </c>
      <c r="L54" s="157">
        <f ca="1">[1]!s_share_liqa(E54,$B$2,100000000)</f>
        <v>1.2369862700000001</v>
      </c>
      <c r="M54" s="125">
        <f ca="1">[1]!s_fa_gr_ttm2(E54,$C$3,100000000)</f>
        <v>16.403671316500002</v>
      </c>
      <c r="N54" s="126">
        <f ca="1">[1]!s_fa_netprofit_ttm2(E54,$C$3,100000000)</f>
        <v>1.7252052775</v>
      </c>
      <c r="O54" s="125"/>
      <c r="P54" s="126">
        <f ca="1">[1]!s_val_pe_ttm(E54,[1]!td($B$2-1))</f>
        <v>38.281478881835938</v>
      </c>
      <c r="Q54" s="126">
        <f ca="1">[1]!i_val_pe_percentile(E54,[1]!td($B$2-1),$B$2-365*5,[1]!td($B$2-1))</f>
        <v>61.754133716750538</v>
      </c>
      <c r="R54" s="126">
        <f ca="1">[1]!pb_mrq(E54,[1]!td($B$2-1))</f>
        <v>6.8111136765898301</v>
      </c>
      <c r="S54" s="126">
        <f ca="1">[1]!i_val_pb_percentile(E54,[1]!td($B$2-1),$B$2-365*5,[1]!td($B$2-1))</f>
        <v>96.908698777857666</v>
      </c>
      <c r="T54" s="126">
        <f ca="1">[1]!s_val_pe_ttm([1]!to_windcode_index(H54&amp;"(申万)"),[1]!td($B$2-1))</f>
        <v>36.959999084472656</v>
      </c>
      <c r="U54" s="126"/>
      <c r="V54" s="126">
        <f ca="1">[1]!s_fa_roe(E54,$C$3)</f>
        <v>14.0791</v>
      </c>
      <c r="W54" s="126">
        <f ca="1">[1]!s_fa_grossprofitmargin(E54,$C$3)</f>
        <v>81.807599999999994</v>
      </c>
      <c r="X54" s="126">
        <f ca="1">[1]!s_fa_netprofitmargin(E54,$C$3)</f>
        <v>16.422999999999998</v>
      </c>
      <c r="Y54" s="126">
        <f ca="1">[1]!s_fa_roic(E54,$C$3)</f>
        <v>12.092599999999999</v>
      </c>
      <c r="Z54" s="126">
        <f ca="1">[1]!s_fa_operateincometoebt_ttm2(E54,$C$3)</f>
        <v>67.047600000000003</v>
      </c>
      <c r="AA54" s="125"/>
      <c r="AB54" s="343"/>
      <c r="AC54" s="125">
        <f ca="1">[1]!s_fa_cagr_tr($E54,AC$6,3)</f>
        <v>0</v>
      </c>
      <c r="AD54" s="125">
        <f ca="1">[1]!s_fa_cagr_tr($E54,AD$6,3)</f>
        <v>6.67397825353504</v>
      </c>
      <c r="AE54" s="126">
        <f ca="1">[1]!s_fa_cagr_tr($E54,AE$6,3)</f>
        <v>9.3918948133689959</v>
      </c>
      <c r="AF54" s="126">
        <f ca="1">[1]!s_fa_cagr_tr($E54,AF$6,3)</f>
        <v>11.607649969369159</v>
      </c>
      <c r="AG54" s="126">
        <f ca="1">[1]!s_fa_cagr_tr($E54,AG$6,3)</f>
        <v>20.311198745763505</v>
      </c>
      <c r="AH54" s="126">
        <f ca="1">[1]!s_fa_cagr_tr($E54,AH$6,3)</f>
        <v>35.073203295602127</v>
      </c>
      <c r="AI54" s="169"/>
      <c r="AJ54" s="126">
        <f ca="1">[1]!s_fa_cagr_netprofit($E54,AJ$6,3)</f>
        <v>0</v>
      </c>
      <c r="AK54" s="126">
        <f ca="1">[1]!s_fa_cagr_netprofit($E54,AK$6,3)</f>
        <v>12.919212812401227</v>
      </c>
      <c r="AL54" s="126">
        <f ca="1">[1]!s_fa_cagr_netprofit($E54,AL$6,3)</f>
        <v>1.5146820088691504</v>
      </c>
      <c r="AM54" s="126">
        <f ca="1">[1]!s_fa_cagr_netprofit($E54,AM$6,3)</f>
        <v>51.048516661251583</v>
      </c>
      <c r="AN54" s="126">
        <f ca="1">[1]!s_fa_cagr_netprofit($E54,AN$6,3)</f>
        <v>57.234326785074011</v>
      </c>
      <c r="AO54" s="126">
        <f ca="1">[1]!s_fa_cagr_netprofit($E54,AO$6,3)</f>
        <v>60.86655930687386</v>
      </c>
      <c r="AP54" s="129"/>
      <c r="AQ54" s="203">
        <f ca="1">[1]!s_fa_dupont_roe(E54,$C$3)</f>
        <v>14.0791</v>
      </c>
      <c r="AR54" s="203">
        <f ca="1">[1]!s_fa_dupont_nptosales(B54,$C$3)</f>
        <v>16.422999999999998</v>
      </c>
      <c r="AS54" s="238">
        <f ca="1">[1]!s_fa_dupont_faturnover(E54,$C$3)</f>
        <v>0.61240000000000006</v>
      </c>
      <c r="AT54" s="203">
        <f ca="1">[1]!s_fa_dupont_assetstoequity(E54,$C$3)</f>
        <v>1.3963000000000001</v>
      </c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</row>
    <row r="55" spans="1:57" s="191" customFormat="1" ht="12" customHeight="1" x14ac:dyDescent="0.35">
      <c r="A55" s="182" t="s">
        <v>0</v>
      </c>
      <c r="B55" s="182" t="s">
        <v>206</v>
      </c>
      <c r="C55" s="182" t="s">
        <v>207</v>
      </c>
      <c r="D55" s="182" t="str">
        <f ca="1">[1]!cb_info_underlyingname(B55)</f>
        <v>柳药股份</v>
      </c>
      <c r="E55" s="183" t="str">
        <f ca="1">[1]!cb_info_underlyingcode(B55)</f>
        <v>603368.SH</v>
      </c>
      <c r="F55" s="184" t="str">
        <f ca="1">[1]!s_info_industry_sw(B55,1)</f>
        <v>医药生物</v>
      </c>
      <c r="G55" s="184" t="str">
        <f ca="1">[1]!s_info_industry_sw(E55,2)</f>
        <v>医药商业Ⅱ</v>
      </c>
      <c r="H55" s="184" t="str">
        <f ca="1">[1]!s_info_industry_sw(E55,3)</f>
        <v>医药商业Ⅲ</v>
      </c>
      <c r="I55" s="192" t="str">
        <f ca="1">[1]!s_info_majorproducttype(E55)</f>
        <v>生物诊断试剂、有机化学农药、诊断治疗设备、中药饮片</v>
      </c>
      <c r="J55" s="189">
        <f ca="1">[1]!s_val_ev(E55,$B$2,100000000)</f>
        <v>61.033893178</v>
      </c>
      <c r="K55" s="193">
        <f ca="1">[1]!s_share_total(E55,$B$2,100000000)</f>
        <v>3.6243404499999996</v>
      </c>
      <c r="L55" s="193">
        <f ca="1">[1]!s_share_liqa(E55,$B$2,100000000)</f>
        <v>3.6146601</v>
      </c>
      <c r="M55" s="186">
        <f ca="1">[1]!s_fa_gr_ttm2(E55,$C$3,100000000)</f>
        <v>155.0288551193</v>
      </c>
      <c r="N55" s="187">
        <f ca="1">[1]!s_fa_netprofit_ttm2(E55,$C$3,100000000)</f>
        <v>7.463796188099999</v>
      </c>
      <c r="O55" s="186"/>
      <c r="P55" s="187">
        <f ca="1">[1]!s_val_pe_ttm(E55,[1]!td($B$2-1))</f>
        <v>9.4442129135131836</v>
      </c>
      <c r="Q55" s="187">
        <f ca="1">[1]!i_val_pe_percentile(E55,[1]!td($B$2-1),$B$2-365*5,[1]!td($B$2-1))</f>
        <v>0.60307017543859642</v>
      </c>
      <c r="R55" s="187">
        <f ca="1">[1]!pb_mrq(E55,[1]!td($B$2-1))</f>
        <v>1.2067100657376142</v>
      </c>
      <c r="S55" s="187">
        <f ca="1">[1]!i_val_pb_percentile(E55,[1]!td($B$2-1),$B$2-365*5,[1]!td($B$2-1))</f>
        <v>0.60307017543859642</v>
      </c>
      <c r="T55" s="187">
        <f ca="1">[1]!s_val_pe_ttm([1]!to_windcode_index(H55&amp;"(申万)"),[1]!td($B$2-1))</f>
        <v>15.5</v>
      </c>
      <c r="U55" s="187"/>
      <c r="V55" s="187">
        <f ca="1">[1]!s_fa_roe(E55,$C$3)</f>
        <v>13.0435</v>
      </c>
      <c r="W55" s="187">
        <f ca="1">[1]!s_fa_grossprofitmargin(E55,$C$3)</f>
        <v>12.577199999999999</v>
      </c>
      <c r="X55" s="187">
        <f ca="1">[1]!s_fa_netprofitmargin(E55,$C$3)</f>
        <v>5.5305</v>
      </c>
      <c r="Y55" s="187">
        <f ca="1">[1]!s_fa_roic(E55,$C$3)</f>
        <v>9.0115999999999996</v>
      </c>
      <c r="Z55" s="187">
        <f ca="1">[1]!s_fa_operateincometoebt_ttm2(E55,$C$3)</f>
        <v>96.538499999999999</v>
      </c>
      <c r="AA55" s="186"/>
      <c r="AB55" s="342"/>
      <c r="AC55" s="186">
        <f ca="1">[1]!s_fa_cagr_tr($E55,AC$6,3)</f>
        <v>0</v>
      </c>
      <c r="AD55" s="186">
        <f ca="1">[1]!s_fa_cagr_tr($E55,AD$6,3)</f>
        <v>18.371260140534538</v>
      </c>
      <c r="AE55" s="187">
        <f ca="1">[1]!s_fa_cagr_tr($E55,AE$6,3)</f>
        <v>25.260166567589604</v>
      </c>
      <c r="AF55" s="187">
        <f ca="1">[1]!s_fa_cagr_tr($E55,AF$6,3)</f>
        <v>21.646610496646289</v>
      </c>
      <c r="AG55" s="187">
        <f ca="1">[1]!s_fa_cagr_tr($E55,AG$6,3)</f>
        <v>18.6527924150353</v>
      </c>
      <c r="AH55" s="187">
        <f ca="1">[1]!s_fa_cagr_tr($E55,AH$6,3)</f>
        <v>18.45731652771445</v>
      </c>
      <c r="AI55" s="194"/>
      <c r="AJ55" s="187">
        <f ca="1">[1]!s_fa_cagr_netprofit($E55,AJ$6,3)</f>
        <v>0</v>
      </c>
      <c r="AK55" s="187">
        <f ca="1">[1]!s_fa_cagr_netprofit($E55,AK$6,3)</f>
        <v>21.036552331740708</v>
      </c>
      <c r="AL55" s="187">
        <f ca="1">[1]!s_fa_cagr_netprofit($E55,AL$6,3)</f>
        <v>28.769595115350221</v>
      </c>
      <c r="AM55" s="187">
        <f ca="1">[1]!s_fa_cagr_netprofit($E55,AM$6,3)</f>
        <v>36.346679816049644</v>
      </c>
      <c r="AN55" s="187">
        <f ca="1">[1]!s_fa_cagr_netprofit($E55,AN$6,3)</f>
        <v>33.211484630425716</v>
      </c>
      <c r="AO55" s="187">
        <f ca="1">[1]!s_fa_cagr_netprofit($E55,AO$6,3)</f>
        <v>29.03469734762718</v>
      </c>
      <c r="AP55" s="189"/>
      <c r="AQ55" s="202">
        <f ca="1">[1]!s_fa_dupont_roe(E55,$C$3)</f>
        <v>13.0435</v>
      </c>
      <c r="AR55" s="202">
        <f ca="1">[1]!s_fa_dupont_nptosales(B55,$C$3)</f>
        <v>5.5305</v>
      </c>
      <c r="AS55" s="237">
        <f ca="1">[1]!s_fa_dupont_faturnover(E55,$C$3)</f>
        <v>0.89690000000000003</v>
      </c>
      <c r="AT55" s="202">
        <f ca="1">[1]!s_fa_dupont_assetstoequity(E55,$C$3)</f>
        <v>2.8094000000000001</v>
      </c>
      <c r="AU55" s="189"/>
      <c r="AV55" s="201"/>
      <c r="AW55" s="189"/>
      <c r="AX55" s="189"/>
      <c r="AY55" s="189"/>
      <c r="AZ55" s="189"/>
      <c r="BA55" s="189"/>
      <c r="BB55" s="189"/>
      <c r="BC55" s="189"/>
      <c r="BD55" s="189"/>
      <c r="BE55" s="189"/>
    </row>
    <row r="56" spans="1:57" s="130" customFormat="1" ht="12" customHeight="1" x14ac:dyDescent="0.35">
      <c r="A56" s="121" t="s">
        <v>5</v>
      </c>
      <c r="B56" s="121" t="s">
        <v>62</v>
      </c>
      <c r="C56" s="121" t="s">
        <v>63</v>
      </c>
      <c r="D56" s="121" t="str">
        <f ca="1">[1]!cb_info_underlyingname(B56)</f>
        <v>科华生物</v>
      </c>
      <c r="E56" s="122" t="str">
        <f ca="1">[1]!cb_info_underlyingcode(B56)</f>
        <v>002022.SZ</v>
      </c>
      <c r="F56" s="123" t="str">
        <f ca="1">[1]!s_info_industry_sw(B56,1)</f>
        <v>医药生物</v>
      </c>
      <c r="G56" s="123" t="str">
        <f ca="1">[1]!s_info_industry_sw(E56,2)</f>
        <v>医疗器械Ⅱ</v>
      </c>
      <c r="H56" s="123" t="str">
        <f ca="1">[1]!s_info_industry_sw(E56,3)</f>
        <v>医疗器械Ⅲ</v>
      </c>
      <c r="I56" s="156" t="str">
        <f ca="1">[1]!s_info_majorproducttype(E56)</f>
        <v>行业专用软件、基因制品、生物诊断试剂、系统集成服务、诊断治疗设备</v>
      </c>
      <c r="J56" s="129">
        <f ca="1">[1]!s_val_ev(E56,$B$2,100000000)</f>
        <v>69.896767892</v>
      </c>
      <c r="K56" s="157">
        <f ca="1">[1]!s_share_total(E56,$B$2,100000000)</f>
        <v>5.1470374000000003</v>
      </c>
      <c r="L56" s="157">
        <f ca="1">[1]!s_share_liqa(E56,$B$2,100000000)</f>
        <v>5.1405956599999998</v>
      </c>
      <c r="M56" s="125">
        <f ca="1">[1]!s_fa_gr_ttm2(E56,$C$3,100000000)</f>
        <v>32.1492165919</v>
      </c>
      <c r="N56" s="126">
        <f ca="1">[1]!s_fa_netprofit_ttm2(E56,$C$3,100000000)</f>
        <v>3.9599691225</v>
      </c>
      <c r="O56" s="125"/>
      <c r="P56" s="126">
        <f ca="1">[1]!s_val_pe_ttm(E56,[1]!td($B$2-1))</f>
        <v>7.2677388191223145</v>
      </c>
      <c r="Q56" s="126">
        <f ca="1">[1]!i_val_pe_percentile(E56,[1]!td($B$2-1),$B$2-365*5,[1]!td($B$2-1))</f>
        <v>1.3432017543859649</v>
      </c>
      <c r="R56" s="126">
        <f ca="1">[1]!pb_mrq(E56,[1]!td($B$2-1))</f>
        <v>2.0751707471105441</v>
      </c>
      <c r="S56" s="126">
        <f ca="1">[1]!i_val_pb_percentile(E56,[1]!td($B$2-1),$B$2-365*5,[1]!td($B$2-1))</f>
        <v>0.63048245614035081</v>
      </c>
      <c r="T56" s="126">
        <f ca="1">[1]!s_val_pe_ttm([1]!to_windcode_index(H56&amp;"(申万)"),[1]!td($B$2-1))</f>
        <v>20.920000076293945</v>
      </c>
      <c r="U56" s="126"/>
      <c r="V56" s="126">
        <f ca="1">[1]!s_fa_roe(E56,$C$3)</f>
        <v>15.3498</v>
      </c>
      <c r="W56" s="126">
        <f ca="1">[1]!s_fa_grossprofitmargin(E56,$C$3)</f>
        <v>56.472700000000003</v>
      </c>
      <c r="X56" s="126">
        <f ca="1">[1]!s_fa_netprofitmargin(E56,$C$3)</f>
        <v>25.961200000000002</v>
      </c>
      <c r="Y56" s="126">
        <f ca="1">[1]!s_fa_roic(E56,$C$3)</f>
        <v>17.626300000000001</v>
      </c>
      <c r="Z56" s="126">
        <f ca="1">[1]!s_fa_operateincometoebt_ttm2(E56,$C$3)</f>
        <v>96.519800000000004</v>
      </c>
      <c r="AA56" s="125"/>
      <c r="AB56" s="343"/>
      <c r="AC56" s="125">
        <f ca="1">[1]!s_fa_cagr_tr($E56,AC$6,3)</f>
        <v>0</v>
      </c>
      <c r="AD56" s="125">
        <f ca="1">[1]!s_fa_cagr_tr($E56,AD$6,3)</f>
        <v>37.625409400090582</v>
      </c>
      <c r="AE56" s="126">
        <f ca="1">[1]!s_fa_cagr_tr($E56,AE$6,3)</f>
        <v>20.016934689781628</v>
      </c>
      <c r="AF56" s="126">
        <f ca="1">[1]!s_fa_cagr_tr($E56,AF$6,3)</f>
        <v>19.86003947453252</v>
      </c>
      <c r="AG56" s="126">
        <f ca="1">[1]!s_fa_cagr_tr($E56,AG$6,3)</f>
        <v>9.3883685468577394</v>
      </c>
      <c r="AH56" s="126">
        <f ca="1">[1]!s_fa_cagr_tr($E56,AH$6,3)</f>
        <v>7.8151897427558126</v>
      </c>
      <c r="AI56" s="169"/>
      <c r="AJ56" s="126">
        <f ca="1">[1]!s_fa_cagr_netprofit($E56,AJ$6,3)</f>
        <v>0</v>
      </c>
      <c r="AK56" s="126">
        <f ca="1">[1]!s_fa_cagr_netprofit($E56,AK$6,3)</f>
        <v>45.83161114295973</v>
      </c>
      <c r="AL56" s="126">
        <f ca="1">[1]!s_fa_cagr_netprofit($E56,AL$6,3)</f>
        <v>-4.4908259858781996</v>
      </c>
      <c r="AM56" s="126">
        <f ca="1">[1]!s_fa_cagr_netprofit($E56,AM$6,3)</f>
        <v>-0.45246339271795</v>
      </c>
      <c r="AN56" s="126">
        <f ca="1">[1]!s_fa_cagr_netprofit($E56,AN$6,3)</f>
        <v>-9.3130838349349538</v>
      </c>
      <c r="AO56" s="126">
        <f ca="1">[1]!s_fa_cagr_netprofit($E56,AO$6,3)</f>
        <v>-6.9357641879606247</v>
      </c>
      <c r="AP56" s="129"/>
      <c r="AQ56" s="203">
        <f ca="1">[1]!s_fa_dupont_roe(E56,$C$3)</f>
        <v>15.3498</v>
      </c>
      <c r="AR56" s="203">
        <f ca="1">[1]!s_fa_dupont_nptosales(B56,$C$3)</f>
        <v>25.961200000000002</v>
      </c>
      <c r="AS56" s="238">
        <f ca="1">[1]!s_fa_dupont_faturnover(E56,$C$3)</f>
        <v>0.56720000000000004</v>
      </c>
      <c r="AT56" s="203">
        <f ca="1">[1]!s_fa_dupont_assetstoequity(E56,$C$3)</f>
        <v>1.7291000000000001</v>
      </c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</row>
    <row r="57" spans="1:57" s="191" customFormat="1" ht="12" customHeight="1" x14ac:dyDescent="0.35">
      <c r="A57" s="182" t="s">
        <v>0</v>
      </c>
      <c r="B57" s="182" t="s">
        <v>112</v>
      </c>
      <c r="C57" s="182" t="s">
        <v>113</v>
      </c>
      <c r="D57" s="182" t="str">
        <f ca="1">[1]!cb_info_underlyingname(B57)</f>
        <v>润达医疗</v>
      </c>
      <c r="E57" s="183" t="str">
        <f ca="1">[1]!cb_info_underlyingcode(B57)</f>
        <v>603108.SH</v>
      </c>
      <c r="F57" s="184" t="str">
        <f ca="1">[1]!s_info_industry_sw(B57,1)</f>
        <v>医药生物</v>
      </c>
      <c r="G57" s="184" t="str">
        <f ca="1">[1]!s_info_industry_sw(E57,2)</f>
        <v>医疗服务Ⅱ</v>
      </c>
      <c r="H57" s="184" t="str">
        <f ca="1">[1]!s_info_industry_sw(E57,3)</f>
        <v>医疗服务Ⅲ</v>
      </c>
      <c r="I57" s="192" t="str">
        <f ca="1">[1]!s_info_majorproducttype(E57)</f>
        <v>诊断用制剂</v>
      </c>
      <c r="J57" s="189">
        <f ca="1">[1]!s_val_ev(E57,$B$2,100000000)</f>
        <v>60.735553056000001</v>
      </c>
      <c r="K57" s="193">
        <f ca="1">[1]!s_share_total(E57,$B$2,100000000)</f>
        <v>5.7953771999999999</v>
      </c>
      <c r="L57" s="193">
        <f ca="1">[1]!s_share_liqa(E57,$B$2,100000000)</f>
        <v>5.7953771999999999</v>
      </c>
      <c r="M57" s="186">
        <f ca="1">[1]!s_fa_gr_ttm2(E57,$C$3,100000000)</f>
        <v>67.841052654500004</v>
      </c>
      <c r="N57" s="187">
        <f ca="1">[1]!s_fa_netprofit_ttm2(E57,$C$3,100000000)</f>
        <v>2.5331673758000002</v>
      </c>
      <c r="O57" s="186"/>
      <c r="P57" s="187">
        <f ca="1">[1]!s_val_pe_ttm(E57,[1]!td($B$2-1))</f>
        <v>14.26555061340332</v>
      </c>
      <c r="Q57" s="187">
        <f ca="1">[1]!i_val_pe_percentile(E57,[1]!td($B$2-1),$B$2-365*5,[1]!td($B$2-1))</f>
        <v>3.070175438596491</v>
      </c>
      <c r="R57" s="187">
        <f ca="1">[1]!pb_mrq(E57,[1]!td($B$2-1))</f>
        <v>1.8779857167485599</v>
      </c>
      <c r="S57" s="187">
        <f ca="1">[1]!i_val_pb_percentile(E57,[1]!td($B$2-1),$B$2-365*5,[1]!td($B$2-1))</f>
        <v>5.0438596491228065</v>
      </c>
      <c r="T57" s="187">
        <f ca="1">[1]!s_val_pe_ttm([1]!to_windcode_index(H57&amp;"(申万)"),[1]!td($B$2-1))</f>
        <v>81.550003051757813</v>
      </c>
      <c r="U57" s="186"/>
      <c r="V57" s="186">
        <f ca="1">[1]!s_fa_roe(E57,$C$3)</f>
        <v>8.0396000000000001</v>
      </c>
      <c r="W57" s="186">
        <f ca="1">[1]!s_fa_grossprofitmargin(E57,$C$3)</f>
        <v>25.5352</v>
      </c>
      <c r="X57" s="186">
        <f ca="1">[1]!s_fa_netprofitmargin(E57,$C$3)</f>
        <v>7.1839000000000004</v>
      </c>
      <c r="Y57" s="186">
        <f ca="1">[1]!s_fa_roic(E57,$C$3)</f>
        <v>6.4749999999999996</v>
      </c>
      <c r="Z57" s="186">
        <f ca="1">[1]!s_fa_operateincometoebt_ttm2(E57,$C$3)</f>
        <v>68.569999999999993</v>
      </c>
      <c r="AA57" s="186"/>
      <c r="AB57" s="342"/>
      <c r="AC57" s="186">
        <f ca="1">[1]!s_fa_cagr_tr($E57,AC$6,3)</f>
        <v>0</v>
      </c>
      <c r="AD57" s="186">
        <f ca="1">[1]!s_fa_cagr_tr($E57,AD$6,3)</f>
        <v>17.851333339457476</v>
      </c>
      <c r="AE57" s="187">
        <f ca="1">[1]!s_fa_cagr_tr($E57,AE$6,3)</f>
        <v>48.241995503097293</v>
      </c>
      <c r="AF57" s="187">
        <f ca="1">[1]!s_fa_cagr_tr($E57,AF$6,3)</f>
        <v>54.138897004689746</v>
      </c>
      <c r="AG57" s="187">
        <f ca="1">[1]!s_fa_cagr_tr($E57,AG$6,3)</f>
        <v>47.039649576437739</v>
      </c>
      <c r="AH57" s="187">
        <f ca="1">[1]!s_fa_cagr_tr($E57,AH$6,3)</f>
        <v>28.262084583590141</v>
      </c>
      <c r="AI57" s="194"/>
      <c r="AJ57" s="187">
        <f ca="1">[1]!s_fa_cagr_netprofit($E57,AJ$6,3)</f>
        <v>0</v>
      </c>
      <c r="AK57" s="187">
        <f ca="1">[1]!s_fa_cagr_netprofit($E57,AK$6,3)</f>
        <v>14.610651808063334</v>
      </c>
      <c r="AL57" s="187">
        <f ca="1">[1]!s_fa_cagr_netprofit($E57,AL$6,3)</f>
        <v>38.528499654016102</v>
      </c>
      <c r="AM57" s="187">
        <f ca="1">[1]!s_fa_cagr_netprofit($E57,AM$6,3)</f>
        <v>41.858903136479178</v>
      </c>
      <c r="AN57" s="187">
        <f ca="1">[1]!s_fa_cagr_netprofit($E57,AN$6,3)</f>
        <v>42.869138460620768</v>
      </c>
      <c r="AO57" s="187">
        <f ca="1">[1]!s_fa_cagr_netprofit($E57,AO$6,3)</f>
        <v>19.667712016762671</v>
      </c>
      <c r="AP57" s="189"/>
      <c r="AQ57" s="202">
        <f ca="1">[1]!s_fa_dupont_roe(E57,$C$3)</f>
        <v>8.0396000000000001</v>
      </c>
      <c r="AR57" s="202">
        <f ca="1">[1]!s_fa_dupont_nptosales(B57,$C$3)</f>
        <v>7.1839000000000004</v>
      </c>
      <c r="AS57" s="237">
        <f ca="1">[1]!s_fa_dupont_faturnover(E57,$C$3)</f>
        <v>0.52239999999999998</v>
      </c>
      <c r="AT57" s="202">
        <f ca="1">[1]!s_fa_dupont_assetstoequity(E57,$C$3)</f>
        <v>3.2143999999999999</v>
      </c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57" s="130" customFormat="1" ht="12" customHeight="1" x14ac:dyDescent="0.35">
      <c r="A58" s="121" t="s">
        <v>0</v>
      </c>
      <c r="B58" s="121" t="s">
        <v>565</v>
      </c>
      <c r="C58" s="121" t="s">
        <v>566</v>
      </c>
      <c r="D58" s="121" t="str">
        <f ca="1">[1]!cb_info_underlyingname(B58)</f>
        <v>灵康药业</v>
      </c>
      <c r="E58" s="122" t="str">
        <f ca="1">[1]!cb_info_underlyingcode(B58)</f>
        <v>603669.SH</v>
      </c>
      <c r="F58" s="123" t="str">
        <f ca="1">[1]!s_info_industry_sw(B58,1)</f>
        <v>医药生物</v>
      </c>
      <c r="G58" s="123" t="str">
        <f ca="1">[1]!s_info_industry_sw(E58,2)</f>
        <v>化学制药</v>
      </c>
      <c r="H58" s="123" t="str">
        <f ca="1">[1]!s_info_industry_sw(E58,3)</f>
        <v>化学制剂</v>
      </c>
      <c r="I58" s="156" t="str">
        <f ca="1">[1]!s_info_majorproducttype(E58)</f>
        <v>原料药</v>
      </c>
      <c r="J58" s="129">
        <f ca="1">[1]!s_val_ev(E58,$B$2,100000000)</f>
        <v>63.567772903799998</v>
      </c>
      <c r="K58" s="157">
        <f ca="1">[1]!s_share_total(E58,$B$2,100000000)</f>
        <v>7.1344301799999998</v>
      </c>
      <c r="L58" s="157">
        <f ca="1">[1]!s_share_liqa(E58,$B$2,100000000)</f>
        <v>7.1344301799999998</v>
      </c>
      <c r="M58" s="125">
        <f ca="1">[1]!s_fa_gr_ttm2(E58,$C$3,100000000)</f>
        <v>11.935918284000001</v>
      </c>
      <c r="N58" s="126">
        <f ca="1">[1]!s_fa_netprofit_ttm2(E58,$C$3,100000000)</f>
        <v>2.0323604324</v>
      </c>
      <c r="O58" s="125"/>
      <c r="P58" s="126">
        <f ca="1">[1]!s_val_pe_ttm(E58,[1]!td($B$2-1))</f>
        <v>41.666603088378906</v>
      </c>
      <c r="Q58" s="126">
        <f ca="1">[1]!i_val_pe_percentile(E58,[1]!td($B$2-1),$B$2-365*5,[1]!td($B$2-1))</f>
        <v>77.960526315789465</v>
      </c>
      <c r="R58" s="126">
        <f ca="1">[1]!pb_mrq(E58,[1]!td($B$2-1))</f>
        <v>4.8969659446288247</v>
      </c>
      <c r="S58" s="126">
        <f ca="1">[1]!i_val_pb_percentile(E58,[1]!td($B$2-1),$B$2-365*5,[1]!td($B$2-1))</f>
        <v>76.64473684210526</v>
      </c>
      <c r="T58" s="126">
        <f ca="1">[1]!s_val_pe_ttm([1]!to_windcode_index(H58&amp;"(申万)"),[1]!td($B$2-1))</f>
        <v>36.959999084472656</v>
      </c>
      <c r="U58" s="126"/>
      <c r="V58" s="126">
        <f ca="1">[1]!s_fa_roe(E58,$C$3)</f>
        <v>11.3782</v>
      </c>
      <c r="W58" s="126">
        <f ca="1">[1]!s_fa_grossprofitmargin(E58,$C$3)</f>
        <v>85.365600000000001</v>
      </c>
      <c r="X58" s="126">
        <f ca="1">[1]!s_fa_netprofitmargin(E58,$C$3)</f>
        <v>19.787099999999999</v>
      </c>
      <c r="Y58" s="126">
        <f ca="1">[1]!s_fa_roic(E58,$C$3)</f>
        <v>8.8374000000000006</v>
      </c>
      <c r="Z58" s="126">
        <f ca="1">[1]!s_fa_operateincometoebt_ttm2(E58,$C$3)</f>
        <v>57.180100000000003</v>
      </c>
      <c r="AA58" s="125"/>
      <c r="AB58" s="343"/>
      <c r="AC58" s="125">
        <f ca="1">[1]!s_fa_cagr_tr($E58,AC$6,3)</f>
        <v>0</v>
      </c>
      <c r="AD58" s="125">
        <f ca="1">[1]!s_fa_cagr_tr($E58,AD$6,3)</f>
        <v>-0.13541640965729629</v>
      </c>
      <c r="AE58" s="126">
        <f ca="1">[1]!s_fa_cagr_tr($E58,AE$6,3)</f>
        <v>50.609312450230078</v>
      </c>
      <c r="AF58" s="126">
        <f ca="1">[1]!s_fa_cagr_tr($E58,AF$6,3)</f>
        <v>44.7323640634973</v>
      </c>
      <c r="AG58" s="126">
        <f ca="1">[1]!s_fa_cagr_tr($E58,AG$6,3)</f>
        <v>20.362637718256483</v>
      </c>
      <c r="AH58" s="126">
        <f ca="1">[1]!s_fa_cagr_tr($E58,AH$6,3)</f>
        <v>-1.0673123966526976</v>
      </c>
      <c r="AI58" s="169"/>
      <c r="AJ58" s="126">
        <f ca="1">[1]!s_fa_cagr_netprofit($E58,AJ$6,3)</f>
        <v>0</v>
      </c>
      <c r="AK58" s="126">
        <f ca="1">[1]!s_fa_cagr_netprofit($E58,AK$6,3)</f>
        <v>-0.19343086656181674</v>
      </c>
      <c r="AL58" s="126">
        <f ca="1">[1]!s_fa_cagr_netprofit($E58,AL$6,3)</f>
        <v>9.4094581190775184</v>
      </c>
      <c r="AM58" s="126">
        <f ca="1">[1]!s_fa_cagr_netprofit($E58,AM$6,3)</f>
        <v>6.8679351908653263</v>
      </c>
      <c r="AN58" s="126">
        <f ca="1">[1]!s_fa_cagr_netprofit($E58,AN$6,3)</f>
        <v>2.4204453945132709</v>
      </c>
      <c r="AO58" s="126">
        <f ca="1">[1]!s_fa_cagr_netprofit($E58,AO$6,3)</f>
        <v>10.270107326462474</v>
      </c>
      <c r="AP58" s="129"/>
      <c r="AQ58" s="203">
        <f ca="1">[1]!s_fa_dupont_roe(E58,$C$3)</f>
        <v>11.3782</v>
      </c>
      <c r="AR58" s="203">
        <f ca="1">[1]!s_fa_dupont_nptosales(B58,$C$3)</f>
        <v>19.787099999999999</v>
      </c>
      <c r="AS58" s="238">
        <f ca="1">[1]!s_fa_dupont_faturnover(E58,$C$3)</f>
        <v>0.38800000000000001</v>
      </c>
      <c r="AT58" s="203">
        <f ca="1">[1]!s_fa_dupont_assetstoequity(E58,$C$3)</f>
        <v>1.4819</v>
      </c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</row>
    <row r="59" spans="1:57" s="191" customFormat="1" ht="12" customHeight="1" x14ac:dyDescent="0.35">
      <c r="A59" s="182" t="s">
        <v>5</v>
      </c>
      <c r="B59" s="182" t="s">
        <v>304</v>
      </c>
      <c r="C59" s="182" t="s">
        <v>305</v>
      </c>
      <c r="D59" s="182" t="str">
        <f ca="1">[1]!cb_info_underlyingname(B59)</f>
        <v>华森制药</v>
      </c>
      <c r="E59" s="183" t="str">
        <f ca="1">[1]!cb_info_underlyingcode(B59)</f>
        <v>002907.SZ</v>
      </c>
      <c r="F59" s="184" t="str">
        <f ca="1">[1]!s_info_industry_sw(B59,1)</f>
        <v>医药生物</v>
      </c>
      <c r="G59" s="184" t="str">
        <f ca="1">[1]!s_info_industry_sw(E59,2)</f>
        <v>中药Ⅱ</v>
      </c>
      <c r="H59" s="184" t="str">
        <f ca="1">[1]!s_info_industry_sw(E59,3)</f>
        <v>中药Ⅲ</v>
      </c>
      <c r="I59" s="192" t="str">
        <f ca="1">[1]!s_info_majorproducttype(E59)</f>
        <v>原料药、中药饮片</v>
      </c>
      <c r="J59" s="189">
        <f ca="1">[1]!s_val_ev(E59,$B$2,100000000)</f>
        <v>49.648707252000001</v>
      </c>
      <c r="K59" s="193">
        <f ca="1">[1]!s_share_total(E59,$B$2,100000000)</f>
        <v>4.0168857000000004</v>
      </c>
      <c r="L59" s="193">
        <f ca="1">[1]!s_share_liqa(E59,$B$2,100000000)</f>
        <v>2.8428981599999998</v>
      </c>
      <c r="M59" s="186">
        <f ca="1">[1]!s_fa_gr_ttm2(E59,$C$3,100000000)</f>
        <v>8.4043885176999993</v>
      </c>
      <c r="N59" s="187">
        <f ca="1">[1]!s_fa_netprofit_ttm2(E59,$C$3,100000000)</f>
        <v>1.2676334365000002</v>
      </c>
      <c r="O59" s="186"/>
      <c r="P59" s="187">
        <f ca="1">[1]!s_val_pe_ttm(E59,[1]!td($B$2-1))</f>
        <v>44.083560943603516</v>
      </c>
      <c r="Q59" s="187">
        <f ca="1">[1]!i_val_pe_percentile(E59,[1]!td($B$2-1),$B$2-365*5,[1]!td($B$2-1))</f>
        <v>37.588152327221444</v>
      </c>
      <c r="R59" s="187">
        <f ca="1">[1]!pb_mrq(E59,[1]!td($B$2-1))</f>
        <v>4.3310980191570048</v>
      </c>
      <c r="S59" s="187">
        <f ca="1">[1]!i_val_pb_percentile(E59,[1]!td($B$2-1),$B$2-365*5,[1]!td($B$2-1))</f>
        <v>7.3342736248236946</v>
      </c>
      <c r="T59" s="187">
        <f ca="1">[1]!s_val_pe_ttm([1]!to_windcode_index(H59&amp;"(申万)"),[1]!td($B$2-1))</f>
        <v>30.170000076293945</v>
      </c>
      <c r="U59" s="187"/>
      <c r="V59" s="187">
        <f ca="1">[1]!s_fa_roe(E59,$C$3)</f>
        <v>8.5100999999999996</v>
      </c>
      <c r="W59" s="187">
        <f ca="1">[1]!s_fa_grossprofitmargin(E59,$C$3)</f>
        <v>50.700200000000002</v>
      </c>
      <c r="X59" s="187">
        <f ca="1">[1]!s_fa_netprofitmargin(E59,$C$3)</f>
        <v>15.1663</v>
      </c>
      <c r="Y59" s="187">
        <f ca="1">[1]!s_fa_roic(E59,$C$3)</f>
        <v>7.4055999999999997</v>
      </c>
      <c r="Z59" s="187">
        <f ca="1">[1]!s_fa_operateincometoebt_ttm2(E59,$C$3)</f>
        <v>79.477599999999995</v>
      </c>
      <c r="AA59" s="186"/>
      <c r="AB59" s="342"/>
      <c r="AC59" s="186">
        <f ca="1">[1]!s_fa_cagr_tr($E59,AC$6,3)</f>
        <v>0</v>
      </c>
      <c r="AD59" s="186">
        <f ca="1">[1]!s_fa_cagr_tr($E59,AD$6,3)</f>
        <v>14.227366492122773</v>
      </c>
      <c r="AE59" s="187">
        <f ca="1">[1]!s_fa_cagr_tr($E59,AE$6,3)</f>
        <v>15.139065693142406</v>
      </c>
      <c r="AF59" s="187">
        <f ca="1">[1]!s_fa_cagr_tr($E59,AF$6,3)</f>
        <v>14.440879850948708</v>
      </c>
      <c r="AG59" s="187">
        <f ca="1">[1]!s_fa_cagr_tr($E59,AG$6,3)</f>
        <v>11.607454351067847</v>
      </c>
      <c r="AH59" s="187">
        <f ca="1">[1]!s_fa_cagr_tr($E59,AH$6,3)</f>
        <v>16.671089336363121</v>
      </c>
      <c r="AI59" s="194"/>
      <c r="AJ59" s="187">
        <f ca="1">[1]!s_fa_cagr_netprofit($E59,AJ$6,3)</f>
        <v>0</v>
      </c>
      <c r="AK59" s="187">
        <f ca="1">[1]!s_fa_cagr_netprofit($E59,AK$6,3)</f>
        <v>2.0986631982578219</v>
      </c>
      <c r="AL59" s="187">
        <f ca="1">[1]!s_fa_cagr_netprofit($E59,AL$6,3)</f>
        <v>21.046132283067021</v>
      </c>
      <c r="AM59" s="187">
        <f ca="1">[1]!s_fa_cagr_netprofit($E59,AM$6,3)</f>
        <v>22.991770812356059</v>
      </c>
      <c r="AN59" s="187">
        <f ca="1">[1]!s_fa_cagr_netprofit($E59,AN$6,3)</f>
        <v>23.986863803715551</v>
      </c>
      <c r="AO59" s="187">
        <f ca="1">[1]!s_fa_cagr_netprofit($E59,AO$6,3)</f>
        <v>48.975430797624831</v>
      </c>
      <c r="AP59" s="189"/>
      <c r="AQ59" s="202">
        <f ca="1">[1]!s_fa_dupont_roe(E59,$C$3)</f>
        <v>8.5100999999999996</v>
      </c>
      <c r="AR59" s="202">
        <f ca="1">[1]!s_fa_dupont_nptosales(B59,$C$3)</f>
        <v>15.1663</v>
      </c>
      <c r="AS59" s="237">
        <f ca="1">[1]!s_fa_dupont_faturnover(E59,$C$3)</f>
        <v>0.37269999999999998</v>
      </c>
      <c r="AT59" s="202">
        <f ca="1">[1]!s_fa_dupont_assetstoequity(E59,$C$3)</f>
        <v>1.5057</v>
      </c>
      <c r="AU59" s="189"/>
      <c r="AV59" s="201"/>
      <c r="AW59" s="189"/>
      <c r="AX59" s="189"/>
      <c r="AY59" s="189"/>
      <c r="AZ59" s="189"/>
      <c r="BA59" s="189"/>
      <c r="BB59" s="189"/>
      <c r="BC59" s="189"/>
      <c r="BD59" s="189"/>
      <c r="BE59" s="189"/>
    </row>
    <row r="60" spans="1:57" s="130" customFormat="1" ht="12" customHeight="1" x14ac:dyDescent="0.35">
      <c r="A60" s="121" t="s">
        <v>0</v>
      </c>
      <c r="B60" s="121" t="s">
        <v>122</v>
      </c>
      <c r="C60" s="121" t="s">
        <v>123</v>
      </c>
      <c r="D60" s="121" t="str">
        <f ca="1">[1]!cb_info_underlyingname(B60)</f>
        <v>寿仙谷</v>
      </c>
      <c r="E60" s="122" t="str">
        <f ca="1">[1]!cb_info_underlyingcode(B60)</f>
        <v>603896.SH</v>
      </c>
      <c r="F60" s="123" t="str">
        <f ca="1">[1]!s_info_industry_sw(B60,1)</f>
        <v>医药生物</v>
      </c>
      <c r="G60" s="123" t="str">
        <f ca="1">[1]!s_info_industry_sw(E60,2)</f>
        <v>中药Ⅱ</v>
      </c>
      <c r="H60" s="123" t="str">
        <f ca="1">[1]!s_info_industry_sw(E60,3)</f>
        <v>中药Ⅲ</v>
      </c>
      <c r="I60" s="156" t="str">
        <f ca="1">[1]!s_info_majorproducttype(E60)</f>
        <v>中药饮片</v>
      </c>
      <c r="J60" s="129">
        <f ca="1">[1]!s_val_ev(E60,$B$2,100000000)</f>
        <v>61.452128696700001</v>
      </c>
      <c r="K60" s="157">
        <f ca="1">[1]!s_share_total(E60,$B$2,100000000)</f>
        <v>1.5162133900000001</v>
      </c>
      <c r="L60" s="157">
        <f ca="1">[1]!s_share_liqa(E60,$B$2,100000000)</f>
        <v>1.5162133900000001</v>
      </c>
      <c r="M60" s="125">
        <f ca="1">[1]!s_fa_gr_ttm2(E60,$C$3,100000000)</f>
        <v>5.9711241291999997</v>
      </c>
      <c r="N60" s="126">
        <f ca="1">[1]!s_fa_netprofit_ttm2(E60,$C$3,100000000)</f>
        <v>1.3389024470999999</v>
      </c>
      <c r="O60" s="125"/>
      <c r="P60" s="126">
        <f ca="1">[1]!s_val_pe_ttm(E60,[1]!td($B$2-1))</f>
        <v>37.389339447021484</v>
      </c>
      <c r="Q60" s="126">
        <f ca="1">[1]!i_val_pe_percentile(E60,[1]!td($B$2-1),$B$2-365*5,[1]!td($B$2-1))</f>
        <v>15.243516761543328</v>
      </c>
      <c r="R60" s="126">
        <f ca="1">[1]!pb_mrq(E60,[1]!td($B$2-1))</f>
        <v>4.3659790736694113</v>
      </c>
      <c r="S60" s="126">
        <f ca="1">[1]!i_val_pb_percentile(E60,[1]!td($B$2-1),$B$2-365*5,[1]!td($B$2-1))</f>
        <v>37.254901960784316</v>
      </c>
      <c r="T60" s="126">
        <f ca="1">[1]!s_val_pe_ttm([1]!to_windcode_index(H60&amp;"(申万)"),[1]!td($B$2-1))</f>
        <v>30.170000076293945</v>
      </c>
      <c r="U60" s="126"/>
      <c r="V60" s="126">
        <f ca="1">[1]!s_fa_roe(E60,$C$3)</f>
        <v>5.4202000000000004</v>
      </c>
      <c r="W60" s="126">
        <f ca="1">[1]!s_fa_grossprofitmargin(E60,$C$3)</f>
        <v>82.544300000000007</v>
      </c>
      <c r="X60" s="126">
        <f ca="1">[1]!s_fa_netprofitmargin(E60,$C$3)</f>
        <v>17.003599999999999</v>
      </c>
      <c r="Y60" s="126">
        <f ca="1">[1]!s_fa_roic(E60,$C$3)</f>
        <v>5.0471000000000004</v>
      </c>
      <c r="Z60" s="126">
        <f ca="1">[1]!s_fa_operateincometoebt_ttm2(E60,$C$3)</f>
        <v>85.152600000000007</v>
      </c>
      <c r="AA60" s="125"/>
      <c r="AB60" s="343"/>
      <c r="AC60" s="125">
        <f ca="1">[1]!s_fa_cagr_tr($E60,AC$6,3)</f>
        <v>0</v>
      </c>
      <c r="AD60" s="125">
        <f ca="1">[1]!s_fa_cagr_tr($E60,AD$6,3)</f>
        <v>19.796554314908587</v>
      </c>
      <c r="AE60" s="126">
        <f ca="1">[1]!s_fa_cagr_tr($E60,AE$6,3)</f>
        <v>20.194202046405451</v>
      </c>
      <c r="AF60" s="126">
        <f ca="1">[1]!s_fa_cagr_tr($E60,AF$6,3)</f>
        <v>19.208696175254182</v>
      </c>
      <c r="AG60" s="126">
        <f ca="1">[1]!s_fa_cagr_tr($E60,AG$6,3)</f>
        <v>7.0483122499914508</v>
      </c>
      <c r="AH60" s="126">
        <f ca="1">[1]!s_fa_cagr_tr($E60,AH$6,3)</f>
        <v>7.5616930113468817</v>
      </c>
      <c r="AI60" s="169"/>
      <c r="AJ60" s="126">
        <f ca="1">[1]!s_fa_cagr_netprofit($E60,AJ$6,3)</f>
        <v>0</v>
      </c>
      <c r="AK60" s="126">
        <f ca="1">[1]!s_fa_cagr_netprofit($E60,AK$6,3)</f>
        <v>19.510375714884876</v>
      </c>
      <c r="AL60" s="126">
        <f ca="1">[1]!s_fa_cagr_netprofit($E60,AL$6,3)</f>
        <v>15.229307910344758</v>
      </c>
      <c r="AM60" s="126">
        <f ca="1">[1]!s_fa_cagr_netprofit($E60,AM$6,3)</f>
        <v>19.779473597043172</v>
      </c>
      <c r="AN60" s="126">
        <f ca="1">[1]!s_fa_cagr_netprofit($E60,AN$6,3)</f>
        <v>8.673954676198381</v>
      </c>
      <c r="AO60" s="126">
        <f ca="1">[1]!s_fa_cagr_netprofit($E60,AO$6,3)</f>
        <v>14.426988272798468</v>
      </c>
      <c r="AP60" s="129"/>
      <c r="AQ60" s="203">
        <f ca="1">[1]!s_fa_dupont_roe(E60,$C$3)</f>
        <v>5.4202000000000004</v>
      </c>
      <c r="AR60" s="203">
        <f ca="1">[1]!s_fa_dupont_nptosales(B60,$C$3)</f>
        <v>17.003599999999999</v>
      </c>
      <c r="AS60" s="238">
        <f ca="1">[1]!s_fa_dupont_faturnover(E60,$C$3)</f>
        <v>0.25369999999999998</v>
      </c>
      <c r="AT60" s="203">
        <f ca="1">[1]!s_fa_dupont_assetstoequity(E60,$C$3)</f>
        <v>1.2565</v>
      </c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</row>
    <row r="61" spans="1:57" s="191" customFormat="1" ht="12" customHeight="1" x14ac:dyDescent="0.35">
      <c r="A61" s="182" t="s">
        <v>5</v>
      </c>
      <c r="B61" s="182" t="s">
        <v>425</v>
      </c>
      <c r="C61" s="182" t="s">
        <v>426</v>
      </c>
      <c r="D61" s="182" t="str">
        <f ca="1">[1]!cb_info_underlyingname(B61)</f>
        <v>浙农股份</v>
      </c>
      <c r="E61" s="183" t="str">
        <f ca="1">[1]!cb_info_underlyingcode(B61)</f>
        <v>002758.SZ</v>
      </c>
      <c r="F61" s="184" t="str">
        <f ca="1">[1]!s_info_industry_sw(B61,1)</f>
        <v>医药生物</v>
      </c>
      <c r="G61" s="184" t="str">
        <f ca="1">[1]!s_info_industry_sw(E61,2)</f>
        <v>医药商业Ⅱ</v>
      </c>
      <c r="H61" s="184" t="str">
        <f ca="1">[1]!s_info_industry_sw(E61,3)</f>
        <v>医药商业Ⅲ</v>
      </c>
      <c r="I61" s="192" t="str">
        <f ca="1">[1]!s_info_majorproducttype(E61)</f>
        <v>药品经销</v>
      </c>
      <c r="J61" s="189">
        <f ca="1">[1]!s_val_ev(E61,$B$2,100000000)</f>
        <v>46.115053487999994</v>
      </c>
      <c r="K61" s="193">
        <f ca="1">[1]!s_share_total(E61,$B$2,100000000)</f>
        <v>4.8798998399999993</v>
      </c>
      <c r="L61" s="193">
        <f ca="1">[1]!s_share_liqa(E61,$B$2,100000000)</f>
        <v>1.9502454699999996</v>
      </c>
      <c r="M61" s="186">
        <f ca="1">[1]!s_fa_gr_ttm2(E61,$C$3,100000000)</f>
        <v>15.1926959415</v>
      </c>
      <c r="N61" s="187">
        <f ca="1">[1]!s_fa_netprofit_ttm2(E61,$C$3,100000000)</f>
        <v>0.21407592070000001</v>
      </c>
      <c r="O61" s="186"/>
      <c r="P61" s="187">
        <f ca="1">[1]!s_val_pe_ttm(E61,[1]!td($B$2-1))</f>
        <v>8.3746566772460938</v>
      </c>
      <c r="Q61" s="187">
        <f ca="1">[1]!i_val_pe_percentile(E61,[1]!td($B$2-1),$B$2-365*5,[1]!td($B$2-1))</f>
        <v>0.38377192982456138</v>
      </c>
      <c r="R61" s="187">
        <f ca="1">[1]!pb_mrq(E61,[1]!td($B$2-1))</f>
        <v>1.507639313774922</v>
      </c>
      <c r="S61" s="187">
        <f ca="1">[1]!i_val_pb_percentile(E61,[1]!td($B$2-1),$B$2-365*5,[1]!td($B$2-1))</f>
        <v>0.71271929824561397</v>
      </c>
      <c r="T61" s="187">
        <f ca="1">[1]!s_val_pe_ttm([1]!to_windcode_index(H61&amp;"(申万)"),[1]!td($B$2-1))</f>
        <v>15.5</v>
      </c>
      <c r="U61" s="187"/>
      <c r="V61" s="187">
        <f ca="1">[1]!s_fa_roe(E61,$C$3)</f>
        <v>3.4826999999999999</v>
      </c>
      <c r="W61" s="187">
        <f ca="1">[1]!s_fa_grossprofitmargin(E61,$C$3)</f>
        <v>16.761900000000001</v>
      </c>
      <c r="X61" s="187">
        <f ca="1">[1]!s_fa_netprofitmargin(E61,$C$3)</f>
        <v>1.8988</v>
      </c>
      <c r="Y61" s="187">
        <f ca="1">[1]!s_fa_roic(E61,$C$3)</f>
        <v>2.9834000000000001</v>
      </c>
      <c r="Z61" s="187">
        <f ca="1">[1]!s_fa_operateincometoebt_ttm2(E61,$C$3)</f>
        <v>79.253399999999999</v>
      </c>
      <c r="AA61" s="186"/>
      <c r="AB61" s="342"/>
      <c r="AC61" s="186">
        <f ca="1">[1]!s_fa_cagr_tr($E61,AC$6,3)</f>
        <v>0</v>
      </c>
      <c r="AD61" s="186">
        <f ca="1">[1]!s_fa_cagr_tr($E61,AD$6,3)</f>
        <v>175.88023701245521</v>
      </c>
      <c r="AE61" s="187">
        <f ca="1">[1]!s_fa_cagr_tr($E61,AE$6,3)</f>
        <v>10.102992514872501</v>
      </c>
      <c r="AF61" s="187">
        <f ca="1">[1]!s_fa_cagr_tr($E61,AF$6,3)</f>
        <v>7.6691905516740322</v>
      </c>
      <c r="AG61" s="187">
        <f ca="1">[1]!s_fa_cagr_tr($E61,AG$6,3)</f>
        <v>6.1736542106707759</v>
      </c>
      <c r="AH61" s="187">
        <f ca="1">[1]!s_fa_cagr_tr($E61,AH$6,3)</f>
        <v>6.2610891950813929</v>
      </c>
      <c r="AI61" s="194"/>
      <c r="AJ61" s="187">
        <f ca="1">[1]!s_fa_cagr_netprofit($E61,AJ$6,3)</f>
        <v>0</v>
      </c>
      <c r="AK61" s="187">
        <f ca="1">[1]!s_fa_cagr_netprofit($E61,AK$6,3)</f>
        <v>102.85148260434637</v>
      </c>
      <c r="AL61" s="187">
        <f ca="1">[1]!s_fa_cagr_netprofit($E61,AL$6,3)</f>
        <v>-14.549149116181781</v>
      </c>
      <c r="AM61" s="187">
        <f ca="1">[1]!s_fa_cagr_netprofit($E61,AM$6,3)</f>
        <v>-9.7062634618807699</v>
      </c>
      <c r="AN61" s="187">
        <f ca="1">[1]!s_fa_cagr_netprofit($E61,AN$6,3)</f>
        <v>-2.870737778916832</v>
      </c>
      <c r="AO61" s="187">
        <f ca="1">[1]!s_fa_cagr_netprofit($E61,AO$6,3)</f>
        <v>-4.0175972376649494</v>
      </c>
      <c r="AP61" s="189"/>
      <c r="AQ61" s="202">
        <f ca="1">[1]!s_fa_dupont_roe(E61,$C$3)</f>
        <v>3.4826999999999999</v>
      </c>
      <c r="AR61" s="202">
        <f ca="1">[1]!s_fa_dupont_nptosales(B61,$C$3)</f>
        <v>1.8988</v>
      </c>
      <c r="AS61" s="237">
        <f ca="1">[1]!s_fa_dupont_faturnover(E61,$C$3)</f>
        <v>0.73950000000000005</v>
      </c>
      <c r="AT61" s="202">
        <f ca="1">[1]!s_fa_dupont_assetstoequity(E61,$C$3)</f>
        <v>2.2355</v>
      </c>
      <c r="AU61" s="189"/>
      <c r="AV61" s="189"/>
      <c r="AW61" s="189"/>
      <c r="AX61" s="189"/>
      <c r="AY61" s="189"/>
      <c r="AZ61" s="189"/>
      <c r="BA61" s="189"/>
      <c r="BB61" s="189"/>
      <c r="BC61" s="189"/>
      <c r="BD61" s="189"/>
      <c r="BE61" s="189"/>
    </row>
    <row r="62" spans="1:57" s="130" customFormat="1" ht="12" customHeight="1" x14ac:dyDescent="0.35">
      <c r="A62" s="121" t="s">
        <v>0</v>
      </c>
      <c r="B62" s="121" t="s">
        <v>836</v>
      </c>
      <c r="C62" s="121" t="s">
        <v>837</v>
      </c>
      <c r="D62" s="121" t="str">
        <f ca="1">[1]!cb_info_underlyingname(B62)</f>
        <v>美诺华</v>
      </c>
      <c r="E62" s="122" t="str">
        <f ca="1">[1]!cb_info_underlyingcode(B62)</f>
        <v>603538.SH</v>
      </c>
      <c r="F62" s="123" t="str">
        <f ca="1">[1]!s_info_industry_sw(B62,1)</f>
        <v>医药生物</v>
      </c>
      <c r="G62" s="123" t="str">
        <f ca="1">[1]!s_info_industry_sw(E62,2)</f>
        <v>化学制药</v>
      </c>
      <c r="H62" s="123" t="str">
        <f ca="1">[1]!s_info_industry_sw(E62,3)</f>
        <v>化学原料药</v>
      </c>
      <c r="I62" s="156" t="str">
        <f ca="1">[1]!s_info_majorproducttype(E62)</f>
        <v>原料药</v>
      </c>
      <c r="J62" s="129">
        <f ca="1">[1]!s_val_ev(E62,$B$2,100000000)</f>
        <v>48.077778932600005</v>
      </c>
      <c r="K62" s="157">
        <f ca="1">[1]!s_share_total(E62,$B$2,100000000)</f>
        <v>1.4958860899999999</v>
      </c>
      <c r="L62" s="157">
        <f ca="1">[1]!s_share_liqa(E62,$B$2,100000000)</f>
        <v>1.4810673400000001</v>
      </c>
      <c r="M62" s="125">
        <f ca="1">[1]!s_fa_gr_ttm2(E62,$C$3,100000000)</f>
        <v>12.7703572105</v>
      </c>
      <c r="N62" s="126">
        <f ca="1">[1]!s_fa_netprofit_ttm2(E62,$C$3,100000000)</f>
        <v>1.6396432809999999</v>
      </c>
      <c r="O62" s="125"/>
      <c r="P62" s="126">
        <f ca="1">[1]!s_val_pe_ttm(E62,[1]!td($B$2-1))</f>
        <v>27.28162956237793</v>
      </c>
      <c r="Q62" s="126">
        <f ca="1">[1]!i_val_pe_percentile(E62,[1]!td($B$2-1),$B$2-365*5,[1]!td($B$2-1))</f>
        <v>22.118959107806692</v>
      </c>
      <c r="R62" s="126">
        <f ca="1">[1]!pb_mrq(E62,[1]!td($B$2-1))</f>
        <v>2.9010164915648451</v>
      </c>
      <c r="S62" s="126">
        <f ca="1">[1]!i_val_pb_percentile(E62,[1]!td($B$2-1),$B$2-365*5,[1]!td($B$2-1))</f>
        <v>50.123915737298638</v>
      </c>
      <c r="T62" s="126">
        <f ca="1">[1]!s_val_pe_ttm([1]!to_windcode_index(H62&amp;"(申万)"),[1]!td($B$2-1))</f>
        <v>41.340000152587891</v>
      </c>
      <c r="U62" s="126"/>
      <c r="V62" s="126">
        <f ca="1">[1]!s_fa_roe(E62,$C$3)</f>
        <v>9.7744</v>
      </c>
      <c r="W62" s="126">
        <f ca="1">[1]!s_fa_grossprofitmargin(E62,$C$3)</f>
        <v>37.813400000000001</v>
      </c>
      <c r="X62" s="126">
        <f ca="1">[1]!s_fa_netprofitmargin(E62,$C$3)</f>
        <v>15.945499999999999</v>
      </c>
      <c r="Y62" s="126">
        <f ca="1">[1]!s_fa_roic(E62,$C$3)</f>
        <v>7.2247000000000003</v>
      </c>
      <c r="Z62" s="126">
        <f ca="1">[1]!s_fa_operateincometoebt_ttm2(E62,$C$3)</f>
        <v>88.655900000000003</v>
      </c>
      <c r="AA62" s="125"/>
      <c r="AB62" s="343"/>
      <c r="AC62" s="125">
        <f ca="1">[1]!s_fa_cagr_tr($E62,AC$6,3)</f>
        <v>0</v>
      </c>
      <c r="AD62" s="125">
        <f ca="1">[1]!s_fa_cagr_tr($E62,AD$6,3)</f>
        <v>25.401576321991403</v>
      </c>
      <c r="AE62" s="126">
        <f ca="1">[1]!s_fa_cagr_tr($E62,AE$6,3)</f>
        <v>26.858989476262572</v>
      </c>
      <c r="AF62" s="126">
        <f ca="1">[1]!s_fa_cagr_tr($E62,AF$6,3)</f>
        <v>12.442611051111797</v>
      </c>
      <c r="AG62" s="126">
        <f ca="1">[1]!s_fa_cagr_tr($E62,AG$6,3)</f>
        <v>-1.650222623010078</v>
      </c>
      <c r="AH62" s="126">
        <f ca="1">[1]!s_fa_cagr_tr($E62,AH$6,3)</f>
        <v>4.8355679297505505</v>
      </c>
      <c r="AI62" s="169"/>
      <c r="AJ62" s="126">
        <f ca="1">[1]!s_fa_cagr_netprofit($E62,AJ$6,3)</f>
        <v>0</v>
      </c>
      <c r="AK62" s="126">
        <f ca="1">[1]!s_fa_cagr_netprofit($E62,AK$6,3)</f>
        <v>55.308928169937687</v>
      </c>
      <c r="AL62" s="126">
        <f ca="1">[1]!s_fa_cagr_netprofit($E62,AL$6,3)</f>
        <v>24.159295186735452</v>
      </c>
      <c r="AM62" s="126">
        <f ca="1">[1]!s_fa_cagr_netprofit($E62,AM$6,3)</f>
        <v>7.7493301367215661</v>
      </c>
      <c r="AN62" s="126">
        <f ca="1">[1]!s_fa_cagr_netprofit($E62,AN$6,3)</f>
        <v>-14.992355327485285</v>
      </c>
      <c r="AO62" s="126">
        <f ca="1">[1]!s_fa_cagr_netprofit($E62,AO$6,3)</f>
        <v>4.542892555835909</v>
      </c>
      <c r="AP62" s="129"/>
      <c r="AQ62" s="203">
        <f ca="1">[1]!s_fa_dupont_roe(E62,$C$3)</f>
        <v>9.7744</v>
      </c>
      <c r="AR62" s="203">
        <f ca="1">[1]!s_fa_dupont_nptosales(B62,$C$3)</f>
        <v>15.945499999999999</v>
      </c>
      <c r="AS62" s="238">
        <f ca="1">[1]!s_fa_dupont_faturnover(E62,$C$3)</f>
        <v>0.34839999999999999</v>
      </c>
      <c r="AT62" s="203">
        <f ca="1">[1]!s_fa_dupont_assetstoequity(E62,$C$3)</f>
        <v>1.8863000000000001</v>
      </c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</row>
    <row r="63" spans="1:57" s="191" customFormat="1" ht="12" customHeight="1" x14ac:dyDescent="0.35">
      <c r="A63" s="182" t="s">
        <v>5</v>
      </c>
      <c r="B63" s="182" t="s">
        <v>376</v>
      </c>
      <c r="C63" s="182" t="s">
        <v>377</v>
      </c>
      <c r="D63" s="182" t="str">
        <f ca="1">[1]!cb_info_underlyingname(B63)</f>
        <v>溢多利</v>
      </c>
      <c r="E63" s="183" t="str">
        <f ca="1">[1]!cb_info_underlyingcode(B63)</f>
        <v>300381.SZ</v>
      </c>
      <c r="F63" s="184" t="str">
        <f ca="1">[1]!s_info_industry_sw(B63,1)</f>
        <v>医药生物</v>
      </c>
      <c r="G63" s="184" t="str">
        <f ca="1">[1]!s_info_industry_sw(E63,2)</f>
        <v>生物制品Ⅱ</v>
      </c>
      <c r="H63" s="184" t="str">
        <f ca="1">[1]!s_info_industry_sw(E63,3)</f>
        <v>生物制品Ⅲ</v>
      </c>
      <c r="I63" s="192" t="str">
        <f ca="1">[1]!s_info_majorproducttype(E63)</f>
        <v>催化剂及化学助剂</v>
      </c>
      <c r="J63" s="189">
        <f ca="1">[1]!s_val_ev(E63,$B$2,100000000)</f>
        <v>49.5453159192</v>
      </c>
      <c r="K63" s="193">
        <f ca="1">[1]!s_share_total(E63,$B$2,100000000)</f>
        <v>4.9006247199999997</v>
      </c>
      <c r="L63" s="193">
        <f ca="1">[1]!s_share_liqa(E63,$B$2,100000000)</f>
        <v>4.6871250099999999</v>
      </c>
      <c r="M63" s="186">
        <f ca="1">[1]!s_fa_gr_ttm2(E63,$C$3,100000000)</f>
        <v>20.768106793599998</v>
      </c>
      <c r="N63" s="187">
        <f ca="1">[1]!s_fa_netprofit_ttm2(E63,$C$3,100000000)</f>
        <v>1.6726614987000001</v>
      </c>
      <c r="O63" s="186"/>
      <c r="P63" s="187">
        <f ca="1">[1]!s_val_pe_ttm(E63,[1]!td($B$2-1))</f>
        <v>32.459938049316406</v>
      </c>
      <c r="Q63" s="187">
        <f ca="1">[1]!i_val_pe_percentile(E63,[1]!td($B$2-1),$B$2-365*5,[1]!td($B$2-1))</f>
        <v>26.315789473684209</v>
      </c>
      <c r="R63" s="187">
        <f ca="1">[1]!pb_mrq(E63,[1]!td($B$2-1))</f>
        <v>1.6536215957329807</v>
      </c>
      <c r="S63" s="187">
        <f ca="1">[1]!i_val_pb_percentile(E63,[1]!td($B$2-1),$B$2-365*5,[1]!td($B$2-1))</f>
        <v>21.408991228070175</v>
      </c>
      <c r="T63" s="187">
        <f ca="1">[1]!s_val_pe_ttm([1]!to_windcode_index(H63&amp;"(申万)"),[1]!td($B$2-1))</f>
        <v>39.490001678466797</v>
      </c>
      <c r="U63" s="187"/>
      <c r="V63" s="187">
        <f ca="1">[1]!s_fa_roe(E63,$C$3)</f>
        <v>4.63</v>
      </c>
      <c r="W63" s="187">
        <f ca="1">[1]!s_fa_grossprofitmargin(E63,$C$3)</f>
        <v>37.938600000000001</v>
      </c>
      <c r="X63" s="187">
        <f ca="1">[1]!s_fa_netprofitmargin(E63,$C$3)</f>
        <v>10.4483</v>
      </c>
      <c r="Y63" s="187">
        <f ca="1">[1]!s_fa_roic(E63,$C$3)</f>
        <v>4.6829000000000001</v>
      </c>
      <c r="Z63" s="187">
        <f ca="1">[1]!s_fa_operateincometoebt_ttm2(E63,$C$3)</f>
        <v>78.572999999999993</v>
      </c>
      <c r="AA63" s="186"/>
      <c r="AB63" s="342"/>
      <c r="AC63" s="186">
        <f ca="1">[1]!s_fa_cagr_tr($E63,AC$6,3)</f>
        <v>0</v>
      </c>
      <c r="AD63" s="186">
        <f ca="1">[1]!s_fa_cagr_tr($E63,AD$6,3)</f>
        <v>8.4956885447251764</v>
      </c>
      <c r="AE63" s="187">
        <f ca="1">[1]!s_fa_cagr_tr($E63,AE$6,3)</f>
        <v>10.635185160022154</v>
      </c>
      <c r="AF63" s="187">
        <f ca="1">[1]!s_fa_cagr_tr($E63,AF$6,3)</f>
        <v>35.96446141510792</v>
      </c>
      <c r="AG63" s="187">
        <f ca="1">[1]!s_fa_cagr_tr($E63,AG$6,3)</f>
        <v>60.915908474703294</v>
      </c>
      <c r="AH63" s="187">
        <f ca="1">[1]!s_fa_cagr_tr($E63,AH$6,3)</f>
        <v>61.484346091725328</v>
      </c>
      <c r="AI63" s="194"/>
      <c r="AJ63" s="187">
        <f ca="1">[1]!s_fa_cagr_netprofit($E63,AJ$6,3)</f>
        <v>0</v>
      </c>
      <c r="AK63" s="187">
        <f ca="1">[1]!s_fa_cagr_netprofit($E63,AK$6,3)</f>
        <v>26.21555161740563</v>
      </c>
      <c r="AL63" s="187">
        <f ca="1">[1]!s_fa_cagr_netprofit($E63,AL$6,3)</f>
        <v>3.9390923819153878</v>
      </c>
      <c r="AM63" s="187">
        <f ca="1">[1]!s_fa_cagr_netprofit($E63,AM$6,3)</f>
        <v>16.477489942114953</v>
      </c>
      <c r="AN63" s="187">
        <f ca="1">[1]!s_fa_cagr_netprofit($E63,AN$6,3)</f>
        <v>13.41890366199101</v>
      </c>
      <c r="AO63" s="187">
        <f ca="1">[1]!s_fa_cagr_netprofit($E63,AO$6,3)</f>
        <v>21.61671398805769</v>
      </c>
      <c r="AP63" s="189"/>
      <c r="AQ63" s="202">
        <f ca="1">[1]!s_fa_dupont_roe(E63,$C$3)</f>
        <v>4.63</v>
      </c>
      <c r="AR63" s="202">
        <f ca="1">[1]!s_fa_dupont_nptosales(B63,$C$3)</f>
        <v>10.4483</v>
      </c>
      <c r="AS63" s="237">
        <f ca="1">[1]!s_fa_dupont_faturnover(E63,$C$3)</f>
        <v>0.31409999999999999</v>
      </c>
      <c r="AT63" s="202">
        <f ca="1">[1]!s_fa_dupont_assetstoequity(E63,$C$3)</f>
        <v>1.7142999999999999</v>
      </c>
      <c r="AU63" s="189"/>
      <c r="AV63" s="201"/>
      <c r="AW63" s="189"/>
      <c r="AX63" s="189"/>
      <c r="AY63" s="189"/>
      <c r="AZ63" s="189"/>
      <c r="BA63" s="189"/>
      <c r="BB63" s="189"/>
      <c r="BC63" s="189"/>
      <c r="BD63" s="189"/>
      <c r="BE63" s="189"/>
    </row>
    <row r="64" spans="1:57" s="130" customFormat="1" ht="12" customHeight="1" x14ac:dyDescent="0.35">
      <c r="A64" s="121" t="s">
        <v>5</v>
      </c>
      <c r="B64" s="121" t="s">
        <v>605</v>
      </c>
      <c r="C64" s="121" t="s">
        <v>606</v>
      </c>
      <c r="D64" s="121" t="str">
        <f ca="1">[1]!cb_info_underlyingname(B64)</f>
        <v>北陆药业</v>
      </c>
      <c r="E64" s="122" t="str">
        <f ca="1">[1]!cb_info_underlyingcode(B64)</f>
        <v>300016.SZ</v>
      </c>
      <c r="F64" s="123" t="str">
        <f ca="1">[1]!s_info_industry_sw(B64,1)</f>
        <v>医药生物</v>
      </c>
      <c r="G64" s="123" t="str">
        <f ca="1">[1]!s_info_industry_sw(E64,2)</f>
        <v>化学制药</v>
      </c>
      <c r="H64" s="123" t="str">
        <f ca="1">[1]!s_info_industry_sw(E64,3)</f>
        <v>化学制剂</v>
      </c>
      <c r="I64" s="156" t="str">
        <f ca="1">[1]!s_info_majorproducttype(E64)</f>
        <v>植物类中药制剂</v>
      </c>
      <c r="J64" s="129">
        <f ca="1">[1]!s_val_ev(E64,$B$2,100000000)</f>
        <v>46.2743683725</v>
      </c>
      <c r="K64" s="157">
        <f ca="1">[1]!s_share_total(E64,$B$2,100000000)</f>
        <v>4.9280477500000002</v>
      </c>
      <c r="L64" s="157">
        <f ca="1">[1]!s_share_liqa(E64,$B$2,100000000)</f>
        <v>4.0672792500000003</v>
      </c>
      <c r="M64" s="125">
        <f ca="1">[1]!s_fa_gr_ttm2(E64,$C$3,100000000)</f>
        <v>8.350575794500001</v>
      </c>
      <c r="N64" s="126">
        <f ca="1">[1]!s_fa_netprofit_ttm2(E64,$C$3,100000000)</f>
        <v>3.3579005317999999</v>
      </c>
      <c r="O64" s="125"/>
      <c r="P64" s="126">
        <f ca="1">[1]!s_val_pe_ttm(E64,[1]!td($B$2-1))</f>
        <v>23.181854248046875</v>
      </c>
      <c r="Q64" s="126">
        <f ca="1">[1]!i_val_pe_percentile(E64,[1]!td($B$2-1),$B$2-365*5,[1]!td($B$2-1))</f>
        <v>32.456140350877192</v>
      </c>
      <c r="R64" s="126">
        <f ca="1">[1]!pb_mrq(E64,[1]!td($B$2-1))</f>
        <v>2.7252991172158096</v>
      </c>
      <c r="S64" s="126">
        <f ca="1">[1]!i_val_pb_percentile(E64,[1]!td($B$2-1),$B$2-365*5,[1]!td($B$2-1))</f>
        <v>8.8815789473684212</v>
      </c>
      <c r="T64" s="126">
        <f ca="1">[1]!s_val_pe_ttm([1]!to_windcode_index(H64&amp;"(申万)"),[1]!td($B$2-1))</f>
        <v>36.959999084472656</v>
      </c>
      <c r="U64" s="126"/>
      <c r="V64" s="126">
        <f ca="1">[1]!s_fa_roe(E64,$C$3)</f>
        <v>10.571300000000001</v>
      </c>
      <c r="W64" s="126">
        <f ca="1">[1]!s_fa_grossprofitmargin(E64,$C$3)</f>
        <v>66.316699999999997</v>
      </c>
      <c r="X64" s="126">
        <f ca="1">[1]!s_fa_netprofitmargin(E64,$C$3)</f>
        <v>24.184100000000001</v>
      </c>
      <c r="Y64" s="126">
        <f ca="1">[1]!s_fa_roic(E64,$C$3)</f>
        <v>8.4960000000000004</v>
      </c>
      <c r="Z64" s="126">
        <f ca="1">[1]!s_fa_operateincometoebt_ttm2(E64,$C$3)</f>
        <v>43.592399999999998</v>
      </c>
      <c r="AA64" s="125"/>
      <c r="AB64" s="343"/>
      <c r="AC64" s="125">
        <f ca="1">[1]!s_fa_cagr_tr($E64,AC$6,3)</f>
        <v>0</v>
      </c>
      <c r="AD64" s="125">
        <f ca="1">[1]!s_fa_cagr_tr($E64,AD$6,3)</f>
        <v>16.552500799973323</v>
      </c>
      <c r="AE64" s="126">
        <f ca="1">[1]!s_fa_cagr_tr($E64,AE$6,3)</f>
        <v>17.974821396688647</v>
      </c>
      <c r="AF64" s="126">
        <f ca="1">[1]!s_fa_cagr_tr($E64,AF$6,3)</f>
        <v>7.3560243125205593</v>
      </c>
      <c r="AG64" s="126">
        <f ca="1">[1]!s_fa_cagr_tr($E64,AG$6,3)</f>
        <v>5.899740732035097</v>
      </c>
      <c r="AH64" s="126">
        <f ca="1">[1]!s_fa_cagr_tr($E64,AH$6,3)</f>
        <v>14.581541168869517</v>
      </c>
      <c r="AI64" s="169"/>
      <c r="AJ64" s="126">
        <f ca="1">[1]!s_fa_cagr_netprofit($E64,AJ$6,3)</f>
        <v>0</v>
      </c>
      <c r="AK64" s="126">
        <f ca="1">[1]!s_fa_cagr_netprofit($E64,AK$6,3)</f>
        <v>13.712138045631516</v>
      </c>
      <c r="AL64" s="126">
        <f ca="1">[1]!s_fa_cagr_netprofit($E64,AL$6,3)</f>
        <v>175.48252465277571</v>
      </c>
      <c r="AM64" s="126">
        <f ca="1">[1]!s_fa_cagr_netprofit($E64,AM$6,3)</f>
        <v>65.528881546962239</v>
      </c>
      <c r="AN64" s="126">
        <f ca="1">[1]!s_fa_cagr_netprofit($E64,AN$6,3)</f>
        <v>11.046365209398479</v>
      </c>
      <c r="AO64" s="126">
        <f ca="1">[1]!s_fa_cagr_netprofit($E64,AO$6,3)</f>
        <v>-37.148719817384645</v>
      </c>
      <c r="AP64" s="129"/>
      <c r="AQ64" s="203">
        <f ca="1">[1]!s_fa_dupont_roe(E64,$C$3)</f>
        <v>10.571300000000001</v>
      </c>
      <c r="AR64" s="203">
        <f ca="1">[1]!s_fa_dupont_nptosales(B64,$C$3)</f>
        <v>24.184100000000001</v>
      </c>
      <c r="AS64" s="238">
        <f ca="1">[1]!s_fa_dupont_faturnover(E64,$C$3)</f>
        <v>0.32550000000000001</v>
      </c>
      <c r="AT64" s="203">
        <f ca="1">[1]!s_fa_dupont_assetstoequity(E64,$C$3)</f>
        <v>1.2616000000000001</v>
      </c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</row>
    <row r="65" spans="1:57" s="191" customFormat="1" ht="12" customHeight="1" x14ac:dyDescent="0.35">
      <c r="A65" s="182" t="s">
        <v>5</v>
      </c>
      <c r="B65" s="182" t="s">
        <v>366</v>
      </c>
      <c r="C65" s="182" t="s">
        <v>367</v>
      </c>
      <c r="D65" s="182" t="str">
        <f ca="1">[1]!cb_info_underlyingname(B65)</f>
        <v>尚荣医疗</v>
      </c>
      <c r="E65" s="183" t="str">
        <f ca="1">[1]!cb_info_underlyingcode(B65)</f>
        <v>002551.SZ</v>
      </c>
      <c r="F65" s="184" t="str">
        <f ca="1">[1]!s_info_industry_sw(B65,1)</f>
        <v>医药生物</v>
      </c>
      <c r="G65" s="184" t="str">
        <f ca="1">[1]!s_info_industry_sw(E65,2)</f>
        <v>医疗器械Ⅱ</v>
      </c>
      <c r="H65" s="184" t="str">
        <f ca="1">[1]!s_info_industry_sw(E65,3)</f>
        <v>医疗器械Ⅲ</v>
      </c>
      <c r="I65" s="192" t="str">
        <f ca="1">[1]!s_info_majorproducttype(E65)</f>
        <v>装修工程</v>
      </c>
      <c r="J65" s="189">
        <f ca="1">[1]!s_val_ev(E65,$B$2,100000000)</f>
        <v>43.075276871999996</v>
      </c>
      <c r="K65" s="193">
        <f ca="1">[1]!s_share_total(E65,$B$2,100000000)</f>
        <v>8.4461327199999996</v>
      </c>
      <c r="L65" s="193">
        <f ca="1">[1]!s_share_liqa(E65,$B$2,100000000)</f>
        <v>5.8093048999999999</v>
      </c>
      <c r="M65" s="186">
        <f ca="1">[1]!s_fa_gr_ttm2(E65,$C$3,100000000)</f>
        <v>19.178509786099998</v>
      </c>
      <c r="N65" s="187">
        <f ca="1">[1]!s_fa_netprofit_ttm2(E65,$C$3,100000000)</f>
        <v>1.3022862068000001</v>
      </c>
      <c r="O65" s="186"/>
      <c r="P65" s="187">
        <f ca="1">[1]!s_val_pe_ttm(E65,[1]!td($B$2-1))</f>
        <v>30.070518493652344</v>
      </c>
      <c r="Q65" s="187">
        <f ca="1">[1]!i_val_pe_percentile(E65,[1]!td($B$2-1),$B$2-365*5,[1]!td($B$2-1))</f>
        <v>25.328947368421051</v>
      </c>
      <c r="R65" s="187">
        <f ca="1">[1]!pb_mrq(E65,[1]!td($B$2-1))</f>
        <v>1.4122932788144325</v>
      </c>
      <c r="S65" s="187">
        <f ca="1">[1]!i_val_pb_percentile(E65,[1]!td($B$2-1),$B$2-365*5,[1]!td($B$2-1))</f>
        <v>2.5767543859649122</v>
      </c>
      <c r="T65" s="187">
        <f ca="1">[1]!s_val_pe_ttm([1]!to_windcode_index(H65&amp;"(申万)"),[1]!td($B$2-1))</f>
        <v>20.920000076293945</v>
      </c>
      <c r="U65" s="187"/>
      <c r="V65" s="187">
        <f ca="1">[1]!s_fa_roe(E65,$C$3)</f>
        <v>4.8289999999999997</v>
      </c>
      <c r="W65" s="187">
        <f ca="1">[1]!s_fa_grossprofitmargin(E65,$C$3)</f>
        <v>31.8339</v>
      </c>
      <c r="X65" s="187">
        <f ca="1">[1]!s_fa_netprofitmargin(E65,$C$3)</f>
        <v>17.128499999999999</v>
      </c>
      <c r="Y65" s="187">
        <f ca="1">[1]!s_fa_roic(E65,$C$3)</f>
        <v>6.9263000000000003</v>
      </c>
      <c r="Z65" s="187">
        <f ca="1">[1]!s_fa_operateincometoebt_ttm2(E65,$C$3)</f>
        <v>92.986199999999997</v>
      </c>
      <c r="AA65" s="186"/>
      <c r="AB65" s="342"/>
      <c r="AC65" s="186">
        <f ca="1">[1]!s_fa_cagr_tr($E65,AC$6,3)</f>
        <v>0</v>
      </c>
      <c r="AD65" s="186">
        <f ca="1">[1]!s_fa_cagr_tr($E65,AD$6,3)</f>
        <v>4.1576568864441832</v>
      </c>
      <c r="AE65" s="187">
        <f ca="1">[1]!s_fa_cagr_tr($E65,AE$6,3)</f>
        <v>-7.6883077449069637</v>
      </c>
      <c r="AF65" s="187">
        <f ca="1">[1]!s_fa_cagr_tr($E65,AF$6,3)</f>
        <v>-0.72311362592436534</v>
      </c>
      <c r="AG65" s="187">
        <f ca="1">[1]!s_fa_cagr_tr($E65,AG$6,3)</f>
        <v>19.806963045187963</v>
      </c>
      <c r="AH65" s="187">
        <f ca="1">[1]!s_fa_cagr_tr($E65,AH$6,3)</f>
        <v>38.600615777395795</v>
      </c>
      <c r="AI65" s="194"/>
      <c r="AJ65" s="187">
        <f ca="1">[1]!s_fa_cagr_netprofit($E65,AJ$6,3)</f>
        <v>0</v>
      </c>
      <c r="AK65" s="187">
        <f ca="1">[1]!s_fa_cagr_netprofit($E65,AK$6,3)</f>
        <v>-2.5425304119725878</v>
      </c>
      <c r="AL65" s="187">
        <f ca="1">[1]!s_fa_cagr_netprofit($E65,AL$6,3)</f>
        <v>-19.405711379886981</v>
      </c>
      <c r="AM65" s="187">
        <f ca="1">[1]!s_fa_cagr_netprofit($E65,AM$6,3)</f>
        <v>-10.449011073010272</v>
      </c>
      <c r="AN65" s="187">
        <f ca="1">[1]!s_fa_cagr_netprofit($E65,AN$6,3)</f>
        <v>19.689526189559391</v>
      </c>
      <c r="AO65" s="187">
        <f ca="1">[1]!s_fa_cagr_netprofit($E65,AO$6,3)</f>
        <v>15.672899413905149</v>
      </c>
      <c r="AP65" s="189"/>
      <c r="AQ65" s="202">
        <f ca="1">[1]!s_fa_dupont_roe(E65,$C$3)</f>
        <v>4.8289999999999997</v>
      </c>
      <c r="AR65" s="202">
        <f ca="1">[1]!s_fa_dupont_nptosales(B65,$C$3)</f>
        <v>17.128499999999999</v>
      </c>
      <c r="AS65" s="237">
        <f ca="1">[1]!s_fa_dupont_faturnover(E65,$C$3)</f>
        <v>0.312</v>
      </c>
      <c r="AT65" s="202">
        <f ca="1">[1]!s_fa_dupont_assetstoequity(E65,$C$3)</f>
        <v>1.8686</v>
      </c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30" customFormat="1" ht="12" customHeight="1" x14ac:dyDescent="0.35">
      <c r="A66" s="121" t="s">
        <v>5</v>
      </c>
      <c r="B66" s="121" t="s">
        <v>24</v>
      </c>
      <c r="C66" s="121" t="s">
        <v>25</v>
      </c>
      <c r="D66" s="121" t="str">
        <f ca="1">[1]!cb_info_underlyingname(B66)</f>
        <v>宝莱特</v>
      </c>
      <c r="E66" s="122" t="str">
        <f ca="1">[1]!cb_info_underlyingcode(B66)</f>
        <v>300246.SZ</v>
      </c>
      <c r="F66" s="123" t="str">
        <f ca="1">[1]!s_info_industry_sw(B66,1)</f>
        <v>医药生物</v>
      </c>
      <c r="G66" s="123" t="str">
        <f ca="1">[1]!s_info_industry_sw(E66,2)</f>
        <v>医疗器械Ⅱ</v>
      </c>
      <c r="H66" s="123" t="str">
        <f ca="1">[1]!s_info_industry_sw(E66,3)</f>
        <v>医疗器械Ⅲ</v>
      </c>
      <c r="I66" s="156" t="str">
        <f ca="1">[1]!s_info_majorproducttype(E66)</f>
        <v>诊断治疗设备</v>
      </c>
      <c r="J66" s="129">
        <f ca="1">[1]!s_val_ev(E66,$B$2,100000000)</f>
        <v>25.492815284000002</v>
      </c>
      <c r="K66" s="157">
        <f ca="1">[1]!s_share_total(E66,$B$2,100000000)</f>
        <v>1.4609063200000001</v>
      </c>
      <c r="L66" s="157">
        <f ca="1">[1]!s_share_liqa(E66,$B$2,100000000)</f>
        <v>1.0949050499999999</v>
      </c>
      <c r="M66" s="125">
        <f ca="1">[1]!s_fa_gr_ttm2(E66,$C$3,100000000)</f>
        <v>13.183839971800001</v>
      </c>
      <c r="N66" s="126">
        <f ca="1">[1]!s_fa_netprofit_ttm2(E66,$C$3,100000000)</f>
        <v>3.2412843970999998</v>
      </c>
      <c r="O66" s="125"/>
      <c r="P66" s="126">
        <f ca="1">[1]!s_val_pe_ttm(E66,[1]!td($B$2-1))</f>
        <v>16.046035766601563</v>
      </c>
      <c r="Q66" s="126">
        <f ca="1">[1]!i_val_pe_percentile(E66,[1]!td($B$2-1),$B$2-365*5,[1]!td($B$2-1))</f>
        <v>17.105263157894736</v>
      </c>
      <c r="R66" s="126">
        <f ca="1">[1]!pb_mrq(E66,[1]!td($B$2-1))</f>
        <v>2.9707148514272621</v>
      </c>
      <c r="S66" s="126">
        <f ca="1">[1]!i_val_pb_percentile(E66,[1]!td($B$2-1),$B$2-365*5,[1]!td($B$2-1))</f>
        <v>3.3991228070175441</v>
      </c>
      <c r="T66" s="126">
        <f ca="1">[1]!s_val_pe_ttm([1]!to_windcode_index(H66&amp;"(申万)"),[1]!td($B$2-1))</f>
        <v>20.920000076293945</v>
      </c>
      <c r="U66" s="126"/>
      <c r="V66" s="126">
        <f ca="1">[1]!s_fa_roe(E66,$C$3)</f>
        <v>43.884700000000002</v>
      </c>
      <c r="W66" s="126">
        <f ca="1">[1]!s_fa_grossprofitmargin(E66,$C$3)</f>
        <v>53.028300000000002</v>
      </c>
      <c r="X66" s="126">
        <f ca="1">[1]!s_fa_netprofitmargin(E66,$C$3)</f>
        <v>29.251100000000001</v>
      </c>
      <c r="Y66" s="126">
        <f ca="1">[1]!s_fa_roic(E66,$C$3)</f>
        <v>33.8474</v>
      </c>
      <c r="Z66" s="126">
        <f ca="1">[1]!s_fa_operateincometoebt_ttm2(E66,$C$3)</f>
        <v>94.885499999999993</v>
      </c>
      <c r="AA66" s="125"/>
      <c r="AB66" s="343"/>
      <c r="AC66" s="125">
        <f ca="1">[1]!s_fa_cagr_tr($E66,AC$6,3)</f>
        <v>0</v>
      </c>
      <c r="AD66" s="125">
        <f ca="1">[1]!s_fa_cagr_tr($E66,AD$6,3)</f>
        <v>25.19214972004573</v>
      </c>
      <c r="AE66" s="126">
        <f ca="1">[1]!s_fa_cagr_tr($E66,AE$6,3)</f>
        <v>11.595780868542604</v>
      </c>
      <c r="AF66" s="126">
        <f ca="1">[1]!s_fa_cagr_tr($E66,AF$6,3)</f>
        <v>28.818573677648995</v>
      </c>
      <c r="AG66" s="126">
        <f ca="1">[1]!s_fa_cagr_tr($E66,AG$6,3)</f>
        <v>35.027878004286237</v>
      </c>
      <c r="AH66" s="126">
        <f ca="1">[1]!s_fa_cagr_tr($E66,AH$6,3)</f>
        <v>36.276097651438221</v>
      </c>
      <c r="AI66" s="169"/>
      <c r="AJ66" s="126">
        <f ca="1">[1]!s_fa_cagr_netprofit($E66,AJ$6,3)</f>
        <v>0</v>
      </c>
      <c r="AK66" s="126">
        <f ca="1">[1]!s_fa_cagr_netprofit($E66,AK$6,3)</f>
        <v>81.863469783814622</v>
      </c>
      <c r="AL66" s="126">
        <f ca="1">[1]!s_fa_cagr_netprofit($E66,AL$6,3)</f>
        <v>-1.2215895582476266</v>
      </c>
      <c r="AM66" s="126">
        <f ca="1">[1]!s_fa_cagr_netprofit($E66,AM$6,3)</f>
        <v>38.968328450048382</v>
      </c>
      <c r="AN66" s="126">
        <f ca="1">[1]!s_fa_cagr_netprofit($E66,AN$6,3)</f>
        <v>19.406951476256019</v>
      </c>
      <c r="AO66" s="126">
        <f ca="1">[1]!s_fa_cagr_netprofit($E66,AO$6,3)</f>
        <v>32.408707751169615</v>
      </c>
      <c r="AP66" s="129"/>
      <c r="AQ66" s="203">
        <f ca="1">[1]!s_fa_dupont_roe(E66,$C$3)</f>
        <v>43.884700000000002</v>
      </c>
      <c r="AR66" s="203">
        <f ca="1">[1]!s_fa_dupont_nptosales(B66,$C$3)</f>
        <v>29.251100000000001</v>
      </c>
      <c r="AS66" s="238">
        <f ca="1">[1]!s_fa_dupont_faturnover(E66,$C$3)</f>
        <v>0.90839999999999999</v>
      </c>
      <c r="AT66" s="203">
        <f ca="1">[1]!s_fa_dupont_assetstoequity(E66,$C$3)</f>
        <v>1.69</v>
      </c>
      <c r="AU66" s="129"/>
      <c r="AV66" s="129"/>
      <c r="AW66" s="129"/>
      <c r="AX66" s="129"/>
      <c r="AY66" s="129"/>
      <c r="AZ66" s="129"/>
      <c r="BA66" s="129"/>
      <c r="BB66" s="129"/>
      <c r="BC66" s="129"/>
      <c r="BD66" s="129"/>
      <c r="BE66" s="129"/>
    </row>
    <row r="67" spans="1:57" s="191" customFormat="1" ht="12" customHeight="1" x14ac:dyDescent="0.35">
      <c r="A67" s="182" t="s">
        <v>5</v>
      </c>
      <c r="B67" s="182" t="s">
        <v>587</v>
      </c>
      <c r="C67" s="182" t="s">
        <v>588</v>
      </c>
      <c r="D67" s="182" t="str">
        <f ca="1">[1]!cb_info_underlyingname(B67)</f>
        <v>同和药业</v>
      </c>
      <c r="E67" s="183" t="str">
        <f ca="1">[1]!cb_info_underlyingcode(B67)</f>
        <v>300636.SZ</v>
      </c>
      <c r="F67" s="184" t="str">
        <f ca="1">[1]!s_info_industry_sw(B67,1)</f>
        <v>医药生物</v>
      </c>
      <c r="G67" s="184" t="str">
        <f ca="1">[1]!s_info_industry_sw(E67,2)</f>
        <v>化学制药</v>
      </c>
      <c r="H67" s="184" t="str">
        <f ca="1">[1]!s_info_industry_sw(E67,3)</f>
        <v>化学原料药</v>
      </c>
      <c r="I67" s="192" t="str">
        <f ca="1">[1]!s_info_majorproducttype(E67)</f>
        <v>原料药</v>
      </c>
      <c r="J67" s="189">
        <f ca="1">[1]!s_val_ev(E67,$B$2,100000000)</f>
        <v>33.493791654399999</v>
      </c>
      <c r="K67" s="193">
        <f ca="1">[1]!s_share_total(E67,$B$2,100000000)</f>
        <v>2.0586227199999998</v>
      </c>
      <c r="L67" s="193">
        <f ca="1">[1]!s_share_liqa(E67,$B$2,100000000)</f>
        <v>1.7550617100000001</v>
      </c>
      <c r="M67" s="186">
        <f ca="1">[1]!s_fa_gr_ttm2(E67,$C$3,100000000)</f>
        <v>4.7112565423000001</v>
      </c>
      <c r="N67" s="187">
        <f ca="1">[1]!s_fa_netprofit_ttm2(E67,$C$3,100000000)</f>
        <v>0.66927035850000005</v>
      </c>
      <c r="O67" s="186"/>
      <c r="P67" s="187">
        <f ca="1">[1]!s_val_pe_ttm(E67,[1]!td($B$2-1))</f>
        <v>47.280223846435547</v>
      </c>
      <c r="Q67" s="187">
        <f ca="1">[1]!i_val_pe_percentile(E67,[1]!td($B$2-1),$B$2-365*5,[1]!td($B$2-1))</f>
        <v>51.44972239358421</v>
      </c>
      <c r="R67" s="187">
        <f ca="1">[1]!pb_mrq(E67,[1]!td($B$2-1))</f>
        <v>4.1969325518789837</v>
      </c>
      <c r="S67" s="187">
        <f ca="1">[1]!i_val_pb_percentile(E67,[1]!td($B$2-1),$B$2-365*5,[1]!td($B$2-1))</f>
        <v>62.985811227637257</v>
      </c>
      <c r="T67" s="187">
        <f ca="1">[1]!s_val_pe_ttm([1]!to_windcode_index(H67&amp;"(申万)"),[1]!td($B$2-1))</f>
        <v>41.340000152587891</v>
      </c>
      <c r="U67" s="187"/>
      <c r="V67" s="187">
        <f ca="1">[1]!s_fa_roe(E67,$C$3)</f>
        <v>8.2751000000000001</v>
      </c>
      <c r="W67" s="187">
        <f ca="1">[1]!s_fa_grossprofitmargin(E67,$C$3)</f>
        <v>34.682600000000001</v>
      </c>
      <c r="X67" s="187">
        <f ca="1">[1]!s_fa_netprofitmargin(E67,$C$3)</f>
        <v>17.8294</v>
      </c>
      <c r="Y67" s="187">
        <f ca="1">[1]!s_fa_roic(E67,$C$3)</f>
        <v>6.6829999999999998</v>
      </c>
      <c r="Z67" s="187">
        <f ca="1">[1]!s_fa_operateincometoebt_ttm2(E67,$C$3)</f>
        <v>99.123699999999999</v>
      </c>
      <c r="AA67" s="186"/>
      <c r="AB67" s="342"/>
      <c r="AC67" s="186">
        <f ca="1">[1]!s_fa_cagr_tr($E67,AC$6,3)</f>
        <v>0</v>
      </c>
      <c r="AD67" s="186">
        <f ca="1">[1]!s_fa_cagr_tr($E67,AD$6,3)</f>
        <v>13.637714327633788</v>
      </c>
      <c r="AE67" s="187">
        <f ca="1">[1]!s_fa_cagr_tr($E67,AE$6,3)</f>
        <v>18.207469161858381</v>
      </c>
      <c r="AF67" s="187">
        <f ca="1">[1]!s_fa_cagr_tr($E67,AF$6,3)</f>
        <v>-0.94159188205594768</v>
      </c>
      <c r="AG67" s="187">
        <f ca="1">[1]!s_fa_cagr_tr($E67,AG$6,3)</f>
        <v>11.757531678573629</v>
      </c>
      <c r="AH67" s="187">
        <f ca="1">[1]!s_fa_cagr_tr($E67,AH$6,3)</f>
        <v>20.887975317613417</v>
      </c>
      <c r="AI67" s="194"/>
      <c r="AJ67" s="187">
        <f ca="1">[1]!s_fa_cagr_netprofit($E67,AJ$6,3)</f>
        <v>0</v>
      </c>
      <c r="AK67" s="187">
        <f ca="1">[1]!s_fa_cagr_netprofit($E67,AK$6,3)</f>
        <v>2.2864522832233058</v>
      </c>
      <c r="AL67" s="187">
        <f ca="1">[1]!s_fa_cagr_netprofit($E67,AL$6,3)</f>
        <v>-5.90999922244968</v>
      </c>
      <c r="AM67" s="187">
        <f ca="1">[1]!s_fa_cagr_netprofit($E67,AM$6,3)</f>
        <v>-26.93065009196529</v>
      </c>
      <c r="AN67" s="187">
        <f ca="1">[1]!s_fa_cagr_netprofit($E67,AN$6,3)</f>
        <v>18.629871462584589</v>
      </c>
      <c r="AO67" s="187">
        <f ca="1">[1]!s_fa_cagr_netprofit($E67,AO$6,3)</f>
        <v>50.884656964537236</v>
      </c>
      <c r="AP67" s="189"/>
      <c r="AQ67" s="202">
        <f ca="1">[1]!s_fa_dupont_roe(E67,$C$3)</f>
        <v>8.2751000000000001</v>
      </c>
      <c r="AR67" s="202">
        <f ca="1">[1]!s_fa_dupont_nptosales(B67,$C$3)</f>
        <v>17.8294</v>
      </c>
      <c r="AS67" s="237">
        <f ca="1">[1]!s_fa_dupont_faturnover(E67,$C$3)</f>
        <v>0.316</v>
      </c>
      <c r="AT67" s="202">
        <f ca="1">[1]!s_fa_dupont_assetstoequity(E67,$C$3)</f>
        <v>1.4685999999999999</v>
      </c>
      <c r="AU67" s="189"/>
      <c r="AV67" s="201"/>
      <c r="AW67" s="189"/>
      <c r="AX67" s="189"/>
      <c r="AY67" s="189"/>
      <c r="AZ67" s="189"/>
      <c r="BA67" s="189"/>
      <c r="BB67" s="189"/>
      <c r="BC67" s="189"/>
      <c r="BD67" s="189"/>
      <c r="BE67" s="189"/>
    </row>
    <row r="68" spans="1:57" s="130" customFormat="1" ht="12" customHeight="1" x14ac:dyDescent="0.35">
      <c r="A68" s="121" t="s">
        <v>5</v>
      </c>
      <c r="B68" s="121" t="s">
        <v>638</v>
      </c>
      <c r="C68" s="121" t="s">
        <v>639</v>
      </c>
      <c r="D68" s="121" t="str">
        <f ca="1">[1]!cb_info_underlyingname(B68)</f>
        <v>英特集团</v>
      </c>
      <c r="E68" s="122" t="str">
        <f ca="1">[1]!cb_info_underlyingcode(B68)</f>
        <v>000411.SZ</v>
      </c>
      <c r="F68" s="123" t="str">
        <f ca="1">[1]!s_info_industry_sw(B68,1)</f>
        <v>医药生物</v>
      </c>
      <c r="G68" s="123" t="str">
        <f ca="1">[1]!s_info_industry_sw(E68,2)</f>
        <v>医药商业Ⅱ</v>
      </c>
      <c r="H68" s="123" t="str">
        <f ca="1">[1]!s_info_industry_sw(E68,3)</f>
        <v>医药商业Ⅲ</v>
      </c>
      <c r="I68" s="156" t="str">
        <f ca="1">[1]!s_info_majorproducttype(E68)</f>
        <v>其他物流、物业出租和管理、药品经销</v>
      </c>
      <c r="J68" s="129">
        <f ca="1">[1]!s_val_ev(E68,$B$2,100000000)</f>
        <v>30.520036031</v>
      </c>
      <c r="K68" s="157">
        <f ca="1">[1]!s_share_total(E68,$B$2,100000000)</f>
        <v>2.4893993499999998</v>
      </c>
      <c r="L68" s="157">
        <f ca="1">[1]!s_share_liqa(E68,$B$2,100000000)</f>
        <v>2.0732619600000004</v>
      </c>
      <c r="M68" s="125">
        <f ca="1">[1]!s_fa_gr_ttm2(E68,$C$3,100000000)</f>
        <v>247.82415056139999</v>
      </c>
      <c r="N68" s="126">
        <f ca="1">[1]!s_fa_netprofit_ttm2(E68,$C$3,100000000)</f>
        <v>1.4288094099000002</v>
      </c>
      <c r="O68" s="125"/>
      <c r="P68" s="126">
        <f ca="1">[1]!s_val_pe_ttm(E68,[1]!td($B$2-1))</f>
        <v>17.957530975341797</v>
      </c>
      <c r="Q68" s="126">
        <f ca="1">[1]!i_val_pe_percentile(E68,[1]!td($B$2-1),$B$2-365*5,[1]!td($B$2-1))</f>
        <v>2.083333333333333</v>
      </c>
      <c r="R68" s="126">
        <f ca="1">[1]!pb_mrq(E68,[1]!td($B$2-1))</f>
        <v>1.7569844119248814</v>
      </c>
      <c r="S68" s="126">
        <f ca="1">[1]!i_val_pb_percentile(E68,[1]!td($B$2-1),$B$2-365*5,[1]!td($B$2-1))</f>
        <v>1.4802631578947367</v>
      </c>
      <c r="T68" s="126">
        <f ca="1">[1]!s_val_pe_ttm([1]!to_windcode_index(H68&amp;"(申万)"),[1]!td($B$2-1))</f>
        <v>15.5</v>
      </c>
      <c r="U68" s="126"/>
      <c r="V68" s="126">
        <f ca="1">[1]!s_fa_roe(E68,$C$3)</f>
        <v>7.3323</v>
      </c>
      <c r="W68" s="126">
        <f ca="1">[1]!s_fa_grossprofitmargin(E68,$C$3)</f>
        <v>5.9775</v>
      </c>
      <c r="X68" s="126">
        <f ca="1">[1]!s_fa_netprofitmargin(E68,$C$3)</f>
        <v>1.4142999999999999</v>
      </c>
      <c r="Y68" s="126">
        <f ca="1">[1]!s_fa_roic(E68,$C$3)</f>
        <v>6.1196999999999999</v>
      </c>
      <c r="Z68" s="126">
        <f ca="1">[1]!s_fa_operateincometoebt_ttm2(E68,$C$3)</f>
        <v>94.309299999999993</v>
      </c>
      <c r="AA68" s="125"/>
      <c r="AB68" s="343"/>
      <c r="AC68" s="125">
        <f ca="1">[1]!s_fa_cagr_tr($E68,AC$6,3)</f>
        <v>0</v>
      </c>
      <c r="AD68" s="125">
        <f ca="1">[1]!s_fa_cagr_tr($E68,AD$6,3)</f>
        <v>9.7701090179086911</v>
      </c>
      <c r="AE68" s="126">
        <f ca="1">[1]!s_fa_cagr_tr($E68,AE$6,3)</f>
        <v>12.544943113265239</v>
      </c>
      <c r="AF68" s="126">
        <f ca="1">[1]!s_fa_cagr_tr($E68,AF$6,3)</f>
        <v>9.8328753293630342</v>
      </c>
      <c r="AG68" s="126">
        <f ca="1">[1]!s_fa_cagr_tr($E68,AG$6,3)</f>
        <v>10.341657428190242</v>
      </c>
      <c r="AH68" s="126">
        <f ca="1">[1]!s_fa_cagr_tr($E68,AH$6,3)</f>
        <v>11.740192142762474</v>
      </c>
      <c r="AI68" s="169"/>
      <c r="AJ68" s="126">
        <f ca="1">[1]!s_fa_cagr_netprofit($E68,AJ$6,3)</f>
        <v>0</v>
      </c>
      <c r="AK68" s="126">
        <f ca="1">[1]!s_fa_cagr_netprofit($E68,AK$6,3)</f>
        <v>23.36394652232179</v>
      </c>
      <c r="AL68" s="126">
        <f ca="1">[1]!s_fa_cagr_netprofit($E68,AL$6,3)</f>
        <v>20.271599648329321</v>
      </c>
      <c r="AM68" s="126">
        <f ca="1">[1]!s_fa_cagr_netprofit($E68,AM$6,3)</f>
        <v>10.927130736075741</v>
      </c>
      <c r="AN68" s="126">
        <f ca="1">[1]!s_fa_cagr_netprofit($E68,AN$6,3)</f>
        <v>8.4548249153510326</v>
      </c>
      <c r="AO68" s="126">
        <f ca="1">[1]!s_fa_cagr_netprofit($E68,AO$6,3)</f>
        <v>5.4384228303227644</v>
      </c>
      <c r="AP68" s="129"/>
      <c r="AQ68" s="203">
        <f ca="1">[1]!s_fa_dupont_roe(E68,$C$3)</f>
        <v>7.3323</v>
      </c>
      <c r="AR68" s="203">
        <f ca="1">[1]!s_fa_dupont_nptosales(B68,$C$3)</f>
        <v>1.4142999999999999</v>
      </c>
      <c r="AS68" s="238">
        <f ca="1">[1]!s_fa_dupont_faturnover(E68,$C$3)</f>
        <v>1.6475</v>
      </c>
      <c r="AT68" s="203">
        <f ca="1">[1]!s_fa_dupont_assetstoequity(E68,$C$3)</f>
        <v>7.1532</v>
      </c>
      <c r="AU68" s="129"/>
      <c r="AV68" s="129"/>
      <c r="AW68" s="129"/>
      <c r="AX68" s="129"/>
      <c r="AY68" s="129"/>
      <c r="AZ68" s="129"/>
      <c r="BA68" s="129"/>
      <c r="BB68" s="129"/>
      <c r="BC68" s="129"/>
      <c r="BD68" s="129"/>
      <c r="BE68" s="129"/>
    </row>
    <row r="69" spans="1:57" s="191" customFormat="1" ht="12" customHeight="1" x14ac:dyDescent="0.35">
      <c r="A69" s="182" t="s">
        <v>0</v>
      </c>
      <c r="B69" s="182" t="s">
        <v>34</v>
      </c>
      <c r="C69" s="182" t="s">
        <v>35</v>
      </c>
      <c r="D69" s="182" t="str">
        <f ca="1">[1]!cb_info_underlyingname(B69)</f>
        <v>塞力医疗</v>
      </c>
      <c r="E69" s="183" t="str">
        <f ca="1">[1]!cb_info_underlyingcode(B69)</f>
        <v>603716.SH</v>
      </c>
      <c r="F69" s="184" t="str">
        <f ca="1">[1]!s_info_industry_sw(B69,1)</f>
        <v>医药生物</v>
      </c>
      <c r="G69" s="184" t="str">
        <f ca="1">[1]!s_info_industry_sw(E69,2)</f>
        <v>医药商业Ⅱ</v>
      </c>
      <c r="H69" s="184" t="str">
        <f ca="1">[1]!s_info_industry_sw(E69,3)</f>
        <v>医药商业Ⅲ</v>
      </c>
      <c r="I69" s="192" t="str">
        <f ca="1">[1]!s_info_majorproducttype(E69)</f>
        <v>医用耗材、诊断治疗设备</v>
      </c>
      <c r="J69" s="189">
        <f ca="1">[1]!s_val_ev(E69,$B$2,100000000)</f>
        <v>23.372165202000001</v>
      </c>
      <c r="K69" s="193">
        <f ca="1">[1]!s_share_total(E69,$B$2,100000000)</f>
        <v>2.0501899300000002</v>
      </c>
      <c r="L69" s="193">
        <f ca="1">[1]!s_share_liqa(E69,$B$2,100000000)</f>
        <v>2.01323345</v>
      </c>
      <c r="M69" s="186">
        <f ca="1">[1]!s_fa_gr_ttm2(E69,$C$3,100000000)</f>
        <v>18.7786623527</v>
      </c>
      <c r="N69" s="187">
        <f ca="1">[1]!s_fa_netprofit_ttm2(E69,$C$3,100000000)</f>
        <v>0.5022090548</v>
      </c>
      <c r="O69" s="186"/>
      <c r="P69" s="187">
        <f ca="1">[1]!s_val_pe_ttm(E69,[1]!td($B$2-1))</f>
        <v>44.000614166259766</v>
      </c>
      <c r="Q69" s="187">
        <f ca="1">[1]!i_val_pe_percentile(E69,[1]!td($B$2-1),$B$2-365*5,[1]!td($B$2-1))</f>
        <v>47.742663656884879</v>
      </c>
      <c r="R69" s="187">
        <f ca="1">[1]!pb_mrq(E69,[1]!td($B$2-1))</f>
        <v>1.5499399393324096</v>
      </c>
      <c r="S69" s="187">
        <f ca="1">[1]!i_val_pb_percentile(E69,[1]!td($B$2-1),$B$2-365*5,[1]!td($B$2-1))</f>
        <v>0.45146726862302478</v>
      </c>
      <c r="T69" s="187">
        <f ca="1">[1]!s_val_pe_ttm([1]!to_windcode_index(H69&amp;"(申万)"),[1]!td($B$2-1))</f>
        <v>15.5</v>
      </c>
      <c r="U69" s="186"/>
      <c r="V69" s="186">
        <f ca="1">[1]!s_fa_roe(E69,$C$3)</f>
        <v>1.8435999999999999</v>
      </c>
      <c r="W69" s="186">
        <f ca="1">[1]!s_fa_grossprofitmargin(E69,$C$3)</f>
        <v>24.669599999999999</v>
      </c>
      <c r="X69" s="186">
        <f ca="1">[1]!s_fa_netprofitmargin(E69,$C$3)</f>
        <v>3.2789000000000001</v>
      </c>
      <c r="Y69" s="186">
        <f ca="1">[1]!s_fa_roic(E69,$C$3)</f>
        <v>2.5348000000000002</v>
      </c>
      <c r="Z69" s="186">
        <f ca="1">[1]!s_fa_operateincometoebt_ttm2(E69,$C$3)</f>
        <v>103.30240000000001</v>
      </c>
      <c r="AA69" s="186"/>
      <c r="AB69" s="342"/>
      <c r="AC69" s="186">
        <f ca="1">[1]!s_fa_cagr_tr($E69,AC$6,3)</f>
        <v>0</v>
      </c>
      <c r="AD69" s="186">
        <f ca="1">[1]!s_fa_cagr_tr($E69,AD$6,3)</f>
        <v>32.172540077237358</v>
      </c>
      <c r="AE69" s="187">
        <f ca="1">[1]!s_fa_cagr_tr($E69,AE$6,3)</f>
        <v>42.90469137573885</v>
      </c>
      <c r="AF69" s="187">
        <f ca="1">[1]!s_fa_cagr_tr($E69,AF$6,3)</f>
        <v>35.49147460190698</v>
      </c>
      <c r="AG69" s="187">
        <f ca="1">[1]!s_fa_cagr_tr($E69,AG$6,3)</f>
        <v>27.411655428381977</v>
      </c>
      <c r="AH69" s="187">
        <f ca="1">[1]!s_fa_cagr_tr($E69,AH$6,3)</f>
        <v>16.950769378562214</v>
      </c>
      <c r="AI69" s="194"/>
      <c r="AJ69" s="187">
        <f ca="1">[1]!s_fa_cagr_netprofit($E69,AJ$6,3)</f>
        <v>0</v>
      </c>
      <c r="AK69" s="187">
        <f ca="1">[1]!s_fa_cagr_netprofit($E69,AK$6,3)</f>
        <v>-15.035636823024168</v>
      </c>
      <c r="AL69" s="187">
        <f ca="1">[1]!s_fa_cagr_netprofit($E69,AL$6,3)</f>
        <v>17.014359742192141</v>
      </c>
      <c r="AM69" s="187">
        <f ca="1">[1]!s_fa_cagr_netprofit($E69,AM$6,3)</f>
        <v>15.281112604796032</v>
      </c>
      <c r="AN69" s="187">
        <f ca="1">[1]!s_fa_cagr_netprofit($E69,AN$6,3)</f>
        <v>18.416310677842084</v>
      </c>
      <c r="AO69" s="187">
        <f ca="1">[1]!s_fa_cagr_netprofit($E69,AO$6,3)</f>
        <v>11.992352966659926</v>
      </c>
      <c r="AP69" s="189"/>
      <c r="AQ69" s="202">
        <f ca="1">[1]!s_fa_dupont_roe(E69,$C$3)</f>
        <v>1.8435999999999999</v>
      </c>
      <c r="AR69" s="202">
        <f ca="1">[1]!s_fa_dupont_nptosales(B69,$C$3)</f>
        <v>3.2789000000000001</v>
      </c>
      <c r="AS69" s="237">
        <f ca="1">[1]!s_fa_dupont_faturnover(E69,$C$3)</f>
        <v>0.40560000000000002</v>
      </c>
      <c r="AT69" s="202">
        <f ca="1">[1]!s_fa_dupont_assetstoequity(E69,$C$3)</f>
        <v>2.1545000000000001</v>
      </c>
      <c r="AU69" s="189"/>
      <c r="AV69" s="189"/>
      <c r="AW69" s="189"/>
      <c r="AX69" s="189"/>
      <c r="AY69" s="189"/>
      <c r="AZ69" s="189"/>
      <c r="BA69" s="189"/>
      <c r="BB69" s="189"/>
      <c r="BC69" s="189"/>
      <c r="BD69" s="189"/>
      <c r="BE69" s="189"/>
    </row>
    <row r="70" spans="1:57" s="130" customFormat="1" ht="12" customHeight="1" x14ac:dyDescent="0.35">
      <c r="A70" s="121" t="s">
        <v>5</v>
      </c>
      <c r="B70" s="121" t="s">
        <v>469</v>
      </c>
      <c r="C70" s="121" t="s">
        <v>470</v>
      </c>
      <c r="D70" s="121" t="str">
        <f ca="1">[1]!cb_info_underlyingname(B70)</f>
        <v>特一药业</v>
      </c>
      <c r="E70" s="122" t="str">
        <f ca="1">[1]!cb_info_underlyingcode(B70)</f>
        <v>002728.SZ</v>
      </c>
      <c r="F70" s="123" t="str">
        <f ca="1">[1]!s_info_industry_sw(B70,1)</f>
        <v>医药生物</v>
      </c>
      <c r="G70" s="123" t="str">
        <f ca="1">[1]!s_info_industry_sw(E70,2)</f>
        <v>中药Ⅱ</v>
      </c>
      <c r="H70" s="123" t="str">
        <f ca="1">[1]!s_info_industry_sw(E70,3)</f>
        <v>中药Ⅲ</v>
      </c>
      <c r="I70" s="156" t="str">
        <f ca="1">[1]!s_info_majorproducttype(E70)</f>
        <v>原料药</v>
      </c>
      <c r="J70" s="129">
        <f ca="1">[1]!s_val_ev(E70,$B$2,100000000)</f>
        <v>24.471210167799999</v>
      </c>
      <c r="K70" s="157">
        <f ca="1">[1]!s_share_total(E70,$B$2,100000000)</f>
        <v>2.03587439</v>
      </c>
      <c r="L70" s="157">
        <f ca="1">[1]!s_share_liqa(E70,$B$2,100000000)</f>
        <v>1.27169939</v>
      </c>
      <c r="M70" s="125">
        <f ca="1">[1]!s_fa_gr_ttm2(E70,$C$3,100000000)</f>
        <v>6.6777638604999998</v>
      </c>
      <c r="N70" s="126">
        <f ca="1">[1]!s_fa_netprofit_ttm2(E70,$C$3,100000000)</f>
        <v>0.66253863549999992</v>
      </c>
      <c r="O70" s="125"/>
      <c r="P70" s="126">
        <f ca="1">[1]!s_val_pe_ttm(E70,[1]!td($B$2-1))</f>
        <v>26.67437744140625</v>
      </c>
      <c r="Q70" s="126">
        <f ca="1">[1]!i_val_pe_percentile(E70,[1]!td($B$2-1),$B$2-365*5,[1]!td($B$2-1))</f>
        <v>46.21710526315789</v>
      </c>
      <c r="R70" s="126">
        <f ca="1">[1]!pb_mrq(E70,[1]!td($B$2-1))</f>
        <v>2.5218440461113287</v>
      </c>
      <c r="S70" s="126">
        <f ca="1">[1]!i_val_pb_percentile(E70,[1]!td($B$2-1),$B$2-365*5,[1]!td($B$2-1))</f>
        <v>9.7039473684210531</v>
      </c>
      <c r="T70" s="126">
        <f ca="1">[1]!s_val_pe_ttm([1]!to_windcode_index(H70&amp;"(申万)"),[1]!td($B$2-1))</f>
        <v>30.170000076293945</v>
      </c>
      <c r="U70" s="125"/>
      <c r="V70" s="125">
        <f ca="1">[1]!s_fa_roe(E70,$C$3)</f>
        <v>2.5939000000000001</v>
      </c>
      <c r="W70" s="125">
        <f ca="1">[1]!s_fa_grossprofitmargin(E70,$C$3)</f>
        <v>49.074399999999997</v>
      </c>
      <c r="X70" s="125">
        <f ca="1">[1]!s_fa_netprofitmargin(E70,$C$3)</f>
        <v>6.6433999999999997</v>
      </c>
      <c r="Y70" s="125">
        <f ca="1">[1]!s_fa_roic(E70,$C$3)</f>
        <v>2.7408000000000001</v>
      </c>
      <c r="Z70" s="125">
        <f ca="1">[1]!s_fa_operateincometoebt_ttm2(E70,$C$3)</f>
        <v>91.271799999999999</v>
      </c>
      <c r="AA70" s="125"/>
      <c r="AB70" s="343"/>
      <c r="AC70" s="125">
        <f ca="1">[1]!s_fa_cagr_tr($E70,AC$6,3)</f>
        <v>0</v>
      </c>
      <c r="AD70" s="125">
        <f ca="1">[1]!s_fa_cagr_tr($E70,AD$6,3)</f>
        <v>-2.7048596096978073</v>
      </c>
      <c r="AE70" s="126">
        <f ca="1">[1]!s_fa_cagr_tr($E70,AE$6,3)</f>
        <v>11.987464851593387</v>
      </c>
      <c r="AF70" s="126">
        <f ca="1">[1]!s_fa_cagr_tr($E70,AF$6,3)</f>
        <v>19.658192791436392</v>
      </c>
      <c r="AG70" s="126">
        <f ca="1">[1]!s_fa_cagr_tr($E70,AG$6,3)</f>
        <v>25.836402127151104</v>
      </c>
      <c r="AH70" s="126">
        <f ca="1">[1]!s_fa_cagr_tr($E70,AH$6,3)</f>
        <v>24.152688556240996</v>
      </c>
      <c r="AI70" s="169"/>
      <c r="AJ70" s="126">
        <f ca="1">[1]!s_fa_cagr_netprofit($E70,AJ$6,3)</f>
        <v>0</v>
      </c>
      <c r="AK70" s="126">
        <f ca="1">[1]!s_fa_cagr_netprofit($E70,AK$6,3)</f>
        <v>-25.587974037149174</v>
      </c>
      <c r="AL70" s="126">
        <f ca="1">[1]!s_fa_cagr_netprofit($E70,AL$6,3)</f>
        <v>21.907713085058234</v>
      </c>
      <c r="AM70" s="126">
        <f ca="1">[1]!s_fa_cagr_netprofit($E70,AM$6,3)</f>
        <v>24.242513437490842</v>
      </c>
      <c r="AN70" s="126">
        <f ca="1">[1]!s_fa_cagr_netprofit($E70,AN$6,3)</f>
        <v>9.8641467771809701</v>
      </c>
      <c r="AO70" s="126">
        <f ca="1">[1]!s_fa_cagr_netprofit($E70,AO$6,3)</f>
        <v>5.5692538076264952</v>
      </c>
      <c r="AP70" s="129"/>
      <c r="AQ70" s="203">
        <f ca="1">[1]!s_fa_dupont_roe(E70,$C$3)</f>
        <v>2.5939000000000001</v>
      </c>
      <c r="AR70" s="203">
        <f ca="1">[1]!s_fa_dupont_nptosales(B70,$C$3)</f>
        <v>6.6433999999999997</v>
      </c>
      <c r="AS70" s="238">
        <f ca="1">[1]!s_fa_dupont_faturnover(E70,$C$3)</f>
        <v>0.19739999999999999</v>
      </c>
      <c r="AT70" s="203">
        <f ca="1">[1]!s_fa_dupont_assetstoequity(E70,$C$3)</f>
        <v>1.9783999999999999</v>
      </c>
      <c r="AU70" s="129"/>
      <c r="AV70" s="129"/>
      <c r="AW70" s="129"/>
      <c r="AX70" s="129"/>
      <c r="AY70" s="129"/>
      <c r="AZ70" s="129"/>
      <c r="BA70" s="129"/>
      <c r="BB70" s="129"/>
      <c r="BC70" s="129"/>
      <c r="BD70" s="129"/>
      <c r="BE70" s="129"/>
    </row>
    <row r="71" spans="1:57" s="191" customFormat="1" ht="12" customHeight="1" x14ac:dyDescent="0.35">
      <c r="A71" s="182" t="s">
        <v>5</v>
      </c>
      <c r="B71" s="182" t="s">
        <v>336</v>
      </c>
      <c r="C71" s="182" t="s">
        <v>337</v>
      </c>
      <c r="D71" s="182" t="str">
        <f ca="1">[1]!cb_info_underlyingname(B71)</f>
        <v>亚太药业</v>
      </c>
      <c r="E71" s="183" t="str">
        <f ca="1">[1]!cb_info_underlyingcode(B71)</f>
        <v>002370.SZ</v>
      </c>
      <c r="F71" s="184" t="str">
        <f ca="1">[1]!s_info_industry_sw(B71,1)</f>
        <v>医药生物</v>
      </c>
      <c r="G71" s="184" t="str">
        <f ca="1">[1]!s_info_industry_sw(E71,2)</f>
        <v>化学制药</v>
      </c>
      <c r="H71" s="184" t="str">
        <f ca="1">[1]!s_info_industry_sw(E71,3)</f>
        <v>化学制剂</v>
      </c>
      <c r="I71" s="192" t="str">
        <f ca="1">[1]!s_info_majorproducttype(E71)</f>
        <v>激素及调节内分泌功能类制剂、抗生素类抗感染制剂</v>
      </c>
      <c r="J71" s="189">
        <f ca="1">[1]!s_val_ev(E71,$B$2,100000000)</f>
        <v>23.6644814637</v>
      </c>
      <c r="K71" s="193">
        <f ca="1">[1]!s_share_total(E71,$B$2,100000000)</f>
        <v>5.3660955699999997</v>
      </c>
      <c r="L71" s="193">
        <f ca="1">[1]!s_share_liqa(E71,$B$2,100000000)</f>
        <v>4.6331474300000002</v>
      </c>
      <c r="M71" s="186">
        <f ca="1">[1]!s_fa_gr_ttm2(E71,$C$3,100000000)</f>
        <v>3.4488118991000003</v>
      </c>
      <c r="N71" s="187">
        <f ca="1">[1]!s_fa_netprofit_ttm2(E71,$C$3,100000000)</f>
        <v>-21.825000931799998</v>
      </c>
      <c r="O71" s="186"/>
      <c r="P71" s="187">
        <f ca="1">[1]!s_val_pe_ttm(E71,[1]!td($B$2-1))</f>
        <v>62.853794097900391</v>
      </c>
      <c r="Q71" s="187">
        <f ca="1">[1]!i_val_pe_percentile(E71,[1]!td($B$2-1),$B$2-365*5,[1]!td($B$2-1))</f>
        <v>63.493150684931507</v>
      </c>
      <c r="R71" s="187">
        <f ca="1">[1]!pb_mrq(E71,[1]!td($B$2-1))</f>
        <v>5.7329993844133273</v>
      </c>
      <c r="S71" s="187">
        <f ca="1">[1]!i_val_pb_percentile(E71,[1]!td($B$2-1),$B$2-365*5,[1]!td($B$2-1))</f>
        <v>78.892543859649123</v>
      </c>
      <c r="T71" s="187">
        <f ca="1">[1]!s_val_pe_ttm([1]!to_windcode_index(H71&amp;"(申万)"),[1]!td($B$2-1))</f>
        <v>36.959999084472656</v>
      </c>
      <c r="U71" s="187"/>
      <c r="V71" s="187">
        <f ca="1">[1]!s_fa_roe(E71,$C$3)</f>
        <v>-18.442499999999999</v>
      </c>
      <c r="W71" s="187">
        <f ca="1">[1]!s_fa_grossprofitmargin(E71,$C$3)</f>
        <v>47.7881</v>
      </c>
      <c r="X71" s="187">
        <f ca="1">[1]!s_fa_netprofitmargin(E71,$C$3)</f>
        <v>-29.649100000000001</v>
      </c>
      <c r="Y71" s="187">
        <f ca="1">[1]!s_fa_roic(E71,$C$3)</f>
        <v>-2.8529</v>
      </c>
      <c r="Z71" s="187">
        <f ca="1">[1]!s_fa_operateincometoebt_ttm2(E71,$C$3)</f>
        <v>0</v>
      </c>
      <c r="AA71" s="186"/>
      <c r="AB71" s="342"/>
      <c r="AC71" s="186">
        <f ca="1">[1]!s_fa_cagr_tr($E71,AC$6,3)</f>
        <v>0</v>
      </c>
      <c r="AD71" s="186">
        <f ca="1">[1]!s_fa_cagr_tr($E71,AD$6,3)</f>
        <v>-17.195229442456117</v>
      </c>
      <c r="AE71" s="187">
        <f ca="1">[1]!s_fa_cagr_tr($E71,AE$6,3)</f>
        <v>-2.3756290551421144</v>
      </c>
      <c r="AF71" s="187">
        <f ca="1">[1]!s_fa_cagr_tr($E71,AF$6,3)</f>
        <v>34.718282518071966</v>
      </c>
      <c r="AG71" s="187">
        <f ca="1">[1]!s_fa_cagr_tr($E71,AG$6,3)</f>
        <v>34.154599182048131</v>
      </c>
      <c r="AH71" s="187">
        <f ca="1">[1]!s_fa_cagr_tr($E71,AH$6,3)</f>
        <v>34.454103802473377</v>
      </c>
      <c r="AI71" s="194"/>
      <c r="AJ71" s="187">
        <f ca="1">[1]!s_fa_cagr_netprofit($E71,AJ$6,3)</f>
        <v>0</v>
      </c>
      <c r="AK71" s="187">
        <f ca="1">[1]!s_fa_cagr_netprofit($E71,AK$6,3)</f>
        <v>-41.959705334798059</v>
      </c>
      <c r="AL71" s="187">
        <f ca="1">[1]!s_fa_cagr_netprofit($E71,AL$6,3)</f>
        <v>-377.50420084436536</v>
      </c>
      <c r="AM71" s="187">
        <f ca="1">[1]!s_fa_cagr_netprofit($E71,AM$6,3)</f>
        <v>39.586920427356233</v>
      </c>
      <c r="AN71" s="187">
        <f ca="1">[1]!s_fa_cagr_netprofit($E71,AN$6,3)</f>
        <v>50.9376046591671</v>
      </c>
      <c r="AO71" s="187">
        <f ca="1">[1]!s_fa_cagr_netprofit($E71,AO$6,3)</f>
        <v>160.43227409702217</v>
      </c>
      <c r="AP71" s="189"/>
      <c r="AQ71" s="202">
        <f ca="1">[1]!s_fa_dupont_roe(E71,$C$3)</f>
        <v>-18.442499999999999</v>
      </c>
      <c r="AR71" s="202">
        <f ca="1">[1]!s_fa_dupont_nptosales(B71,$C$3)</f>
        <v>-29.649100000000001</v>
      </c>
      <c r="AS71" s="237">
        <f ca="1">[1]!s_fa_dupont_faturnover(E71,$C$3)</f>
        <v>0.17730000000000001</v>
      </c>
      <c r="AT71" s="202">
        <f ca="1">[1]!s_fa_dupont_assetstoequity(E71,$C$3)</f>
        <v>3.5078</v>
      </c>
      <c r="AU71" s="189"/>
      <c r="AV71" s="201"/>
      <c r="AW71" s="189"/>
      <c r="AX71" s="189"/>
      <c r="AY71" s="189"/>
      <c r="AZ71" s="189"/>
      <c r="BA71" s="189"/>
      <c r="BB71" s="189"/>
      <c r="BC71" s="189"/>
      <c r="BD71" s="189"/>
      <c r="BE71" s="189"/>
    </row>
    <row r="72" spans="1:57" s="130" customFormat="1" ht="12" customHeight="1" x14ac:dyDescent="0.35">
      <c r="A72" s="121" t="s">
        <v>5</v>
      </c>
      <c r="B72" s="121" t="s">
        <v>218</v>
      </c>
      <c r="C72" s="121" t="s">
        <v>219</v>
      </c>
      <c r="D72" s="121" t="str">
        <f ca="1">[1]!cb_info_underlyingname(B72)</f>
        <v>新天药业</v>
      </c>
      <c r="E72" s="122" t="str">
        <f ca="1">[1]!cb_info_underlyingcode(B72)</f>
        <v>002873.SZ</v>
      </c>
      <c r="F72" s="123" t="str">
        <f ca="1">[1]!s_info_industry_sw(B72,1)</f>
        <v>医药生物</v>
      </c>
      <c r="G72" s="123" t="str">
        <f ca="1">[1]!s_info_industry_sw(E72,2)</f>
        <v>中药Ⅱ</v>
      </c>
      <c r="H72" s="123" t="str">
        <f ca="1">[1]!s_info_industry_sw(E72,3)</f>
        <v>中药Ⅲ</v>
      </c>
      <c r="I72" s="156" t="str">
        <f ca="1">[1]!s_info_majorproducttype(E72)</f>
        <v>中药饮片</v>
      </c>
      <c r="J72" s="129">
        <f ca="1">[1]!s_val_ev(E72,$B$2,100000000)</f>
        <v>20.784184354799997</v>
      </c>
      <c r="K72" s="157">
        <f ca="1">[1]!s_share_total(E72,$B$2,100000000)</f>
        <v>1.1716000200000001</v>
      </c>
      <c r="L72" s="157">
        <f ca="1">[1]!s_share_liqa(E72,$B$2,100000000)</f>
        <v>1.1114998</v>
      </c>
      <c r="M72" s="125">
        <f ca="1">[1]!s_fa_gr_ttm2(E72,$C$3,100000000)</f>
        <v>7.2595950654999992</v>
      </c>
      <c r="N72" s="126">
        <f ca="1">[1]!s_fa_netprofit_ttm2(E72,$C$3,100000000)</f>
        <v>0.62891312300000002</v>
      </c>
      <c r="O72" s="125"/>
      <c r="P72" s="126">
        <f ca="1">[1]!s_val_pe_ttm(E72,[1]!td($B$2-1))</f>
        <v>21.709856033325195</v>
      </c>
      <c r="Q72" s="126">
        <f ca="1">[1]!i_val_pe_percentile(E72,[1]!td($B$2-1),$B$2-365*5,[1]!td($B$2-1))</f>
        <v>5.4707379134860057</v>
      </c>
      <c r="R72" s="126">
        <f ca="1">[1]!pb_mrq(E72,[1]!td($B$2-1))</f>
        <v>2.5263220236254247</v>
      </c>
      <c r="S72" s="126">
        <f ca="1">[1]!i_val_pb_percentile(E72,[1]!td($B$2-1),$B$2-365*5,[1]!td($B$2-1))</f>
        <v>12.150127226463106</v>
      </c>
      <c r="T72" s="126">
        <f ca="1">[1]!s_val_pe_ttm([1]!to_windcode_index(H72&amp;"(申万)"),[1]!td($B$2-1))</f>
        <v>30.170000076293945</v>
      </c>
      <c r="U72" s="125"/>
      <c r="V72" s="125">
        <f ca="1">[1]!s_fa_roe(E72,$C$3)</f>
        <v>8.2202000000000002</v>
      </c>
      <c r="W72" s="125">
        <f ca="1">[1]!s_fa_grossprofitmargin(E72,$C$3)</f>
        <v>78.290099999999995</v>
      </c>
      <c r="X72" s="125">
        <f ca="1">[1]!s_fa_netprofitmargin(E72,$C$3)</f>
        <v>11.267799999999999</v>
      </c>
      <c r="Y72" s="125">
        <f ca="1">[1]!s_fa_roic(E72,$C$3)</f>
        <v>5.8705999999999996</v>
      </c>
      <c r="Z72" s="125">
        <f ca="1">[1]!s_fa_operateincometoebt_ttm2(E72,$C$3)</f>
        <v>91.990399999999994</v>
      </c>
      <c r="AA72" s="125"/>
      <c r="AB72" s="343"/>
      <c r="AC72" s="125">
        <f ca="1">[1]!s_fa_cagr_tr($E72,AC$6,3)</f>
        <v>0</v>
      </c>
      <c r="AD72" s="125">
        <f ca="1">[1]!s_fa_cagr_tr($E72,AD$6,3)</f>
        <v>3.2766668121637199</v>
      </c>
      <c r="AE72" s="126">
        <f ca="1">[1]!s_fa_cagr_tr($E72,AE$6,3)</f>
        <v>6.8921664567113128</v>
      </c>
      <c r="AF72" s="126">
        <f ca="1">[1]!s_fa_cagr_tr($E72,AF$6,3)</f>
        <v>9.978692189830296</v>
      </c>
      <c r="AG72" s="126">
        <f ca="1">[1]!s_fa_cagr_tr($E72,AG$6,3)</f>
        <v>14.500872512750762</v>
      </c>
      <c r="AH72" s="126">
        <f ca="1">[1]!s_fa_cagr_tr($E72,AH$6,3)</f>
        <v>15.95511259575253</v>
      </c>
      <c r="AI72" s="169"/>
      <c r="AJ72" s="126">
        <f ca="1">[1]!s_fa_cagr_netprofit($E72,AJ$6,3)</f>
        <v>0</v>
      </c>
      <c r="AK72" s="126">
        <f ca="1">[1]!s_fa_cagr_netprofit($E72,AK$6,3)</f>
        <v>3.8743460223345849</v>
      </c>
      <c r="AL72" s="126">
        <f ca="1">[1]!s_fa_cagr_netprofit($E72,AL$6,3)</f>
        <v>7.7646580389367115</v>
      </c>
      <c r="AM72" s="126">
        <f ca="1">[1]!s_fa_cagr_netprofit($E72,AM$6,3)</f>
        <v>19.101425560242944</v>
      </c>
      <c r="AN72" s="126">
        <f ca="1">[1]!s_fa_cagr_netprofit($E72,AN$6,3)</f>
        <v>25.908928536529309</v>
      </c>
      <c r="AO72" s="126">
        <f ca="1">[1]!s_fa_cagr_netprofit($E72,AO$6,3)</f>
        <v>55.784298631868538</v>
      </c>
      <c r="AP72" s="129"/>
      <c r="AQ72" s="203">
        <f ca="1">[1]!s_fa_dupont_roe(E72,$C$3)</f>
        <v>8.2202000000000002</v>
      </c>
      <c r="AR72" s="203">
        <f ca="1">[1]!s_fa_dupont_nptosales(B72,$C$3)</f>
        <v>11.267799999999999</v>
      </c>
      <c r="AS72" s="238">
        <f ca="1">[1]!s_fa_dupont_faturnover(E72,$C$3)</f>
        <v>0.43619999999999998</v>
      </c>
      <c r="AT72" s="203">
        <f ca="1">[1]!s_fa_dupont_assetstoequity(E72,$C$3)</f>
        <v>1.6724000000000001</v>
      </c>
      <c r="AU72" s="129"/>
      <c r="AV72" s="129"/>
      <c r="AW72" s="129"/>
      <c r="AX72" s="129"/>
      <c r="AY72" s="129"/>
      <c r="AZ72" s="129"/>
      <c r="BA72" s="129"/>
      <c r="BB72" s="129"/>
      <c r="BC72" s="129"/>
      <c r="BD72" s="129"/>
      <c r="BE72" s="129"/>
    </row>
    <row r="73" spans="1:57" s="191" customFormat="1" ht="12" customHeight="1" x14ac:dyDescent="0.35">
      <c r="A73" s="182" t="s">
        <v>5</v>
      </c>
      <c r="B73" s="182" t="s">
        <v>473</v>
      </c>
      <c r="C73" s="182" t="s">
        <v>474</v>
      </c>
      <c r="D73" s="182" t="str">
        <f ca="1">[1]!cb_info_underlyingname(B73)</f>
        <v>众信旅游</v>
      </c>
      <c r="E73" s="183" t="str">
        <f ca="1">[1]!cb_info_underlyingcode(B73)</f>
        <v>002707.SZ</v>
      </c>
      <c r="F73" s="184" t="str">
        <f ca="1">[1]!s_info_industry_sw(B73,1)</f>
        <v>休闲服务</v>
      </c>
      <c r="G73" s="184" t="str">
        <f ca="1">[1]!s_info_industry_sw(E73,2)</f>
        <v>旅游综合Ⅱ</v>
      </c>
      <c r="H73" s="184" t="str">
        <f ca="1">[1]!s_info_industry_sw(E73,3)</f>
        <v>旅游综合Ⅲ</v>
      </c>
      <c r="I73" s="192" t="str">
        <f ca="1">[1]!s_info_majorproducttype(E73)</f>
        <v>旅游景点</v>
      </c>
      <c r="J73" s="189">
        <f ca="1">[1]!s_val_ev(E73,$B$2,100000000)</f>
        <v>46.766601787200003</v>
      </c>
      <c r="K73" s="193">
        <f ca="1">[1]!s_share_total(E73,$B$2,100000000)</f>
        <v>9.0632949200000006</v>
      </c>
      <c r="L73" s="193">
        <f ca="1">[1]!s_share_liqa(E73,$B$2,100000000)</f>
        <v>6.399826</v>
      </c>
      <c r="M73" s="186">
        <f ca="1">[1]!s_fa_gr_ttm2(E73,$C$3,100000000)</f>
        <v>44.690965813699997</v>
      </c>
      <c r="N73" s="187">
        <f ca="1">[1]!s_fa_netprofit_ttm2(E73,$C$3,100000000)</f>
        <v>-3.5868460292000002</v>
      </c>
      <c r="O73" s="186"/>
      <c r="P73" s="187">
        <f ca="1">[1]!s_val_pe_ttm(E73,[1]!td($B$2-1))</f>
        <v>-3.2775614261627197</v>
      </c>
      <c r="Q73" s="187">
        <f ca="1">[1]!i_val_pe_percentile(E73,[1]!td($B$2-1),$B$2-365*5,[1]!td($B$2-1))</f>
        <v>0</v>
      </c>
      <c r="R73" s="187">
        <f ca="1">[1]!pb_mrq(E73,[1]!td($B$2-1))</f>
        <v>7.8039865422424706</v>
      </c>
      <c r="S73" s="187">
        <f ca="1">[1]!i_val_pb_percentile(E73,[1]!td($B$2-1),$B$2-365*5,[1]!td($B$2-1))</f>
        <v>91.803728070175438</v>
      </c>
      <c r="T73" s="187">
        <f ca="1">[1]!s_val_pe_ttm([1]!to_windcode_index(H73&amp;"(申万)"),[1]!td($B$2-1))</f>
        <v>48.590000152587891</v>
      </c>
      <c r="U73" s="186"/>
      <c r="V73" s="186">
        <f ca="1">[1]!s_fa_roe(E73,$C$3)</f>
        <v>-13.4895</v>
      </c>
      <c r="W73" s="186">
        <f ca="1">[1]!s_fa_grossprofitmargin(E73,$C$3)</f>
        <v>-3.1823999999999999</v>
      </c>
      <c r="X73" s="186">
        <f ca="1">[1]!s_fa_netprofitmargin(E73,$C$3)</f>
        <v>-28.080300000000001</v>
      </c>
      <c r="Y73" s="186">
        <f ca="1">[1]!s_fa_roic(E73,$C$3)</f>
        <v>-11.3971</v>
      </c>
      <c r="Z73" s="186">
        <f ca="1">[1]!s_fa_operateincometoebt_ttm2(E73,$C$3)</f>
        <v>0</v>
      </c>
      <c r="AA73" s="186"/>
      <c r="AB73" s="342"/>
      <c r="AC73" s="186">
        <f ca="1">[1]!s_fa_cagr_tr($E73,AC$6,3)</f>
        <v>0</v>
      </c>
      <c r="AD73" s="186">
        <f ca="1">[1]!s_fa_cagr_tr($E73,AD$6,3)</f>
        <v>-49.06382296534241</v>
      </c>
      <c r="AE73" s="187">
        <f ca="1">[1]!s_fa_cagr_tr($E73,AE$6,3)</f>
        <v>7.8547929414485962</v>
      </c>
      <c r="AF73" s="187">
        <f ca="1">[1]!s_fa_cagr_tr($E73,AF$6,3)</f>
        <v>13.477760694479235</v>
      </c>
      <c r="AG73" s="187">
        <f ca="1">[1]!s_fa_cagr_tr($E73,AG$6,3)</f>
        <v>41.895988076447608</v>
      </c>
      <c r="AH73" s="187">
        <f ca="1">[1]!s_fa_cagr_tr($E73,AH$6,3)</f>
        <v>49.808788787017647</v>
      </c>
      <c r="AI73" s="194"/>
      <c r="AJ73" s="187">
        <f ca="1">[1]!s_fa_cagr_netprofit($E73,AJ$6,3)</f>
        <v>0</v>
      </c>
      <c r="AK73" s="187">
        <f ca="1">[1]!s_fa_cagr_netprofit($E73,AK$6,3)</f>
        <v>-285.30883512263347</v>
      </c>
      <c r="AL73" s="187">
        <f ca="1">[1]!s_fa_cagr_netprofit($E73,AL$6,3)</f>
        <v>-31.649102533214123</v>
      </c>
      <c r="AM73" s="187">
        <f ca="1">[1]!s_fa_cagr_netprofit($E73,AM$6,3)</f>
        <v>-49.837723702483451</v>
      </c>
      <c r="AN73" s="187">
        <f ca="1">[1]!s_fa_cagr_netprofit($E73,AN$6,3)</f>
        <v>28.850106702465595</v>
      </c>
      <c r="AO73" s="187">
        <f ca="1">[1]!s_fa_cagr_netprofit($E73,AO$6,3)</f>
        <v>34.928647066462418</v>
      </c>
      <c r="AP73" s="189"/>
      <c r="AQ73" s="202">
        <f ca="1">[1]!s_fa_dupont_roe(E73,$C$3)</f>
        <v>-13.4895</v>
      </c>
      <c r="AR73" s="202">
        <f ca="1">[1]!s_fa_dupont_nptosales(B73,$C$3)</f>
        <v>-27.3596</v>
      </c>
      <c r="AS73" s="237">
        <f ca="1">[1]!s_fa_dupont_faturnover(E73,$C$3)</f>
        <v>0.26340000000000002</v>
      </c>
      <c r="AT73" s="202">
        <f ca="1">[1]!s_fa_dupont_assetstoequity(E73,$C$3)</f>
        <v>2.2616000000000001</v>
      </c>
      <c r="AU73" s="189"/>
      <c r="AV73" s="189"/>
      <c r="AW73" s="189"/>
      <c r="AX73" s="189"/>
      <c r="AY73" s="189"/>
      <c r="AZ73" s="189"/>
      <c r="BA73" s="189"/>
      <c r="BB73" s="189"/>
      <c r="BC73" s="189"/>
      <c r="BD73" s="189"/>
      <c r="BE73" s="189"/>
    </row>
    <row r="74" spans="1:57" s="130" customFormat="1" ht="12" customHeight="1" x14ac:dyDescent="0.35">
      <c r="A74" s="121" t="s">
        <v>0</v>
      </c>
      <c r="B74" s="121" t="s">
        <v>194</v>
      </c>
      <c r="C74" s="121" t="s">
        <v>195</v>
      </c>
      <c r="D74" s="121" t="str">
        <f ca="1">[1]!cb_info_underlyingname(B74)</f>
        <v>天目湖</v>
      </c>
      <c r="E74" s="122" t="str">
        <f ca="1">[1]!cb_info_underlyingcode(B74)</f>
        <v>603136.SH</v>
      </c>
      <c r="F74" s="123" t="str">
        <f ca="1">[1]!s_info_industry_sw(B74,1)</f>
        <v>休闲服务</v>
      </c>
      <c r="G74" s="123" t="str">
        <f ca="1">[1]!s_info_industry_sw(E74,2)</f>
        <v>景点</v>
      </c>
      <c r="H74" s="123" t="str">
        <f ca="1">[1]!s_info_industry_sw(E74,3)</f>
        <v>自然景点</v>
      </c>
      <c r="I74" s="156" t="str">
        <f ca="1">[1]!s_info_majorproducttype(E74)</f>
        <v>酒店、旅游景点、游乐园</v>
      </c>
      <c r="J74" s="129">
        <f ca="1">[1]!s_val_ev(E74,$B$2,100000000)</f>
        <v>36.662714894400004</v>
      </c>
      <c r="K74" s="157">
        <f ca="1">[1]!s_share_total(E74,$B$2,100000000)</f>
        <v>1.8629428299999999</v>
      </c>
      <c r="L74" s="157">
        <f ca="1">[1]!s_share_liqa(E74,$B$2,100000000)</f>
        <v>1.8629428299999999</v>
      </c>
      <c r="M74" s="125">
        <f ca="1">[1]!s_fa_gr_ttm2(E74,$C$3,100000000)</f>
        <v>3.4015463691000001</v>
      </c>
      <c r="N74" s="126">
        <f ca="1">[1]!s_fa_netprofit_ttm2(E74,$C$3,100000000)</f>
        <v>0.36525329249999999</v>
      </c>
      <c r="O74" s="125"/>
      <c r="P74" s="126">
        <f ca="1">[1]!s_val_pe_ttm(E74,[1]!td($B$2-1))</f>
        <v>33.878292083740234</v>
      </c>
      <c r="Q74" s="126">
        <f ca="1">[1]!i_val_pe_percentile(E74,[1]!td($B$2-1),$B$2-365*5,[1]!td($B$2-1))</f>
        <v>54.54545454545454</v>
      </c>
      <c r="R74" s="126">
        <f ca="1">[1]!pb_mrq(E74,[1]!td($B$2-1))</f>
        <v>3.1818352573252255</v>
      </c>
      <c r="S74" s="126">
        <f ca="1">[1]!i_val_pb_percentile(E74,[1]!td($B$2-1),$B$2-365*5,[1]!td($B$2-1))</f>
        <v>43.927827897293547</v>
      </c>
      <c r="T74" s="126">
        <f ca="1">[1]!s_val_pe_ttm([1]!to_windcode_index(H74&amp;"(申万)"),[1]!td($B$2-1))</f>
        <v>59.630001068115234</v>
      </c>
      <c r="U74" s="126"/>
      <c r="V74" s="126">
        <f ca="1">[1]!s_fa_roe(E74,$C$3)</f>
        <v>2.9165999999999999</v>
      </c>
      <c r="W74" s="126">
        <f ca="1">[1]!s_fa_grossprofitmargin(E74,$C$3)</f>
        <v>49.138300000000001</v>
      </c>
      <c r="X74" s="126">
        <f ca="1">[1]!s_fa_netprofitmargin(E74,$C$3)</f>
        <v>14.4077</v>
      </c>
      <c r="Y74" s="126">
        <f ca="1">[1]!s_fa_roic(E74,$C$3)</f>
        <v>2.6610999999999998</v>
      </c>
      <c r="Z74" s="126">
        <f ca="1">[1]!s_fa_operateincometoebt_ttm2(E74,$C$3)</f>
        <v>71.397999999999996</v>
      </c>
      <c r="AA74" s="125"/>
      <c r="AB74" s="343"/>
      <c r="AC74" s="125">
        <f ca="1">[1]!s_fa_cagr_tr($E74,AC$6,3)</f>
        <v>0</v>
      </c>
      <c r="AD74" s="125">
        <f ca="1">[1]!s_fa_cagr_tr($E74,AD$6,3)</f>
        <v>-6.6923579621041345</v>
      </c>
      <c r="AE74" s="126">
        <f ca="1">[1]!s_fa_cagr_tr($E74,AE$6,3)</f>
        <v>6.0572827750688729</v>
      </c>
      <c r="AF74" s="126">
        <f ca="1">[1]!s_fa_cagr_tr($E74,AF$6,3)</f>
        <v>4.988329433249139</v>
      </c>
      <c r="AG74" s="126">
        <f ca="1">[1]!s_fa_cagr_tr($E74,AG$6,3)</f>
        <v>4.0808911185543195</v>
      </c>
      <c r="AH74" s="126">
        <f ca="1">[1]!s_fa_cagr_tr($E74,AH$6,3)</f>
        <v>9.8502355797292154</v>
      </c>
      <c r="AI74" s="169"/>
      <c r="AJ74" s="126">
        <f ca="1">[1]!s_fa_cagr_netprofit($E74,AJ$6,3)</f>
        <v>0</v>
      </c>
      <c r="AK74" s="126">
        <f ca="1">[1]!s_fa_cagr_netprofit($E74,AK$6,3)</f>
        <v>-13.388520707377483</v>
      </c>
      <c r="AL74" s="126">
        <f ca="1">[1]!s_fa_cagr_netprofit($E74,AL$6,3)</f>
        <v>21.315460951330234</v>
      </c>
      <c r="AM74" s="126">
        <f ca="1">[1]!s_fa_cagr_netprofit($E74,AM$6,3)</f>
        <v>24.076261177419944</v>
      </c>
      <c r="AN74" s="126">
        <f ca="1">[1]!s_fa_cagr_netprofit($E74,AN$6,3)</f>
        <v>14.060870177132312</v>
      </c>
      <c r="AO74" s="126">
        <f ca="1">[1]!s_fa_cagr_netprofit($E74,AO$6,3)</f>
        <v>31.093721324974034</v>
      </c>
      <c r="AP74" s="129"/>
      <c r="AQ74" s="203">
        <f ca="1">[1]!s_fa_dupont_roe(E74,$C$3)</f>
        <v>2.9165999999999999</v>
      </c>
      <c r="AR74" s="203">
        <f ca="1">[1]!s_fa_dupont_nptosales(B74,$C$3)</f>
        <v>14.4077</v>
      </c>
      <c r="AS74" s="238">
        <f ca="1">[1]!s_fa_dupont_faturnover(E74,$C$3)</f>
        <v>0.16020000000000001</v>
      </c>
      <c r="AT74" s="203">
        <f ca="1">[1]!s_fa_dupont_assetstoequity(E74,$C$3)</f>
        <v>1.4681</v>
      </c>
      <c r="AU74" s="129"/>
      <c r="AV74" s="129"/>
      <c r="AW74" s="129"/>
      <c r="AX74" s="129"/>
      <c r="AY74" s="129"/>
      <c r="AZ74" s="129"/>
      <c r="BA74" s="129"/>
      <c r="BB74" s="129"/>
      <c r="BC74" s="129"/>
      <c r="BD74" s="129"/>
      <c r="BE74" s="129"/>
    </row>
    <row r="75" spans="1:57" s="191" customFormat="1" ht="12" customHeight="1" x14ac:dyDescent="0.35">
      <c r="A75" s="182" t="s">
        <v>0</v>
      </c>
      <c r="B75" s="182" t="s">
        <v>362</v>
      </c>
      <c r="C75" s="182" t="s">
        <v>363</v>
      </c>
      <c r="D75" s="182" t="str">
        <f ca="1">[1]!cb_info_underlyingname(B75)</f>
        <v>中天科技</v>
      </c>
      <c r="E75" s="183" t="str">
        <f ca="1">[1]!cb_info_underlyingcode(B75)</f>
        <v>600522.SH</v>
      </c>
      <c r="F75" s="184" t="str">
        <f ca="1">[1]!s_info_industry_sw(B75,1)</f>
        <v>通信</v>
      </c>
      <c r="G75" s="184" t="str">
        <f ca="1">[1]!s_info_industry_sw(E75,2)</f>
        <v>通信设备</v>
      </c>
      <c r="H75" s="184" t="str">
        <f ca="1">[1]!s_info_industry_sw(E75,3)</f>
        <v>通信传输设备</v>
      </c>
      <c r="I75" s="192" t="str">
        <f ca="1">[1]!s_info_majorproducttype(E75)</f>
        <v>输电设备、通信线缆</v>
      </c>
      <c r="J75" s="189">
        <f ca="1">[1]!s_val_ev(E75,$B$2,100000000)</f>
        <v>264.30301398099999</v>
      </c>
      <c r="K75" s="193">
        <f ca="1">[1]!s_share_total(E75,$B$2,100000000)</f>
        <v>30.661602550000001</v>
      </c>
      <c r="L75" s="193">
        <f ca="1">[1]!s_share_liqa(E75,$B$2,100000000)</f>
        <v>30.661602550000001</v>
      </c>
      <c r="M75" s="186">
        <f ca="1">[1]!s_fa_gr_ttm2(E75,$C$3,100000000)</f>
        <v>399.4331826975</v>
      </c>
      <c r="N75" s="187">
        <f ca="1">[1]!s_fa_netprofit_ttm2(E75,$C$3,100000000)</f>
        <v>21.241960232299999</v>
      </c>
      <c r="O75" s="186"/>
      <c r="P75" s="187">
        <f ca="1">[1]!s_val_pe_ttm(E75,[1]!td($B$2-1))</f>
        <v>18.359977722167969</v>
      </c>
      <c r="Q75" s="187">
        <f ca="1">[1]!i_val_pe_percentile(E75,[1]!td($B$2-1),$B$2-365*5,[1]!td($B$2-1))</f>
        <v>64.254385964912288</v>
      </c>
      <c r="R75" s="187">
        <f ca="1">[1]!pb_mrq(E75,[1]!td($B$2-1))</f>
        <v>1.162071862001149</v>
      </c>
      <c r="S75" s="187">
        <f ca="1">[1]!i_val_pb_percentile(E75,[1]!td($B$2-1),$B$2-365*5,[1]!td($B$2-1))</f>
        <v>2.5219298245614032</v>
      </c>
      <c r="T75" s="187">
        <f ca="1">[1]!s_val_pe_ttm([1]!to_windcode_index(H75&amp;"(申万)"),[1]!td($B$2-1))</f>
        <v>32.599998474121094</v>
      </c>
      <c r="U75" s="187"/>
      <c r="V75" s="187">
        <f ca="1">[1]!s_fa_roe(E75,$C$3)</f>
        <v>7.2302</v>
      </c>
      <c r="W75" s="187">
        <f ca="1">[1]!s_fa_grossprofitmargin(E75,$C$3)</f>
        <v>14.4552</v>
      </c>
      <c r="X75" s="187">
        <f ca="1">[1]!s_fa_netprofitmargin(E75,$C$3)</f>
        <v>5.4329999999999998</v>
      </c>
      <c r="Y75" s="187">
        <f ca="1">[1]!s_fa_roic(E75,$C$3)</f>
        <v>6.3418000000000001</v>
      </c>
      <c r="Z75" s="187">
        <f ca="1">[1]!s_fa_operateincometoebt_ttm2(E75,$C$3)</f>
        <v>81.463999999999999</v>
      </c>
      <c r="AA75" s="186"/>
      <c r="AB75" s="342"/>
      <c r="AC75" s="186">
        <f ca="1">[1]!s_fa_cagr_tr($E75,AC$6,3)</f>
        <v>0</v>
      </c>
      <c r="AD75" s="186">
        <f ca="1">[1]!s_fa_cagr_tr($E75,AD$6,3)</f>
        <v>17.589829860313856</v>
      </c>
      <c r="AE75" s="187">
        <f ca="1">[1]!s_fa_cagr_tr($E75,AE$6,3)</f>
        <v>22.467350587622104</v>
      </c>
      <c r="AF75" s="187">
        <f ca="1">[1]!s_fa_cagr_tr($E75,AF$6,3)</f>
        <v>27.097785528735319</v>
      </c>
      <c r="AG75" s="187">
        <f ca="1">[1]!s_fa_cagr_tr($E75,AG$6,3)</f>
        <v>46.376102619123415</v>
      </c>
      <c r="AH75" s="187">
        <f ca="1">[1]!s_fa_cagr_tr($E75,AH$6,3)</f>
        <v>46.079951788676745</v>
      </c>
      <c r="AI75" s="194"/>
      <c r="AJ75" s="187">
        <f ca="1">[1]!s_fa_cagr_netprofit($E75,AJ$6,3)</f>
        <v>0</v>
      </c>
      <c r="AK75" s="187">
        <f ca="1">[1]!s_fa_cagr_netprofit($E75,AK$6,3)</f>
        <v>8.3478502299902502</v>
      </c>
      <c r="AL75" s="187">
        <f ca="1">[1]!s_fa_cagr_netprofit($E75,AL$6,3)</f>
        <v>7.4361446418675703</v>
      </c>
      <c r="AM75" s="187">
        <f ca="1">[1]!s_fa_cagr_netprofit($E75,AM$6,3)</f>
        <v>29.02470328215081</v>
      </c>
      <c r="AN75" s="187">
        <f ca="1">[1]!s_fa_cagr_netprofit($E75,AN$6,3)</f>
        <v>46.780182373664218</v>
      </c>
      <c r="AO75" s="187">
        <f ca="1">[1]!s_fa_cagr_netprofit($E75,AO$6,3)</f>
        <v>44.481477816926088</v>
      </c>
      <c r="AP75" s="189"/>
      <c r="AQ75" s="202">
        <f ca="1">[1]!s_fa_dupont_roe(E75,$C$3)</f>
        <v>7.2302</v>
      </c>
      <c r="AR75" s="202">
        <f ca="1">[1]!s_fa_dupont_nptosales(B75,$C$3)</f>
        <v>5.4329999999999998</v>
      </c>
      <c r="AS75" s="237">
        <f ca="1">[1]!s_fa_dupont_faturnover(E75,$C$3)</f>
        <v>0.73760000000000003</v>
      </c>
      <c r="AT75" s="202">
        <f ca="1">[1]!s_fa_dupont_assetstoequity(E75,$C$3)</f>
        <v>1.8797999999999999</v>
      </c>
      <c r="AU75" s="189"/>
      <c r="AV75" s="201"/>
      <c r="AW75" s="189"/>
      <c r="AX75" s="189"/>
      <c r="AY75" s="189"/>
      <c r="AZ75" s="189"/>
      <c r="BA75" s="189"/>
      <c r="BB75" s="189"/>
      <c r="BC75" s="189"/>
      <c r="BD75" s="189"/>
      <c r="BE75" s="189"/>
    </row>
    <row r="76" spans="1:57" s="130" customFormat="1" ht="12" customHeight="1" x14ac:dyDescent="0.35">
      <c r="A76" s="121" t="s">
        <v>0</v>
      </c>
      <c r="B76" s="121" t="s">
        <v>348</v>
      </c>
      <c r="C76" s="121" t="s">
        <v>349</v>
      </c>
      <c r="D76" s="121" t="str">
        <f ca="1">[1]!cb_info_underlyingname(B76)</f>
        <v>亨通光电</v>
      </c>
      <c r="E76" s="122" t="str">
        <f ca="1">[1]!cb_info_underlyingcode(B76)</f>
        <v>600487.SH</v>
      </c>
      <c r="F76" s="123" t="str">
        <f ca="1">[1]!s_info_industry_sw(B76,1)</f>
        <v>通信</v>
      </c>
      <c r="G76" s="123" t="str">
        <f ca="1">[1]!s_info_industry_sw(E76,2)</f>
        <v>通信设备</v>
      </c>
      <c r="H76" s="123" t="str">
        <f ca="1">[1]!s_info_industry_sw(E76,3)</f>
        <v>通信传输设备</v>
      </c>
      <c r="I76" s="156" t="str">
        <f ca="1">[1]!s_info_majorproducttype(E76)</f>
        <v>交换设备、通信线缆、通信终端设备</v>
      </c>
      <c r="J76" s="129">
        <f ca="1">[1]!s_val_ev(E76,$B$2,100000000)</f>
        <v>317.71458781799998</v>
      </c>
      <c r="K76" s="157">
        <f ca="1">[1]!s_share_total(E76,$B$2,100000000)</f>
        <v>23.62190244</v>
      </c>
      <c r="L76" s="157">
        <f ca="1">[1]!s_share_liqa(E76,$B$2,100000000)</f>
        <v>22.814834909999998</v>
      </c>
      <c r="M76" s="125">
        <f ca="1">[1]!s_fa_gr_ttm2(E76,$C$3,100000000)</f>
        <v>325.23889160819999</v>
      </c>
      <c r="N76" s="126">
        <f ca="1">[1]!s_fa_netprofit_ttm2(E76,$C$3,100000000)</f>
        <v>10.4872639416</v>
      </c>
      <c r="O76" s="125"/>
      <c r="P76" s="126">
        <f ca="1">[1]!s_val_pe_ttm(E76,[1]!td($B$2-1))</f>
        <v>24.637178421020508</v>
      </c>
      <c r="Q76" s="126">
        <f ca="1">[1]!i_val_pe_percentile(E76,[1]!td($B$2-1),$B$2-365*5,[1]!td($B$2-1))</f>
        <v>56.798245614035089</v>
      </c>
      <c r="R76" s="126">
        <f ca="1">[1]!pb_mrq(E76,[1]!td($B$2-1))</f>
        <v>1.5810985657448069</v>
      </c>
      <c r="S76" s="126">
        <f ca="1">[1]!i_val_pb_percentile(E76,[1]!td($B$2-1),$B$2-365*5,[1]!td($B$2-1))</f>
        <v>12.5</v>
      </c>
      <c r="T76" s="126">
        <f ca="1">[1]!s_val_pe_ttm([1]!to_windcode_index(H76&amp;"(申万)"),[1]!td($B$2-1))</f>
        <v>32.599998474121094</v>
      </c>
      <c r="U76" s="125"/>
      <c r="V76" s="125">
        <f ca="1">[1]!s_fa_roe(E76,$C$3)</f>
        <v>6.0284000000000004</v>
      </c>
      <c r="W76" s="125">
        <f ca="1">[1]!s_fa_grossprofitmargin(E76,$C$3)</f>
        <v>15.973000000000001</v>
      </c>
      <c r="X76" s="125">
        <f ca="1">[1]!s_fa_netprofitmargin(E76,$C$3)</f>
        <v>3.5011000000000001</v>
      </c>
      <c r="Y76" s="125">
        <f ca="1">[1]!s_fa_roic(E76,$C$3)</f>
        <v>4.1919000000000004</v>
      </c>
      <c r="Z76" s="125">
        <f ca="1">[1]!s_fa_operateincometoebt_ttm2(E76,$C$3)</f>
        <v>66.706699999999998</v>
      </c>
      <c r="AA76" s="125"/>
      <c r="AB76" s="343"/>
      <c r="AC76" s="125">
        <f ca="1">[1]!s_fa_cagr_tr($E76,AC$6,3)</f>
        <v>0</v>
      </c>
      <c r="AD76" s="125">
        <f ca="1">[1]!s_fa_cagr_tr($E76,AD$6,3)</f>
        <v>7.6622661714561335</v>
      </c>
      <c r="AE76" s="126">
        <f ca="1">[1]!s_fa_cagr_tr($E76,AE$6,3)</f>
        <v>18.045278546678546</v>
      </c>
      <c r="AF76" s="126">
        <f ca="1">[1]!s_fa_cagr_tr($E76,AF$6,3)</f>
        <v>35.468009888150952</v>
      </c>
      <c r="AG76" s="126">
        <f ca="1">[1]!s_fa_cagr_tr($E76,AG$6,3)</f>
        <v>35.326478250119166</v>
      </c>
      <c r="AH76" s="126">
        <f ca="1">[1]!s_fa_cagr_tr($E76,AH$6,3)</f>
        <v>30.98940625093427</v>
      </c>
      <c r="AI76" s="169"/>
      <c r="AJ76" s="126">
        <f ca="1">[1]!s_fa_cagr_netprofit($E76,AJ$6,3)</f>
        <v>0</v>
      </c>
      <c r="AK76" s="126">
        <f ca="1">[1]!s_fa_cagr_netprofit($E76,AK$6,3)</f>
        <v>-20.446085213389686</v>
      </c>
      <c r="AL76" s="126">
        <f ca="1">[1]!s_fa_cagr_netprofit($E76,AL$6,3)</f>
        <v>1.1448037852876292</v>
      </c>
      <c r="AM76" s="126">
        <f ca="1">[1]!s_fa_cagr_netprofit($E76,AM$6,3)</f>
        <v>64.106561907384886</v>
      </c>
      <c r="AN76" s="126">
        <f ca="1">[1]!s_fa_cagr_netprofit($E76,AN$6,3)</f>
        <v>82.990455959439885</v>
      </c>
      <c r="AO76" s="126">
        <f ca="1">[1]!s_fa_cagr_netprofit($E76,AO$6,3)</f>
        <v>65.377367990481304</v>
      </c>
      <c r="AP76" s="129"/>
      <c r="AQ76" s="203">
        <f ca="1">[1]!s_fa_dupont_roe(E76,$C$3)</f>
        <v>6.0284000000000004</v>
      </c>
      <c r="AR76" s="203">
        <f ca="1">[1]!s_fa_dupont_nptosales(B76,$C$3)</f>
        <v>3.5011000000000001</v>
      </c>
      <c r="AS76" s="238">
        <f ca="1">[1]!s_fa_dupont_faturnover(E76,$C$3)</f>
        <v>0.60489999999999999</v>
      </c>
      <c r="AT76" s="203">
        <f ca="1">[1]!s_fa_dupont_assetstoequity(E76,$C$3)</f>
        <v>2.8925999999999998</v>
      </c>
      <c r="AU76" s="129"/>
      <c r="AV76" s="129"/>
      <c r="AW76" s="129"/>
      <c r="AX76" s="129"/>
      <c r="AY76" s="129"/>
      <c r="AZ76" s="129"/>
      <c r="BA76" s="129"/>
      <c r="BB76" s="129"/>
      <c r="BC76" s="129"/>
      <c r="BD76" s="129"/>
      <c r="BE76" s="129"/>
    </row>
    <row r="77" spans="1:57" s="191" customFormat="1" ht="12" customHeight="1" x14ac:dyDescent="0.35">
      <c r="A77" s="182" t="s">
        <v>0</v>
      </c>
      <c r="B77" s="182" t="s">
        <v>246</v>
      </c>
      <c r="C77" s="182" t="s">
        <v>247</v>
      </c>
      <c r="D77" s="182" t="str">
        <f ca="1">[1]!cb_info_underlyingname(B77)</f>
        <v>烽火通信</v>
      </c>
      <c r="E77" s="183" t="str">
        <f ca="1">[1]!cb_info_underlyingcode(B77)</f>
        <v>600498.SH</v>
      </c>
      <c r="F77" s="184" t="str">
        <f ca="1">[1]!s_info_industry_sw(B77,1)</f>
        <v>通信</v>
      </c>
      <c r="G77" s="184" t="str">
        <f ca="1">[1]!s_info_industry_sw(E77,2)</f>
        <v>通信设备</v>
      </c>
      <c r="H77" s="184" t="str">
        <f ca="1">[1]!s_info_industry_sw(E77,3)</f>
        <v>通信传输设备</v>
      </c>
      <c r="I77" s="192" t="str">
        <f ca="1">[1]!s_info_majorproducttype(E77)</f>
        <v>传输设备、服务器与工作站、集成电路、交换设备、接入设备、输电设备、通信系统与平台、通信线缆、通信终端设备、网管软件</v>
      </c>
      <c r="J77" s="189">
        <f ca="1">[1]!s_val_ev(E77,$B$2,100000000)</f>
        <v>210.80660807700002</v>
      </c>
      <c r="K77" s="193">
        <f ca="1">[1]!s_share_total(E77,$B$2,100000000)</f>
        <v>11.315437899999999</v>
      </c>
      <c r="L77" s="193">
        <f ca="1">[1]!s_share_liqa(E77,$B$2,100000000)</f>
        <v>11.315437899999999</v>
      </c>
      <c r="M77" s="186">
        <f ca="1">[1]!s_fa_gr_ttm2(E77,$C$3,100000000)</f>
        <v>227.1171363368</v>
      </c>
      <c r="N77" s="187">
        <f ca="1">[1]!s_fa_netprofit_ttm2(E77,$C$3,100000000)</f>
        <v>6.3672911149999996</v>
      </c>
      <c r="O77" s="186"/>
      <c r="P77" s="187">
        <f ca="1">[1]!s_val_pe_ttm(E77,[1]!td($B$2-1))</f>
        <v>107.14888000488281</v>
      </c>
      <c r="Q77" s="187">
        <f ca="1">[1]!i_val_pe_percentile(E77,[1]!td($B$2-1),$B$2-365*5,[1]!td($B$2-1))</f>
        <v>99.287280701754383</v>
      </c>
      <c r="R77" s="187">
        <f ca="1">[1]!pb_mrq(E77,[1]!td($B$2-1))</f>
        <v>1.9432149365453677</v>
      </c>
      <c r="S77" s="187">
        <f ca="1">[1]!i_val_pb_percentile(E77,[1]!td($B$2-1),$B$2-365*5,[1]!td($B$2-1))</f>
        <v>2.1929824561403506</v>
      </c>
      <c r="T77" s="187">
        <f ca="1">[1]!s_val_pe_ttm([1]!to_windcode_index(H77&amp;"(申万)"),[1]!td($B$2-1))</f>
        <v>32.599998474121094</v>
      </c>
      <c r="U77" s="187"/>
      <c r="V77" s="187">
        <f ca="1">[1]!s_fa_roe(E77,$C$3)</f>
        <v>2.4300000000000002</v>
      </c>
      <c r="W77" s="187">
        <f ca="1">[1]!s_fa_grossprofitmargin(E77,$C$3)</f>
        <v>20.5869</v>
      </c>
      <c r="X77" s="187">
        <f ca="1">[1]!s_fa_netprofitmargin(E77,$C$3)</f>
        <v>1.8541000000000001</v>
      </c>
      <c r="Y77" s="187">
        <f ca="1">[1]!s_fa_roic(E77,$C$3)</f>
        <v>2.2555999999999998</v>
      </c>
      <c r="Z77" s="187">
        <f ca="1">[1]!s_fa_operateincometoebt_ttm2(E77,$C$3)</f>
        <v>19.5532</v>
      </c>
      <c r="AA77" s="186"/>
      <c r="AB77" s="342"/>
      <c r="AC77" s="186">
        <f ca="1">[1]!s_fa_cagr_tr($E77,AC$6,3)</f>
        <v>0</v>
      </c>
      <c r="AD77" s="186">
        <f ca="1">[1]!s_fa_cagr_tr($E77,AD$6,3)</f>
        <v>2.8823525880095069E-2</v>
      </c>
      <c r="AE77" s="187">
        <f ca="1">[1]!s_fa_cagr_tr($E77,AE$6,3)</f>
        <v>12.413135970741473</v>
      </c>
      <c r="AF77" s="187">
        <f ca="1">[1]!s_fa_cagr_tr($E77,AF$6,3)</f>
        <v>21.566994989460419</v>
      </c>
      <c r="AG77" s="187">
        <f ca="1">[1]!s_fa_cagr_tr($E77,AG$6,3)</f>
        <v>25.230937864704693</v>
      </c>
      <c r="AH77" s="187">
        <f ca="1">[1]!s_fa_cagr_tr($E77,AH$6,3)</f>
        <v>23.982823017596132</v>
      </c>
      <c r="AI77" s="194"/>
      <c r="AJ77" s="187">
        <f ca="1">[1]!s_fa_cagr_netprofit($E77,AJ$6,3)</f>
        <v>0</v>
      </c>
      <c r="AK77" s="187">
        <f ca="1">[1]!s_fa_cagr_netprofit($E77,AK$6,3)</f>
        <v>-50.13421918585783</v>
      </c>
      <c r="AL77" s="187">
        <f ca="1">[1]!s_fa_cagr_netprofit($E77,AL$6,3)</f>
        <v>8.7780385465781698</v>
      </c>
      <c r="AM77" s="187">
        <f ca="1">[1]!s_fa_cagr_netprofit($E77,AM$6,3)</f>
        <v>8.6805190316027172</v>
      </c>
      <c r="AN77" s="187">
        <f ca="1">[1]!s_fa_cagr_netprofit($E77,AN$6,3)</f>
        <v>15.159658203610359</v>
      </c>
      <c r="AO77" s="187">
        <f ca="1">[1]!s_fa_cagr_netprofit($E77,AO$6,3)</f>
        <v>13.570433732005682</v>
      </c>
      <c r="AP77" s="189"/>
      <c r="AQ77" s="202">
        <f ca="1">[1]!s_fa_dupont_roe(E77,$C$3)</f>
        <v>2.4300000000000002</v>
      </c>
      <c r="AR77" s="202">
        <f ca="1">[1]!s_fa_dupont_nptosales(B77,$C$3)</f>
        <v>1.8541000000000001</v>
      </c>
      <c r="AS77" s="237">
        <f ca="1">[1]!s_fa_dupont_faturnover(E77,$C$3)</f>
        <v>0.47249999999999998</v>
      </c>
      <c r="AT77" s="202">
        <f ca="1">[1]!s_fa_dupont_assetstoequity(E77,$C$3)</f>
        <v>2.9339</v>
      </c>
      <c r="AU77" s="189"/>
      <c r="AV77" s="189"/>
      <c r="AW77" s="189"/>
      <c r="AX77" s="189"/>
      <c r="AY77" s="189"/>
      <c r="AZ77" s="189"/>
      <c r="BA77" s="189"/>
      <c r="BB77" s="189"/>
      <c r="BC77" s="189"/>
      <c r="BD77" s="189"/>
      <c r="BE77" s="189"/>
    </row>
    <row r="78" spans="1:57" s="130" customFormat="1" ht="12" customHeight="1" x14ac:dyDescent="0.35">
      <c r="A78" s="121" t="s">
        <v>5</v>
      </c>
      <c r="B78" s="121" t="s">
        <v>294</v>
      </c>
      <c r="C78" s="121" t="s">
        <v>295</v>
      </c>
      <c r="D78" s="121" t="str">
        <f ca="1">[1]!cb_info_underlyingname(B78)</f>
        <v>特发信息</v>
      </c>
      <c r="E78" s="122" t="str">
        <f ca="1">[1]!cb_info_underlyingcode(B78)</f>
        <v>000070.SZ</v>
      </c>
      <c r="F78" s="123" t="str">
        <f ca="1">[1]!s_info_industry_sw(B78,1)</f>
        <v>通信</v>
      </c>
      <c r="G78" s="123" t="str">
        <f ca="1">[1]!s_info_industry_sw(E78,2)</f>
        <v>通信设备</v>
      </c>
      <c r="H78" s="123" t="str">
        <f ca="1">[1]!s_info_industry_sw(E78,3)</f>
        <v>通信传输设备</v>
      </c>
      <c r="I78" s="156" t="str">
        <f ca="1">[1]!s_info_majorproducttype(E78)</f>
        <v>传输设备、电子元器件、其他消费电子产品、通信线缆</v>
      </c>
      <c r="J78" s="129">
        <f ca="1">[1]!s_val_ev(E78,$B$2,100000000)</f>
        <v>62.386369968000004</v>
      </c>
      <c r="K78" s="157">
        <f ca="1">[1]!s_share_total(E78,$B$2,100000000)</f>
        <v>8.2630953599999994</v>
      </c>
      <c r="L78" s="157">
        <f ca="1">[1]!s_share_liqa(E78,$B$2,100000000)</f>
        <v>8.0497518499999998</v>
      </c>
      <c r="M78" s="125">
        <f ca="1">[1]!s_fa_gr_ttm2(E78,$C$3,100000000)</f>
        <v>40.558752358299998</v>
      </c>
      <c r="N78" s="126">
        <f ca="1">[1]!s_fa_netprofit_ttm2(E78,$C$3,100000000)</f>
        <v>2.1220242412000001</v>
      </c>
      <c r="O78" s="125"/>
      <c r="P78" s="126">
        <f ca="1">[1]!s_val_pe_ttm(E78,[1]!td($B$2-1))</f>
        <v>96.240570068359375</v>
      </c>
      <c r="Q78" s="126">
        <f ca="1">[1]!i_val_pe_percentile(E78,[1]!td($B$2-1),$B$2-365*5,[1]!td($B$2-1))</f>
        <v>99.095394736842096</v>
      </c>
      <c r="R78" s="126">
        <f ca="1">[1]!pb_mrq(E78,[1]!td($B$2-1))</f>
        <v>2.12594307678701</v>
      </c>
      <c r="S78" s="126">
        <f ca="1">[1]!i_val_pb_percentile(E78,[1]!td($B$2-1),$B$2-365*5,[1]!td($B$2-1))</f>
        <v>10.553728070175438</v>
      </c>
      <c r="T78" s="126">
        <f ca="1">[1]!s_val_pe_ttm([1]!to_windcode_index(H78&amp;"(申万)"),[1]!td($B$2-1))</f>
        <v>32.599998474121094</v>
      </c>
      <c r="U78" s="126"/>
      <c r="V78" s="126">
        <f ca="1">[1]!s_fa_roe(E78,$C$3)</f>
        <v>-0.54200000000000004</v>
      </c>
      <c r="W78" s="126">
        <f ca="1">[1]!s_fa_grossprofitmargin(E78,$C$3)</f>
        <v>17.075900000000001</v>
      </c>
      <c r="X78" s="126">
        <f ca="1">[1]!s_fa_netprofitmargin(E78,$C$3)</f>
        <v>0.38800000000000001</v>
      </c>
      <c r="Y78" s="126">
        <f ca="1">[1]!s_fa_roic(E78,$C$3)</f>
        <v>1.2377</v>
      </c>
      <c r="Z78" s="126">
        <f ca="1">[1]!s_fa_operateincometoebt_ttm2(E78,$C$3)</f>
        <v>-8.0114999999999998</v>
      </c>
      <c r="AA78" s="125"/>
      <c r="AB78" s="343"/>
      <c r="AC78" s="125">
        <f ca="1">[1]!s_fa_cagr_tr($E78,AC$6,3)</f>
        <v>0</v>
      </c>
      <c r="AD78" s="125">
        <f ca="1">[1]!s_fa_cagr_tr($E78,AD$6,3)</f>
        <v>-4.798305315147311</v>
      </c>
      <c r="AE78" s="126">
        <f ca="1">[1]!s_fa_cagr_tr($E78,AE$6,3)</f>
        <v>0.31333597201874674</v>
      </c>
      <c r="AF78" s="126">
        <f ca="1">[1]!s_fa_cagr_tr($E78,AF$6,3)</f>
        <v>32.556356823875277</v>
      </c>
      <c r="AG78" s="126">
        <f ca="1">[1]!s_fa_cagr_tr($E78,AG$6,3)</f>
        <v>41.955698128511585</v>
      </c>
      <c r="AH78" s="126">
        <f ca="1">[1]!s_fa_cagr_tr($E78,AH$6,3)</f>
        <v>43.162723017328553</v>
      </c>
      <c r="AI78" s="169"/>
      <c r="AJ78" s="126">
        <f ca="1">[1]!s_fa_cagr_netprofit($E78,AJ$6,3)</f>
        <v>0</v>
      </c>
      <c r="AK78" s="126">
        <f ca="1">[1]!s_fa_cagr_netprofit($E78,AK$6,3)</f>
        <v>-64.94184567615639</v>
      </c>
      <c r="AL78" s="126">
        <f ca="1">[1]!s_fa_cagr_netprofit($E78,AL$6,3)</f>
        <v>18.182535130965348</v>
      </c>
      <c r="AM78" s="126">
        <f ca="1">[1]!s_fa_cagr_netprofit($E78,AM$6,3)</f>
        <v>44.194388105164492</v>
      </c>
      <c r="AN78" s="126">
        <f ca="1">[1]!s_fa_cagr_netprofit($E78,AN$6,3)</f>
        <v>68.432977869386889</v>
      </c>
      <c r="AO78" s="126">
        <f ca="1">[1]!s_fa_cagr_netprofit($E78,AO$6,3)</f>
        <v>47.135011702501913</v>
      </c>
      <c r="AP78" s="129"/>
      <c r="AQ78" s="203">
        <f ca="1">[1]!s_fa_dupont_roe(E78,$C$3)</f>
        <v>-0.54200000000000004</v>
      </c>
      <c r="AR78" s="203">
        <f ca="1">[1]!s_fa_dupont_nptosales(B78,$C$3)</f>
        <v>0.38800000000000001</v>
      </c>
      <c r="AS78" s="238">
        <f ca="1">[1]!s_fa_dupont_faturnover(E78,$C$3)</f>
        <v>0.28239999999999998</v>
      </c>
      <c r="AT78" s="203">
        <f ca="1">[1]!s_fa_dupont_assetstoequity(E78,$C$3)</f>
        <v>2.9615999999999998</v>
      </c>
      <c r="AU78" s="129"/>
      <c r="AV78" s="129"/>
      <c r="AW78" s="129"/>
      <c r="AX78" s="129"/>
      <c r="AY78" s="129"/>
      <c r="AZ78" s="129"/>
      <c r="BA78" s="129"/>
      <c r="BB78" s="129"/>
      <c r="BC78" s="129"/>
      <c r="BD78" s="129"/>
      <c r="BE78" s="129"/>
    </row>
    <row r="79" spans="1:57" s="191" customFormat="1" ht="12" customHeight="1" x14ac:dyDescent="0.35">
      <c r="A79" s="182" t="s">
        <v>5</v>
      </c>
      <c r="B79" s="182" t="s">
        <v>654</v>
      </c>
      <c r="C79" s="182" t="s">
        <v>655</v>
      </c>
      <c r="D79" s="182" t="str">
        <f ca="1">[1]!cb_info_underlyingname(B79)</f>
        <v>润建股份</v>
      </c>
      <c r="E79" s="183" t="str">
        <f ca="1">[1]!cb_info_underlyingcode(B79)</f>
        <v>002929.SZ</v>
      </c>
      <c r="F79" s="184" t="str">
        <f ca="1">[1]!s_info_industry_sw(B79,1)</f>
        <v>通信</v>
      </c>
      <c r="G79" s="184" t="str">
        <f ca="1">[1]!s_info_industry_sw(E79,2)</f>
        <v>通信设备</v>
      </c>
      <c r="H79" s="184" t="str">
        <f ca="1">[1]!s_info_industry_sw(E79,3)</f>
        <v>通信配套服务</v>
      </c>
      <c r="I79" s="192" t="str">
        <f ca="1">[1]!s_info_majorproducttype(E79)</f>
        <v>互联网服务</v>
      </c>
      <c r="J79" s="189">
        <f ca="1">[1]!s_val_ev(E79,$B$2,100000000)</f>
        <v>70.838376563000011</v>
      </c>
      <c r="K79" s="193">
        <f ca="1">[1]!s_share_total(E79,$B$2,100000000)</f>
        <v>2.2074907000000001</v>
      </c>
      <c r="L79" s="193">
        <f ca="1">[1]!s_share_liqa(E79,$B$2,100000000)</f>
        <v>1.61937321</v>
      </c>
      <c r="M79" s="186">
        <f ca="1">[1]!s_fa_gr_ttm2(E79,$C$3,100000000)</f>
        <v>40.5186340339</v>
      </c>
      <c r="N79" s="187">
        <f ca="1">[1]!s_fa_netprofit_ttm2(E79,$C$3,100000000)</f>
        <v>2.2950461031000002</v>
      </c>
      <c r="O79" s="186"/>
      <c r="P79" s="187">
        <f ca="1">[1]!s_val_pe_ttm(E79,[1]!td($B$2-1))</f>
        <v>22.553834915161133</v>
      </c>
      <c r="Q79" s="187">
        <f ca="1">[1]!i_val_pe_percentile(E79,[1]!td($B$2-1),$B$2-365*5,[1]!td($B$2-1))</f>
        <v>15.318818040435458</v>
      </c>
      <c r="R79" s="187">
        <f ca="1">[1]!pb_mrq(E79,[1]!td($B$2-1))</f>
        <v>2.1666909780236763</v>
      </c>
      <c r="S79" s="187">
        <f ca="1">[1]!i_val_pb_percentile(E79,[1]!td($B$2-1),$B$2-365*5,[1]!td($B$2-1))</f>
        <v>33.398133748055983</v>
      </c>
      <c r="T79" s="187">
        <f ca="1">[1]!s_val_pe_ttm([1]!to_windcode_index(H79&amp;"(申万)"),[1]!td($B$2-1))</f>
        <v>38.840000152587891</v>
      </c>
      <c r="U79" s="187"/>
      <c r="V79" s="187">
        <f ca="1">[1]!s_fa_roe(E79,$C$3)</f>
        <v>4.9898999999999996</v>
      </c>
      <c r="W79" s="187">
        <f ca="1">[1]!s_fa_grossprofitmargin(E79,$C$3)</f>
        <v>15.659700000000001</v>
      </c>
      <c r="X79" s="187">
        <f ca="1">[1]!s_fa_netprofitmargin(E79,$C$3)</f>
        <v>4.0021000000000004</v>
      </c>
      <c r="Y79" s="187">
        <f ca="1">[1]!s_fa_roic(E79,$C$3)</f>
        <v>3.0459000000000001</v>
      </c>
      <c r="Z79" s="187">
        <f ca="1">[1]!s_fa_operateincometoebt_ttm2(E79,$C$3)</f>
        <v>91.111400000000003</v>
      </c>
      <c r="AA79" s="186"/>
      <c r="AB79" s="342"/>
      <c r="AC79" s="186">
        <f ca="1">[1]!s_fa_cagr_tr($E79,AC$6,3)</f>
        <v>0</v>
      </c>
      <c r="AD79" s="186">
        <f ca="1">[1]!s_fa_cagr_tr($E79,AD$6,3)</f>
        <v>14.700241635817445</v>
      </c>
      <c r="AE79" s="187">
        <f ca="1">[1]!s_fa_cagr_tr($E79,AE$6,3)</f>
        <v>17.468884775868165</v>
      </c>
      <c r="AF79" s="187">
        <f ca="1">[1]!s_fa_cagr_tr($E79,AF$6,3)</f>
        <v>28.77165346285846</v>
      </c>
      <c r="AG79" s="187">
        <f ca="1">[1]!s_fa_cagr_tr($E79,AG$6,3)</f>
        <v>36.461010561568116</v>
      </c>
      <c r="AH79" s="187">
        <f ca="1">[1]!s_fa_cagr_tr($E79,AH$6,3)</f>
        <v>26.550225941037354</v>
      </c>
      <c r="AI79" s="194"/>
      <c r="AJ79" s="187">
        <f ca="1">[1]!s_fa_cagr_netprofit($E79,AJ$6,3)</f>
        <v>0</v>
      </c>
      <c r="AK79" s="187">
        <f ca="1">[1]!s_fa_cagr_netprofit($E79,AK$6,3)</f>
        <v>-9.7134549100996725E-2</v>
      </c>
      <c r="AL79" s="187">
        <f ca="1">[1]!s_fa_cagr_netprofit($E79,AL$6,3)</f>
        <v>8.7602649962531984</v>
      </c>
      <c r="AM79" s="187">
        <f ca="1">[1]!s_fa_cagr_netprofit($E79,AM$6,3)</f>
        <v>12.366693793030326</v>
      </c>
      <c r="AN79" s="187">
        <f ca="1">[1]!s_fa_cagr_netprofit($E79,AN$6,3)</f>
        <v>31.005562753426808</v>
      </c>
      <c r="AO79" s="187">
        <f ca="1">[1]!s_fa_cagr_netprofit($E79,AO$6,3)</f>
        <v>37.534663233802348</v>
      </c>
      <c r="AP79" s="189"/>
      <c r="AQ79" s="202">
        <f ca="1">[1]!s_fa_dupont_roe(E79,$C$3)</f>
        <v>4.9898999999999996</v>
      </c>
      <c r="AR79" s="202">
        <f ca="1">[1]!s_fa_dupont_nptosales(B79,$C$3)</f>
        <v>4.0021000000000004</v>
      </c>
      <c r="AS79" s="237">
        <f ca="1">[1]!s_fa_dupont_faturnover(E79,$C$3)</f>
        <v>0.53400000000000003</v>
      </c>
      <c r="AT79" s="202">
        <f ca="1">[1]!s_fa_dupont_assetstoequity(E79,$C$3)</f>
        <v>1.8339000000000001</v>
      </c>
      <c r="AU79" s="189"/>
      <c r="AV79" s="201"/>
      <c r="AW79" s="189"/>
      <c r="AX79" s="189"/>
      <c r="AY79" s="189"/>
      <c r="AZ79" s="189"/>
      <c r="BA79" s="189"/>
      <c r="BB79" s="189"/>
      <c r="BC79" s="189"/>
      <c r="BD79" s="189"/>
      <c r="BE79" s="189"/>
    </row>
    <row r="80" spans="1:57" s="130" customFormat="1" ht="12" customHeight="1" x14ac:dyDescent="0.35">
      <c r="A80" s="121" t="s">
        <v>5</v>
      </c>
      <c r="B80" s="121" t="s">
        <v>415</v>
      </c>
      <c r="C80" s="121" t="s">
        <v>416</v>
      </c>
      <c r="D80" s="121" t="str">
        <f ca="1">[1]!cb_info_underlyingname(B80)</f>
        <v>盛路通信</v>
      </c>
      <c r="E80" s="122" t="str">
        <f ca="1">[1]!cb_info_underlyingcode(B80)</f>
        <v>002446.SZ</v>
      </c>
      <c r="F80" s="123" t="str">
        <f ca="1">[1]!s_info_industry_sw(B80,1)</f>
        <v>通信</v>
      </c>
      <c r="G80" s="123" t="str">
        <f ca="1">[1]!s_info_industry_sw(E80,2)</f>
        <v>通信设备</v>
      </c>
      <c r="H80" s="123" t="str">
        <f ca="1">[1]!s_info_industry_sw(E80,3)</f>
        <v>通信传输设备</v>
      </c>
      <c r="I80" s="156" t="str">
        <f ca="1">[1]!s_info_majorproducttype(E80)</f>
        <v>传输设备、电子元器件、通信系统与平台、通信终端设备</v>
      </c>
      <c r="J80" s="129">
        <f ca="1">[1]!s_val_ev(E80,$B$2,100000000)</f>
        <v>54.981042137999999</v>
      </c>
      <c r="K80" s="157">
        <f ca="1">[1]!s_share_total(E80,$B$2,100000000)</f>
        <v>9.0877755600000008</v>
      </c>
      <c r="L80" s="157">
        <f ca="1">[1]!s_share_liqa(E80,$B$2,100000000)</f>
        <v>8.3264912800000008</v>
      </c>
      <c r="M80" s="125">
        <f ca="1">[1]!s_fa_gr_ttm2(E80,$C$3,100000000)</f>
        <v>11.4596714227</v>
      </c>
      <c r="N80" s="126">
        <f ca="1">[1]!s_fa_netprofit_ttm2(E80,$C$3,100000000)</f>
        <v>-7.0876394044000008</v>
      </c>
      <c r="O80" s="125"/>
      <c r="P80" s="126">
        <f ca="1">[1]!s_val_pe_ttm(E80,[1]!td($B$2-1))</f>
        <v>38.871223449707031</v>
      </c>
      <c r="Q80" s="126">
        <f ca="1">[1]!i_val_pe_percentile(E80,[1]!td($B$2-1),$B$2-365*5,[1]!td($B$2-1))</f>
        <v>11.260623229461757</v>
      </c>
      <c r="R80" s="126">
        <f ca="1">[1]!pb_mrq(E80,[1]!td($B$2-1))</f>
        <v>1.8040921008492927</v>
      </c>
      <c r="S80" s="126">
        <f ca="1">[1]!i_val_pb_percentile(E80,[1]!td($B$2-1),$B$2-365*5,[1]!td($B$2-1))</f>
        <v>10.910087719298247</v>
      </c>
      <c r="T80" s="126">
        <f ca="1">[1]!s_val_pe_ttm([1]!to_windcode_index(H80&amp;"(申万)"),[1]!td($B$2-1))</f>
        <v>32.599998474121094</v>
      </c>
      <c r="U80" s="125"/>
      <c r="V80" s="125">
        <f ca="1">[1]!s_fa_roe(E80,$C$3)</f>
        <v>6.1435000000000004</v>
      </c>
      <c r="W80" s="125">
        <f ca="1">[1]!s_fa_grossprofitmargin(E80,$C$3)</f>
        <v>31.518599999999999</v>
      </c>
      <c r="X80" s="125">
        <f ca="1">[1]!s_fa_netprofitmargin(E80,$C$3)</f>
        <v>20.204000000000001</v>
      </c>
      <c r="Y80" s="125">
        <f ca="1">[1]!s_fa_roic(E80,$C$3)</f>
        <v>5.3209</v>
      </c>
      <c r="Z80" s="125">
        <f ca="1">[1]!s_fa_operateincometoebt_ttm2(E80,$C$3)</f>
        <v>0</v>
      </c>
      <c r="AA80" s="125"/>
      <c r="AB80" s="343"/>
      <c r="AC80" s="125">
        <f ca="1">[1]!s_fa_cagr_tr($E80,AC$6,3)</f>
        <v>0</v>
      </c>
      <c r="AD80" s="125">
        <f ca="1">[1]!s_fa_cagr_tr($E80,AD$6,3)</f>
        <v>6.1296133490335469</v>
      </c>
      <c r="AE80" s="126">
        <f ca="1">[1]!s_fa_cagr_tr($E80,AE$6,3)</f>
        <v>4.8683519367703543</v>
      </c>
      <c r="AF80" s="126">
        <f ca="1">[1]!s_fa_cagr_tr($E80,AF$6,3)</f>
        <v>15.925944901488553</v>
      </c>
      <c r="AG80" s="126">
        <f ca="1">[1]!s_fa_cagr_tr($E80,AG$6,3)</f>
        <v>22.130713322121419</v>
      </c>
      <c r="AH80" s="126">
        <f ca="1">[1]!s_fa_cagr_tr($E80,AH$6,3)</f>
        <v>53.663885890188759</v>
      </c>
      <c r="AI80" s="169"/>
      <c r="AJ80" s="126">
        <f ca="1">[1]!s_fa_cagr_netprofit($E80,AJ$6,3)</f>
        <v>0</v>
      </c>
      <c r="AK80" s="126">
        <f ca="1">[1]!s_fa_cagr_netprofit($E80,AK$6,3)</f>
        <v>21.59005985585285</v>
      </c>
      <c r="AL80" s="126">
        <f ca="1">[1]!s_fa_cagr_netprofit($E80,AL$6,3)</f>
        <v>-267.36352498664326</v>
      </c>
      <c r="AM80" s="126">
        <f ca="1">[1]!s_fa_cagr_netprofit($E80,AM$6,3)</f>
        <v>-5.2731397023797477E-2</v>
      </c>
      <c r="AN80" s="126">
        <f ca="1">[1]!s_fa_cagr_netprofit($E80,AN$6,3)</f>
        <v>27.858106366749347</v>
      </c>
      <c r="AO80" s="126">
        <f ca="1">[1]!s_fa_cagr_netprofit($E80,AO$6,3)</f>
        <v>229.14514545903205</v>
      </c>
      <c r="AP80" s="129"/>
      <c r="AQ80" s="203">
        <f ca="1">[1]!s_fa_dupont_roe(E80,$C$3)</f>
        <v>6.1435000000000004</v>
      </c>
      <c r="AR80" s="203">
        <f ca="1">[1]!s_fa_dupont_nptosales(B80,$C$3)</f>
        <v>20.204000000000001</v>
      </c>
      <c r="AS80" s="238">
        <f ca="1">[1]!s_fa_dupont_faturnover(E80,$C$3)</f>
        <v>0.19700000000000001</v>
      </c>
      <c r="AT80" s="203">
        <f ca="1">[1]!s_fa_dupont_assetstoequity(E80,$C$3)</f>
        <v>1.4475</v>
      </c>
      <c r="AU80" s="129"/>
      <c r="AV80" s="129"/>
      <c r="AW80" s="129"/>
      <c r="AX80" s="129"/>
      <c r="AY80" s="129"/>
      <c r="AZ80" s="129"/>
      <c r="BA80" s="129"/>
      <c r="BB80" s="129"/>
      <c r="BC80" s="129"/>
      <c r="BD80" s="129"/>
      <c r="BE80" s="129"/>
    </row>
    <row r="81" spans="1:57" s="191" customFormat="1" ht="12" customHeight="1" x14ac:dyDescent="0.35">
      <c r="A81" s="182" t="s">
        <v>0</v>
      </c>
      <c r="B81" s="182" t="s">
        <v>318</v>
      </c>
      <c r="C81" s="182" t="s">
        <v>319</v>
      </c>
      <c r="D81" s="182" t="str">
        <f ca="1">[1]!cb_info_underlyingname(B81)</f>
        <v>永鼎股份</v>
      </c>
      <c r="E81" s="183" t="str">
        <f ca="1">[1]!cb_info_underlyingcode(B81)</f>
        <v>600105.SH</v>
      </c>
      <c r="F81" s="184" t="str">
        <f ca="1">[1]!s_info_industry_sw(B81,1)</f>
        <v>通信</v>
      </c>
      <c r="G81" s="184" t="str">
        <f ca="1">[1]!s_info_industry_sw(E81,2)</f>
        <v>通信设备</v>
      </c>
      <c r="H81" s="184" t="str">
        <f ca="1">[1]!s_info_industry_sw(E81,3)</f>
        <v>通信传输设备</v>
      </c>
      <c r="I81" s="192" t="str">
        <f ca="1">[1]!s_info_majorproducttype(E81)</f>
        <v>低压电器类、输电设备、通信线缆</v>
      </c>
      <c r="J81" s="189">
        <f ca="1">[1]!s_val_ev(E81,$B$2,100000000)</f>
        <v>54.406715970400001</v>
      </c>
      <c r="K81" s="193">
        <f ca="1">[1]!s_share_total(E81,$B$2,100000000)</f>
        <v>13.808811159999999</v>
      </c>
      <c r="L81" s="193">
        <f ca="1">[1]!s_share_liqa(E81,$B$2,100000000)</f>
        <v>13.808811159999999</v>
      </c>
      <c r="M81" s="186">
        <f ca="1">[1]!s_fa_gr_ttm2(E81,$C$3,100000000)</f>
        <v>29.9475015533</v>
      </c>
      <c r="N81" s="187">
        <f ca="1">[1]!s_fa_netprofit_ttm2(E81,$C$3,100000000)</f>
        <v>-1.4815362030000001</v>
      </c>
      <c r="O81" s="186"/>
      <c r="P81" s="187">
        <f ca="1">[1]!s_val_pe_ttm(E81,[1]!td($B$2-1))</f>
        <v>-20.014015197753906</v>
      </c>
      <c r="Q81" s="187">
        <f ca="1">[1]!i_val_pe_percentile(E81,[1]!td($B$2-1),$B$2-365*5,[1]!td($B$2-1))</f>
        <v>0</v>
      </c>
      <c r="R81" s="187">
        <f ca="1">[1]!pb_mrq(E81,[1]!td($B$2-1))</f>
        <v>1.9486601075398493</v>
      </c>
      <c r="S81" s="187">
        <f ca="1">[1]!i_val_pb_percentile(E81,[1]!td($B$2-1),$B$2-365*5,[1]!td($B$2-1))</f>
        <v>32.182017543859651</v>
      </c>
      <c r="T81" s="187">
        <f ca="1">[1]!s_val_pe_ttm([1]!to_windcode_index(H81&amp;"(申万)"),[1]!td($B$2-1))</f>
        <v>32.599998474121094</v>
      </c>
      <c r="U81" s="187"/>
      <c r="V81" s="187">
        <f ca="1">[1]!s_fa_roe(E81,$C$3)</f>
        <v>-5.5444000000000004</v>
      </c>
      <c r="W81" s="187">
        <f ca="1">[1]!s_fa_grossprofitmargin(E81,$C$3)</f>
        <v>2.4596</v>
      </c>
      <c r="X81" s="187">
        <f ca="1">[1]!s_fa_netprofitmargin(E81,$C$3)</f>
        <v>-6.8202999999999996</v>
      </c>
      <c r="Y81" s="187">
        <f ca="1">[1]!s_fa_roic(E81,$C$3)</f>
        <v>-2.7505000000000002</v>
      </c>
      <c r="Z81" s="187">
        <f ca="1">[1]!s_fa_operateincometoebt_ttm2(E81,$C$3)</f>
        <v>0</v>
      </c>
      <c r="AA81" s="186"/>
      <c r="AB81" s="342"/>
      <c r="AC81" s="186">
        <f ca="1">[1]!s_fa_cagr_tr($E81,AC$6,3)</f>
        <v>0</v>
      </c>
      <c r="AD81" s="186">
        <f ca="1">[1]!s_fa_cagr_tr($E81,AD$6,3)</f>
        <v>4.6181009398654105</v>
      </c>
      <c r="AE81" s="187">
        <f ca="1">[1]!s_fa_cagr_tr($E81,AE$6,3)</f>
        <v>9.343490958715762</v>
      </c>
      <c r="AF81" s="187">
        <f ca="1">[1]!s_fa_cagr_tr($E81,AF$6,3)</f>
        <v>12.612350985131648</v>
      </c>
      <c r="AG81" s="187">
        <f ca="1">[1]!s_fa_cagr_tr($E81,AG$6,3)</f>
        <v>14.152749525556674</v>
      </c>
      <c r="AH81" s="187">
        <f ca="1">[1]!s_fa_cagr_tr($E81,AH$6,3)</f>
        <v>31.3219267392296</v>
      </c>
      <c r="AI81" s="194"/>
      <c r="AJ81" s="187">
        <f ca="1">[1]!s_fa_cagr_netprofit($E81,AJ$6,3)</f>
        <v>0</v>
      </c>
      <c r="AK81" s="187">
        <f ca="1">[1]!s_fa_cagr_netprofit($E81,AK$6,3)</f>
        <v>-224.28036090678231</v>
      </c>
      <c r="AL81" s="187">
        <f ca="1">[1]!s_fa_cagr_netprofit($E81,AL$6,3)</f>
        <v>-55.797112524711579</v>
      </c>
      <c r="AM81" s="187">
        <f ca="1">[1]!s_fa_cagr_netprofit($E81,AM$6,3)</f>
        <v>2.3043672389464476</v>
      </c>
      <c r="AN81" s="187">
        <f ca="1">[1]!s_fa_cagr_netprofit($E81,AN$6,3)</f>
        <v>26.667370270538115</v>
      </c>
      <c r="AO81" s="187">
        <f ca="1">[1]!s_fa_cagr_netprofit($E81,AO$6,3)</f>
        <v>11.772250512286231</v>
      </c>
      <c r="AP81" s="189"/>
      <c r="AQ81" s="202">
        <f ca="1">[1]!s_fa_dupont_roe(E81,$C$3)</f>
        <v>-5.5444000000000004</v>
      </c>
      <c r="AR81" s="202">
        <f ca="1">[1]!s_fa_dupont_nptosales(B81,$C$3)</f>
        <v>-6.8202999999999996</v>
      </c>
      <c r="AS81" s="237">
        <f ca="1">[1]!s_fa_dupont_faturnover(E81,$C$3)</f>
        <v>0.35370000000000001</v>
      </c>
      <c r="AT81" s="202">
        <f ca="1">[1]!s_fa_dupont_assetstoequity(E81,$C$3)</f>
        <v>2.2997999999999998</v>
      </c>
      <c r="AU81" s="189"/>
      <c r="AV81" s="189"/>
      <c r="AW81" s="189"/>
      <c r="AX81" s="189"/>
      <c r="AY81" s="189"/>
      <c r="AZ81" s="189"/>
      <c r="BA81" s="189"/>
      <c r="BB81" s="189"/>
      <c r="BC81" s="189"/>
      <c r="BD81" s="189"/>
      <c r="BE81" s="189"/>
    </row>
    <row r="82" spans="1:57" s="130" customFormat="1" ht="12" customHeight="1" x14ac:dyDescent="0.35">
      <c r="A82" s="121" t="s">
        <v>0</v>
      </c>
      <c r="B82" s="121" t="s">
        <v>10</v>
      </c>
      <c r="C82" s="121" t="s">
        <v>11</v>
      </c>
      <c r="D82" s="121" t="str">
        <f ca="1">[1]!cb_info_underlyingname(B82)</f>
        <v>纵横通信</v>
      </c>
      <c r="E82" s="122" t="str">
        <f ca="1">[1]!cb_info_underlyingcode(B82)</f>
        <v>603602.SH</v>
      </c>
      <c r="F82" s="123" t="str">
        <f ca="1">[1]!s_info_industry_sw(B82,1)</f>
        <v>通信</v>
      </c>
      <c r="G82" s="123" t="str">
        <f ca="1">[1]!s_info_industry_sw(E82,2)</f>
        <v>通信设备</v>
      </c>
      <c r="H82" s="123" t="str">
        <f ca="1">[1]!s_info_industry_sw(E82,3)</f>
        <v>通信配套服务</v>
      </c>
      <c r="I82" s="156" t="str">
        <f ca="1">[1]!s_info_majorproducttype(E82)</f>
        <v>通信系统与平台</v>
      </c>
      <c r="J82" s="129">
        <f ca="1">[1]!s_val_ev(E82,$B$2,100000000)</f>
        <v>21.2817835044</v>
      </c>
      <c r="K82" s="157">
        <f ca="1">[1]!s_share_total(E82,$B$2,100000000)</f>
        <v>2.03848501</v>
      </c>
      <c r="L82" s="157">
        <f ca="1">[1]!s_share_liqa(E82,$B$2,100000000)</f>
        <v>2.03848501</v>
      </c>
      <c r="M82" s="125">
        <f ca="1">[1]!s_fa_gr_ttm2(E82,$C$3,100000000)</f>
        <v>6.6294729136999999</v>
      </c>
      <c r="N82" s="126">
        <f ca="1">[1]!s_fa_netprofit_ttm2(E82,$C$3,100000000)</f>
        <v>-4.4710473799999997E-2</v>
      </c>
      <c r="O82" s="125"/>
      <c r="P82" s="126">
        <f ca="1">[1]!s_val_pe_ttm(E82,[1]!td($B$2-1))</f>
        <v>51.148056030273438</v>
      </c>
      <c r="Q82" s="126">
        <f ca="1">[1]!i_val_pe_percentile(E82,[1]!td($B$2-1),$B$2-365*5,[1]!td($B$2-1))</f>
        <v>8.1761006289308167</v>
      </c>
      <c r="R82" s="126">
        <f ca="1">[1]!pb_mrq(E82,[1]!td($B$2-1))</f>
        <v>3.0002532499183272</v>
      </c>
      <c r="S82" s="126">
        <f ca="1">[1]!i_val_pb_percentile(E82,[1]!td($B$2-1),$B$2-365*5,[1]!td($B$2-1))</f>
        <v>4.6339825386165217</v>
      </c>
      <c r="T82" s="126">
        <f ca="1">[1]!s_val_pe_ttm([1]!to_windcode_index(H82&amp;"(申万)"),[1]!td($B$2-1))</f>
        <v>38.840000152587891</v>
      </c>
      <c r="U82" s="126"/>
      <c r="V82" s="126">
        <f ca="1">[1]!s_fa_roe(E82,$C$3)</f>
        <v>-3.2242999999999999</v>
      </c>
      <c r="W82" s="126">
        <f ca="1">[1]!s_fa_grossprofitmargin(E82,$C$3)</f>
        <v>6.8845000000000001</v>
      </c>
      <c r="X82" s="126">
        <f ca="1">[1]!s_fa_netprofitmargin(E82,$C$3)</f>
        <v>-11.3612</v>
      </c>
      <c r="Y82" s="126">
        <f ca="1">[1]!s_fa_roic(E82,$C$3)</f>
        <v>-4.5514999999999999</v>
      </c>
      <c r="Z82" s="126">
        <f ca="1">[1]!s_fa_operateincometoebt_ttm2(E82,$C$3)</f>
        <v>0</v>
      </c>
      <c r="AA82" s="125"/>
      <c r="AB82" s="343"/>
      <c r="AC82" s="125">
        <f ca="1">[1]!s_fa_cagr_tr($E82,AC$6,3)</f>
        <v>0</v>
      </c>
      <c r="AD82" s="125">
        <f ca="1">[1]!s_fa_cagr_tr($E82,AD$6,3)</f>
        <v>9.7599592544739942</v>
      </c>
      <c r="AE82" s="126">
        <f ca="1">[1]!s_fa_cagr_tr($E82,AE$6,3)</f>
        <v>19.167965404397002</v>
      </c>
      <c r="AF82" s="126">
        <f ca="1">[1]!s_fa_cagr_tr($E82,AF$6,3)</f>
        <v>11.818226189746683</v>
      </c>
      <c r="AG82" s="126">
        <f ca="1">[1]!s_fa_cagr_tr($E82,AG$6,3)</f>
        <v>21.0033096188867</v>
      </c>
      <c r="AH82" s="126">
        <f ca="1">[1]!s_fa_cagr_tr($E82,AH$6,3)</f>
        <v>18.223497451212456</v>
      </c>
      <c r="AI82" s="169"/>
      <c r="AJ82" s="126">
        <f ca="1">[1]!s_fa_cagr_netprofit($E82,AJ$6,3)</f>
        <v>0</v>
      </c>
      <c r="AK82" s="126">
        <f ca="1">[1]!s_fa_cagr_netprofit($E82,AK$6,3)</f>
        <v>-34.807844072827834</v>
      </c>
      <c r="AL82" s="126">
        <f ca="1">[1]!s_fa_cagr_netprofit($E82,AL$6,3)</f>
        <v>-10.498249129492965</v>
      </c>
      <c r="AM82" s="126">
        <f ca="1">[1]!s_fa_cagr_netprofit($E82,AM$6,3)</f>
        <v>-2.8312625102971833</v>
      </c>
      <c r="AN82" s="126">
        <f ca="1">[1]!s_fa_cagr_netprofit($E82,AN$6,3)</f>
        <v>7.6889134232646761</v>
      </c>
      <c r="AO82" s="126">
        <f ca="1">[1]!s_fa_cagr_netprofit($E82,AO$6,3)</f>
        <v>5.6359707151525607</v>
      </c>
      <c r="AP82" s="129"/>
      <c r="AQ82" s="203">
        <f ca="1">[1]!s_fa_dupont_roe(E82,$C$3)</f>
        <v>-3.2242999999999999</v>
      </c>
      <c r="AR82" s="203">
        <f ca="1">[1]!s_fa_dupont_nptosales(B82,$C$3)</f>
        <v>-11.3612</v>
      </c>
      <c r="AS82" s="238">
        <f ca="1">[1]!s_fa_dupont_faturnover(E82,$C$3)</f>
        <v>0.28249999999999997</v>
      </c>
      <c r="AT82" s="203">
        <f ca="1">[1]!s_fa_dupont_assetstoequity(E82,$C$3)</f>
        <v>1.8946000000000001</v>
      </c>
      <c r="AU82" s="129"/>
      <c r="AV82" s="129"/>
      <c r="AW82" s="129"/>
      <c r="AX82" s="129"/>
      <c r="AY82" s="129"/>
      <c r="AZ82" s="129"/>
      <c r="BA82" s="129"/>
      <c r="BB82" s="129"/>
      <c r="BC82" s="129"/>
      <c r="BD82" s="129"/>
      <c r="BE82" s="129"/>
    </row>
    <row r="83" spans="1:57" s="191" customFormat="1" ht="12" customHeight="1" x14ac:dyDescent="0.35">
      <c r="A83" s="182" t="s">
        <v>5</v>
      </c>
      <c r="B83" s="182" t="s">
        <v>644</v>
      </c>
      <c r="C83" s="182" t="s">
        <v>645</v>
      </c>
      <c r="D83" s="182" t="str">
        <f ca="1">[1]!cb_info_underlyingname(B83)</f>
        <v>洽洽食品</v>
      </c>
      <c r="E83" s="183" t="str">
        <f ca="1">[1]!cb_info_underlyingcode(B83)</f>
        <v>002557.SZ</v>
      </c>
      <c r="F83" s="184" t="str">
        <f ca="1">[1]!s_info_industry_sw(B83,1)</f>
        <v>食品饮料</v>
      </c>
      <c r="G83" s="184" t="str">
        <f ca="1">[1]!s_info_industry_sw(E83,2)</f>
        <v>食品加工</v>
      </c>
      <c r="H83" s="184" t="str">
        <f ca="1">[1]!s_info_industry_sw(E83,3)</f>
        <v>食品综合</v>
      </c>
      <c r="I83" s="192" t="str">
        <f ca="1">[1]!s_info_majorproducttype(E83)</f>
        <v>休闲食品</v>
      </c>
      <c r="J83" s="189">
        <f ca="1">[1]!s_val_ev(E83,$B$2,100000000)</f>
        <v>224.19582406979998</v>
      </c>
      <c r="K83" s="193">
        <f ca="1">[1]!s_share_total(E83,$B$2,100000000)</f>
        <v>5.0700095899999997</v>
      </c>
      <c r="L83" s="193">
        <f ca="1">[1]!s_share_liqa(E83,$B$2,100000000)</f>
        <v>5.0700095899999997</v>
      </c>
      <c r="M83" s="186">
        <f ca="1">[1]!s_fa_gr_ttm2(E83,$C$3,100000000)</f>
        <v>52.690145507399997</v>
      </c>
      <c r="N83" s="187">
        <f ca="1">[1]!s_fa_netprofit_ttm2(E83,$C$3,100000000)</f>
        <v>7.3287520260000001</v>
      </c>
      <c r="O83" s="186"/>
      <c r="P83" s="187">
        <f ca="1">[1]!s_val_pe_ttm(E83,[1]!td($B$2-1))</f>
        <v>26.780023574829102</v>
      </c>
      <c r="Q83" s="187">
        <f ca="1">[1]!i_val_pe_percentile(E83,[1]!td($B$2-1),$B$2-365*5,[1]!td($B$2-1))</f>
        <v>56.085526315789465</v>
      </c>
      <c r="R83" s="187">
        <f ca="1">[1]!pb_mrq(E83,[1]!td($B$2-1))</f>
        <v>5.4096623313424699</v>
      </c>
      <c r="S83" s="187">
        <f ca="1">[1]!i_val_pb_percentile(E83,[1]!td($B$2-1),$B$2-365*5,[1]!td($B$2-1))</f>
        <v>71.546052631578945</v>
      </c>
      <c r="T83" s="187">
        <f ca="1">[1]!s_val_pe_ttm([1]!to_windcode_index(H83&amp;"(申万)"),[1]!td($B$2-1))</f>
        <v>34.169998168945313</v>
      </c>
      <c r="U83" s="187"/>
      <c r="V83" s="187">
        <f ca="1">[1]!s_fa_roe(E83,$C$3)</f>
        <v>14.152100000000001</v>
      </c>
      <c r="W83" s="187">
        <f ca="1">[1]!s_fa_grossprofitmargin(E83,$C$3)</f>
        <v>33.5486</v>
      </c>
      <c r="X83" s="187">
        <f ca="1">[1]!s_fa_netprofitmargin(E83,$C$3)</f>
        <v>14.5097</v>
      </c>
      <c r="Y83" s="187">
        <f ca="1">[1]!s_fa_roic(E83,$C$3)</f>
        <v>12.599399999999999</v>
      </c>
      <c r="Z83" s="187">
        <f ca="1">[1]!s_fa_operateincometoebt_ttm2(E83,$C$3)</f>
        <v>87.765600000000006</v>
      </c>
      <c r="AA83" s="186"/>
      <c r="AB83" s="342"/>
      <c r="AC83" s="186">
        <f ca="1">[1]!s_fa_cagr_tr($E83,AC$6,3)</f>
        <v>0</v>
      </c>
      <c r="AD83" s="186">
        <f ca="1">[1]!s_fa_cagr_tr($E83,AD$6,3)</f>
        <v>13.655016880837323</v>
      </c>
      <c r="AE83" s="187">
        <f ca="1">[1]!s_fa_cagr_tr($E83,AE$6,3)</f>
        <v>11.251628096232658</v>
      </c>
      <c r="AF83" s="187">
        <f ca="1">[1]!s_fa_cagr_tr($E83,AF$6,3)</f>
        <v>8.2210837808105666</v>
      </c>
      <c r="AG83" s="187">
        <f ca="1">[1]!s_fa_cagr_tr($E83,AG$6,3)</f>
        <v>4.9881858468053375</v>
      </c>
      <c r="AH83" s="187">
        <f ca="1">[1]!s_fa_cagr_tr($E83,AH$6,3)</f>
        <v>5.5385949982260207</v>
      </c>
      <c r="AI83" s="194"/>
      <c r="AJ83" s="187">
        <f ca="1">[1]!s_fa_cagr_netprofit($E83,AJ$6,3)</f>
        <v>0</v>
      </c>
      <c r="AK83" s="187">
        <f ca="1">[1]!s_fa_cagr_netprofit($E83,AK$6,3)</f>
        <v>36.119894402651262</v>
      </c>
      <c r="AL83" s="187">
        <f ca="1">[1]!s_fa_cagr_netprofit($E83,AL$6,3)</f>
        <v>19.494962102231671</v>
      </c>
      <c r="AM83" s="187">
        <f ca="1">[1]!s_fa_cagr_netprofit($E83,AM$6,3)</f>
        <v>5.946822072214486</v>
      </c>
      <c r="AN83" s="187">
        <f ca="1">[1]!s_fa_cagr_netprofit($E83,AN$6,3)</f>
        <v>2.8454445614031432</v>
      </c>
      <c r="AO83" s="187">
        <f ca="1">[1]!s_fa_cagr_netprofit($E83,AO$6,3)</f>
        <v>11.497637871003107</v>
      </c>
      <c r="AP83" s="189"/>
      <c r="AQ83" s="202">
        <f ca="1">[1]!s_fa_dupont_roe(E83,$C$3)</f>
        <v>14.152100000000001</v>
      </c>
      <c r="AR83" s="202">
        <f ca="1">[1]!s_fa_dupont_nptosales(B83,$C$3)</f>
        <v>14.5097</v>
      </c>
      <c r="AS83" s="237">
        <f ca="1">[1]!s_fa_dupont_faturnover(E83,$C$3)</f>
        <v>0.68530000000000002</v>
      </c>
      <c r="AT83" s="202">
        <f ca="1">[1]!s_fa_dupont_assetstoequity(E83,$C$3)</f>
        <v>1.4229000000000001</v>
      </c>
      <c r="AU83" s="189"/>
      <c r="AV83" s="201"/>
      <c r="AW83" s="189"/>
      <c r="AX83" s="189"/>
      <c r="AY83" s="189"/>
      <c r="AZ83" s="189"/>
      <c r="BA83" s="189"/>
      <c r="BB83" s="189"/>
      <c r="BC83" s="189"/>
      <c r="BD83" s="189"/>
      <c r="BE83" s="189"/>
    </row>
    <row r="84" spans="1:57" s="130" customFormat="1" ht="12" customHeight="1" x14ac:dyDescent="0.35">
      <c r="A84" s="121" t="s">
        <v>5</v>
      </c>
      <c r="B84" s="121" t="s">
        <v>485</v>
      </c>
      <c r="C84" s="121" t="s">
        <v>486</v>
      </c>
      <c r="D84" s="121" t="str">
        <f ca="1">[1]!cb_info_underlyingname(B84)</f>
        <v>金禾实业</v>
      </c>
      <c r="E84" s="122" t="str">
        <f ca="1">[1]!cb_info_underlyingcode(B84)</f>
        <v>002597.SZ</v>
      </c>
      <c r="F84" s="123" t="str">
        <f ca="1">[1]!s_info_industry_sw(B84,1)</f>
        <v>食品饮料</v>
      </c>
      <c r="G84" s="123" t="str">
        <f ca="1">[1]!s_info_industry_sw(E84,2)</f>
        <v>食品加工</v>
      </c>
      <c r="H84" s="123" t="str">
        <f ca="1">[1]!s_info_industry_sw(E84,3)</f>
        <v>食品综合</v>
      </c>
      <c r="I84" s="156" t="str">
        <f ca="1">[1]!s_info_majorproducttype(E84)</f>
        <v>氮肥、食品添加剂、无机化工原料、有机化工原料</v>
      </c>
      <c r="J84" s="129">
        <f ca="1">[1]!s_val_ev(E84,$B$2,100000000)</f>
        <v>228.96277050920003</v>
      </c>
      <c r="K84" s="157">
        <f ca="1">[1]!s_share_total(E84,$B$2,100000000)</f>
        <v>5.6090830599999997</v>
      </c>
      <c r="L84" s="157">
        <f ca="1">[1]!s_share_liqa(E84,$B$2,100000000)</f>
        <v>5.5948133899999997</v>
      </c>
      <c r="M84" s="125">
        <f ca="1">[1]!s_fa_gr_ttm2(E84,$C$3,100000000)</f>
        <v>36.896574942600004</v>
      </c>
      <c r="N84" s="126">
        <f ca="1">[1]!s_fa_netprofit_ttm2(E84,$C$3,100000000)</f>
        <v>7.3094106557000007</v>
      </c>
      <c r="O84" s="125"/>
      <c r="P84" s="126">
        <f ca="1">[1]!s_val_pe_ttm(E84,[1]!td($B$2-1))</f>
        <v>28.58128547668457</v>
      </c>
      <c r="Q84" s="126">
        <f ca="1">[1]!i_val_pe_percentile(E84,[1]!td($B$2-1),$B$2-365*5,[1]!td($B$2-1))</f>
        <v>95.120614035087712</v>
      </c>
      <c r="R84" s="126">
        <f ca="1">[1]!pb_mrq(E84,[1]!td($B$2-1))</f>
        <v>4.5886074570257085</v>
      </c>
      <c r="S84" s="126">
        <f ca="1">[1]!i_val_pb_percentile(E84,[1]!td($B$2-1),$B$2-365*5,[1]!td($B$2-1))</f>
        <v>80.372807017543863</v>
      </c>
      <c r="T84" s="126">
        <f ca="1">[1]!s_val_pe_ttm([1]!to_windcode_index(H84&amp;"(申万)"),[1]!td($B$2-1))</f>
        <v>34.169998168945313</v>
      </c>
      <c r="U84" s="126"/>
      <c r="V84" s="126">
        <f ca="1">[1]!s_fa_roe(E84,$C$3)</f>
        <v>11.532400000000001</v>
      </c>
      <c r="W84" s="126">
        <f ca="1">[1]!s_fa_grossprofitmargin(E84,$C$3)</f>
        <v>30.6889</v>
      </c>
      <c r="X84" s="126">
        <f ca="1">[1]!s_fa_netprofitmargin(E84,$C$3)</f>
        <v>19.6431</v>
      </c>
      <c r="Y84" s="126">
        <f ca="1">[1]!s_fa_roic(E84,$C$3)</f>
        <v>9.9040999999999997</v>
      </c>
      <c r="Z84" s="126">
        <f ca="1">[1]!s_fa_operateincometoebt_ttm2(E84,$C$3)</f>
        <v>85.163399999999996</v>
      </c>
      <c r="AA84" s="125"/>
      <c r="AB84" s="343"/>
      <c r="AC84" s="125">
        <f ca="1">[1]!s_fa_cagr_tr($E84,AC$6,3)</f>
        <v>0</v>
      </c>
      <c r="AD84" s="125">
        <f ca="1">[1]!s_fa_cagr_tr($E84,AD$6,3)</f>
        <v>-6.4626178483487955</v>
      </c>
      <c r="AE84" s="126">
        <f ca="1">[1]!s_fa_cagr_tr($E84,AE$6,3)</f>
        <v>1.8884167302050781</v>
      </c>
      <c r="AF84" s="126">
        <f ca="1">[1]!s_fa_cagr_tr($E84,AF$6,3)</f>
        <v>7.4890954244565933</v>
      </c>
      <c r="AG84" s="126">
        <f ca="1">[1]!s_fa_cagr_tr($E84,AG$6,3)</f>
        <v>11.69696800057396</v>
      </c>
      <c r="AH84" s="126">
        <f ca="1">[1]!s_fa_cagr_tr($E84,AH$6,3)</f>
        <v>8.0443366128410965</v>
      </c>
      <c r="AI84" s="169"/>
      <c r="AJ84" s="126">
        <f ca="1">[1]!s_fa_cagr_netprofit($E84,AJ$6,3)</f>
        <v>0</v>
      </c>
      <c r="AK84" s="126">
        <f ca="1">[1]!s_fa_cagr_netprofit($E84,AK$6,3)</f>
        <v>-11.088282275781969</v>
      </c>
      <c r="AL84" s="126">
        <f ca="1">[1]!s_fa_cagr_netprofit($E84,AL$6,3)</f>
        <v>13.614692001526031</v>
      </c>
      <c r="AM84" s="126">
        <f ca="1">[1]!s_fa_cagr_netprofit($E84,AM$6,3)</f>
        <v>61.990500921617773</v>
      </c>
      <c r="AN84" s="126">
        <f ca="1">[1]!s_fa_cagr_netprofit($E84,AN$6,3)</f>
        <v>83.147260874039475</v>
      </c>
      <c r="AO84" s="126">
        <f ca="1">[1]!s_fa_cagr_netprofit($E84,AO$6,3)</f>
        <v>55.709253418543156</v>
      </c>
      <c r="AP84" s="129"/>
      <c r="AQ84" s="203">
        <f ca="1">[1]!s_fa_dupont_roe(E84,$C$3)</f>
        <v>11.532400000000001</v>
      </c>
      <c r="AR84" s="203">
        <f ca="1">[1]!s_fa_dupont_nptosales(B84,$C$3)</f>
        <v>19.6431</v>
      </c>
      <c r="AS84" s="238">
        <f ca="1">[1]!s_fa_dupont_faturnover(E84,$C$3)</f>
        <v>0.42830000000000001</v>
      </c>
      <c r="AT84" s="203">
        <f ca="1">[1]!s_fa_dupont_assetstoequity(E84,$C$3)</f>
        <v>1.3697999999999999</v>
      </c>
      <c r="AU84" s="129"/>
      <c r="AV84" s="129"/>
      <c r="AW84" s="129"/>
      <c r="AX84" s="129"/>
      <c r="AY84" s="129"/>
      <c r="AZ84" s="129"/>
      <c r="BA84" s="129"/>
      <c r="BB84" s="129"/>
      <c r="BC84" s="129"/>
      <c r="BD84" s="129"/>
      <c r="BE84" s="129"/>
    </row>
    <row r="85" spans="1:57" s="191" customFormat="1" ht="12" customHeight="1" x14ac:dyDescent="0.35">
      <c r="A85" s="182" t="s">
        <v>5</v>
      </c>
      <c r="B85" s="182" t="s">
        <v>658</v>
      </c>
      <c r="C85" s="182" t="s">
        <v>659</v>
      </c>
      <c r="D85" s="182" t="str">
        <f ca="1">[1]!cb_info_underlyingname(B85)</f>
        <v>新乳业</v>
      </c>
      <c r="E85" s="183" t="str">
        <f ca="1">[1]!cb_info_underlyingcode(B85)</f>
        <v>002946.SZ</v>
      </c>
      <c r="F85" s="184" t="str">
        <f ca="1">[1]!s_info_industry_sw(B85,1)</f>
        <v>食品饮料</v>
      </c>
      <c r="G85" s="184" t="str">
        <f ca="1">[1]!s_info_industry_sw(E85,2)</f>
        <v>食品加工</v>
      </c>
      <c r="H85" s="184" t="str">
        <f ca="1">[1]!s_info_industry_sw(E85,3)</f>
        <v>乳品</v>
      </c>
      <c r="I85" s="192" t="str">
        <f ca="1">[1]!s_info_majorproducttype(E85)</f>
        <v>乳制品</v>
      </c>
      <c r="J85" s="189">
        <f ca="1">[1]!s_val_ev(E85,$B$2,100000000)</f>
        <v>128.87644073139998</v>
      </c>
      <c r="K85" s="193">
        <f ca="1">[1]!s_share_total(E85,$B$2,100000000)</f>
        <v>8.6727079899999993</v>
      </c>
      <c r="L85" s="193">
        <f ca="1">[1]!s_share_liqa(E85,$B$2,100000000)</f>
        <v>1.4625426100000001</v>
      </c>
      <c r="M85" s="186">
        <f ca="1">[1]!s_fa_gr_ttm2(E85,$C$3,100000000)</f>
        <v>61.105372067600001</v>
      </c>
      <c r="N85" s="187">
        <f ca="1">[1]!s_fa_netprofit_ttm2(E85,$C$3,100000000)</f>
        <v>2.5033935511999998</v>
      </c>
      <c r="O85" s="186"/>
      <c r="P85" s="187">
        <f ca="1">[1]!s_val_pe_ttm(E85,[1]!td($B$2-1))</f>
        <v>37.856670379638672</v>
      </c>
      <c r="Q85" s="187">
        <f ca="1">[1]!i_val_pe_percentile(E85,[1]!td($B$2-1),$B$2-365*5,[1]!td($B$2-1))</f>
        <v>7.1129707112970717</v>
      </c>
      <c r="R85" s="187">
        <f ca="1">[1]!pb_mrq(E85,[1]!td($B$2-1))</f>
        <v>5.0533667026568283</v>
      </c>
      <c r="S85" s="187">
        <f ca="1">[1]!i_val_pb_percentile(E85,[1]!td($B$2-1),$B$2-365*5,[1]!td($B$2-1))</f>
        <v>13.598326359832635</v>
      </c>
      <c r="T85" s="187">
        <f ca="1">[1]!s_val_pe_ttm([1]!to_windcode_index(H85&amp;"(申万)"),[1]!td($B$2-1))</f>
        <v>28.440000534057617</v>
      </c>
      <c r="U85" s="186"/>
      <c r="V85" s="186">
        <f ca="1">[1]!s_fa_roe(E85,$C$3)</f>
        <v>9.2304999999999993</v>
      </c>
      <c r="W85" s="186">
        <f ca="1">[1]!s_fa_grossprofitmargin(E85,$C$3)</f>
        <v>32.5869</v>
      </c>
      <c r="X85" s="186">
        <f ca="1">[1]!s_fa_netprofitmargin(E85,$C$3)</f>
        <v>4.2057000000000002</v>
      </c>
      <c r="Y85" s="186">
        <f ca="1">[1]!s_fa_roic(E85,$C$3)</f>
        <v>5.3501000000000003</v>
      </c>
      <c r="Z85" s="186">
        <f ca="1">[1]!s_fa_operateincometoebt_ttm2(E85,$C$3)</f>
        <v>66.898399999999995</v>
      </c>
      <c r="AA85" s="186"/>
      <c r="AB85" s="342"/>
      <c r="AC85" s="186">
        <f ca="1">[1]!s_fa_cagr_tr($E85,AC$6,3)</f>
        <v>0</v>
      </c>
      <c r="AD85" s="186">
        <f ca="1">[1]!s_fa_cagr_tr($E85,AD$6,3)</f>
        <v>15.134385272668061</v>
      </c>
      <c r="AE85" s="187">
        <f ca="1">[1]!s_fa_cagr_tr($E85,AE$6,3)</f>
        <v>11.871919167833745</v>
      </c>
      <c r="AF85" s="187">
        <f ca="1">[1]!s_fa_cagr_tr($E85,AF$6,3)</f>
        <v>8.2909858209621934</v>
      </c>
      <c r="AG85" s="187">
        <f ca="1">[1]!s_fa_cagr_tr($E85,AG$6,3)</f>
        <v>7.7731405196526993</v>
      </c>
      <c r="AH85" s="187">
        <f ca="1">[1]!s_fa_cagr_tr($E85,AH$6,3)</f>
        <v>7.7855227957570383</v>
      </c>
      <c r="AI85" s="194"/>
      <c r="AJ85" s="187">
        <f ca="1">[1]!s_fa_cagr_netprofit($E85,AJ$6,3)</f>
        <v>0</v>
      </c>
      <c r="AK85" s="187">
        <f ca="1">[1]!s_fa_cagr_netprofit($E85,AK$6,3)</f>
        <v>6.833114269149676</v>
      </c>
      <c r="AL85" s="187">
        <f ca="1">[1]!s_fa_cagr_netprofit($E85,AL$6,3)</f>
        <v>17.508920521782123</v>
      </c>
      <c r="AM85" s="187">
        <f ca="1">[1]!s_fa_cagr_netprofit($E85,AM$6,3)</f>
        <v>-7.064632713539587</v>
      </c>
      <c r="AN85" s="187">
        <f ca="1">[1]!s_fa_cagr_netprofit($E85,AN$6,3)</f>
        <v>55.4960347188971</v>
      </c>
      <c r="AO85" s="187">
        <f ca="1">[1]!s_fa_cagr_netprofit($E85,AO$6,3)</f>
        <v>164.05439489658698</v>
      </c>
      <c r="AP85" s="189"/>
      <c r="AQ85" s="202">
        <f ca="1">[1]!s_fa_dupont_roe(E85,$C$3)</f>
        <v>9.2304999999999993</v>
      </c>
      <c r="AR85" s="202">
        <f ca="1">[1]!s_fa_dupont_nptosales(B85,$C$3)</f>
        <v>4.2057000000000002</v>
      </c>
      <c r="AS85" s="237">
        <f ca="1">[1]!s_fa_dupont_faturnover(E85,$C$3)</f>
        <v>0.69289999999999996</v>
      </c>
      <c r="AT85" s="202">
        <f ca="1">[1]!s_fa_dupont_assetstoequity(E85,$C$3)</f>
        <v>3.3491</v>
      </c>
      <c r="AU85" s="189"/>
      <c r="AV85" s="189"/>
      <c r="AW85" s="189"/>
      <c r="AX85" s="189"/>
      <c r="AY85" s="189"/>
      <c r="AZ85" s="189"/>
      <c r="BA85" s="189"/>
      <c r="BB85" s="189"/>
      <c r="BC85" s="189"/>
      <c r="BD85" s="189"/>
      <c r="BE85" s="189"/>
    </row>
    <row r="86" spans="1:57" s="130" customFormat="1" ht="12" customHeight="1" x14ac:dyDescent="0.35">
      <c r="A86" s="121" t="s">
        <v>5</v>
      </c>
      <c r="B86" s="121" t="s">
        <v>92</v>
      </c>
      <c r="C86" s="121" t="s">
        <v>93</v>
      </c>
      <c r="D86" s="121" t="str">
        <f ca="1">[1]!cb_info_underlyingname(B86)</f>
        <v>龙大肉食</v>
      </c>
      <c r="E86" s="122" t="str">
        <f ca="1">[1]!cb_info_underlyingcode(B86)</f>
        <v>002726.SZ</v>
      </c>
      <c r="F86" s="123" t="str">
        <f ca="1">[1]!s_info_industry_sw(B86,1)</f>
        <v>食品饮料</v>
      </c>
      <c r="G86" s="123" t="str">
        <f ca="1">[1]!s_info_industry_sw(E86,2)</f>
        <v>食品加工</v>
      </c>
      <c r="H86" s="123" t="str">
        <f ca="1">[1]!s_info_industry_sw(E86,3)</f>
        <v>肉制品</v>
      </c>
      <c r="I86" s="156" t="str">
        <f ca="1">[1]!s_info_majorproducttype(E86)</f>
        <v>肉制品</v>
      </c>
      <c r="J86" s="129">
        <f ca="1">[1]!s_val_ev(E86,$B$2,100000000)</f>
        <v>115.65022033960001</v>
      </c>
      <c r="K86" s="157">
        <f ca="1">[1]!s_share_total(E86,$B$2,100000000)</f>
        <v>10.77821252</v>
      </c>
      <c r="L86" s="157">
        <f ca="1">[1]!s_share_liqa(E86,$B$2,100000000)</f>
        <v>9.9323290299999982</v>
      </c>
      <c r="M86" s="125">
        <f ca="1">[1]!s_fa_gr_ttm2(E86,$C$3,100000000)</f>
        <v>240.56722995959998</v>
      </c>
      <c r="N86" s="126">
        <f ca="1">[1]!s_fa_netprofit_ttm2(E86,$C$3,100000000)</f>
        <v>7.0127614113999996</v>
      </c>
      <c r="O86" s="125"/>
      <c r="P86" s="126">
        <f ca="1">[1]!s_val_pe_ttm(E86,[1]!td($B$2-1))</f>
        <v>12.713912963867188</v>
      </c>
      <c r="Q86" s="126">
        <f ca="1">[1]!i_val_pe_percentile(E86,[1]!td($B$2-1),$B$2-365*5,[1]!td($B$2-1))</f>
        <v>8.442982456140351</v>
      </c>
      <c r="R86" s="126">
        <f ca="1">[1]!pb_mrq(E86,[1]!td($B$2-1))</f>
        <v>3.3925852988548528</v>
      </c>
      <c r="S86" s="126">
        <f ca="1">[1]!i_val_pb_percentile(E86,[1]!td($B$2-1),$B$2-365*5,[1]!td($B$2-1))</f>
        <v>11.787280701754387</v>
      </c>
      <c r="T86" s="126">
        <f ca="1">[1]!s_val_pe_ttm([1]!to_windcode_index(H86&amp;"(申万)"),[1]!td($B$2-1))</f>
        <v>17.340000152587891</v>
      </c>
      <c r="U86" s="126"/>
      <c r="V86" s="126">
        <f ca="1">[1]!s_fa_roe(E86,$C$3)</f>
        <v>22.701000000000001</v>
      </c>
      <c r="W86" s="126">
        <f ca="1">[1]!s_fa_grossprofitmargin(E86,$C$3)</f>
        <v>6.5301999999999998</v>
      </c>
      <c r="X86" s="126">
        <f ca="1">[1]!s_fa_netprofitmargin(E86,$C$3)</f>
        <v>3.5743999999999998</v>
      </c>
      <c r="Y86" s="126">
        <f ca="1">[1]!s_fa_roic(E86,$C$3)</f>
        <v>12.8611</v>
      </c>
      <c r="Z86" s="126">
        <f ca="1">[1]!s_fa_operateincometoebt_ttm2(E86,$C$3)</f>
        <v>97.0124</v>
      </c>
      <c r="AA86" s="125"/>
      <c r="AB86" s="343"/>
      <c r="AC86" s="125">
        <f ca="1">[1]!s_fa_cagr_tr($E86,AC$6,3)</f>
        <v>0</v>
      </c>
      <c r="AD86" s="125">
        <f ca="1">[1]!s_fa_cagr_tr($E86,AD$6,3)</f>
        <v>54.206455857204183</v>
      </c>
      <c r="AE86" s="126">
        <f ca="1">[1]!s_fa_cagr_tr($E86,AE$6,3)</f>
        <v>45.600301523283626</v>
      </c>
      <c r="AF86" s="126">
        <f ca="1">[1]!s_fa_cagr_tr($E86,AF$6,3)</f>
        <v>27.149178743542322</v>
      </c>
      <c r="AG86" s="126">
        <f ca="1">[1]!s_fa_cagr_tr($E86,AG$6,3)</f>
        <v>22.832253652027923</v>
      </c>
      <c r="AH86" s="126">
        <f ca="1">[1]!s_fa_cagr_tr($E86,AH$6,3)</f>
        <v>19.944598813593629</v>
      </c>
      <c r="AI86" s="169"/>
      <c r="AJ86" s="126">
        <f ca="1">[1]!s_fa_cagr_netprofit($E86,AJ$6,3)</f>
        <v>0</v>
      </c>
      <c r="AK86" s="126">
        <f ca="1">[1]!s_fa_cagr_netprofit($E86,AK$6,3)</f>
        <v>68.862963508772751</v>
      </c>
      <c r="AL86" s="126">
        <f ca="1">[1]!s_fa_cagr_netprofit($E86,AL$6,3)</f>
        <v>1.1492094543136711</v>
      </c>
      <c r="AM86" s="126">
        <f ca="1">[1]!s_fa_cagr_netprofit($E86,AM$6,3)</f>
        <v>15.192758119679283</v>
      </c>
      <c r="AN86" s="126">
        <f ca="1">[1]!s_fa_cagr_netprofit($E86,AN$6,3)</f>
        <v>22.489766789753695</v>
      </c>
      <c r="AO86" s="126">
        <f ca="1">[1]!s_fa_cagr_netprofit($E86,AO$6,3)</f>
        <v>26.039278283658795</v>
      </c>
      <c r="AP86" s="129"/>
      <c r="AQ86" s="203">
        <f ca="1">[1]!s_fa_dupont_roe(E86,$C$3)</f>
        <v>22.701000000000001</v>
      </c>
      <c r="AR86" s="203">
        <f ca="1">[1]!s_fa_dupont_nptosales(B86,$C$3)</f>
        <v>3.5743999999999998</v>
      </c>
      <c r="AS86" s="238">
        <f ca="1">[1]!s_fa_dupont_faturnover(E86,$C$3)</f>
        <v>2.4581</v>
      </c>
      <c r="AT86" s="203">
        <f ca="1">[1]!s_fa_dupont_assetstoequity(E86,$C$3)</f>
        <v>2.7233999999999998</v>
      </c>
      <c r="AU86" s="129"/>
      <c r="AV86" s="129"/>
      <c r="AW86" s="129"/>
      <c r="AX86" s="129"/>
      <c r="AY86" s="129"/>
      <c r="AZ86" s="129"/>
      <c r="BA86" s="129"/>
      <c r="BB86" s="129"/>
      <c r="BC86" s="129"/>
      <c r="BD86" s="129"/>
      <c r="BE86" s="129"/>
    </row>
    <row r="87" spans="1:57" s="191" customFormat="1" ht="12" customHeight="1" x14ac:dyDescent="0.35">
      <c r="A87" s="182" t="s">
        <v>0</v>
      </c>
      <c r="B87" s="182" t="s">
        <v>352</v>
      </c>
      <c r="C87" s="182" t="s">
        <v>353</v>
      </c>
      <c r="D87" s="182" t="str">
        <f ca="1">[1]!cb_info_underlyingname(B87)</f>
        <v>伊力特</v>
      </c>
      <c r="E87" s="183" t="str">
        <f ca="1">[1]!cb_info_underlyingcode(B87)</f>
        <v>600197.SH</v>
      </c>
      <c r="F87" s="184" t="str">
        <f ca="1">[1]!s_info_industry_sw(B87,1)</f>
        <v>食品饮料</v>
      </c>
      <c r="G87" s="184" t="str">
        <f ca="1">[1]!s_info_industry_sw(E87,2)</f>
        <v>饮料制造</v>
      </c>
      <c r="H87" s="184" t="str">
        <f ca="1">[1]!s_info_industry_sw(E87,3)</f>
        <v>白酒</v>
      </c>
      <c r="I87" s="192" t="str">
        <f ca="1">[1]!s_info_majorproducttype(E87)</f>
        <v>白酒、果酒</v>
      </c>
      <c r="J87" s="189">
        <f ca="1">[1]!s_val_ev(E87,$B$2,100000000)</f>
        <v>139.1271487628</v>
      </c>
      <c r="K87" s="193">
        <f ca="1">[1]!s_share_total(E87,$B$2,100000000)</f>
        <v>4.7193741100000004</v>
      </c>
      <c r="L87" s="193">
        <f ca="1">[1]!s_share_liqa(E87,$B$2,100000000)</f>
        <v>4.7193741100000004</v>
      </c>
      <c r="M87" s="186">
        <f ca="1">[1]!s_fa_gr_ttm2(E87,$C$3,100000000)</f>
        <v>19.491246893699998</v>
      </c>
      <c r="N87" s="187">
        <f ca="1">[1]!s_fa_netprofit_ttm2(E87,$C$3,100000000)</f>
        <v>3.4689082545000001</v>
      </c>
      <c r="O87" s="186"/>
      <c r="P87" s="187">
        <f ca="1">[1]!s_val_pe_ttm(E87,[1]!td($B$2-1))</f>
        <v>34.1195068359375</v>
      </c>
      <c r="Q87" s="187">
        <f ca="1">[1]!i_val_pe_percentile(E87,[1]!td($B$2-1),$B$2-365*5,[1]!td($B$2-1))</f>
        <v>93.092105263157904</v>
      </c>
      <c r="R87" s="187">
        <f ca="1">[1]!pb_mrq(E87,[1]!td($B$2-1))</f>
        <v>3.7347054345738524</v>
      </c>
      <c r="S87" s="187">
        <f ca="1">[1]!i_val_pb_percentile(E87,[1]!td($B$2-1),$B$2-365*5,[1]!td($B$2-1))</f>
        <v>62.664473684210535</v>
      </c>
      <c r="T87" s="187">
        <f ca="1">[1]!s_val_pe_ttm([1]!to_windcode_index(H87&amp;"(申万)"),[1]!td($B$2-1))</f>
        <v>42.459999084472656</v>
      </c>
      <c r="U87" s="187"/>
      <c r="V87" s="187">
        <f ca="1">[1]!s_fa_roe(E87,$C$3)</f>
        <v>7.1101000000000001</v>
      </c>
      <c r="W87" s="187">
        <f ca="1">[1]!s_fa_grossprofitmargin(E87,$C$3)</f>
        <v>49.5092</v>
      </c>
      <c r="X87" s="187">
        <f ca="1">[1]!s_fa_netprofitmargin(E87,$C$3)</f>
        <v>17.372599999999998</v>
      </c>
      <c r="Y87" s="187">
        <f ca="1">[1]!s_fa_roic(E87,$C$3)</f>
        <v>5.2138999999999998</v>
      </c>
      <c r="Z87" s="187">
        <f ca="1">[1]!s_fa_operateincometoebt_ttm2(E87,$C$3)</f>
        <v>105.1404</v>
      </c>
      <c r="AA87" s="186"/>
      <c r="AB87" s="342"/>
      <c r="AC87" s="186">
        <f ca="1">[1]!s_fa_cagr_tr($E87,AC$6,3)</f>
        <v>0</v>
      </c>
      <c r="AD87" s="186">
        <f ca="1">[1]!s_fa_cagr_tr($E87,AD$6,3)</f>
        <v>-2.0707960027141592</v>
      </c>
      <c r="AE87" s="187">
        <f ca="1">[1]!s_fa_cagr_tr($E87,AE$6,3)</f>
        <v>10.78109385091992</v>
      </c>
      <c r="AF87" s="187">
        <f ca="1">[1]!s_fa_cagr_tr($E87,AF$6,3)</f>
        <v>9.0585853052634882</v>
      </c>
      <c r="AG87" s="187">
        <f ca="1">[1]!s_fa_cagr_tr($E87,AG$6,3)</f>
        <v>5.6249806605893404</v>
      </c>
      <c r="AH87" s="187">
        <f ca="1">[1]!s_fa_cagr_tr($E87,AH$6,3)</f>
        <v>-1.1566023094695455</v>
      </c>
      <c r="AI87" s="194"/>
      <c r="AJ87" s="187">
        <f ca="1">[1]!s_fa_cagr_netprofit($E87,AJ$6,3)</f>
        <v>0</v>
      </c>
      <c r="AK87" s="187">
        <f ca="1">[1]!s_fa_cagr_netprofit($E87,AK$6,3)</f>
        <v>-1.0901988577922905</v>
      </c>
      <c r="AL87" s="187">
        <f ca="1">[1]!s_fa_cagr_netprofit($E87,AL$6,3)</f>
        <v>17.306444765363025</v>
      </c>
      <c r="AM87" s="187">
        <f ca="1">[1]!s_fa_cagr_netprofit($E87,AM$6,3)</f>
        <v>14.920307351789464</v>
      </c>
      <c r="AN87" s="187">
        <f ca="1">[1]!s_fa_cagr_netprofit($E87,AN$6,3)</f>
        <v>9.6430223185154151</v>
      </c>
      <c r="AO87" s="187">
        <f ca="1">[1]!s_fa_cagr_netprofit($E87,AO$6,3)</f>
        <v>0.49285291856497881</v>
      </c>
      <c r="AP87" s="189"/>
      <c r="AQ87" s="202">
        <f ca="1">[1]!s_fa_dupont_roe(E87,$C$3)</f>
        <v>7.1101000000000001</v>
      </c>
      <c r="AR87" s="202">
        <f ca="1">[1]!s_fa_dupont_nptosales(B87,$C$3)</f>
        <v>17.372599999999998</v>
      </c>
      <c r="AS87" s="237">
        <f ca="1">[1]!s_fa_dupont_faturnover(E87,$C$3)</f>
        <v>0.2681</v>
      </c>
      <c r="AT87" s="202">
        <f ca="1">[1]!s_fa_dupont_assetstoequity(E87,$C$3)</f>
        <v>1.5167999999999999</v>
      </c>
      <c r="AU87" s="189"/>
      <c r="AV87" s="201"/>
      <c r="AW87" s="189"/>
      <c r="AX87" s="189"/>
      <c r="AY87" s="189"/>
      <c r="AZ87" s="189"/>
      <c r="BA87" s="189"/>
      <c r="BB87" s="189"/>
      <c r="BC87" s="189"/>
      <c r="BD87" s="189"/>
      <c r="BE87" s="189"/>
    </row>
    <row r="88" spans="1:57" s="130" customFormat="1" ht="12" customHeight="1" x14ac:dyDescent="0.35">
      <c r="A88" s="121" t="s">
        <v>5</v>
      </c>
      <c r="B88" s="121" t="s">
        <v>150</v>
      </c>
      <c r="C88" s="121" t="s">
        <v>151</v>
      </c>
      <c r="D88" s="121" t="str">
        <f ca="1">[1]!cb_info_underlyingname(B88)</f>
        <v>华统股份</v>
      </c>
      <c r="E88" s="122" t="str">
        <f ca="1">[1]!cb_info_underlyingcode(B88)</f>
        <v>002840.SZ</v>
      </c>
      <c r="F88" s="123" t="str">
        <f ca="1">[1]!s_info_industry_sw(B88,1)</f>
        <v>食品饮料</v>
      </c>
      <c r="G88" s="123" t="str">
        <f ca="1">[1]!s_info_industry_sw(E88,2)</f>
        <v>食品加工</v>
      </c>
      <c r="H88" s="123" t="str">
        <f ca="1">[1]!s_info_industry_sw(E88,3)</f>
        <v>肉制品</v>
      </c>
      <c r="I88" s="156" t="str">
        <f ca="1">[1]!s_info_majorproducttype(E88)</f>
        <v>肉制品、饲料</v>
      </c>
      <c r="J88" s="129">
        <f ca="1">[1]!s_val_ev(E88,$B$2,100000000)</f>
        <v>38.048824805000002</v>
      </c>
      <c r="K88" s="157">
        <f ca="1">[1]!s_share_total(E88,$B$2,100000000)</f>
        <v>4.4763323299999991</v>
      </c>
      <c r="L88" s="157">
        <f ca="1">[1]!s_share_liqa(E88,$B$2,100000000)</f>
        <v>4.3617083299999999</v>
      </c>
      <c r="M88" s="125">
        <f ca="1">[1]!s_fa_gr_ttm2(E88,$C$3,100000000)</f>
        <v>84.542718863900006</v>
      </c>
      <c r="N88" s="126">
        <f ca="1">[1]!s_fa_netprofit_ttm2(E88,$C$3,100000000)</f>
        <v>1.3282517226000001</v>
      </c>
      <c r="O88" s="125"/>
      <c r="P88" s="126">
        <f ca="1">[1]!s_val_pe_ttm(E88,[1]!td($B$2-1))</f>
        <v>18.077882766723633</v>
      </c>
      <c r="Q88" s="126">
        <f ca="1">[1]!i_val_pe_percentile(E88,[1]!td($B$2-1),$B$2-365*5,[1]!td($B$2-1))</f>
        <v>0.52910052910052907</v>
      </c>
      <c r="R88" s="126">
        <f ca="1">[1]!pb_mrq(E88,[1]!td($B$2-1))</f>
        <v>2.113505048217649</v>
      </c>
      <c r="S88" s="126">
        <f ca="1">[1]!i_val_pb_percentile(E88,[1]!td($B$2-1),$B$2-365*5,[1]!td($B$2-1))</f>
        <v>0.64667842445620227</v>
      </c>
      <c r="T88" s="126">
        <f ca="1">[1]!s_val_pe_ttm([1]!to_windcode_index(H88&amp;"(申万)"),[1]!td($B$2-1))</f>
        <v>17.340000152587891</v>
      </c>
      <c r="U88" s="126"/>
      <c r="V88" s="126">
        <f ca="1">[1]!s_fa_roe(E88,$C$3)</f>
        <v>5.7534000000000001</v>
      </c>
      <c r="W88" s="126">
        <f ca="1">[1]!s_fa_grossprofitmargin(E88,$C$3)</f>
        <v>4.1477000000000004</v>
      </c>
      <c r="X88" s="126">
        <f ca="1">[1]!s_fa_netprofitmargin(E88,$C$3)</f>
        <v>1.776</v>
      </c>
      <c r="Y88" s="126">
        <f ca="1">[1]!s_fa_roic(E88,$C$3)</f>
        <v>3.9748000000000001</v>
      </c>
      <c r="Z88" s="126">
        <f ca="1">[1]!s_fa_operateincometoebt_ttm2(E88,$C$3)</f>
        <v>55.648000000000003</v>
      </c>
      <c r="AA88" s="125"/>
      <c r="AB88" s="343"/>
      <c r="AC88" s="125">
        <f ca="1">[1]!s_fa_cagr_tr($E88,AC$6,3)</f>
        <v>0</v>
      </c>
      <c r="AD88" s="125">
        <f ca="1">[1]!s_fa_cagr_tr($E88,AD$6,3)</f>
        <v>23.286991059019414</v>
      </c>
      <c r="AE88" s="126">
        <f ca="1">[1]!s_fa_cagr_tr($E88,AE$6,3)</f>
        <v>24.510000970260258</v>
      </c>
      <c r="AF88" s="126">
        <f ca="1">[1]!s_fa_cagr_tr($E88,AF$6,3)</f>
        <v>38.088785019418992</v>
      </c>
      <c r="AG88" s="126">
        <f ca="1">[1]!s_fa_cagr_tr($E88,AG$6,3)</f>
        <v>42.47632500302452</v>
      </c>
      <c r="AH88" s="126">
        <f ca="1">[1]!s_fa_cagr_tr($E88,AH$6,3)</f>
        <v>38.489561834714522</v>
      </c>
      <c r="AI88" s="169"/>
      <c r="AJ88" s="126">
        <f ca="1">[1]!s_fa_cagr_netprofit($E88,AJ$6,3)</f>
        <v>0</v>
      </c>
      <c r="AK88" s="126">
        <f ca="1">[1]!s_fa_cagr_netprofit($E88,AK$6,3)</f>
        <v>4.4797537815581379</v>
      </c>
      <c r="AL88" s="126">
        <f ca="1">[1]!s_fa_cagr_netprofit($E88,AL$6,3)</f>
        <v>12.612979513954524</v>
      </c>
      <c r="AM88" s="126">
        <f ca="1">[1]!s_fa_cagr_netprofit($E88,AM$6,3)</f>
        <v>25.947642880959453</v>
      </c>
      <c r="AN88" s="126">
        <f ca="1">[1]!s_fa_cagr_netprofit($E88,AN$6,3)</f>
        <v>13.187743845303279</v>
      </c>
      <c r="AO88" s="126">
        <f ca="1">[1]!s_fa_cagr_netprofit($E88,AO$6,3)</f>
        <v>17.568036387662445</v>
      </c>
      <c r="AP88" s="129"/>
      <c r="AQ88" s="203">
        <f ca="1">[1]!s_fa_dupont_roe(E88,$C$3)</f>
        <v>5.7534000000000001</v>
      </c>
      <c r="AR88" s="203">
        <f ca="1">[1]!s_fa_dupont_nptosales(B88,$C$3)</f>
        <v>1.776</v>
      </c>
      <c r="AS88" s="238">
        <f ca="1">[1]!s_fa_dupont_faturnover(E88,$C$3)</f>
        <v>1.6195999999999999</v>
      </c>
      <c r="AT88" s="203">
        <f ca="1">[1]!s_fa_dupont_assetstoequity(E88,$C$3)</f>
        <v>2.4022000000000001</v>
      </c>
      <c r="AU88" s="129"/>
      <c r="AV88" s="129"/>
      <c r="AW88" s="129"/>
      <c r="AX88" s="129"/>
      <c r="AY88" s="129"/>
      <c r="AZ88" s="129"/>
      <c r="BA88" s="129"/>
      <c r="BB88" s="129"/>
      <c r="BC88" s="129"/>
      <c r="BD88" s="129"/>
      <c r="BE88" s="129"/>
    </row>
    <row r="89" spans="1:57" s="191" customFormat="1" ht="12" customHeight="1" x14ac:dyDescent="0.35">
      <c r="A89" s="182" t="s">
        <v>396</v>
      </c>
      <c r="B89" s="182" t="s">
        <v>523</v>
      </c>
      <c r="C89" s="182" t="s">
        <v>524</v>
      </c>
      <c r="D89" s="182" t="str">
        <f ca="1">[1]!cb_info_underlyingname(B89)</f>
        <v>华安证券</v>
      </c>
      <c r="E89" s="183" t="str">
        <f ca="1">[1]!cb_info_underlyingcode(B89)</f>
        <v>600909.SH</v>
      </c>
      <c r="F89" s="184" t="str">
        <f ca="1">[1]!s_info_industry_sw(B89,1)</f>
        <v>商业贸易</v>
      </c>
      <c r="G89" s="184" t="str">
        <f ca="1">[1]!s_info_industry_sw(E89,2)</f>
        <v>证券Ⅱ</v>
      </c>
      <c r="H89" s="184" t="str">
        <f ca="1">[1]!s_info_industry_sw(E89,3)</f>
        <v>证券Ⅲ</v>
      </c>
      <c r="I89" s="192" t="str">
        <f ca="1">[1]!s_info_majorproducttype(E89)</f>
        <v>证券业务</v>
      </c>
      <c r="J89" s="189">
        <f ca="1">[1]!s_val_ev(E89,$B$2,100000000)</f>
        <v>269.6453831092</v>
      </c>
      <c r="K89" s="193">
        <f ca="1">[1]!s_share_total(E89,$B$2,100000000)</f>
        <v>46.976547580000002</v>
      </c>
      <c r="L89" s="193">
        <f ca="1">[1]!s_share_liqa(E89,$B$2,100000000)</f>
        <v>46.976547580000002</v>
      </c>
      <c r="M89" s="186">
        <f ca="1">[1]!s_fa_gr_ttm2(E89,$C$3,100000000)</f>
        <v>35.9634337743</v>
      </c>
      <c r="N89" s="187">
        <f ca="1">[1]!s_fa_netprofit_ttm2(E89,$C$3,100000000)</f>
        <v>12.369397644999999</v>
      </c>
      <c r="O89" s="186"/>
      <c r="P89" s="187">
        <f ca="1">[1]!s_val_pe_ttm(E89,[1]!td($B$2-1))</f>
        <v>21.692863464355469</v>
      </c>
      <c r="Q89" s="187">
        <f ca="1">[1]!i_val_pe_percentile(E89,[1]!td($B$2-1),$B$2-365*5,[1]!td($B$2-1))</f>
        <v>13.364055299539171</v>
      </c>
      <c r="R89" s="187">
        <f ca="1">[1]!pb_mrq(E89,[1]!td($B$2-1))</f>
        <v>1.4776783088398306</v>
      </c>
      <c r="S89" s="187">
        <f ca="1">[1]!i_val_pb_percentile(E89,[1]!td($B$2-1),$B$2-365*5,[1]!td($B$2-1))</f>
        <v>8.064516129032258</v>
      </c>
      <c r="T89" s="187">
        <f ca="1">[1]!s_val_pe_ttm([1]!to_windcode_index(H89&amp;"(申万)"),[1]!td($B$2-1))</f>
        <v>22.540000915527344</v>
      </c>
      <c r="U89" s="186"/>
      <c r="V89" s="186">
        <f ca="1">[1]!s_fa_roe(E89,$C$3)</f>
        <v>7.2718999999999996</v>
      </c>
      <c r="W89" s="186">
        <f ca="1">[1]!s_fa_grossprofitmargin(E89,$C$3)</f>
        <v>0</v>
      </c>
      <c r="X89" s="186">
        <f ca="1">[1]!s_fa_netprofitmargin(E89,$C$3)</f>
        <v>39.910400000000003</v>
      </c>
      <c r="Y89" s="186">
        <f ca="1">[1]!s_fa_roic(E89,$C$3)</f>
        <v>0</v>
      </c>
      <c r="Z89" s="186">
        <f ca="1">[1]!s_fa_operateincometoebt_ttm2(E89,$C$3)</f>
        <v>13.206200000000001</v>
      </c>
      <c r="AA89" s="186"/>
      <c r="AB89" s="342"/>
      <c r="AC89" s="186">
        <f ca="1">[1]!s_fa_cagr_tr($E89,AC$6,3)</f>
        <v>0</v>
      </c>
      <c r="AD89" s="186">
        <f ca="1">[1]!s_fa_cagr_tr($E89,AD$6,3)</f>
        <v>20.513720066548547</v>
      </c>
      <c r="AE89" s="187">
        <f ca="1">[1]!s_fa_cagr_tr($E89,AE$6,3)</f>
        <v>23.053236404014065</v>
      </c>
      <c r="AF89" s="187">
        <f ca="1">[1]!s_fa_cagr_tr($E89,AF$6,3)</f>
        <v>-22.719609832464048</v>
      </c>
      <c r="AG89" s="187">
        <f ca="1">[1]!s_fa_cagr_tr($E89,AG$6,3)</f>
        <v>4.3111160789152114</v>
      </c>
      <c r="AH89" s="187">
        <f ca="1">[1]!s_fa_cagr_tr($E89,AH$6,3)</f>
        <v>22.592457004756472</v>
      </c>
      <c r="AI89" s="194"/>
      <c r="AJ89" s="187">
        <f ca="1">[1]!s_fa_cagr_netprofit($E89,AJ$6,3)</f>
        <v>0</v>
      </c>
      <c r="AK89" s="187">
        <f ca="1">[1]!s_fa_cagr_netprofit($E89,AK$6,3)</f>
        <v>24.964055174002485</v>
      </c>
      <c r="AL89" s="187">
        <f ca="1">[1]!s_fa_cagr_netprofit($E89,AL$6,3)</f>
        <v>22.56264311495746</v>
      </c>
      <c r="AM89" s="187">
        <f ca="1">[1]!s_fa_cagr_netprofit($E89,AM$6,3)</f>
        <v>-33.287882420744175</v>
      </c>
      <c r="AN89" s="187">
        <f ca="1">[1]!s_fa_cagr_netprofit($E89,AN$6,3)</f>
        <v>-1.7999618460252886</v>
      </c>
      <c r="AO89" s="187">
        <f ca="1">[1]!s_fa_cagr_netprofit($E89,AO$6,3)</f>
        <v>47.606376977344624</v>
      </c>
      <c r="AP89" s="189"/>
      <c r="AQ89" s="202">
        <f ca="1">[1]!s_fa_dupont_roe(E89,$C$3)</f>
        <v>7.2718999999999996</v>
      </c>
      <c r="AR89" s="202">
        <f ca="1">[1]!s_fa_dupont_nptosales(B89,$C$3)</f>
        <v>0.77500000000000002</v>
      </c>
      <c r="AS89" s="237">
        <f ca="1">[1]!s_fa_dupont_faturnover(E89,$C$3)</f>
        <v>4.6399999999999997E-2</v>
      </c>
      <c r="AT89" s="202">
        <f ca="1">[1]!s_fa_dupont_assetstoequity(E89,$C$3)</f>
        <v>3.9857</v>
      </c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189"/>
    </row>
    <row r="90" spans="1:57" s="130" customFormat="1" ht="12" customHeight="1" x14ac:dyDescent="0.35">
      <c r="A90" s="121" t="s">
        <v>0</v>
      </c>
      <c r="B90" s="121" t="s">
        <v>124</v>
      </c>
      <c r="C90" s="121" t="s">
        <v>125</v>
      </c>
      <c r="D90" s="121" t="str">
        <f ca="1">[1]!cb_info_underlyingname(B90)</f>
        <v>家家悦</v>
      </c>
      <c r="E90" s="122" t="str">
        <f ca="1">[1]!cb_info_underlyingcode(B90)</f>
        <v>603708.SH</v>
      </c>
      <c r="F90" s="123" t="str">
        <f ca="1">[1]!s_info_industry_sw(B90,1)</f>
        <v>商业贸易</v>
      </c>
      <c r="G90" s="123" t="str">
        <f ca="1">[1]!s_info_industry_sw(E90,2)</f>
        <v>一般零售</v>
      </c>
      <c r="H90" s="123" t="str">
        <f ca="1">[1]!s_info_industry_sw(E90,3)</f>
        <v>超市</v>
      </c>
      <c r="I90" s="156" t="str">
        <f ca="1">[1]!s_info_majorproducttype(E90)</f>
        <v>连锁超市</v>
      </c>
      <c r="J90" s="129">
        <f ca="1">[1]!s_val_ev(E90,$B$2,100000000)</f>
        <v>93.632921287200006</v>
      </c>
      <c r="K90" s="157">
        <f ca="1">[1]!s_share_total(E90,$B$2,100000000)</f>
        <v>6.0840104799999999</v>
      </c>
      <c r="L90" s="157">
        <f ca="1">[1]!s_share_liqa(E90,$B$2,100000000)</f>
        <v>6.0840104799999999</v>
      </c>
      <c r="M90" s="125">
        <f ca="1">[1]!s_fa_gr_ttm2(E90,$C$3,100000000)</f>
        <v>177.61487221349998</v>
      </c>
      <c r="N90" s="126">
        <f ca="1">[1]!s_fa_netprofit_ttm2(E90,$C$3,100000000)</f>
        <v>4.9488394766999999</v>
      </c>
      <c r="O90" s="125"/>
      <c r="P90" s="126">
        <f ca="1">[1]!s_val_pe_ttm(E90,[1]!td($B$2-1))</f>
        <v>28.916299819946289</v>
      </c>
      <c r="Q90" s="126">
        <f ca="1">[1]!i_val_pe_percentile(E90,[1]!td($B$2-1),$B$2-365*5,[1]!td($B$2-1))</f>
        <v>35.916714864083289</v>
      </c>
      <c r="R90" s="126">
        <f ca="1">[1]!pb_mrq(E90,[1]!td($B$2-1))</f>
        <v>3.6201104966224644</v>
      </c>
      <c r="S90" s="126">
        <f ca="1">[1]!i_val_pb_percentile(E90,[1]!td($B$2-1),$B$2-365*5,[1]!td($B$2-1))</f>
        <v>14.112203585887798</v>
      </c>
      <c r="T90" s="126">
        <f ca="1">[1]!s_val_pe_ttm([1]!to_windcode_index(H90&amp;"(申万)"),[1]!td($B$2-1))</f>
        <v>59.540000915527344</v>
      </c>
      <c r="U90" s="126"/>
      <c r="V90" s="126">
        <f ca="1">[1]!s_fa_roe(E90,$C$3)</f>
        <v>12.930999999999999</v>
      </c>
      <c r="W90" s="126">
        <f ca="1">[1]!s_fa_grossprofitmargin(E90,$C$3)</f>
        <v>21.658999999999999</v>
      </c>
      <c r="X90" s="126">
        <f ca="1">[1]!s_fa_netprofitmargin(E90,$C$3)</f>
        <v>2.7235999999999998</v>
      </c>
      <c r="Y90" s="126">
        <f ca="1">[1]!s_fa_roic(E90,$C$3)</f>
        <v>9.5137999999999998</v>
      </c>
      <c r="Z90" s="126">
        <f ca="1">[1]!s_fa_operateincometoebt_ttm2(E90,$C$3)</f>
        <v>90.784099999999995</v>
      </c>
      <c r="AA90" s="125"/>
      <c r="AB90" s="343"/>
      <c r="AC90" s="125">
        <f ca="1">[1]!s_fa_cagr_tr($E90,AC$6,3)</f>
        <v>0</v>
      </c>
      <c r="AD90" s="125">
        <f ca="1">[1]!s_fa_cagr_tr($E90,AD$6,3)</f>
        <v>13.755018724716429</v>
      </c>
      <c r="AE90" s="126">
        <f ca="1">[1]!s_fa_cagr_tr($E90,AE$6,3)</f>
        <v>12.302229163133838</v>
      </c>
      <c r="AF90" s="126">
        <f ca="1">[1]!s_fa_cagr_tr($E90,AF$6,3)</f>
        <v>6.6809017073112154</v>
      </c>
      <c r="AG90" s="126">
        <f ca="1">[1]!s_fa_cagr_tr($E90,AG$6,3)</f>
        <v>4.8304843719802815</v>
      </c>
      <c r="AH90" s="126">
        <f ca="1">[1]!s_fa_cagr_tr($E90,AH$6,3)</f>
        <v>6.1898397432186281</v>
      </c>
      <c r="AI90" s="169"/>
      <c r="AJ90" s="126">
        <f ca="1">[1]!s_fa_cagr_netprofit($E90,AJ$6,3)</f>
        <v>0</v>
      </c>
      <c r="AK90" s="126">
        <f ca="1">[1]!s_fa_cagr_netprofit($E90,AK$6,3)</f>
        <v>11.228645354971857</v>
      </c>
      <c r="AL90" s="126">
        <f ca="1">[1]!s_fa_cagr_netprofit($E90,AL$6,3)</f>
        <v>22.117438540687239</v>
      </c>
      <c r="AM90" s="126">
        <f ca="1">[1]!s_fa_cagr_netprofit($E90,AM$6,3)</f>
        <v>20.249138253638321</v>
      </c>
      <c r="AN90" s="126">
        <f ca="1">[1]!s_fa_cagr_netprofit($E90,AN$6,3)</f>
        <v>10.904595612933221</v>
      </c>
      <c r="AO90" s="126">
        <f ca="1">[1]!s_fa_cagr_netprofit($E90,AO$6,3)</f>
        <v>4.6787116766434877</v>
      </c>
      <c r="AP90" s="129"/>
      <c r="AQ90" s="203">
        <f ca="1">[1]!s_fa_dupont_roe(E90,$C$3)</f>
        <v>12.930999999999999</v>
      </c>
      <c r="AR90" s="203">
        <f ca="1">[1]!s_fa_dupont_nptosales(B90,$C$3)</f>
        <v>2.7235999999999998</v>
      </c>
      <c r="AS90" s="238">
        <f ca="1">[1]!s_fa_dupont_faturnover(E90,$C$3)</f>
        <v>1.4984</v>
      </c>
      <c r="AT90" s="203">
        <f ca="1">[1]!s_fa_dupont_assetstoequity(E90,$C$3)</f>
        <v>3.0556000000000001</v>
      </c>
      <c r="AU90" s="129"/>
      <c r="AV90" s="129"/>
      <c r="AW90" s="129"/>
      <c r="AX90" s="129"/>
      <c r="AY90" s="129"/>
      <c r="AZ90" s="129"/>
      <c r="BA90" s="129"/>
      <c r="BB90" s="129"/>
      <c r="BC90" s="129"/>
      <c r="BD90" s="129"/>
      <c r="BE90" s="129"/>
    </row>
    <row r="91" spans="1:57" s="191" customFormat="1" ht="12" customHeight="1" x14ac:dyDescent="0.35">
      <c r="A91" s="182" t="s">
        <v>0</v>
      </c>
      <c r="B91" s="182" t="s">
        <v>529</v>
      </c>
      <c r="C91" s="182" t="s">
        <v>530</v>
      </c>
      <c r="D91" s="182" t="str">
        <f ca="1">[1]!cb_info_underlyingname(B91)</f>
        <v>厦门国贸</v>
      </c>
      <c r="E91" s="183" t="str">
        <f ca="1">[1]!cb_info_underlyingcode(B91)</f>
        <v>600755.SH</v>
      </c>
      <c r="F91" s="184" t="str">
        <f ca="1">[1]!s_info_industry_sw(B91,1)</f>
        <v>商业贸易</v>
      </c>
      <c r="G91" s="184" t="str">
        <f ca="1">[1]!s_info_industry_sw(E91,2)</f>
        <v>贸易Ⅱ</v>
      </c>
      <c r="H91" s="184" t="str">
        <f ca="1">[1]!s_info_industry_sw(E91,3)</f>
        <v>贸易Ⅲ</v>
      </c>
      <c r="I91" s="192" t="str">
        <f ca="1">[1]!s_info_majorproducttype(E91)</f>
        <v>集装箱航运、集装箱码头、进出口贸易、经纪业务、汽车零售店、散货航运、住宅建筑</v>
      </c>
      <c r="J91" s="189">
        <f ca="1">[1]!s_val_ev(E91,$B$2,100000000)</f>
        <v>178.0568676234</v>
      </c>
      <c r="K91" s="193">
        <f ca="1">[1]!s_share_total(E91,$B$2,100000000)</f>
        <v>19.588214260000001</v>
      </c>
      <c r="L91" s="193">
        <f ca="1">[1]!s_share_liqa(E91,$B$2,100000000)</f>
        <v>18.614849920000001</v>
      </c>
      <c r="M91" s="186">
        <f ca="1">[1]!s_fa_gr_ttm2(E91,$C$3,100000000)</f>
        <v>2813.1920623296</v>
      </c>
      <c r="N91" s="187">
        <f ca="1">[1]!s_fa_netprofit_ttm2(E91,$C$3,100000000)</f>
        <v>23.810763829499997</v>
      </c>
      <c r="O91" s="186"/>
      <c r="P91" s="187">
        <f ca="1">[1]!s_val_pe_ttm(E91,[1]!td($B$2-1))</f>
        <v>5.0058126449584961</v>
      </c>
      <c r="Q91" s="187">
        <f ca="1">[1]!i_val_pe_percentile(E91,[1]!td($B$2-1),$B$2-365*5,[1]!td($B$2-1))</f>
        <v>2.138157894736842</v>
      </c>
      <c r="R91" s="187">
        <f ca="1">[1]!pb_mrq(E91,[1]!td($B$2-1))</f>
        <v>1.0535133208146805</v>
      </c>
      <c r="S91" s="187">
        <f ca="1">[1]!i_val_pb_percentile(E91,[1]!td($B$2-1),$B$2-365*5,[1]!td($B$2-1))</f>
        <v>65.405701754385973</v>
      </c>
      <c r="T91" s="187">
        <f ca="1">[1]!s_val_pe_ttm([1]!to_windcode_index(H91&amp;"(申万)"),[1]!td($B$2-1))</f>
        <v>17.620000839233398</v>
      </c>
      <c r="U91" s="187"/>
      <c r="V91" s="187">
        <f ca="1">[1]!s_fa_roe(E91,$C$3)</f>
        <v>7.7605000000000004</v>
      </c>
      <c r="W91" s="187">
        <f ca="1">[1]!s_fa_grossprofitmargin(E91,$C$3)</f>
        <v>2.0032999999999999</v>
      </c>
      <c r="X91" s="187">
        <f ca="1">[1]!s_fa_netprofitmargin(E91,$C$3)</f>
        <v>1.0164</v>
      </c>
      <c r="Y91" s="187">
        <f ca="1">[1]!s_fa_roic(E91,$C$3)</f>
        <v>4.7389000000000001</v>
      </c>
      <c r="Z91" s="187">
        <f ca="1">[1]!s_fa_operateincometoebt_ttm2(E91,$C$3)</f>
        <v>60.887700000000002</v>
      </c>
      <c r="AA91" s="186"/>
      <c r="AB91" s="342"/>
      <c r="AC91" s="186">
        <f ca="1">[1]!s_fa_cagr_tr($E91,AC$6,3)</f>
        <v>0</v>
      </c>
      <c r="AD91" s="186">
        <f ca="1">[1]!s_fa_cagr_tr($E91,AD$6,3)</f>
        <v>28.711629820079377</v>
      </c>
      <c r="AE91" s="187">
        <f ca="1">[1]!s_fa_cagr_tr($E91,AE$6,3)</f>
        <v>30.515345687927955</v>
      </c>
      <c r="AF91" s="187">
        <f ca="1">[1]!s_fa_cagr_tr($E91,AF$6,3)</f>
        <v>47.622352601994656</v>
      </c>
      <c r="AG91" s="187">
        <f ca="1">[1]!s_fa_cagr_tr($E91,AG$6,3)</f>
        <v>43.872539984832628</v>
      </c>
      <c r="AH91" s="187">
        <f ca="1">[1]!s_fa_cagr_tr($E91,AH$6,3)</f>
        <v>25.96625574356657</v>
      </c>
      <c r="AI91" s="194"/>
      <c r="AJ91" s="187">
        <f ca="1">[1]!s_fa_cagr_netprofit($E91,AJ$6,3)</f>
        <v>0</v>
      </c>
      <c r="AK91" s="187">
        <f ca="1">[1]!s_fa_cagr_netprofit($E91,AK$6,3)</f>
        <v>11.050261816192375</v>
      </c>
      <c r="AL91" s="187">
        <f ca="1">[1]!s_fa_cagr_netprofit($E91,AL$6,3)</f>
        <v>30.328062787557485</v>
      </c>
      <c r="AM91" s="187">
        <f ca="1">[1]!s_fa_cagr_netprofit($E91,AM$6,3)</f>
        <v>49.921449663966278</v>
      </c>
      <c r="AN91" s="187">
        <f ca="1">[1]!s_fa_cagr_netprofit($E91,AN$6,3)</f>
        <v>30.967846236201304</v>
      </c>
      <c r="AO91" s="187">
        <f ca="1">[1]!s_fa_cagr_netprofit($E91,AO$6,3)</f>
        <v>3.4436418012593561</v>
      </c>
      <c r="AP91" s="189"/>
      <c r="AQ91" s="202">
        <f ca="1">[1]!s_fa_dupont_roe(E91,$C$3)</f>
        <v>7.7605000000000004</v>
      </c>
      <c r="AR91" s="202">
        <f ca="1">[1]!s_fa_dupont_nptosales(B91,$C$3)</f>
        <v>1.0164</v>
      </c>
      <c r="AS91" s="237">
        <f ca="1">[1]!s_fa_dupont_faturnover(E91,$C$3)</f>
        <v>2.0966</v>
      </c>
      <c r="AT91" s="202">
        <f ca="1">[1]!s_fa_dupont_assetstoequity(E91,$C$3)</f>
        <v>4.2656000000000001</v>
      </c>
      <c r="AU91" s="189"/>
      <c r="AV91" s="201"/>
      <c r="AW91" s="189"/>
      <c r="AX91" s="189"/>
      <c r="AY91" s="189"/>
      <c r="AZ91" s="189"/>
      <c r="BA91" s="189"/>
      <c r="BB91" s="189"/>
      <c r="BC91" s="189"/>
      <c r="BD91" s="189"/>
      <c r="BE91" s="189"/>
    </row>
    <row r="92" spans="1:57" s="130" customFormat="1" ht="12" customHeight="1" x14ac:dyDescent="0.35">
      <c r="A92" s="121" t="s">
        <v>0</v>
      </c>
      <c r="B92" s="121" t="s">
        <v>160</v>
      </c>
      <c r="C92" s="121" t="s">
        <v>161</v>
      </c>
      <c r="D92" s="121" t="str">
        <f ca="1">[1]!cb_info_underlyingname(B92)</f>
        <v>利群股份</v>
      </c>
      <c r="E92" s="122" t="str">
        <f ca="1">[1]!cb_info_underlyingcode(B92)</f>
        <v>601366.SH</v>
      </c>
      <c r="F92" s="123" t="str">
        <f ca="1">[1]!s_info_industry_sw(B92,1)</f>
        <v>商业贸易</v>
      </c>
      <c r="G92" s="123" t="str">
        <f ca="1">[1]!s_info_industry_sw(E92,2)</f>
        <v>一般零售</v>
      </c>
      <c r="H92" s="123" t="str">
        <f ca="1">[1]!s_info_industry_sw(E92,3)</f>
        <v>多业态零售</v>
      </c>
      <c r="I92" s="156" t="str">
        <f ca="1">[1]!s_info_majorproducttype(E92)</f>
        <v>百货商场、家电零售与连锁、连锁超市</v>
      </c>
      <c r="J92" s="129">
        <f ca="1">[1]!s_val_ev(E92,$B$2,100000000)</f>
        <v>54.556838473799999</v>
      </c>
      <c r="K92" s="157">
        <f ca="1">[1]!s_share_total(E92,$B$2,100000000)</f>
        <v>8.6051795700000007</v>
      </c>
      <c r="L92" s="157">
        <f ca="1">[1]!s_share_liqa(E92,$B$2,100000000)</f>
        <v>8.3403761499999991</v>
      </c>
      <c r="M92" s="125">
        <f ca="1">[1]!s_fa_gr_ttm2(E92,$C$3,100000000)</f>
        <v>94.731181809099994</v>
      </c>
      <c r="N92" s="126">
        <f ca="1">[1]!s_fa_netprofit_ttm2(E92,$C$3,100000000)</f>
        <v>1.0454228234</v>
      </c>
      <c r="O92" s="125"/>
      <c r="P92" s="126">
        <f ca="1">[1]!s_val_pe_ttm(E92,[1]!td($B$2-1))</f>
        <v>30.751869201660156</v>
      </c>
      <c r="Q92" s="126">
        <f ca="1">[1]!i_val_pe_percentile(E92,[1]!td($B$2-1),$B$2-365*5,[1]!td($B$2-1))</f>
        <v>54.381603480422626</v>
      </c>
      <c r="R92" s="126">
        <f ca="1">[1]!pb_mrq(E92,[1]!td($B$2-1))</f>
        <v>1.2698153623368809</v>
      </c>
      <c r="S92" s="126">
        <f ca="1">[1]!i_val_pb_percentile(E92,[1]!td($B$2-1),$B$2-365*5,[1]!td($B$2-1))</f>
        <v>46.239900559353636</v>
      </c>
      <c r="T92" s="126">
        <f ca="1">[1]!s_val_pe_ttm([1]!to_windcode_index(H92&amp;"(申万)"),[1]!td($B$2-1))</f>
        <v>23.389999389648438</v>
      </c>
      <c r="U92" s="126"/>
      <c r="V92" s="126">
        <f ca="1">[1]!s_fa_roe(E92,$C$3)</f>
        <v>1.1458999999999999</v>
      </c>
      <c r="W92" s="126">
        <f ca="1">[1]!s_fa_grossprofitmargin(E92,$C$3)</f>
        <v>27.367599999999999</v>
      </c>
      <c r="X92" s="126">
        <f ca="1">[1]!s_fa_netprofitmargin(E92,$C$3)</f>
        <v>0.81689999999999996</v>
      </c>
      <c r="Y92" s="126">
        <f ca="1">[1]!s_fa_roic(E92,$C$3)</f>
        <v>1.1183000000000001</v>
      </c>
      <c r="Z92" s="126">
        <f ca="1">[1]!s_fa_operateincometoebt_ttm2(E92,$C$3)</f>
        <v>78.986800000000002</v>
      </c>
      <c r="AA92" s="125"/>
      <c r="AB92" s="343"/>
      <c r="AC92" s="125">
        <f ca="1">[1]!s_fa_cagr_tr($E92,AC$6,3)</f>
        <v>0</v>
      </c>
      <c r="AD92" s="125">
        <f ca="1">[1]!s_fa_cagr_tr($E92,AD$6,3)</f>
        <v>-7.365927875349243</v>
      </c>
      <c r="AE92" s="126">
        <f ca="1">[1]!s_fa_cagr_tr($E92,AE$6,3)</f>
        <v>6.5235045466013997</v>
      </c>
      <c r="AF92" s="126">
        <f ca="1">[1]!s_fa_cagr_tr($E92,AF$6,3)</f>
        <v>2.5357426231736202</v>
      </c>
      <c r="AG92" s="126">
        <f ca="1">[1]!s_fa_cagr_tr($E92,AG$6,3)</f>
        <v>-0.14525977578981886</v>
      </c>
      <c r="AH92" s="126">
        <f ca="1">[1]!s_fa_cagr_tr($E92,AH$6,3)</f>
        <v>-1.1858045534708594</v>
      </c>
      <c r="AI92" s="169"/>
      <c r="AJ92" s="126">
        <f ca="1">[1]!s_fa_cagr_netprofit($E92,AJ$6,3)</f>
        <v>0</v>
      </c>
      <c r="AK92" s="126">
        <f ca="1">[1]!s_fa_cagr_netprofit($E92,AK$6,3)</f>
        <v>-28.72049651489974</v>
      </c>
      <c r="AL92" s="126">
        <f ca="1">[1]!s_fa_cagr_netprofit($E92,AL$6,3)</f>
        <v>-9.6048079798384816</v>
      </c>
      <c r="AM92" s="126">
        <f ca="1">[1]!s_fa_cagr_netprofit($E92,AM$6,3)</f>
        <v>-15.770916886002118</v>
      </c>
      <c r="AN92" s="126">
        <f ca="1">[1]!s_fa_cagr_netprofit($E92,AN$6,3)</f>
        <v>5.7175177902899499</v>
      </c>
      <c r="AO92" s="126">
        <f ca="1">[1]!s_fa_cagr_netprofit($E92,AO$6,3)</f>
        <v>2.8591880506661616</v>
      </c>
      <c r="AP92" s="129"/>
      <c r="AQ92" s="203">
        <f ca="1">[1]!s_fa_dupont_roe(E92,$C$3)</f>
        <v>1.1458999999999999</v>
      </c>
      <c r="AR92" s="203">
        <f ca="1">[1]!s_fa_dupont_nptosales(B92,$C$3)</f>
        <v>0.81689999999999996</v>
      </c>
      <c r="AS92" s="238">
        <f ca="1">[1]!s_fa_dupont_faturnover(E92,$C$3)</f>
        <v>0.5141</v>
      </c>
      <c r="AT92" s="203">
        <f ca="1">[1]!s_fa_dupont_assetstoequity(E92,$C$3)</f>
        <v>2.7241</v>
      </c>
      <c r="AU92" s="129"/>
      <c r="AV92" s="129"/>
      <c r="AW92" s="129"/>
      <c r="AX92" s="129"/>
      <c r="AY92" s="129"/>
      <c r="AZ92" s="129"/>
      <c r="BA92" s="129"/>
      <c r="BB92" s="129"/>
      <c r="BC92" s="129"/>
      <c r="BD92" s="129"/>
      <c r="BE92" s="129"/>
    </row>
    <row r="93" spans="1:57" s="191" customFormat="1" ht="12" customHeight="1" x14ac:dyDescent="0.35">
      <c r="A93" s="182" t="s">
        <v>5</v>
      </c>
      <c r="B93" s="182" t="s">
        <v>515</v>
      </c>
      <c r="C93" s="182" t="s">
        <v>516</v>
      </c>
      <c r="D93" s="182" t="str">
        <f ca="1">[1]!cb_info_underlyingname(B93)</f>
        <v>海印股份</v>
      </c>
      <c r="E93" s="183" t="str">
        <f ca="1">[1]!cb_info_underlyingcode(B93)</f>
        <v>000861.SZ</v>
      </c>
      <c r="F93" s="184" t="str">
        <f ca="1">[1]!s_info_industry_sw(B93,1)</f>
        <v>商业贸易</v>
      </c>
      <c r="G93" s="184" t="str">
        <f ca="1">[1]!s_info_industry_sw(E93,2)</f>
        <v>商业物业经营</v>
      </c>
      <c r="H93" s="184" t="str">
        <f ca="1">[1]!s_info_industry_sw(E93,3)</f>
        <v>一般物业经营</v>
      </c>
      <c r="I93" s="192" t="str">
        <f ca="1">[1]!s_info_majorproducttype(E93)</f>
        <v>催化剂及化学助剂、黏土类非金属矿产、商业地产、物业出租和管理、余热发电</v>
      </c>
      <c r="J93" s="189">
        <f ca="1">[1]!s_val_ev(E93,$B$2,100000000)</f>
        <v>50.463424843299997</v>
      </c>
      <c r="K93" s="193">
        <f ca="1">[1]!s_share_total(E93,$B$2,100000000)</f>
        <v>23.25503449</v>
      </c>
      <c r="L93" s="193">
        <f ca="1">[1]!s_share_liqa(E93,$B$2,100000000)</f>
        <v>21.677509860000001</v>
      </c>
      <c r="M93" s="186">
        <f ca="1">[1]!s_fa_gr_ttm2(E93,$C$3,100000000)</f>
        <v>19.544779666900002</v>
      </c>
      <c r="N93" s="187">
        <f ca="1">[1]!s_fa_netprofit_ttm2(E93,$C$3,100000000)</f>
        <v>1.6184315738999999</v>
      </c>
      <c r="O93" s="186"/>
      <c r="P93" s="187">
        <f ca="1">[1]!s_val_pe_ttm(E93,[1]!td($B$2-1))</f>
        <v>535.0513916015625</v>
      </c>
      <c r="Q93" s="187">
        <f ca="1">[1]!i_val_pe_percentile(E93,[1]!td($B$2-1),$B$2-365*5,[1]!td($B$2-1))</f>
        <v>100</v>
      </c>
      <c r="R93" s="187">
        <f ca="1">[1]!pb_mrq(E93,[1]!td($B$2-1))</f>
        <v>1.3755633717403564</v>
      </c>
      <c r="S93" s="187">
        <f ca="1">[1]!i_val_pb_percentile(E93,[1]!td($B$2-1),$B$2-365*5,[1]!td($B$2-1))</f>
        <v>12.993421052631579</v>
      </c>
      <c r="T93" s="187">
        <f ca="1">[1]!s_val_pe_ttm([1]!to_windcode_index(H93&amp;"(申万)"),[1]!td($B$2-1))</f>
        <v>88.610000610351563</v>
      </c>
      <c r="U93" s="187"/>
      <c r="V93" s="187">
        <f ca="1">[1]!s_fa_roe(E93,$C$3)</f>
        <v>3.6372</v>
      </c>
      <c r="W93" s="187">
        <f ca="1">[1]!s_fa_grossprofitmargin(E93,$C$3)</f>
        <v>42.538499999999999</v>
      </c>
      <c r="X93" s="187">
        <f ca="1">[1]!s_fa_netprofitmargin(E93,$C$3)</f>
        <v>12.303000000000001</v>
      </c>
      <c r="Y93" s="187">
        <f ca="1">[1]!s_fa_roic(E93,$C$3)</f>
        <v>2.3818000000000001</v>
      </c>
      <c r="Z93" s="187">
        <f ca="1">[1]!s_fa_operateincometoebt_ttm2(E93,$C$3)</f>
        <v>53.4985</v>
      </c>
      <c r="AA93" s="186"/>
      <c r="AB93" s="342"/>
      <c r="AC93" s="186">
        <f ca="1">[1]!s_fa_cagr_tr($E93,AC$6,3)</f>
        <v>0</v>
      </c>
      <c r="AD93" s="186">
        <f ca="1">[1]!s_fa_cagr_tr($E93,AD$6,3)</f>
        <v>-20.199178816370978</v>
      </c>
      <c r="AE93" s="187">
        <f ca="1">[1]!s_fa_cagr_tr($E93,AE$6,3)</f>
        <v>6.9036163288055397</v>
      </c>
      <c r="AF93" s="187">
        <f ca="1">[1]!s_fa_cagr_tr($E93,AF$6,3)</f>
        <v>14.907049271187223</v>
      </c>
      <c r="AG93" s="187">
        <f ca="1">[1]!s_fa_cagr_tr($E93,AG$6,3)</f>
        <v>10.107358298775315</v>
      </c>
      <c r="AH93" s="187">
        <f ca="1">[1]!s_fa_cagr_tr($E93,AH$6,3)</f>
        <v>-2.0121973023114359</v>
      </c>
      <c r="AI93" s="194"/>
      <c r="AJ93" s="187">
        <f ca="1">[1]!s_fa_cagr_netprofit($E93,AJ$6,3)</f>
        <v>0</v>
      </c>
      <c r="AK93" s="187">
        <f ca="1">[1]!s_fa_cagr_netprofit($E93,AK$6,3)</f>
        <v>-48.250404347251028</v>
      </c>
      <c r="AL93" s="187">
        <f ca="1">[1]!s_fa_cagr_netprofit($E93,AL$6,3)</f>
        <v>-12.258954027707002</v>
      </c>
      <c r="AM93" s="187">
        <f ca="1">[1]!s_fa_cagr_netprofit($E93,AM$6,3)</f>
        <v>-11.088364920023885</v>
      </c>
      <c r="AN93" s="187">
        <f ca="1">[1]!s_fa_cagr_netprofit($E93,AN$6,3)</f>
        <v>-6.5945650930880673</v>
      </c>
      <c r="AO93" s="187">
        <f ca="1">[1]!s_fa_cagr_netprofit($E93,AO$6,3)</f>
        <v>-19.639573386462683</v>
      </c>
      <c r="AP93" s="189"/>
      <c r="AQ93" s="202">
        <f ca="1">[1]!s_fa_dupont_roe(E93,$C$3)</f>
        <v>3.6372</v>
      </c>
      <c r="AR93" s="202">
        <f ca="1">[1]!s_fa_dupont_nptosales(B93,$C$3)</f>
        <v>12.303000000000001</v>
      </c>
      <c r="AS93" s="237">
        <f ca="1">[1]!s_fa_dupont_faturnover(E93,$C$3)</f>
        <v>0.1125</v>
      </c>
      <c r="AT93" s="202">
        <f ca="1">[1]!s_fa_dupont_assetstoequity(E93,$C$3)</f>
        <v>2.7959000000000001</v>
      </c>
      <c r="AU93" s="189"/>
      <c r="AV93" s="189"/>
      <c r="AW93" s="189"/>
      <c r="AX93" s="189"/>
      <c r="AY93" s="189"/>
      <c r="AZ93" s="189"/>
      <c r="BA93" s="189"/>
      <c r="BB93" s="189"/>
      <c r="BC93" s="189"/>
      <c r="BD93" s="189"/>
      <c r="BE93" s="189"/>
    </row>
    <row r="94" spans="1:57" s="130" customFormat="1" ht="12" customHeight="1" x14ac:dyDescent="0.35">
      <c r="A94" s="121" t="s">
        <v>0</v>
      </c>
      <c r="B94" s="121" t="s">
        <v>288</v>
      </c>
      <c r="C94" s="121" t="s">
        <v>289</v>
      </c>
      <c r="D94" s="121" t="str">
        <f ca="1">[1]!cb_info_underlyingname(B94)</f>
        <v>欧派家居</v>
      </c>
      <c r="E94" s="122" t="str">
        <f ca="1">[1]!cb_info_underlyingcode(B94)</f>
        <v>603833.SH</v>
      </c>
      <c r="F94" s="123" t="str">
        <f ca="1">[1]!s_info_industry_sw(B94,1)</f>
        <v>轻工制造</v>
      </c>
      <c r="G94" s="123" t="str">
        <f ca="1">[1]!s_info_industry_sw(E94,2)</f>
        <v>家用轻工</v>
      </c>
      <c r="H94" s="123" t="str">
        <f ca="1">[1]!s_info_industry_sw(E94,3)</f>
        <v>家具</v>
      </c>
      <c r="I94" s="156" t="str">
        <f ca="1">[1]!s_info_majorproducttype(E94)</f>
        <v>家具</v>
      </c>
      <c r="J94" s="129">
        <f ca="1">[1]!s_val_ev(E94,$B$2,100000000)</f>
        <v>932.06339563479992</v>
      </c>
      <c r="K94" s="157">
        <f ca="1">[1]!s_share_total(E94,$B$2,100000000)</f>
        <v>6.0915194799999997</v>
      </c>
      <c r="L94" s="157">
        <f ca="1">[1]!s_share_liqa(E94,$B$2,100000000)</f>
        <v>6.0915194799999997</v>
      </c>
      <c r="M94" s="125">
        <f ca="1">[1]!s_fa_gr_ttm2(E94,$C$3,100000000)</f>
        <v>137.29666885349999</v>
      </c>
      <c r="N94" s="126">
        <f ca="1">[1]!s_fa_netprofit_ttm2(E94,$C$3,100000000)</f>
        <v>19.114914367499999</v>
      </c>
      <c r="O94" s="125"/>
      <c r="P94" s="126">
        <f ca="1">[1]!s_val_pe_ttm(E94,[1]!td($B$2-1))</f>
        <v>36.044219970703125</v>
      </c>
      <c r="Q94" s="126">
        <f ca="1">[1]!i_val_pe_percentile(E94,[1]!td($B$2-1),$B$2-365*5,[1]!td($B$2-1))</f>
        <v>50.246305418719217</v>
      </c>
      <c r="R94" s="126">
        <f ca="1">[1]!pb_mrq(E94,[1]!td($B$2-1))</f>
        <v>7.4969081313211658</v>
      </c>
      <c r="S94" s="126">
        <f ca="1">[1]!i_val_pb_percentile(E94,[1]!td($B$2-1),$B$2-365*5,[1]!td($B$2-1))</f>
        <v>56.2807881773399</v>
      </c>
      <c r="T94" s="126">
        <f ca="1">[1]!s_val_pe_ttm([1]!to_windcode_index(H94&amp;"(申万)"),[1]!td($B$2-1))</f>
        <v>25.729999542236328</v>
      </c>
      <c r="U94" s="126"/>
      <c r="V94" s="126">
        <f ca="1">[1]!s_fa_roe(E94,$C$3)</f>
        <v>14.104799999999999</v>
      </c>
      <c r="W94" s="126">
        <f ca="1">[1]!s_fa_grossprofitmargin(E94,$C$3)</f>
        <v>36.038600000000002</v>
      </c>
      <c r="X94" s="126">
        <f ca="1">[1]!s_fa_netprofitmargin(E94,$C$3)</f>
        <v>14.902100000000001</v>
      </c>
      <c r="Y94" s="126">
        <f ca="1">[1]!s_fa_roic(E94,$C$3)</f>
        <v>11.121499999999999</v>
      </c>
      <c r="Z94" s="126">
        <f ca="1">[1]!s_fa_operateincometoebt_ttm2(E94,$C$3)</f>
        <v>92.745999999999995</v>
      </c>
      <c r="AA94" s="125"/>
      <c r="AB94" s="343"/>
      <c r="AC94" s="125">
        <f ca="1">[1]!s_fa_cagr_tr($E94,AC$6,3)</f>
        <v>0</v>
      </c>
      <c r="AD94" s="125">
        <f ca="1">[1]!s_fa_cagr_tr($E94,AD$6,3)</f>
        <v>14.926554924809254</v>
      </c>
      <c r="AE94" s="126">
        <f ca="1">[1]!s_fa_cagr_tr($E94,AE$6,3)</f>
        <v>23.79075003523916</v>
      </c>
      <c r="AF94" s="126">
        <f ca="1">[1]!s_fa_cagr_tr($E94,AF$6,3)</f>
        <v>27.088100726258247</v>
      </c>
      <c r="AG94" s="126">
        <f ca="1">[1]!s_fa_cagr_tr($E94,AG$6,3)</f>
        <v>26.904868474749332</v>
      </c>
      <c r="AH94" s="126">
        <f ca="1">[1]!s_fa_cagr_tr($E94,AH$6,3)</f>
        <v>21.320335991842999</v>
      </c>
      <c r="AI94" s="169"/>
      <c r="AJ94" s="126">
        <f ca="1">[1]!s_fa_cagr_netprofit($E94,AJ$6,3)</f>
        <v>0</v>
      </c>
      <c r="AK94" s="126">
        <f ca="1">[1]!s_fa_cagr_netprofit($E94,AK$6,3)</f>
        <v>16.630261712139284</v>
      </c>
      <c r="AL94" s="126">
        <f ca="1">[1]!s_fa_cagr_netprofit($E94,AL$6,3)</f>
        <v>24.658362339945473</v>
      </c>
      <c r="AM94" s="126">
        <f ca="1">[1]!s_fa_cagr_netprofit($E94,AM$6,3)</f>
        <v>47.633837529797354</v>
      </c>
      <c r="AN94" s="126">
        <f ca="1">[1]!s_fa_cagr_netprofit($E94,AN$6,3)</f>
        <v>49.988052947070294</v>
      </c>
      <c r="AO94" s="126">
        <f ca="1">[1]!s_fa_cagr_netprofit($E94,AO$6,3)</f>
        <v>58.273282661924064</v>
      </c>
      <c r="AP94" s="129"/>
      <c r="AQ94" s="203">
        <f ca="1">[1]!s_fa_dupont_roe(E94,$C$3)</f>
        <v>14.104799999999999</v>
      </c>
      <c r="AR94" s="203">
        <f ca="1">[1]!s_fa_dupont_nptosales(B94,$C$3)</f>
        <v>14.902100000000001</v>
      </c>
      <c r="AS94" s="238">
        <f ca="1">[1]!s_fa_dupont_faturnover(E94,$C$3)</f>
        <v>0.5877</v>
      </c>
      <c r="AT94" s="203">
        <f ca="1">[1]!s_fa_dupont_assetstoequity(E94,$C$3)</f>
        <v>1.6104000000000001</v>
      </c>
      <c r="AU94" s="129"/>
      <c r="AV94" s="129"/>
      <c r="AW94" s="129"/>
      <c r="AX94" s="129"/>
      <c r="AY94" s="129"/>
      <c r="AZ94" s="129"/>
      <c r="BA94" s="129"/>
      <c r="BB94" s="129"/>
      <c r="BC94" s="129"/>
      <c r="BD94" s="129"/>
      <c r="BE94" s="129"/>
    </row>
    <row r="95" spans="1:57" s="191" customFormat="1" ht="12" customHeight="1" x14ac:dyDescent="0.35">
      <c r="A95" s="182" t="s">
        <v>5</v>
      </c>
      <c r="B95" s="182" t="s">
        <v>503</v>
      </c>
      <c r="C95" s="182" t="s">
        <v>504</v>
      </c>
      <c r="D95" s="182" t="str">
        <f ca="1">[1]!cb_info_underlyingname(B95)</f>
        <v>太阳纸业</v>
      </c>
      <c r="E95" s="183" t="str">
        <f ca="1">[1]!cb_info_underlyingcode(B95)</f>
        <v>002078.SZ</v>
      </c>
      <c r="F95" s="184" t="str">
        <f ca="1">[1]!s_info_industry_sw(B95,1)</f>
        <v>轻工制造</v>
      </c>
      <c r="G95" s="184" t="str">
        <f ca="1">[1]!s_info_industry_sw(E95,2)</f>
        <v>造纸Ⅱ</v>
      </c>
      <c r="H95" s="184" t="str">
        <f ca="1">[1]!s_info_industry_sw(E95,3)</f>
        <v>造纸Ⅲ</v>
      </c>
      <c r="I95" s="192" t="str">
        <f ca="1">[1]!s_info_majorproducttype(E95)</f>
        <v>水电、特种纸、印刷用纸、纸板</v>
      </c>
      <c r="J95" s="189">
        <f ca="1">[1]!s_val_ev(E95,$B$2,100000000)</f>
        <v>360.59462217679999</v>
      </c>
      <c r="K95" s="193">
        <f ca="1">[1]!s_share_total(E95,$B$2,100000000)</f>
        <v>26.869942040000002</v>
      </c>
      <c r="L95" s="193">
        <f ca="1">[1]!s_share_liqa(E95,$B$2,100000000)</f>
        <v>26.12703454</v>
      </c>
      <c r="M95" s="186">
        <f ca="1">[1]!s_fa_gr_ttm2(E95,$C$3,100000000)</f>
        <v>220.00335463499999</v>
      </c>
      <c r="N95" s="187">
        <f ca="1">[1]!s_fa_netprofit_ttm2(E95,$C$3,100000000)</f>
        <v>20.751875372200001</v>
      </c>
      <c r="O95" s="186"/>
      <c r="P95" s="187">
        <f ca="1">[1]!s_val_pe_ttm(E95,[1]!td($B$2-1))</f>
        <v>11.101531982421875</v>
      </c>
      <c r="Q95" s="187">
        <f ca="1">[1]!i_val_pe_percentile(E95,[1]!td($B$2-1),$B$2-365*5,[1]!td($B$2-1))</f>
        <v>31.30482456140351</v>
      </c>
      <c r="R95" s="187">
        <f ca="1">[1]!pb_mrq(E95,[1]!td($B$2-1))</f>
        <v>1.9946220288829255</v>
      </c>
      <c r="S95" s="187">
        <f ca="1">[1]!i_val_pb_percentile(E95,[1]!td($B$2-1),$B$2-365*5,[1]!td($B$2-1))</f>
        <v>43.146929824561404</v>
      </c>
      <c r="T95" s="187">
        <f ca="1">[1]!s_val_pe_ttm([1]!to_windcode_index(H95&amp;"(申万)"),[1]!td($B$2-1))</f>
        <v>13.180000305175781</v>
      </c>
      <c r="U95" s="186"/>
      <c r="V95" s="186">
        <f ca="1">[1]!s_fa_roe(E95,$C$3)</f>
        <v>9.1473999999999993</v>
      </c>
      <c r="W95" s="186">
        <f ca="1">[1]!s_fa_grossprofitmargin(E95,$C$3)</f>
        <v>23.331199999999999</v>
      </c>
      <c r="X95" s="186">
        <f ca="1">[1]!s_fa_netprofitmargin(E95,$C$3)</f>
        <v>8.9126999999999992</v>
      </c>
      <c r="Y95" s="186">
        <f ca="1">[1]!s_fa_roic(E95,$C$3)</f>
        <v>6.0039999999999996</v>
      </c>
      <c r="Z95" s="186">
        <f ca="1">[1]!s_fa_operateincometoebt_ttm2(E95,$C$3)</f>
        <v>95.731099999999998</v>
      </c>
      <c r="AA95" s="186"/>
      <c r="AB95" s="342"/>
      <c r="AC95" s="186">
        <f ca="1">[1]!s_fa_cagr_tr($E95,AC$6,3)</f>
        <v>0</v>
      </c>
      <c r="AD95" s="186">
        <f ca="1">[1]!s_fa_cagr_tr($E95,AD$6,3)</f>
        <v>4.5438061594277324</v>
      </c>
      <c r="AE95" s="187">
        <f ca="1">[1]!s_fa_cagr_tr($E95,AE$6,3)</f>
        <v>16.340342069726567</v>
      </c>
      <c r="AF95" s="187">
        <f ca="1">[1]!s_fa_cagr_tr($E95,AF$6,3)</f>
        <v>26.220879358956537</v>
      </c>
      <c r="AG95" s="187">
        <f ca="1">[1]!s_fa_cagr_tr($E95,AG$6,3)</f>
        <v>21.794851479179677</v>
      </c>
      <c r="AH95" s="187">
        <f ca="1">[1]!s_fa_cagr_tr($E95,AH$6,3)</f>
        <v>9.8838722704724482</v>
      </c>
      <c r="AI95" s="194"/>
      <c r="AJ95" s="187">
        <f ca="1">[1]!s_fa_cagr_netprofit($E95,AJ$6,3)</f>
        <v>0</v>
      </c>
      <c r="AK95" s="187">
        <f ca="1">[1]!s_fa_cagr_netprofit($E95,AK$6,3)</f>
        <v>-1.1851740860395199</v>
      </c>
      <c r="AL95" s="187">
        <f ca="1">[1]!s_fa_cagr_netprofit($E95,AL$6,3)</f>
        <v>27.262806332813618</v>
      </c>
      <c r="AM95" s="187">
        <f ca="1">[1]!s_fa_cagr_netprofit($E95,AM$6,3)</f>
        <v>49.725058585563865</v>
      </c>
      <c r="AN95" s="187">
        <f ca="1">[1]!s_fa_cagr_netprofit($E95,AN$6,3)</f>
        <v>62.837016310505668</v>
      </c>
      <c r="AO95" s="187">
        <f ca="1">[1]!s_fa_cagr_netprofit($E95,AO$6,3)</f>
        <v>54.846570668915959</v>
      </c>
      <c r="AP95" s="189"/>
      <c r="AQ95" s="202">
        <f ca="1">[1]!s_fa_dupont_roe(E95,$C$3)</f>
        <v>9.1473999999999993</v>
      </c>
      <c r="AR95" s="202">
        <f ca="1">[1]!s_fa_dupont_nptosales(B95,$C$3)</f>
        <v>8.9126999999999992</v>
      </c>
      <c r="AS95" s="237">
        <f ca="1">[1]!s_fa_dupont_faturnover(E95,$C$3)</f>
        <v>0.4652</v>
      </c>
      <c r="AT95" s="202">
        <f ca="1">[1]!s_fa_dupont_assetstoequity(E95,$C$3)</f>
        <v>2.2248999999999999</v>
      </c>
      <c r="AU95" s="189"/>
      <c r="AV95" s="201"/>
      <c r="AW95" s="189"/>
      <c r="AX95" s="189"/>
      <c r="AY95" s="189"/>
      <c r="AZ95" s="189"/>
      <c r="BA95" s="189"/>
      <c r="BB95" s="189"/>
      <c r="BC95" s="189"/>
      <c r="BD95" s="189"/>
      <c r="BE95" s="189"/>
    </row>
    <row r="96" spans="1:57" s="130" customFormat="1" ht="12" customHeight="1" x14ac:dyDescent="0.35">
      <c r="A96" s="121" t="s">
        <v>0</v>
      </c>
      <c r="B96" s="121" t="s">
        <v>392</v>
      </c>
      <c r="C96" s="121" t="s">
        <v>393</v>
      </c>
      <c r="D96" s="121" t="str">
        <f ca="1">[1]!cb_info_underlyingname(B96)</f>
        <v>山鹰国际</v>
      </c>
      <c r="E96" s="122" t="str">
        <f ca="1">[1]!cb_info_underlyingcode(B96)</f>
        <v>600567.SH</v>
      </c>
      <c r="F96" s="123" t="str">
        <f ca="1">[1]!s_info_industry_sw(B96,1)</f>
        <v>轻工制造</v>
      </c>
      <c r="G96" s="123" t="str">
        <f ca="1">[1]!s_info_industry_sw(E96,2)</f>
        <v>造纸Ⅱ</v>
      </c>
      <c r="H96" s="123" t="str">
        <f ca="1">[1]!s_info_industry_sw(E96,3)</f>
        <v>造纸Ⅲ</v>
      </c>
      <c r="I96" s="156" t="str">
        <f ca="1">[1]!s_info_majorproducttype(E96)</f>
        <v>书写用纸、箱板纸、新闻用纸、纸包装制品</v>
      </c>
      <c r="J96" s="129">
        <f ca="1">[1]!s_val_ev(E96,$B$2,100000000)</f>
        <v>165.71185971599999</v>
      </c>
      <c r="K96" s="157">
        <f ca="1">[1]!s_share_total(E96,$B$2,100000000)</f>
        <v>46.159292399999998</v>
      </c>
      <c r="L96" s="157">
        <f ca="1">[1]!s_share_liqa(E96,$B$2,100000000)</f>
        <v>46.159292399999998</v>
      </c>
      <c r="M96" s="125">
        <f ca="1">[1]!s_fa_gr_ttm2(E96,$C$3,100000000)</f>
        <v>231.4365597661</v>
      </c>
      <c r="N96" s="126">
        <f ca="1">[1]!s_fa_netprofit_ttm2(E96,$C$3,100000000)</f>
        <v>10.2070665414</v>
      </c>
      <c r="O96" s="125"/>
      <c r="P96" s="126">
        <f ca="1">[1]!s_val_pe_ttm(E96,[1]!td($B$2-1))</f>
        <v>8.7945690155029297</v>
      </c>
      <c r="Q96" s="126">
        <f ca="1">[1]!i_val_pe_percentile(E96,[1]!td($B$2-1),$B$2-365*5,[1]!td($B$2-1))</f>
        <v>39.96710526315789</v>
      </c>
      <c r="R96" s="126">
        <f ca="1">[1]!pb_mrq(E96,[1]!td($B$2-1))</f>
        <v>1.0399410436409102</v>
      </c>
      <c r="S96" s="126">
        <f ca="1">[1]!i_val_pb_percentile(E96,[1]!td($B$2-1),$B$2-365*5,[1]!td($B$2-1))</f>
        <v>19.682017543859647</v>
      </c>
      <c r="T96" s="126">
        <f ca="1">[1]!s_val_pe_ttm([1]!to_windcode_index(H96&amp;"(申万)"),[1]!td($B$2-1))</f>
        <v>13.180000305175781</v>
      </c>
      <c r="U96" s="126"/>
      <c r="V96" s="126">
        <f ca="1">[1]!s_fa_roe(E96,$C$3)</f>
        <v>6.6445999999999996</v>
      </c>
      <c r="W96" s="126">
        <f ca="1">[1]!s_fa_grossprofitmargin(E96,$C$3)</f>
        <v>16.888200000000001</v>
      </c>
      <c r="X96" s="126">
        <f ca="1">[1]!s_fa_netprofitmargin(E96,$C$3)</f>
        <v>5.7592999999999996</v>
      </c>
      <c r="Y96" s="126">
        <f ca="1">[1]!s_fa_roic(E96,$C$3)</f>
        <v>3.5632000000000001</v>
      </c>
      <c r="Z96" s="126">
        <f ca="1">[1]!s_fa_operateincometoebt_ttm2(E96,$C$3)</f>
        <v>78.283699999999996</v>
      </c>
      <c r="AA96" s="125"/>
      <c r="AB96" s="343"/>
      <c r="AC96" s="125">
        <f ca="1">[1]!s_fa_cagr_tr($E96,AC$6,3)</f>
        <v>0</v>
      </c>
      <c r="AD96" s="125">
        <f ca="1">[1]!s_fa_cagr_tr($E96,AD$6,3)</f>
        <v>12.643530055201978</v>
      </c>
      <c r="AE96" s="126">
        <f ca="1">[1]!s_fa_cagr_tr($E96,AE$6,3)</f>
        <v>24.186277135679223</v>
      </c>
      <c r="AF96" s="126">
        <f ca="1">[1]!s_fa_cagr_tr($E96,AF$6,3)</f>
        <v>35.533961870929211</v>
      </c>
      <c r="AG96" s="126">
        <f ca="1">[1]!s_fa_cagr_tr($E96,AG$6,3)</f>
        <v>31.200141744134612</v>
      </c>
      <c r="AH96" s="126">
        <f ca="1">[1]!s_fa_cagr_tr($E96,AH$6,3)</f>
        <v>22.643645130637147</v>
      </c>
      <c r="AI96" s="169"/>
      <c r="AJ96" s="126">
        <f ca="1">[1]!s_fa_cagr_netprofit($E96,AJ$6,3)</f>
        <v>0</v>
      </c>
      <c r="AK96" s="126">
        <f ca="1">[1]!s_fa_cagr_netprofit($E96,AK$6,3)</f>
        <v>-11.823803554327405</v>
      </c>
      <c r="AL96" s="126">
        <f ca="1">[1]!s_fa_cagr_netprofit($E96,AL$6,3)</f>
        <v>56.879921216788041</v>
      </c>
      <c r="AM96" s="126">
        <f ca="1">[1]!s_fa_cagr_netprofit($E96,AM$6,3)</f>
        <v>148.3893955005625</v>
      </c>
      <c r="AN96" s="126">
        <f ca="1">[1]!s_fa_cagr_netprofit($E96,AN$6,3)</f>
        <v>163.6295622801284</v>
      </c>
      <c r="AO96" s="126">
        <f ca="1">[1]!s_fa_cagr_netprofit($E96,AO$6,3)</f>
        <v>19.283281872520597</v>
      </c>
      <c r="AP96" s="129"/>
      <c r="AQ96" s="203">
        <f ca="1">[1]!s_fa_dupont_roe(E96,$C$3)</f>
        <v>6.6445999999999996</v>
      </c>
      <c r="AR96" s="203">
        <f ca="1">[1]!s_fa_dupont_nptosales(B96,$C$3)</f>
        <v>5.7592999999999996</v>
      </c>
      <c r="AS96" s="238">
        <f ca="1">[1]!s_fa_dupont_faturnover(E96,$C$3)</f>
        <v>0.38590000000000002</v>
      </c>
      <c r="AT96" s="203">
        <f ca="1">[1]!s_fa_dupont_assetstoequity(E96,$C$3)</f>
        <v>2.984</v>
      </c>
      <c r="AU96" s="129"/>
      <c r="AV96" s="129"/>
      <c r="AW96" s="129"/>
      <c r="AX96" s="129"/>
      <c r="AY96" s="129"/>
      <c r="AZ96" s="129"/>
      <c r="BA96" s="129"/>
      <c r="BB96" s="129"/>
      <c r="BC96" s="129"/>
      <c r="BD96" s="129"/>
      <c r="BE96" s="129"/>
    </row>
    <row r="97" spans="1:57" s="191" customFormat="1" ht="12" customHeight="1" x14ac:dyDescent="0.35">
      <c r="A97" s="182" t="s">
        <v>0</v>
      </c>
      <c r="B97" s="182" t="s">
        <v>240</v>
      </c>
      <c r="C97" s="182" t="s">
        <v>241</v>
      </c>
      <c r="D97" s="182" t="str">
        <f ca="1">[1]!cb_info_underlyingname(B97)</f>
        <v>山鹰国际</v>
      </c>
      <c r="E97" s="183" t="str">
        <f ca="1">[1]!cb_info_underlyingcode(B97)</f>
        <v>600567.SH</v>
      </c>
      <c r="F97" s="184" t="str">
        <f ca="1">[1]!s_info_industry_sw(B97,1)</f>
        <v>轻工制造</v>
      </c>
      <c r="G97" s="184" t="str">
        <f ca="1">[1]!s_info_industry_sw(E97,2)</f>
        <v>造纸Ⅱ</v>
      </c>
      <c r="H97" s="184" t="str">
        <f ca="1">[1]!s_info_industry_sw(E97,3)</f>
        <v>造纸Ⅲ</v>
      </c>
      <c r="I97" s="192" t="str">
        <f ca="1">[1]!s_info_majorproducttype(E97)</f>
        <v>书写用纸、箱板纸、新闻用纸、纸包装制品</v>
      </c>
      <c r="J97" s="189">
        <f ca="1">[1]!s_val_ev(E97,$B$2,100000000)</f>
        <v>165.71185971599999</v>
      </c>
      <c r="K97" s="193">
        <f ca="1">[1]!s_share_total(E97,$B$2,100000000)</f>
        <v>46.159292399999998</v>
      </c>
      <c r="L97" s="193">
        <f ca="1">[1]!s_share_liqa(E97,$B$2,100000000)</f>
        <v>46.159292399999998</v>
      </c>
      <c r="M97" s="186">
        <f ca="1">[1]!s_fa_gr_ttm2(E97,$C$3,100000000)</f>
        <v>231.4365597661</v>
      </c>
      <c r="N97" s="187">
        <f ca="1">[1]!s_fa_netprofit_ttm2(E97,$C$3,100000000)</f>
        <v>10.2070665414</v>
      </c>
      <c r="O97" s="186"/>
      <c r="P97" s="187">
        <f ca="1">[1]!s_val_pe_ttm(E97,[1]!td($B$2-1))</f>
        <v>8.7945690155029297</v>
      </c>
      <c r="Q97" s="187">
        <f ca="1">[1]!i_val_pe_percentile(E97,[1]!td($B$2-1),$B$2-365*5,[1]!td($B$2-1))</f>
        <v>39.96710526315789</v>
      </c>
      <c r="R97" s="187">
        <f ca="1">[1]!pb_mrq(E97,[1]!td($B$2-1))</f>
        <v>1.0399410436409102</v>
      </c>
      <c r="S97" s="187">
        <f ca="1">[1]!i_val_pb_percentile(E97,[1]!td($B$2-1),$B$2-365*5,[1]!td($B$2-1))</f>
        <v>19.682017543859647</v>
      </c>
      <c r="T97" s="187">
        <f ca="1">[1]!s_val_pe_ttm([1]!to_windcode_index(H97&amp;"(申万)"),[1]!td($B$2-1))</f>
        <v>13.180000305175781</v>
      </c>
      <c r="U97" s="187"/>
      <c r="V97" s="187">
        <f ca="1">[1]!s_fa_roe(E97,$C$3)</f>
        <v>6.6445999999999996</v>
      </c>
      <c r="W97" s="187">
        <f ca="1">[1]!s_fa_grossprofitmargin(E97,$C$3)</f>
        <v>16.888200000000001</v>
      </c>
      <c r="X97" s="187">
        <f ca="1">[1]!s_fa_netprofitmargin(E97,$C$3)</f>
        <v>5.7592999999999996</v>
      </c>
      <c r="Y97" s="187">
        <f ca="1">[1]!s_fa_roic(E97,$C$3)</f>
        <v>3.5632000000000001</v>
      </c>
      <c r="Z97" s="187">
        <f ca="1">[1]!s_fa_operateincometoebt_ttm2(E97,$C$3)</f>
        <v>78.283699999999996</v>
      </c>
      <c r="AA97" s="186"/>
      <c r="AB97" s="342"/>
      <c r="AC97" s="186">
        <f ca="1">[1]!s_fa_cagr_tr($E97,AC$6,3)</f>
        <v>0</v>
      </c>
      <c r="AD97" s="186">
        <f ca="1">[1]!s_fa_cagr_tr($E97,AD$6,3)</f>
        <v>12.643530055201978</v>
      </c>
      <c r="AE97" s="187">
        <f ca="1">[1]!s_fa_cagr_tr($E97,AE$6,3)</f>
        <v>24.186277135679223</v>
      </c>
      <c r="AF97" s="187">
        <f ca="1">[1]!s_fa_cagr_tr($E97,AF$6,3)</f>
        <v>35.533961870929211</v>
      </c>
      <c r="AG97" s="187">
        <f ca="1">[1]!s_fa_cagr_tr($E97,AG$6,3)</f>
        <v>31.200141744134612</v>
      </c>
      <c r="AH97" s="187">
        <f ca="1">[1]!s_fa_cagr_tr($E97,AH$6,3)</f>
        <v>22.643645130637147</v>
      </c>
      <c r="AI97" s="194"/>
      <c r="AJ97" s="187">
        <f ca="1">[1]!s_fa_cagr_netprofit($E97,AJ$6,3)</f>
        <v>0</v>
      </c>
      <c r="AK97" s="187">
        <f ca="1">[1]!s_fa_cagr_netprofit($E97,AK$6,3)</f>
        <v>-11.823803554327405</v>
      </c>
      <c r="AL97" s="187">
        <f ca="1">[1]!s_fa_cagr_netprofit($E97,AL$6,3)</f>
        <v>56.879921216788041</v>
      </c>
      <c r="AM97" s="187">
        <f ca="1">[1]!s_fa_cagr_netprofit($E97,AM$6,3)</f>
        <v>148.3893955005625</v>
      </c>
      <c r="AN97" s="187">
        <f ca="1">[1]!s_fa_cagr_netprofit($E97,AN$6,3)</f>
        <v>163.6295622801284</v>
      </c>
      <c r="AO97" s="187">
        <f ca="1">[1]!s_fa_cagr_netprofit($E97,AO$6,3)</f>
        <v>19.283281872520597</v>
      </c>
      <c r="AP97" s="189"/>
      <c r="AQ97" s="202">
        <f ca="1">[1]!s_fa_dupont_roe(E97,$C$3)</f>
        <v>6.6445999999999996</v>
      </c>
      <c r="AR97" s="202">
        <f ca="1">[1]!s_fa_dupont_nptosales(B97,$C$3)</f>
        <v>5.7592999999999996</v>
      </c>
      <c r="AS97" s="237">
        <f ca="1">[1]!s_fa_dupont_faturnover(E97,$C$3)</f>
        <v>0.38590000000000002</v>
      </c>
      <c r="AT97" s="202">
        <f ca="1">[1]!s_fa_dupont_assetstoequity(E97,$C$3)</f>
        <v>2.984</v>
      </c>
      <c r="AU97" s="189"/>
      <c r="AV97" s="189"/>
      <c r="AW97" s="189"/>
      <c r="AX97" s="189"/>
      <c r="AY97" s="189"/>
      <c r="AZ97" s="189"/>
      <c r="BA97" s="189"/>
      <c r="BB97" s="189"/>
      <c r="BC97" s="189"/>
      <c r="BD97" s="189"/>
      <c r="BE97" s="189"/>
    </row>
    <row r="98" spans="1:57" s="130" customFormat="1" ht="12" customHeight="1" x14ac:dyDescent="0.35">
      <c r="A98" s="121" t="s">
        <v>5</v>
      </c>
      <c r="B98" s="121" t="s">
        <v>204</v>
      </c>
      <c r="C98" s="121" t="s">
        <v>205</v>
      </c>
      <c r="D98" s="121" t="str">
        <f ca="1">[1]!cb_info_underlyingname(B98)</f>
        <v>奥瑞金</v>
      </c>
      <c r="E98" s="122" t="str">
        <f ca="1">[1]!cb_info_underlyingcode(B98)</f>
        <v>002701.SZ</v>
      </c>
      <c r="F98" s="123" t="str">
        <f ca="1">[1]!s_info_industry_sw(B98,1)</f>
        <v>轻工制造</v>
      </c>
      <c r="G98" s="123" t="str">
        <f ca="1">[1]!s_info_industry_sw(E98,2)</f>
        <v>包装印刷Ⅱ</v>
      </c>
      <c r="H98" s="123" t="str">
        <f ca="1">[1]!s_info_industry_sw(E98,3)</f>
        <v>包装印刷Ⅲ</v>
      </c>
      <c r="I98" s="156" t="str">
        <f ca="1">[1]!s_info_majorproducttype(E98)</f>
        <v>金属包装制品</v>
      </c>
      <c r="J98" s="129">
        <f ca="1">[1]!s_val_ev(E98,$B$2,100000000)</f>
        <v>145.9097228498</v>
      </c>
      <c r="K98" s="157">
        <f ca="1">[1]!s_share_total(E98,$B$2,100000000)</f>
        <v>24.237495490000001</v>
      </c>
      <c r="L98" s="157">
        <f ca="1">[1]!s_share_liqa(E98,$B$2,100000000)</f>
        <v>24.21535673</v>
      </c>
      <c r="M98" s="125">
        <f ca="1">[1]!s_fa_gr_ttm2(E98,$C$3,100000000)</f>
        <v>107.92726438</v>
      </c>
      <c r="N98" s="126">
        <f ca="1">[1]!s_fa_netprofit_ttm2(E98,$C$3,100000000)</f>
        <v>4.7889718500000003</v>
      </c>
      <c r="O98" s="125"/>
      <c r="P98" s="126">
        <f ca="1">[1]!s_val_pe_ttm(E98,[1]!td($B$2-1))</f>
        <v>13.143246650695801</v>
      </c>
      <c r="Q98" s="126">
        <f ca="1">[1]!i_val_pe_percentile(E98,[1]!td($B$2-1),$B$2-365*5,[1]!td($B$2-1))</f>
        <v>2.8508771929824559</v>
      </c>
      <c r="R98" s="126">
        <f ca="1">[1]!pb_mrq(E98,[1]!td($B$2-1))</f>
        <v>2.1077200038093595</v>
      </c>
      <c r="S98" s="126">
        <f ca="1">[1]!i_val_pb_percentile(E98,[1]!td($B$2-1),$B$2-365*5,[1]!td($B$2-1))</f>
        <v>42.543859649122808</v>
      </c>
      <c r="T98" s="126">
        <f ca="1">[1]!s_val_pe_ttm([1]!to_windcode_index(H98&amp;"(申万)"),[1]!td($B$2-1))</f>
        <v>28.680000305175781</v>
      </c>
      <c r="U98" s="126"/>
      <c r="V98" s="126">
        <f ca="1">[1]!s_fa_roe(E98,$C$3)</f>
        <v>8.1651000000000007</v>
      </c>
      <c r="W98" s="126">
        <f ca="1">[1]!s_fa_grossprofitmargin(E98,$C$3)</f>
        <v>23.307500000000001</v>
      </c>
      <c r="X98" s="126">
        <f ca="1">[1]!s_fa_netprofitmargin(E98,$C$3)</f>
        <v>6.2634999999999996</v>
      </c>
      <c r="Y98" s="126">
        <f ca="1">[1]!s_fa_roic(E98,$C$3)</f>
        <v>6.1182999999999996</v>
      </c>
      <c r="Z98" s="126">
        <f ca="1">[1]!s_fa_operateincometoebt_ttm2(E98,$C$3)</f>
        <v>65.8917</v>
      </c>
      <c r="AA98" s="125"/>
      <c r="AB98" s="343"/>
      <c r="AC98" s="125">
        <f ca="1">[1]!s_fa_cagr_tr($E98,AC$6,3)</f>
        <v>0</v>
      </c>
      <c r="AD98" s="125">
        <f ca="1">[1]!s_fa_cagr_tr($E98,AD$6,3)</f>
        <v>12.881555303400049</v>
      </c>
      <c r="AE98" s="126">
        <f ca="1">[1]!s_fa_cagr_tr($E98,AE$6,3)</f>
        <v>7.2312610449580816</v>
      </c>
      <c r="AF98" s="126">
        <f ca="1">[1]!s_fa_cagr_tr($E98,AF$6,3)</f>
        <v>7.059920000029174</v>
      </c>
      <c r="AG98" s="126">
        <f ca="1">[1]!s_fa_cagr_tr($E98,AG$6,3)</f>
        <v>10.413896503359133</v>
      </c>
      <c r="AH98" s="126">
        <f ca="1">[1]!s_fa_cagr_tr($E98,AH$6,3)</f>
        <v>18.4953002289324</v>
      </c>
      <c r="AI98" s="169"/>
      <c r="AJ98" s="126">
        <f ca="1">[1]!s_fa_cagr_netprofit($E98,AJ$6,3)</f>
        <v>0</v>
      </c>
      <c r="AK98" s="126">
        <f ca="1">[1]!s_fa_cagr_netprofit($E98,AK$6,3)</f>
        <v>0.16888318801868696</v>
      </c>
      <c r="AL98" s="126">
        <f ca="1">[1]!s_fa_cagr_netprofit($E98,AL$6,3)</f>
        <v>-16.02002548361434</v>
      </c>
      <c r="AM98" s="126">
        <f ca="1">[1]!s_fa_cagr_netprofit($E98,AM$6,3)</f>
        <v>-39.483928210447452</v>
      </c>
      <c r="AN98" s="126">
        <f ca="1">[1]!s_fa_cagr_netprofit($E98,AN$6,3)</f>
        <v>-4.534376294042719</v>
      </c>
      <c r="AO98" s="126">
        <f ca="1">[1]!s_fa_cagr_netprofit($E98,AO$6,3)</f>
        <v>23.425723163932453</v>
      </c>
      <c r="AP98" s="129"/>
      <c r="AQ98" s="203">
        <f ca="1">[1]!s_fa_dupont_roe(E98,$C$3)</f>
        <v>8.1651000000000007</v>
      </c>
      <c r="AR98" s="203">
        <f ca="1">[1]!s_fa_dupont_nptosales(B98,$C$3)</f>
        <v>6.2634999999999996</v>
      </c>
      <c r="AS98" s="238">
        <f ca="1">[1]!s_fa_dupont_faturnover(E98,$C$3)</f>
        <v>0.51439999999999997</v>
      </c>
      <c r="AT98" s="203">
        <f ca="1">[1]!s_fa_dupont_assetstoequity(E98,$C$3)</f>
        <v>2.5911</v>
      </c>
      <c r="AU98" s="129"/>
      <c r="AV98" s="129"/>
      <c r="AW98" s="129"/>
      <c r="AX98" s="129"/>
      <c r="AY98" s="129"/>
      <c r="AZ98" s="129"/>
      <c r="BA98" s="129"/>
      <c r="BB98" s="129"/>
      <c r="BC98" s="129"/>
      <c r="BD98" s="129"/>
      <c r="BE98" s="129"/>
    </row>
    <row r="99" spans="1:57" s="191" customFormat="1" ht="12" customHeight="1" x14ac:dyDescent="0.35">
      <c r="A99" s="182" t="s">
        <v>0</v>
      </c>
      <c r="B99" s="182" t="s">
        <v>226</v>
      </c>
      <c r="C99" s="182" t="s">
        <v>227</v>
      </c>
      <c r="D99" s="182" t="str">
        <f ca="1">[1]!cb_info_underlyingname(B99)</f>
        <v>东风股份</v>
      </c>
      <c r="E99" s="183" t="str">
        <f ca="1">[1]!cb_info_underlyingcode(B99)</f>
        <v>601515.SH</v>
      </c>
      <c r="F99" s="184" t="str">
        <f ca="1">[1]!s_info_industry_sw(B99,1)</f>
        <v>轻工制造</v>
      </c>
      <c r="G99" s="184" t="str">
        <f ca="1">[1]!s_info_industry_sw(E99,2)</f>
        <v>包装印刷Ⅱ</v>
      </c>
      <c r="H99" s="184" t="str">
        <f ca="1">[1]!s_info_industry_sw(E99,3)</f>
        <v>包装印刷Ⅲ</v>
      </c>
      <c r="I99" s="192" t="str">
        <f ca="1">[1]!s_info_majorproducttype(E99)</f>
        <v>商业印刷</v>
      </c>
      <c r="J99" s="189">
        <f ca="1">[1]!s_val_ev(E99,$B$2,100000000)</f>
        <v>101.9492419768</v>
      </c>
      <c r="K99" s="193">
        <f ca="1">[1]!s_share_total(E99,$B$2,100000000)</f>
        <v>13.34414162</v>
      </c>
      <c r="L99" s="193">
        <f ca="1">[1]!s_share_liqa(E99,$B$2,100000000)</f>
        <v>13.34414162</v>
      </c>
      <c r="M99" s="186">
        <f ca="1">[1]!s_fa_gr_ttm2(E99,$C$3,100000000)</f>
        <v>29.606638694800001</v>
      </c>
      <c r="N99" s="187">
        <f ca="1">[1]!s_fa_netprofit_ttm2(E99,$C$3,100000000)</f>
        <v>2.7701478198</v>
      </c>
      <c r="O99" s="186"/>
      <c r="P99" s="187">
        <f ca="1">[1]!s_val_pe_ttm(E99,[1]!td($B$2-1))</f>
        <v>13.421545028686523</v>
      </c>
      <c r="Q99" s="187">
        <f ca="1">[1]!i_val_pe_percentile(E99,[1]!td($B$2-1),$B$2-365*5,[1]!td($B$2-1))</f>
        <v>26.864035087719294</v>
      </c>
      <c r="R99" s="187">
        <f ca="1">[1]!pb_mrq(E99,[1]!td($B$2-1))</f>
        <v>2.3021287767226637</v>
      </c>
      <c r="S99" s="187">
        <f ca="1">[1]!i_val_pb_percentile(E99,[1]!td($B$2-1),$B$2-365*5,[1]!td($B$2-1))</f>
        <v>48.300438596491233</v>
      </c>
      <c r="T99" s="187">
        <f ca="1">[1]!s_val_pe_ttm([1]!to_windcode_index(H99&amp;"(申万)"),[1]!td($B$2-1))</f>
        <v>28.680000305175781</v>
      </c>
      <c r="U99" s="187"/>
      <c r="V99" s="187">
        <f ca="1">[1]!s_fa_roe(E99,$C$3)</f>
        <v>8.6812000000000005</v>
      </c>
      <c r="W99" s="187">
        <f ca="1">[1]!s_fa_grossprofitmargin(E99,$C$3)</f>
        <v>37.7301</v>
      </c>
      <c r="X99" s="187">
        <f ca="1">[1]!s_fa_netprofitmargin(E99,$C$3)</f>
        <v>16.777899999999999</v>
      </c>
      <c r="Y99" s="187">
        <f ca="1">[1]!s_fa_roic(E99,$C$3)</f>
        <v>7.3627000000000002</v>
      </c>
      <c r="Z99" s="187">
        <f ca="1">[1]!s_fa_operateincometoebt_ttm2(E99,$C$3)</f>
        <v>84.771600000000007</v>
      </c>
      <c r="AA99" s="186"/>
      <c r="AB99" s="342"/>
      <c r="AC99" s="186">
        <f ca="1">[1]!s_fa_cagr_tr($E99,AC$6,3)</f>
        <v>0</v>
      </c>
      <c r="AD99" s="186">
        <f ca="1">[1]!s_fa_cagr_tr($E99,AD$6,3)</f>
        <v>3.0805910452322394</v>
      </c>
      <c r="AE99" s="187">
        <f ca="1">[1]!s_fa_cagr_tr($E99,AE$6,3)</f>
        <v>10.657272045797583</v>
      </c>
      <c r="AF99" s="187">
        <f ca="1">[1]!s_fa_cagr_tr($E99,AF$6,3)</f>
        <v>14.458657438296839</v>
      </c>
      <c r="AG99" s="187">
        <f ca="1">[1]!s_fa_cagr_tr($E99,AG$6,3)</f>
        <v>11.862015811257942</v>
      </c>
      <c r="AH99" s="187">
        <f ca="1">[1]!s_fa_cagr_tr($E99,AH$6,3)</f>
        <v>9.1338854351290966</v>
      </c>
      <c r="AI99" s="194"/>
      <c r="AJ99" s="187">
        <f ca="1">[1]!s_fa_cagr_netprofit($E99,AJ$6,3)</f>
        <v>0</v>
      </c>
      <c r="AK99" s="187">
        <f ca="1">[1]!s_fa_cagr_netprofit($E99,AK$6,3)</f>
        <v>-5.6621090131253045</v>
      </c>
      <c r="AL99" s="187">
        <f ca="1">[1]!s_fa_cagr_netprofit($E99,AL$6,3)</f>
        <v>-10.088969250729251</v>
      </c>
      <c r="AM99" s="187">
        <f ca="1">[1]!s_fa_cagr_netprofit($E99,AM$6,3)</f>
        <v>0.30041118171002523</v>
      </c>
      <c r="AN99" s="187">
        <f ca="1">[1]!s_fa_cagr_netprofit($E99,AN$6,3)</f>
        <v>-3.9850551101703768</v>
      </c>
      <c r="AO99" s="187">
        <f ca="1">[1]!s_fa_cagr_netprofit($E99,AO$6,3)</f>
        <v>-6.9143991503722413</v>
      </c>
      <c r="AP99" s="189"/>
      <c r="AQ99" s="202">
        <f ca="1">[1]!s_fa_dupont_roe(E99,$C$3)</f>
        <v>8.6812000000000005</v>
      </c>
      <c r="AR99" s="202">
        <f ca="1">[1]!s_fa_dupont_nptosales(B99,$C$3)</f>
        <v>16.777899999999999</v>
      </c>
      <c r="AS99" s="237">
        <f ca="1">[1]!s_fa_dupont_faturnover(E99,$C$3)</f>
        <v>0.3483</v>
      </c>
      <c r="AT99" s="202">
        <f ca="1">[1]!s_fa_dupont_assetstoequity(E99,$C$3)</f>
        <v>1.4869000000000001</v>
      </c>
      <c r="AU99" s="189"/>
      <c r="AV99" s="201"/>
      <c r="AW99" s="189"/>
      <c r="AX99" s="189"/>
      <c r="AY99" s="189"/>
      <c r="AZ99" s="189"/>
      <c r="BA99" s="189"/>
      <c r="BB99" s="189"/>
      <c r="BC99" s="189"/>
      <c r="BD99" s="189"/>
      <c r="BE99" s="189"/>
    </row>
    <row r="100" spans="1:57" s="130" customFormat="1" ht="12" customHeight="1" x14ac:dyDescent="0.35">
      <c r="A100" s="121" t="s">
        <v>5</v>
      </c>
      <c r="B100" s="121" t="s">
        <v>842</v>
      </c>
      <c r="C100" s="121" t="s">
        <v>843</v>
      </c>
      <c r="D100" s="121" t="str">
        <f ca="1">[1]!cb_info_underlyingname(B100)</f>
        <v>金陵体育</v>
      </c>
      <c r="E100" s="122" t="str">
        <f ca="1">[1]!cb_info_underlyingcode(B100)</f>
        <v>300651.SZ</v>
      </c>
      <c r="F100" s="123" t="str">
        <f ca="1">[1]!s_info_industry_sw(B100,1)</f>
        <v>轻工制造</v>
      </c>
      <c r="G100" s="123" t="str">
        <f ca="1">[1]!s_info_industry_sw(E100,2)</f>
        <v>家用轻工</v>
      </c>
      <c r="H100" s="123" t="str">
        <f ca="1">[1]!s_info_industry_sw(E100,3)</f>
        <v>文娱用品</v>
      </c>
      <c r="I100" s="156" t="str">
        <f ca="1">[1]!s_info_majorproducttype(E100)</f>
        <v>体育用品</v>
      </c>
      <c r="J100" s="129">
        <f ca="1">[1]!s_val_ev(E100,$B$2,100000000)</f>
        <v>41.585209939999999</v>
      </c>
      <c r="K100" s="157">
        <f ca="1">[1]!s_share_total(E100,$B$2,100000000)</f>
        <v>1.2874677999999999</v>
      </c>
      <c r="L100" s="157">
        <f ca="1">[1]!s_share_liqa(E100,$B$2,100000000)</f>
        <v>0.72705167000000004</v>
      </c>
      <c r="M100" s="125">
        <f ca="1">[1]!s_fa_gr_ttm2(E100,$C$3,100000000)</f>
        <v>4.9037237668999998</v>
      </c>
      <c r="N100" s="126">
        <f ca="1">[1]!s_fa_netprofit_ttm2(E100,$C$3,100000000)</f>
        <v>0.44797374359999997</v>
      </c>
      <c r="O100" s="125"/>
      <c r="P100" s="126">
        <f ca="1">[1]!s_val_pe_ttm(E100,[1]!td($B$2-1))</f>
        <v>137.97062683105469</v>
      </c>
      <c r="Q100" s="126">
        <f ca="1">[1]!i_val_pe_percentile(E100,[1]!td($B$2-1),$B$2-365*5,[1]!td($B$2-1))</f>
        <v>88.369152970922883</v>
      </c>
      <c r="R100" s="126">
        <f ca="1">[1]!pb_mrq(E100,[1]!td($B$2-1))</f>
        <v>6.0316027999575761</v>
      </c>
      <c r="S100" s="126">
        <f ca="1">[1]!i_val_pb_percentile(E100,[1]!td($B$2-1),$B$2-365*5,[1]!td($B$2-1))</f>
        <v>58.217446270543618</v>
      </c>
      <c r="T100" s="126">
        <f ca="1">[1]!s_val_pe_ttm([1]!to_windcode_index(H100&amp;"(申万)"),[1]!td($B$2-1))</f>
        <v>40.590000152587891</v>
      </c>
      <c r="U100" s="126"/>
      <c r="V100" s="126">
        <f ca="1">[1]!s_fa_roe(E100,$C$3)</f>
        <v>4.3597999999999999</v>
      </c>
      <c r="W100" s="126">
        <f ca="1">[1]!s_fa_grossprofitmargin(E100,$C$3)</f>
        <v>35.910299999999999</v>
      </c>
      <c r="X100" s="126">
        <f ca="1">[1]!s_fa_netprofitmargin(E100,$C$3)</f>
        <v>9.8923000000000005</v>
      </c>
      <c r="Y100" s="126">
        <f ca="1">[1]!s_fa_roic(E100,$C$3)</f>
        <v>4.0267999999999997</v>
      </c>
      <c r="Z100" s="126">
        <f ca="1">[1]!s_fa_operateincometoebt_ttm2(E100,$C$3)</f>
        <v>92.892899999999997</v>
      </c>
      <c r="AA100" s="125"/>
      <c r="AB100" s="343"/>
      <c r="AC100" s="125">
        <f ca="1">[1]!s_fa_cagr_tr($E100,AC$6,3)</f>
        <v>0</v>
      </c>
      <c r="AD100" s="125">
        <f ca="1">[1]!s_fa_cagr_tr($E100,AD$6,3)</f>
        <v>10.182001906009507</v>
      </c>
      <c r="AE100" s="126">
        <f ca="1">[1]!s_fa_cagr_tr($E100,AE$6,3)</f>
        <v>14.851563296740199</v>
      </c>
      <c r="AF100" s="126">
        <f ca="1">[1]!s_fa_cagr_tr($E100,AF$6,3)</f>
        <v>11.931187843969692</v>
      </c>
      <c r="AG100" s="126">
        <f ca="1">[1]!s_fa_cagr_tr($E100,AG$6,3)</f>
        <v>-0.76410448351621474</v>
      </c>
      <c r="AH100" s="126">
        <f ca="1">[1]!s_fa_cagr_tr($E100,AH$6,3)</f>
        <v>2.773128209743736</v>
      </c>
      <c r="AI100" s="169"/>
      <c r="AJ100" s="126">
        <f ca="1">[1]!s_fa_cagr_netprofit($E100,AJ$6,3)</f>
        <v>0</v>
      </c>
      <c r="AK100" s="126">
        <f ca="1">[1]!s_fa_cagr_netprofit($E100,AK$6,3)</f>
        <v>-11.821446497530131</v>
      </c>
      <c r="AL100" s="126">
        <f ca="1">[1]!s_fa_cagr_netprofit($E100,AL$6,3)</f>
        <v>-2.821519640013348</v>
      </c>
      <c r="AM100" s="126">
        <f ca="1">[1]!s_fa_cagr_netprofit($E100,AM$6,3)</f>
        <v>-7.0860220041496174</v>
      </c>
      <c r="AN100" s="126">
        <f ca="1">[1]!s_fa_cagr_netprofit($E100,AN$6,3)</f>
        <v>-3.5235967537632473</v>
      </c>
      <c r="AO100" s="126">
        <f ca="1">[1]!s_fa_cagr_netprofit($E100,AO$6,3)</f>
        <v>26.236479561109107</v>
      </c>
      <c r="AP100" s="129"/>
      <c r="AQ100" s="203">
        <f ca="1">[1]!s_fa_dupont_roe(E100,$C$3)</f>
        <v>4.3597999999999999</v>
      </c>
      <c r="AR100" s="203">
        <f ca="1">[1]!s_fa_dupont_nptosales(B100,$C$3)</f>
        <v>9.8923000000000005</v>
      </c>
      <c r="AS100" s="238">
        <f ca="1">[1]!s_fa_dupont_faturnover(E100,$C$3)</f>
        <v>0.32219999999999999</v>
      </c>
      <c r="AT100" s="203">
        <f ca="1">[1]!s_fa_dupont_assetstoequity(E100,$C$3)</f>
        <v>1.3764000000000001</v>
      </c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29"/>
      <c r="BE100" s="129"/>
    </row>
    <row r="101" spans="1:57" s="191" customFormat="1" ht="12" customHeight="1" x14ac:dyDescent="0.35">
      <c r="A101" s="182" t="s">
        <v>0</v>
      </c>
      <c r="B101" s="182" t="s">
        <v>296</v>
      </c>
      <c r="C101" s="182" t="s">
        <v>297</v>
      </c>
      <c r="D101" s="182" t="str">
        <f ca="1">[1]!cb_info_underlyingname(B101)</f>
        <v>好莱客</v>
      </c>
      <c r="E101" s="183" t="str">
        <f ca="1">[1]!cb_info_underlyingcode(B101)</f>
        <v>603898.SH</v>
      </c>
      <c r="F101" s="184" t="str">
        <f ca="1">[1]!s_info_industry_sw(B101,1)</f>
        <v>轻工制造</v>
      </c>
      <c r="G101" s="184" t="str">
        <f ca="1">[1]!s_info_industry_sw(E101,2)</f>
        <v>家用轻工</v>
      </c>
      <c r="H101" s="184" t="str">
        <f ca="1">[1]!s_info_industry_sw(E101,3)</f>
        <v>家具</v>
      </c>
      <c r="I101" s="192" t="str">
        <f ca="1">[1]!s_info_majorproducttype(E101)</f>
        <v>家具、物流仓储机械</v>
      </c>
      <c r="J101" s="189">
        <f ca="1">[1]!s_val_ev(E101,$B$2,100000000)</f>
        <v>39.532174173999998</v>
      </c>
      <c r="K101" s="193">
        <f ca="1">[1]!s_share_total(E101,$B$2,100000000)</f>
        <v>3.1127696199999999</v>
      </c>
      <c r="L101" s="193">
        <f ca="1">[1]!s_share_liqa(E101,$B$2,100000000)</f>
        <v>3.1127696199999999</v>
      </c>
      <c r="M101" s="186">
        <f ca="1">[1]!s_fa_gr_ttm2(E101,$C$3,100000000)</f>
        <v>20.747555795</v>
      </c>
      <c r="N101" s="187">
        <f ca="1">[1]!s_fa_netprofit_ttm2(E101,$C$3,100000000)</f>
        <v>2.8320121661000002</v>
      </c>
      <c r="O101" s="186"/>
      <c r="P101" s="187">
        <f ca="1">[1]!s_val_pe_ttm(E101,[1]!td($B$2-1))</f>
        <v>11.711483001708984</v>
      </c>
      <c r="Q101" s="187">
        <f ca="1">[1]!i_val_pe_percentile(E101,[1]!td($B$2-1),$B$2-365*5,[1]!td($B$2-1))</f>
        <v>4.1940789473684212</v>
      </c>
      <c r="R101" s="187">
        <f ca="1">[1]!pb_mrq(E101,[1]!td($B$2-1))</f>
        <v>1.5031903129077984</v>
      </c>
      <c r="S101" s="187">
        <f ca="1">[1]!i_val_pb_percentile(E101,[1]!td($B$2-1),$B$2-365*5,[1]!td($B$2-1))</f>
        <v>2.1655701754385968</v>
      </c>
      <c r="T101" s="187">
        <f ca="1">[1]!s_val_pe_ttm([1]!to_windcode_index(H101&amp;"(申万)"),[1]!td($B$2-1))</f>
        <v>25.729999542236328</v>
      </c>
      <c r="U101" s="187"/>
      <c r="V101" s="187">
        <f ca="1">[1]!s_fa_roe(E101,$C$3)</f>
        <v>7.0541999999999998</v>
      </c>
      <c r="W101" s="187">
        <f ca="1">[1]!s_fa_grossprofitmargin(E101,$C$3)</f>
        <v>38.019300000000001</v>
      </c>
      <c r="X101" s="187">
        <f ca="1">[1]!s_fa_netprofitmargin(E101,$C$3)</f>
        <v>12.232200000000001</v>
      </c>
      <c r="Y101" s="187">
        <f ca="1">[1]!s_fa_roic(E101,$C$3)</f>
        <v>5.9734999999999996</v>
      </c>
      <c r="Z101" s="187">
        <f ca="1">[1]!s_fa_operateincometoebt_ttm2(E101,$C$3)</f>
        <v>84.308700000000002</v>
      </c>
      <c r="AA101" s="186"/>
      <c r="AB101" s="342"/>
      <c r="AC101" s="186">
        <f ca="1">[1]!s_fa_cagr_tr($E101,AC$6,3)</f>
        <v>0</v>
      </c>
      <c r="AD101" s="186">
        <f ca="1">[1]!s_fa_cagr_tr($E101,AD$6,3)</f>
        <v>5.4259972734590045</v>
      </c>
      <c r="AE101" s="187">
        <f ca="1">[1]!s_fa_cagr_tr($E101,AE$6,3)</f>
        <v>15.79808892477017</v>
      </c>
      <c r="AF101" s="187">
        <f ca="1">[1]!s_fa_cagr_tr($E101,AF$6,3)</f>
        <v>25.382141869237152</v>
      </c>
      <c r="AG101" s="187">
        <f ca="1">[1]!s_fa_cagr_tr($E101,AG$6,3)</f>
        <v>27.402352691187779</v>
      </c>
      <c r="AH101" s="187">
        <f ca="1">[1]!s_fa_cagr_tr($E101,AH$6,3)</f>
        <v>30.17320102515604</v>
      </c>
      <c r="AI101" s="194"/>
      <c r="AJ101" s="187">
        <f ca="1">[1]!s_fa_cagr_netprofit($E101,AJ$6,3)</f>
        <v>0</v>
      </c>
      <c r="AK101" s="187">
        <f ca="1">[1]!s_fa_cagr_netprofit($E101,AK$6,3)</f>
        <v>-7.4202077578260024</v>
      </c>
      <c r="AL101" s="187">
        <f ca="1">[1]!s_fa_cagr_netprofit($E101,AL$6,3)</f>
        <v>13.054633339871003</v>
      </c>
      <c r="AM101" s="187">
        <f ca="1">[1]!s_fa_cagr_netprofit($E101,AM$6,3)</f>
        <v>33.008594038765551</v>
      </c>
      <c r="AN101" s="187">
        <f ca="1">[1]!s_fa_cagr_netprofit($E101,AN$6,3)</f>
        <v>35.03645412495009</v>
      </c>
      <c r="AO101" s="187">
        <f ca="1">[1]!s_fa_cagr_netprofit($E101,AO$6,3)</f>
        <v>35.878467406664448</v>
      </c>
      <c r="AP101" s="189"/>
      <c r="AQ101" s="202">
        <f ca="1">[1]!s_fa_dupont_roe(E101,$C$3)</f>
        <v>7.0541999999999998</v>
      </c>
      <c r="AR101" s="202">
        <f ca="1">[1]!s_fa_dupont_nptosales(B101,$C$3)</f>
        <v>12.232200000000001</v>
      </c>
      <c r="AS101" s="237">
        <f ca="1">[1]!s_fa_dupont_faturnover(E101,$C$3)</f>
        <v>0.38169999999999998</v>
      </c>
      <c r="AT101" s="202">
        <f ca="1">[1]!s_fa_dupont_assetstoequity(E101,$C$3)</f>
        <v>1.4455</v>
      </c>
      <c r="AU101" s="189"/>
      <c r="AV101" s="189"/>
      <c r="AW101" s="189"/>
      <c r="AX101" s="189"/>
      <c r="AY101" s="189"/>
      <c r="AZ101" s="189"/>
      <c r="BA101" s="189"/>
      <c r="BB101" s="189"/>
      <c r="BC101" s="189"/>
      <c r="BD101" s="189"/>
      <c r="BE101" s="189"/>
    </row>
    <row r="102" spans="1:57" s="130" customFormat="1" ht="12" customHeight="1" x14ac:dyDescent="0.35">
      <c r="A102" s="121" t="s">
        <v>5</v>
      </c>
      <c r="B102" s="121" t="s">
        <v>292</v>
      </c>
      <c r="C102" s="121" t="s">
        <v>293</v>
      </c>
      <c r="D102" s="121" t="str">
        <f ca="1">[1]!cb_info_underlyingname(B102)</f>
        <v>合兴包装</v>
      </c>
      <c r="E102" s="122" t="str">
        <f ca="1">[1]!cb_info_underlyingcode(B102)</f>
        <v>002228.SZ</v>
      </c>
      <c r="F102" s="123" t="str">
        <f ca="1">[1]!s_info_industry_sw(B102,1)</f>
        <v>轻工制造</v>
      </c>
      <c r="G102" s="123" t="str">
        <f ca="1">[1]!s_info_industry_sw(E102,2)</f>
        <v>包装印刷Ⅱ</v>
      </c>
      <c r="H102" s="123" t="str">
        <f ca="1">[1]!s_info_industry_sw(E102,3)</f>
        <v>包装印刷Ⅲ</v>
      </c>
      <c r="I102" s="156" t="str">
        <f ca="1">[1]!s_info_majorproducttype(E102)</f>
        <v>其他木制品、纸包装制品</v>
      </c>
      <c r="J102" s="129">
        <f ca="1">[1]!s_val_ev(E102,$B$2,100000000)</f>
        <v>45.209996386999997</v>
      </c>
      <c r="K102" s="157">
        <f ca="1">[1]!s_share_total(E102,$B$2,100000000)</f>
        <v>12.38630038</v>
      </c>
      <c r="L102" s="157">
        <f ca="1">[1]!s_share_liqa(E102,$B$2,100000000)</f>
        <v>12.34566118</v>
      </c>
      <c r="M102" s="125">
        <f ca="1">[1]!s_fa_gr_ttm2(E102,$C$3,100000000)</f>
        <v>109.165200447</v>
      </c>
      <c r="N102" s="126">
        <f ca="1">[1]!s_fa_netprofit_ttm2(E102,$C$3,100000000)</f>
        <v>2.9012250218999998</v>
      </c>
      <c r="O102" s="125"/>
      <c r="P102" s="126">
        <f ca="1">[1]!s_val_pe_ttm(E102,[1]!td($B$2-1))</f>
        <v>14.932833671569824</v>
      </c>
      <c r="Q102" s="126">
        <f ca="1">[1]!i_val_pe_percentile(E102,[1]!td($B$2-1),$B$2-365*5,[1]!td($B$2-1))</f>
        <v>17.672151127361367</v>
      </c>
      <c r="R102" s="126">
        <f ca="1">[1]!pb_mrq(E102,[1]!td($B$2-1))</f>
        <v>1.2951675886691312</v>
      </c>
      <c r="S102" s="126">
        <f ca="1">[1]!i_val_pb_percentile(E102,[1]!td($B$2-1),$B$2-365*5,[1]!td($B$2-1))</f>
        <v>5.427631578947369</v>
      </c>
      <c r="T102" s="126">
        <f ca="1">[1]!s_val_pe_ttm([1]!to_windcode_index(H102&amp;"(申万)"),[1]!td($B$2-1))</f>
        <v>28.680000305175781</v>
      </c>
      <c r="U102" s="126"/>
      <c r="V102" s="126">
        <f ca="1">[1]!s_fa_roe(E102,$C$3)</f>
        <v>6.7914000000000003</v>
      </c>
      <c r="W102" s="126">
        <f ca="1">[1]!s_fa_grossprofitmargin(E102,$C$3)</f>
        <v>13.119899999999999</v>
      </c>
      <c r="X102" s="126">
        <f ca="1">[1]!s_fa_netprofitmargin(E102,$C$3)</f>
        <v>3.0144000000000002</v>
      </c>
      <c r="Y102" s="126">
        <f ca="1">[1]!s_fa_roic(E102,$C$3)</f>
        <v>6.0317999999999996</v>
      </c>
      <c r="Z102" s="126">
        <f ca="1">[1]!s_fa_operateincometoebt_ttm2(E102,$C$3)</f>
        <v>74.775800000000004</v>
      </c>
      <c r="AA102" s="125"/>
      <c r="AB102" s="343"/>
      <c r="AC102" s="125">
        <f ca="1">[1]!s_fa_cagr_tr($E102,AC$6,3)</f>
        <v>0</v>
      </c>
      <c r="AD102" s="125">
        <f ca="1">[1]!s_fa_cagr_tr($E102,AD$6,3)</f>
        <v>11.132167433730134</v>
      </c>
      <c r="AE102" s="126">
        <f ca="1">[1]!s_fa_cagr_tr($E102,AE$6,3)</f>
        <v>34.505645044989166</v>
      </c>
      <c r="AF102" s="126">
        <f ca="1">[1]!s_fa_cagr_tr($E102,AF$6,3)</f>
        <v>62.172379966639582</v>
      </c>
      <c r="AG102" s="126">
        <f ca="1">[1]!s_fa_cagr_tr($E102,AG$6,3)</f>
        <v>47.671928364614715</v>
      </c>
      <c r="AH102" s="126">
        <f ca="1">[1]!s_fa_cagr_tr($E102,AH$6,3)</f>
        <v>23.141694487523612</v>
      </c>
      <c r="AI102" s="169"/>
      <c r="AJ102" s="126">
        <f ca="1">[1]!s_fa_cagr_netprofit($E102,AJ$6,3)</f>
        <v>0</v>
      </c>
      <c r="AK102" s="126">
        <f ca="1">[1]!s_fa_cagr_netprofit($E102,AK$6,3)</f>
        <v>26.980204638520288</v>
      </c>
      <c r="AL102" s="126">
        <f ca="1">[1]!s_fa_cagr_netprofit($E102,AL$6,3)</f>
        <v>-13.809476823881351</v>
      </c>
      <c r="AM102" s="126">
        <f ca="1">[1]!s_fa_cagr_netprofit($E102,AM$6,3)</f>
        <v>26.64352831992478</v>
      </c>
      <c r="AN102" s="126">
        <f ca="1">[1]!s_fa_cagr_netprofit($E102,AN$6,3)</f>
        <v>4.1086869202884291</v>
      </c>
      <c r="AO102" s="126">
        <f ca="1">[1]!s_fa_cagr_netprofit($E102,AO$6,3)</f>
        <v>63.891201608388528</v>
      </c>
      <c r="AP102" s="129"/>
      <c r="AQ102" s="203">
        <f ca="1">[1]!s_fa_dupont_roe(E102,$C$3)</f>
        <v>6.7914000000000003</v>
      </c>
      <c r="AR102" s="203">
        <f ca="1">[1]!s_fa_dupont_nptosales(B102,$C$3)</f>
        <v>3.0144000000000002</v>
      </c>
      <c r="AS102" s="238">
        <f ca="1">[1]!s_fa_dupont_faturnover(E102,$C$3)</f>
        <v>1.1581999999999999</v>
      </c>
      <c r="AT102" s="203">
        <f ca="1">[1]!s_fa_dupont_assetstoequity(E102,$C$3)</f>
        <v>2.1730999999999998</v>
      </c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29"/>
      <c r="BE102" s="129"/>
    </row>
    <row r="103" spans="1:57" s="191" customFormat="1" ht="12" customHeight="1" x14ac:dyDescent="0.35">
      <c r="A103" s="182" t="s">
        <v>5</v>
      </c>
      <c r="B103" s="182" t="s">
        <v>585</v>
      </c>
      <c r="C103" s="182" t="s">
        <v>586</v>
      </c>
      <c r="D103" s="182" t="str">
        <f ca="1">[1]!cb_info_underlyingname(B103)</f>
        <v>乐歌股份</v>
      </c>
      <c r="E103" s="183" t="str">
        <f ca="1">[1]!cb_info_underlyingcode(B103)</f>
        <v>300729.SZ</v>
      </c>
      <c r="F103" s="184" t="str">
        <f ca="1">[1]!s_info_industry_sw(B103,1)</f>
        <v>轻工制造</v>
      </c>
      <c r="G103" s="184" t="str">
        <f ca="1">[1]!s_info_industry_sw(E103,2)</f>
        <v>家用轻工</v>
      </c>
      <c r="H103" s="184" t="str">
        <f ca="1">[1]!s_info_industry_sw(E103,3)</f>
        <v>其他家用轻工</v>
      </c>
      <c r="I103" s="192" t="str">
        <f ca="1">[1]!s_info_majorproducttype(E103)</f>
        <v>体育用品、智能商用设备、专用设备与零部件</v>
      </c>
      <c r="J103" s="189">
        <f ca="1">[1]!s_val_ev(E103,$B$2,100000000)</f>
        <v>41.187083386699996</v>
      </c>
      <c r="K103" s="193">
        <f ca="1">[1]!s_share_total(E103,$B$2,100000000)</f>
        <v>1.8056590699999999</v>
      </c>
      <c r="L103" s="193">
        <f ca="1">[1]!s_share_liqa(E103,$B$2,100000000)</f>
        <v>1.7289473900000001</v>
      </c>
      <c r="M103" s="186">
        <f ca="1">[1]!s_fa_gr_ttm2(E103,$C$3,100000000)</f>
        <v>14.9266493457</v>
      </c>
      <c r="N103" s="187">
        <f ca="1">[1]!s_fa_netprofit_ttm2(E103,$C$3,100000000)</f>
        <v>1.8600023450999998</v>
      </c>
      <c r="O103" s="186"/>
      <c r="P103" s="187">
        <f ca="1">[1]!s_val_pe_ttm(E103,[1]!td($B$2-1))</f>
        <v>17.681169509887695</v>
      </c>
      <c r="Q103" s="187">
        <f ca="1">[1]!i_val_pe_percentile(E103,[1]!td($B$2-1),$B$2-365*5,[1]!td($B$2-1))</f>
        <v>3.4156976744186043</v>
      </c>
      <c r="R103" s="187">
        <f ca="1">[1]!pb_mrq(E103,[1]!td($B$2-1))</f>
        <v>3.9147196390814383</v>
      </c>
      <c r="S103" s="187">
        <f ca="1">[1]!i_val_pb_percentile(E103,[1]!td($B$2-1),$B$2-365*5,[1]!td($B$2-1))</f>
        <v>61.700581395348841</v>
      </c>
      <c r="T103" s="187">
        <f ca="1">[1]!s_val_pe_ttm([1]!to_windcode_index(H103&amp;"(申万)"),[1]!td($B$2-1))</f>
        <v>35.150001525878906</v>
      </c>
      <c r="U103" s="187"/>
      <c r="V103" s="187">
        <f ca="1">[1]!s_fa_roe(E103,$C$3)</f>
        <v>18.476400000000002</v>
      </c>
      <c r="W103" s="187">
        <f ca="1">[1]!s_fa_grossprofitmargin(E103,$C$3)</f>
        <v>47.938400000000001</v>
      </c>
      <c r="X103" s="187">
        <f ca="1">[1]!s_fa_netprofitmargin(E103,$C$3)</f>
        <v>13.216900000000001</v>
      </c>
      <c r="Y103" s="187">
        <f ca="1">[1]!s_fa_roic(E103,$C$3)</f>
        <v>10.5999</v>
      </c>
      <c r="Z103" s="187">
        <f ca="1">[1]!s_fa_operateincometoebt_ttm2(E103,$C$3)</f>
        <v>82.896100000000004</v>
      </c>
      <c r="AA103" s="186"/>
      <c r="AB103" s="342"/>
      <c r="AC103" s="186">
        <f ca="1">[1]!s_fa_cagr_tr($E103,AC$6,3)</f>
        <v>0</v>
      </c>
      <c r="AD103" s="186">
        <f ca="1">[1]!s_fa_cagr_tr($E103,AD$6,3)</f>
        <v>37.419706247706429</v>
      </c>
      <c r="AE103" s="187">
        <f ca="1">[1]!s_fa_cagr_tr($E103,AE$6,3)</f>
        <v>26.092916036834325</v>
      </c>
      <c r="AF103" s="187">
        <f ca="1">[1]!s_fa_cagr_tr($E103,AF$6,3)</f>
        <v>35.978406909280444</v>
      </c>
      <c r="AG103" s="187">
        <f ca="1">[1]!s_fa_cagr_tr($E103,AG$6,3)</f>
        <v>27.861757687066778</v>
      </c>
      <c r="AH103" s="187">
        <f ca="1">[1]!s_fa_cagr_tr($E103,AH$6,3)</f>
        <v>17.736087135135037</v>
      </c>
      <c r="AI103" s="194"/>
      <c r="AJ103" s="187">
        <f ca="1">[1]!s_fa_cagr_netprofit($E103,AJ$6,3)</f>
        <v>0</v>
      </c>
      <c r="AK103" s="187">
        <f ca="1">[1]!s_fa_cagr_netprofit($E103,AK$6,3)</f>
        <v>51.181565875526736</v>
      </c>
      <c r="AL103" s="187">
        <f ca="1">[1]!s_fa_cagr_netprofit($E103,AL$6,3)</f>
        <v>1.5815860462305542</v>
      </c>
      <c r="AM103" s="187">
        <f ca="1">[1]!s_fa_cagr_netprofit($E103,AM$6,3)</f>
        <v>4.2311335569119146</v>
      </c>
      <c r="AN103" s="187">
        <f ca="1">[1]!s_fa_cagr_netprofit($E103,AN$6,3)</f>
        <v>32.204899941167774</v>
      </c>
      <c r="AO103" s="187">
        <f ca="1">[1]!s_fa_cagr_netprofit($E103,AO$6,3)</f>
        <v>19.475597690414403</v>
      </c>
      <c r="AP103" s="189"/>
      <c r="AQ103" s="202">
        <f ca="1">[1]!s_fa_dupont_roe(E103,$C$3)</f>
        <v>18.476400000000002</v>
      </c>
      <c r="AR103" s="202">
        <f ca="1">[1]!s_fa_dupont_nptosales(B103,$C$3)</f>
        <v>13.216900000000001</v>
      </c>
      <c r="AS103" s="237">
        <f ca="1">[1]!s_fa_dupont_faturnover(E103,$C$3)</f>
        <v>0.62450000000000006</v>
      </c>
      <c r="AT103" s="202">
        <f ca="1">[1]!s_fa_dupont_assetstoequity(E103,$C$3)</f>
        <v>2.234</v>
      </c>
      <c r="AU103" s="189"/>
      <c r="AV103" s="201"/>
      <c r="AW103" s="189"/>
      <c r="AX103" s="189"/>
      <c r="AY103" s="189"/>
      <c r="AZ103" s="189"/>
      <c r="BA103" s="189"/>
      <c r="BB103" s="189"/>
      <c r="BC103" s="189"/>
      <c r="BD103" s="189"/>
      <c r="BE103" s="189"/>
    </row>
    <row r="104" spans="1:57" s="130" customFormat="1" ht="12" customHeight="1" x14ac:dyDescent="0.35">
      <c r="A104" s="121" t="s">
        <v>5</v>
      </c>
      <c r="B104" s="121" t="s">
        <v>28</v>
      </c>
      <c r="C104" s="121" t="s">
        <v>29</v>
      </c>
      <c r="D104" s="121" t="str">
        <f ca="1">[1]!cb_info_underlyingname(B104)</f>
        <v>景兴纸业</v>
      </c>
      <c r="E104" s="122" t="str">
        <f ca="1">[1]!cb_info_underlyingcode(B104)</f>
        <v>002067.SZ</v>
      </c>
      <c r="F104" s="123" t="str">
        <f ca="1">[1]!s_info_industry_sw(B104,1)</f>
        <v>轻工制造</v>
      </c>
      <c r="G104" s="123" t="str">
        <f ca="1">[1]!s_info_industry_sw(E104,2)</f>
        <v>造纸Ⅱ</v>
      </c>
      <c r="H104" s="123" t="str">
        <f ca="1">[1]!s_info_industry_sw(E104,3)</f>
        <v>造纸Ⅲ</v>
      </c>
      <c r="I104" s="156" t="str">
        <f ca="1">[1]!s_info_majorproducttype(E104)</f>
        <v>箱板纸、纸板</v>
      </c>
      <c r="J104" s="129">
        <f ca="1">[1]!s_val_ev(E104,$B$2,100000000)</f>
        <v>45.919710095799999</v>
      </c>
      <c r="K104" s="157">
        <f ca="1">[1]!s_share_total(E104,$B$2,100000000)</f>
        <v>11.744171379999999</v>
      </c>
      <c r="L104" s="157">
        <f ca="1">[1]!s_share_liqa(E104,$B$2,100000000)</f>
        <v>10.36792138</v>
      </c>
      <c r="M104" s="125">
        <f ca="1">[1]!s_fa_gr_ttm2(E104,$C$3,100000000)</f>
        <v>48.404325775600007</v>
      </c>
      <c r="N104" s="126">
        <f ca="1">[1]!s_fa_netprofit_ttm2(E104,$C$3,100000000)</f>
        <v>2.4018657175000002</v>
      </c>
      <c r="O104" s="125"/>
      <c r="P104" s="126">
        <f ca="1">[1]!s_val_pe_ttm(E104,[1]!td($B$2-1))</f>
        <v>9.8644695281982422</v>
      </c>
      <c r="Q104" s="126">
        <f ca="1">[1]!i_val_pe_percentile(E104,[1]!td($B$2-1),$B$2-365*5,[1]!td($B$2-1))</f>
        <v>17.87280701754386</v>
      </c>
      <c r="R104" s="126">
        <f ca="1">[1]!pb_mrq(E104,[1]!td($B$2-1))</f>
        <v>0.90583565685678613</v>
      </c>
      <c r="S104" s="126">
        <f ca="1">[1]!i_val_pb_percentile(E104,[1]!td($B$2-1),$B$2-365*5,[1]!td($B$2-1))</f>
        <v>37.171052631578952</v>
      </c>
      <c r="T104" s="126">
        <f ca="1">[1]!s_val_pe_ttm([1]!to_windcode_index(H104&amp;"(申万)"),[1]!td($B$2-1))</f>
        <v>13.180000305175781</v>
      </c>
      <c r="U104" s="126"/>
      <c r="V104" s="126">
        <f ca="1">[1]!s_fa_roe(E104,$C$3)</f>
        <v>4.4942000000000002</v>
      </c>
      <c r="W104" s="126">
        <f ca="1">[1]!s_fa_grossprofitmargin(E104,$C$3)</f>
        <v>11.6142</v>
      </c>
      <c r="X104" s="126">
        <f ca="1">[1]!s_fa_netprofitmargin(E104,$C$3)</f>
        <v>6.1402999999999999</v>
      </c>
      <c r="Y104" s="126">
        <f ca="1">[1]!s_fa_roic(E104,$C$3)</f>
        <v>3.9542999999999999</v>
      </c>
      <c r="Z104" s="126">
        <f ca="1">[1]!s_fa_operateincometoebt_ttm2(E104,$C$3)</f>
        <v>39.271099999999997</v>
      </c>
      <c r="AA104" s="125"/>
      <c r="AB104" s="343"/>
      <c r="AC104" s="125">
        <f ca="1">[1]!s_fa_cagr_tr($E104,AC$6,3)</f>
        <v>0</v>
      </c>
      <c r="AD104" s="125">
        <f ca="1">[1]!s_fa_cagr_tr($E104,AD$6,3)</f>
        <v>-3.1126745356977792</v>
      </c>
      <c r="AE104" s="126">
        <f ca="1">[1]!s_fa_cagr_tr($E104,AE$6,3)</f>
        <v>12.571766635655802</v>
      </c>
      <c r="AF104" s="126">
        <f ca="1">[1]!s_fa_cagr_tr($E104,AF$6,3)</f>
        <v>26.204426365673662</v>
      </c>
      <c r="AG104" s="126">
        <f ca="1">[1]!s_fa_cagr_tr($E104,AG$6,3)</f>
        <v>22.885720017748735</v>
      </c>
      <c r="AH104" s="126">
        <f ca="1">[1]!s_fa_cagr_tr($E104,AH$6,3)</f>
        <v>6.8019422255919393</v>
      </c>
      <c r="AI104" s="169"/>
      <c r="AJ104" s="126">
        <f ca="1">[1]!s_fa_cagr_netprofit($E104,AJ$6,3)</f>
        <v>0</v>
      </c>
      <c r="AK104" s="126">
        <f ca="1">[1]!s_fa_cagr_netprofit($E104,AK$6,3)</f>
        <v>-21.222726574748364</v>
      </c>
      <c r="AL104" s="126">
        <f ca="1">[1]!s_fa_cagr_netprofit($E104,AL$6,3)</f>
        <v>-16.044945476895599</v>
      </c>
      <c r="AM104" s="126">
        <f ca="1">[1]!s_fa_cagr_netprofit($E104,AM$6,3)</f>
        <v>206.56402516177178</v>
      </c>
      <c r="AN104" s="126">
        <f ca="1">[1]!s_fa_cagr_netprofit($E104,AN$6,3)</f>
        <v>282.52227648468687</v>
      </c>
      <c r="AO104" s="126">
        <f ca="1">[1]!s_fa_cagr_netprofit($E104,AO$6,3)</f>
        <v>191.15041442887377</v>
      </c>
      <c r="AP104" s="129"/>
      <c r="AQ104" s="203">
        <f ca="1">[1]!s_fa_dupont_roe(E104,$C$3)</f>
        <v>4.4942000000000002</v>
      </c>
      <c r="AR104" s="203">
        <f ca="1">[1]!s_fa_dupont_nptosales(B104,$C$3)</f>
        <v>6.1402999999999999</v>
      </c>
      <c r="AS104" s="238">
        <f ca="1">[1]!s_fa_dupont_faturnover(E104,$C$3)</f>
        <v>0.54820000000000002</v>
      </c>
      <c r="AT104" s="203">
        <f ca="1">[1]!s_fa_dupont_assetstoequity(E104,$C$3)</f>
        <v>1.4015</v>
      </c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29"/>
      <c r="BE104" s="129"/>
    </row>
    <row r="105" spans="1:57" s="191" customFormat="1" ht="12" customHeight="1" x14ac:dyDescent="0.35">
      <c r="A105" s="182" t="s">
        <v>5</v>
      </c>
      <c r="B105" s="182" t="s">
        <v>332</v>
      </c>
      <c r="C105" s="182" t="s">
        <v>333</v>
      </c>
      <c r="D105" s="182" t="str">
        <f ca="1">[1]!cb_info_underlyingname(B105)</f>
        <v>德尔未来</v>
      </c>
      <c r="E105" s="183" t="str">
        <f ca="1">[1]!cb_info_underlyingcode(B105)</f>
        <v>002631.SZ</v>
      </c>
      <c r="F105" s="184" t="str">
        <f ca="1">[1]!s_info_industry_sw(B105,1)</f>
        <v>轻工制造</v>
      </c>
      <c r="G105" s="184" t="str">
        <f ca="1">[1]!s_info_industry_sw(E105,2)</f>
        <v>家用轻工</v>
      </c>
      <c r="H105" s="184" t="str">
        <f ca="1">[1]!s_info_industry_sw(E105,3)</f>
        <v>家具</v>
      </c>
      <c r="I105" s="192" t="str">
        <f ca="1">[1]!s_info_majorproducttype(E105)</f>
        <v>木地板</v>
      </c>
      <c r="J105" s="189">
        <f ca="1">[1]!s_val_ev(E105,$B$2,100000000)</f>
        <v>62.43159141240001</v>
      </c>
      <c r="K105" s="193">
        <f ca="1">[1]!s_share_total(E105,$B$2,100000000)</f>
        <v>6.6558199800000004</v>
      </c>
      <c r="L105" s="193">
        <f ca="1">[1]!s_share_liqa(E105,$B$2,100000000)</f>
        <v>6.5478256899999998</v>
      </c>
      <c r="M105" s="186">
        <f ca="1">[1]!s_fa_gr_ttm2(E105,$C$3,100000000)</f>
        <v>15.431692139800001</v>
      </c>
      <c r="N105" s="187">
        <f ca="1">[1]!s_fa_netprofit_ttm2(E105,$C$3,100000000)</f>
        <v>0.23694498379999998</v>
      </c>
      <c r="O105" s="186"/>
      <c r="P105" s="187">
        <f ca="1">[1]!s_val_pe_ttm(E105,[1]!td($B$2-1))</f>
        <v>1799.611572265625</v>
      </c>
      <c r="Q105" s="187">
        <f ca="1">[1]!i_val_pe_percentile(E105,[1]!td($B$2-1),$B$2-365*5,[1]!td($B$2-1))</f>
        <v>93.076049943246304</v>
      </c>
      <c r="R105" s="187">
        <f ca="1">[1]!pb_mrq(E105,[1]!td($B$2-1))</f>
        <v>3.6791961658175523</v>
      </c>
      <c r="S105" s="187">
        <f ca="1">[1]!i_val_pb_percentile(E105,[1]!td($B$2-1),$B$2-365*5,[1]!td($B$2-1))</f>
        <v>65.679824561403507</v>
      </c>
      <c r="T105" s="187">
        <f ca="1">[1]!s_val_pe_ttm([1]!to_windcode_index(H105&amp;"(申万)"),[1]!td($B$2-1))</f>
        <v>25.729999542236328</v>
      </c>
      <c r="U105" s="187"/>
      <c r="V105" s="187">
        <f ca="1">[1]!s_fa_roe(E105,$C$3)</f>
        <v>1.8387</v>
      </c>
      <c r="W105" s="187">
        <f ca="1">[1]!s_fa_grossprofitmargin(E105,$C$3)</f>
        <v>28.353200000000001</v>
      </c>
      <c r="X105" s="187">
        <f ca="1">[1]!s_fa_netprofitmargin(E105,$C$3)</f>
        <v>2.2587000000000002</v>
      </c>
      <c r="Y105" s="187">
        <f ca="1">[1]!s_fa_roic(E105,$C$3)</f>
        <v>1.7415</v>
      </c>
      <c r="Z105" s="187">
        <f ca="1">[1]!s_fa_operateincometoebt_ttm2(E105,$C$3)</f>
        <v>-77.5334</v>
      </c>
      <c r="AA105" s="186"/>
      <c r="AB105" s="342"/>
      <c r="AC105" s="186">
        <f ca="1">[1]!s_fa_cagr_tr($E105,AC$6,3)</f>
        <v>0</v>
      </c>
      <c r="AD105" s="186">
        <f ca="1">[1]!s_fa_cagr_tr($E105,AD$6,3)</f>
        <v>-0.67223422967448432</v>
      </c>
      <c r="AE105" s="187">
        <f ca="1">[1]!s_fa_cagr_tr($E105,AE$6,3)</f>
        <v>16.683165280404321</v>
      </c>
      <c r="AF105" s="187">
        <f ca="1">[1]!s_fa_cagr_tr($E105,AF$6,3)</f>
        <v>27.936407143165276</v>
      </c>
      <c r="AG105" s="187">
        <f ca="1">[1]!s_fa_cagr_tr($E105,AG$6,3)</f>
        <v>33.012315905830668</v>
      </c>
      <c r="AH105" s="187">
        <f ca="1">[1]!s_fa_cagr_tr($E105,AH$6,3)</f>
        <v>27.009216087680855</v>
      </c>
      <c r="AI105" s="194"/>
      <c r="AJ105" s="187">
        <f ca="1">[1]!s_fa_cagr_netprofit($E105,AJ$6,3)</f>
        <v>0</v>
      </c>
      <c r="AK105" s="187">
        <f ca="1">[1]!s_fa_cagr_netprofit($E105,AK$6,3)</f>
        <v>-168.03900233426381</v>
      </c>
      <c r="AL105" s="187">
        <f ca="1">[1]!s_fa_cagr_netprofit($E105,AL$6,3)</f>
        <v>-25.282445939043217</v>
      </c>
      <c r="AM105" s="187">
        <f ca="1">[1]!s_fa_cagr_netprofit($E105,AM$6,3)</f>
        <v>-8.8790798587948814</v>
      </c>
      <c r="AN105" s="187">
        <f ca="1">[1]!s_fa_cagr_netprofit($E105,AN$6,3)</f>
        <v>-12.75587834644314</v>
      </c>
      <c r="AO105" s="187">
        <f ca="1">[1]!s_fa_cagr_netprofit($E105,AO$6,3)</f>
        <v>27.609605147602846</v>
      </c>
      <c r="AP105" s="189"/>
      <c r="AQ105" s="202">
        <f ca="1">[1]!s_fa_dupont_roe(E105,$C$3)</f>
        <v>1.8387</v>
      </c>
      <c r="AR105" s="202">
        <f ca="1">[1]!s_fa_dupont_nptosales(B105,$C$3)</f>
        <v>2.2587000000000002</v>
      </c>
      <c r="AS105" s="237">
        <f ca="1">[1]!s_fa_dupont_faturnover(E105,$C$3)</f>
        <v>0.3155</v>
      </c>
      <c r="AT105" s="202">
        <f ca="1">[1]!s_fa_dupont_assetstoequity(E105,$C$3)</f>
        <v>1.8244</v>
      </c>
      <c r="AU105" s="189"/>
      <c r="AV105" s="189"/>
      <c r="AW105" s="189"/>
      <c r="AX105" s="189"/>
      <c r="AY105" s="189"/>
      <c r="AZ105" s="189"/>
      <c r="BA105" s="189"/>
      <c r="BB105" s="189"/>
      <c r="BC105" s="189"/>
      <c r="BD105" s="189"/>
      <c r="BE105" s="189"/>
    </row>
    <row r="106" spans="1:57" s="130" customFormat="1" ht="12" customHeight="1" x14ac:dyDescent="0.35">
      <c r="A106" s="121" t="s">
        <v>0</v>
      </c>
      <c r="B106" s="121" t="s">
        <v>102</v>
      </c>
      <c r="C106" s="121" t="s">
        <v>103</v>
      </c>
      <c r="D106" s="121" t="str">
        <f ca="1">[1]!cb_info_underlyingname(B106)</f>
        <v>大胜达</v>
      </c>
      <c r="E106" s="122" t="str">
        <f ca="1">[1]!cb_info_underlyingcode(B106)</f>
        <v>603687.SH</v>
      </c>
      <c r="F106" s="123" t="str">
        <f ca="1">[1]!s_info_industry_sw(B106,1)</f>
        <v>轻工制造</v>
      </c>
      <c r="G106" s="123" t="str">
        <f ca="1">[1]!s_info_industry_sw(E106,2)</f>
        <v>包装印刷Ⅱ</v>
      </c>
      <c r="H106" s="123" t="str">
        <f ca="1">[1]!s_info_industry_sw(E106,3)</f>
        <v>包装印刷Ⅲ</v>
      </c>
      <c r="I106" s="156" t="str">
        <f ca="1">[1]!s_info_majorproducttype(E106)</f>
        <v>纸板</v>
      </c>
      <c r="J106" s="129">
        <f ca="1">[1]!s_val_ev(E106,$B$2,100000000)</f>
        <v>36.607488875100003</v>
      </c>
      <c r="K106" s="157">
        <f ca="1">[1]!s_share_total(E106,$B$2,100000000)</f>
        <v>4.1085846100000003</v>
      </c>
      <c r="L106" s="157">
        <f ca="1">[1]!s_share_liqa(E106,$B$2,100000000)</f>
        <v>1.41815761</v>
      </c>
      <c r="M106" s="125">
        <f ca="1">[1]!s_fa_gr_ttm2(E106,$C$3,100000000)</f>
        <v>12.841089632899999</v>
      </c>
      <c r="N106" s="126">
        <f ca="1">[1]!s_fa_netprofit_ttm2(E106,$C$3,100000000)</f>
        <v>1.3416224840000002</v>
      </c>
      <c r="O106" s="125"/>
      <c r="P106" s="126">
        <f ca="1">[1]!s_val_pe_ttm(E106,[1]!td($B$2-1))</f>
        <v>17.51756477355957</v>
      </c>
      <c r="Q106" s="126">
        <f ca="1">[1]!i_val_pe_percentile(E106,[1]!td($B$2-1),$B$2-365*5,[1]!td($B$2-1))</f>
        <v>16.60206718346253</v>
      </c>
      <c r="R106" s="126">
        <f ca="1">[1]!pb_mrq(E106,[1]!td($B$2-1))</f>
        <v>2.1255099115707461</v>
      </c>
      <c r="S106" s="126">
        <f ca="1">[1]!i_val_pb_percentile(E106,[1]!td($B$2-1),$B$2-365*5,[1]!td($B$2-1))</f>
        <v>15.180878552971578</v>
      </c>
      <c r="T106" s="126">
        <f ca="1">[1]!s_val_pe_ttm([1]!to_windcode_index(H106&amp;"(申万)"),[1]!td($B$2-1))</f>
        <v>28.680000305175781</v>
      </c>
      <c r="U106" s="125"/>
      <c r="V106" s="125">
        <f ca="1">[1]!s_fa_roe(E106,$C$3)</f>
        <v>7.5788000000000002</v>
      </c>
      <c r="W106" s="125">
        <f ca="1">[1]!s_fa_grossprofitmargin(E106,$C$3)</f>
        <v>14.8431</v>
      </c>
      <c r="X106" s="125">
        <f ca="1">[1]!s_fa_netprofitmargin(E106,$C$3)</f>
        <v>11.999499999999999</v>
      </c>
      <c r="Y106" s="125">
        <f ca="1">[1]!s_fa_roic(E106,$C$3)</f>
        <v>6.3280000000000003</v>
      </c>
      <c r="Z106" s="125">
        <f ca="1">[1]!s_fa_operateincometoebt_ttm2(E106,$C$3)</f>
        <v>3.5566</v>
      </c>
      <c r="AA106" s="125"/>
      <c r="AB106" s="343"/>
      <c r="AC106" s="125">
        <f ca="1">[1]!s_fa_cagr_tr($E106,AC$6,3)</f>
        <v>0</v>
      </c>
      <c r="AD106" s="125">
        <f ca="1">[1]!s_fa_cagr_tr($E106,AD$6,3)</f>
        <v>3.7434754726982211</v>
      </c>
      <c r="AE106" s="126">
        <f ca="1">[1]!s_fa_cagr_tr($E106,AE$6,3)</f>
        <v>5.3171006495021711</v>
      </c>
      <c r="AF106" s="126">
        <f ca="1">[1]!s_fa_cagr_tr($E106,AF$6,3)</f>
        <v>8.281142466101322</v>
      </c>
      <c r="AG106" s="126">
        <f ca="1">[1]!s_fa_cagr_tr($E106,AG$6,3)</f>
        <v>11.169263779665851</v>
      </c>
      <c r="AH106" s="126">
        <f ca="1">[1]!s_fa_cagr_tr($E106,AH$6,3)</f>
        <v>0</v>
      </c>
      <c r="AI106" s="169"/>
      <c r="AJ106" s="126">
        <f ca="1">[1]!s_fa_cagr_netprofit($E106,AJ$6,3)</f>
        <v>0</v>
      </c>
      <c r="AK106" s="126">
        <f ca="1">[1]!s_fa_cagr_netprofit($E106,AK$6,3)</f>
        <v>19.308941431682914</v>
      </c>
      <c r="AL106" s="126">
        <f ca="1">[1]!s_fa_cagr_netprofit($E106,AL$6,3)</f>
        <v>29.475683656050023</v>
      </c>
      <c r="AM106" s="126">
        <f ca="1">[1]!s_fa_cagr_netprofit($E106,AM$6,3)</f>
        <v>59.209197816992763</v>
      </c>
      <c r="AN106" s="126">
        <f ca="1">[1]!s_fa_cagr_netprofit($E106,AN$6,3)</f>
        <v>119.98959712252967</v>
      </c>
      <c r="AO106" s="126">
        <f ca="1">[1]!s_fa_cagr_netprofit($E106,AO$6,3)</f>
        <v>0</v>
      </c>
      <c r="AP106" s="129"/>
      <c r="AQ106" s="203">
        <f ca="1">[1]!s_fa_dupont_roe(E106,$C$3)</f>
        <v>7.5788000000000002</v>
      </c>
      <c r="AR106" s="203">
        <f ca="1">[1]!s_fa_dupont_nptosales(B106,$C$3)</f>
        <v>11.999499999999999</v>
      </c>
      <c r="AS106" s="238">
        <f ca="1">[1]!s_fa_dupont_faturnover(E106,$C$3)</f>
        <v>0.37759999999999999</v>
      </c>
      <c r="AT106" s="203">
        <f ca="1">[1]!s_fa_dupont_assetstoequity(E106,$C$3)</f>
        <v>1.6140000000000001</v>
      </c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29"/>
      <c r="BE106" s="129"/>
    </row>
    <row r="107" spans="1:57" s="191" customFormat="1" ht="12" customHeight="1" x14ac:dyDescent="0.35">
      <c r="A107" s="182" t="s">
        <v>5</v>
      </c>
      <c r="B107" s="182" t="s">
        <v>272</v>
      </c>
      <c r="C107" s="182" t="s">
        <v>273</v>
      </c>
      <c r="D107" s="182" t="str">
        <f ca="1">[1]!cb_info_underlyingname(B107)</f>
        <v>英联股份</v>
      </c>
      <c r="E107" s="183" t="str">
        <f ca="1">[1]!cb_info_underlyingcode(B107)</f>
        <v>002846.SZ</v>
      </c>
      <c r="F107" s="184" t="str">
        <f ca="1">[1]!s_info_industry_sw(B107,1)</f>
        <v>轻工制造</v>
      </c>
      <c r="G107" s="184" t="str">
        <f ca="1">[1]!s_info_industry_sw(E107,2)</f>
        <v>包装印刷Ⅱ</v>
      </c>
      <c r="H107" s="184" t="str">
        <f ca="1">[1]!s_info_industry_sw(E107,3)</f>
        <v>包装印刷Ⅲ</v>
      </c>
      <c r="I107" s="192" t="str">
        <f ca="1">[1]!s_info_majorproducttype(E107)</f>
        <v>金属包装制品</v>
      </c>
      <c r="J107" s="189">
        <f ca="1">[1]!s_val_ev(E107,$B$2,100000000)</f>
        <v>24.579971483600001</v>
      </c>
      <c r="K107" s="193">
        <f ca="1">[1]!s_share_total(E107,$B$2,100000000)</f>
        <v>3.1839341299999999</v>
      </c>
      <c r="L107" s="193">
        <f ca="1">[1]!s_share_liqa(E107,$B$2,100000000)</f>
        <v>2.2271396299999999</v>
      </c>
      <c r="M107" s="186">
        <f ca="1">[1]!s_fa_gr_ttm2(E107,$C$3,100000000)</f>
        <v>12.893883089400001</v>
      </c>
      <c r="N107" s="187">
        <f ca="1">[1]!s_fa_netprofit_ttm2(E107,$C$3,100000000)</f>
        <v>0.82398603450000008</v>
      </c>
      <c r="O107" s="186"/>
      <c r="P107" s="187">
        <f ca="1">[1]!s_val_pe_ttm(E107,[1]!td($B$2-1))</f>
        <v>38.645587921142578</v>
      </c>
      <c r="Q107" s="187">
        <f ca="1">[1]!i_val_pe_percentile(E107,[1]!td($B$2-1),$B$2-365*5,[1]!td($B$2-1))</f>
        <v>26.718469814704125</v>
      </c>
      <c r="R107" s="187">
        <f ca="1">[1]!pb_mrq(E107,[1]!td($B$2-1))</f>
        <v>3.120900606059041</v>
      </c>
      <c r="S107" s="187">
        <f ca="1">[1]!i_val_pb_percentile(E107,[1]!td($B$2-1),$B$2-365*5,[1]!td($B$2-1))</f>
        <v>0.71727435744172152</v>
      </c>
      <c r="T107" s="187">
        <f ca="1">[1]!s_val_pe_ttm([1]!to_windcode_index(H107&amp;"(申万)"),[1]!td($B$2-1))</f>
        <v>28.680000305175781</v>
      </c>
      <c r="U107" s="186"/>
      <c r="V107" s="186">
        <f ca="1">[1]!s_fa_roe(E107,$C$3)</f>
        <v>8.9123999999999999</v>
      </c>
      <c r="W107" s="186">
        <f ca="1">[1]!s_fa_grossprofitmargin(E107,$C$3)</f>
        <v>20.526199999999999</v>
      </c>
      <c r="X107" s="186">
        <f ca="1">[1]!s_fa_netprofitmargin(E107,$C$3)</f>
        <v>6.6757999999999997</v>
      </c>
      <c r="Y107" s="186">
        <f ca="1">[1]!s_fa_roic(E107,$C$3)</f>
        <v>6.2438000000000002</v>
      </c>
      <c r="Z107" s="186">
        <f ca="1">[1]!s_fa_operateincometoebt_ttm2(E107,$C$3)</f>
        <v>91.275499999999994</v>
      </c>
      <c r="AA107" s="186"/>
      <c r="AB107" s="342"/>
      <c r="AC107" s="186">
        <f ca="1">[1]!s_fa_cagr_tr($E107,AC$6,3)</f>
        <v>0</v>
      </c>
      <c r="AD107" s="186">
        <f ca="1">[1]!s_fa_cagr_tr($E107,AD$6,3)</f>
        <v>42.7573156906208</v>
      </c>
      <c r="AE107" s="187">
        <f ca="1">[1]!s_fa_cagr_tr($E107,AE$6,3)</f>
        <v>51.041500237824835</v>
      </c>
      <c r="AF107" s="187">
        <f ca="1">[1]!s_fa_cagr_tr($E107,AF$6,3)</f>
        <v>40.659260610990636</v>
      </c>
      <c r="AG107" s="187">
        <f ca="1">[1]!s_fa_cagr_tr($E107,AG$6,3)</f>
        <v>19.617948077501811</v>
      </c>
      <c r="AH107" s="187">
        <f ca="1">[1]!s_fa_cagr_tr($E107,AH$6,3)</f>
        <v>14.857016234467535</v>
      </c>
      <c r="AI107" s="194"/>
      <c r="AJ107" s="187">
        <f ca="1">[1]!s_fa_cagr_netprofit($E107,AJ$6,3)</f>
        <v>0</v>
      </c>
      <c r="AK107" s="187">
        <f ca="1">[1]!s_fa_cagr_netprofit($E107,AK$6,3)</f>
        <v>19.569773224558105</v>
      </c>
      <c r="AL107" s="187">
        <f ca="1">[1]!s_fa_cagr_netprofit($E107,AL$6,3)</f>
        <v>12.8981772443022</v>
      </c>
      <c r="AM107" s="187">
        <f ca="1">[1]!s_fa_cagr_netprofit($E107,AM$6,3)</f>
        <v>-2.2840904751189384</v>
      </c>
      <c r="AN107" s="187">
        <f ca="1">[1]!s_fa_cagr_netprofit($E107,AN$6,3)</f>
        <v>0.99823961881930767</v>
      </c>
      <c r="AO107" s="187">
        <f ca="1">[1]!s_fa_cagr_netprofit($E107,AO$6,3)</f>
        <v>9.9398460883320041</v>
      </c>
      <c r="AP107" s="189"/>
      <c r="AQ107" s="202">
        <f ca="1">[1]!s_fa_dupont_roe(E107,$C$3)</f>
        <v>8.9123999999999999</v>
      </c>
      <c r="AR107" s="202">
        <f ca="1">[1]!s_fa_dupont_nptosales(B107,$C$3)</f>
        <v>6.6757999999999997</v>
      </c>
      <c r="AS107" s="237">
        <f ca="1">[1]!s_fa_dupont_faturnover(E107,$C$3)</f>
        <v>0.59250000000000003</v>
      </c>
      <c r="AT107" s="202">
        <f ca="1">[1]!s_fa_dupont_assetstoequity(E107,$C$3)</f>
        <v>2.1309999999999998</v>
      </c>
      <c r="AU107" s="189"/>
      <c r="AV107" s="201"/>
      <c r="AW107" s="189"/>
      <c r="AX107" s="189"/>
      <c r="AY107" s="189"/>
      <c r="AZ107" s="189"/>
      <c r="BA107" s="189"/>
      <c r="BB107" s="189"/>
      <c r="BC107" s="189"/>
      <c r="BD107" s="189"/>
      <c r="BE107" s="189"/>
    </row>
    <row r="108" spans="1:57" s="130" customFormat="1" ht="12" customHeight="1" x14ac:dyDescent="0.35">
      <c r="A108" s="121" t="s">
        <v>0</v>
      </c>
      <c r="B108" s="121" t="s">
        <v>298</v>
      </c>
      <c r="C108" s="121" t="s">
        <v>299</v>
      </c>
      <c r="D108" s="121" t="str">
        <f ca="1">[1]!cb_info_underlyingname(B108)</f>
        <v>荣晟环保</v>
      </c>
      <c r="E108" s="122" t="str">
        <f ca="1">[1]!cb_info_underlyingcode(B108)</f>
        <v>603165.SH</v>
      </c>
      <c r="F108" s="123" t="str">
        <f ca="1">[1]!s_info_industry_sw(B108,1)</f>
        <v>轻工制造</v>
      </c>
      <c r="G108" s="123" t="str">
        <f ca="1">[1]!s_info_industry_sw(E108,2)</f>
        <v>造纸Ⅱ</v>
      </c>
      <c r="H108" s="123" t="str">
        <f ca="1">[1]!s_info_industry_sw(E108,3)</f>
        <v>造纸Ⅲ</v>
      </c>
      <c r="I108" s="156" t="str">
        <f ca="1">[1]!s_info_majorproducttype(E108)</f>
        <v>纸包装制品</v>
      </c>
      <c r="J108" s="129">
        <f ca="1">[1]!s_val_ev(E108,$B$2,100000000)</f>
        <v>33.369452350400003</v>
      </c>
      <c r="K108" s="157">
        <f ca="1">[1]!s_share_total(E108,$B$2,100000000)</f>
        <v>2.6316602800000002</v>
      </c>
      <c r="L108" s="157">
        <f ca="1">[1]!s_share_liqa(E108,$B$2,100000000)</f>
        <v>2.6316602800000002</v>
      </c>
      <c r="M108" s="125">
        <f ca="1">[1]!s_fa_gr_ttm2(E108,$C$3,100000000)</f>
        <v>15.997708114100002</v>
      </c>
      <c r="N108" s="126">
        <f ca="1">[1]!s_fa_netprofit_ttm2(E108,$C$3,100000000)</f>
        <v>2.3548139784000002</v>
      </c>
      <c r="O108" s="125"/>
      <c r="P108" s="126">
        <f ca="1">[1]!s_val_pe_ttm(E108,[1]!td($B$2-1))</f>
        <v>12.990493774414063</v>
      </c>
      <c r="Q108" s="126">
        <f ca="1">[1]!i_val_pe_percentile(E108,[1]!td($B$2-1),$B$2-365*5,[1]!td($B$2-1))</f>
        <v>32.054309327036599</v>
      </c>
      <c r="R108" s="126">
        <f ca="1">[1]!pb_mrq(E108,[1]!td($B$2-1))</f>
        <v>1.9724586736201297</v>
      </c>
      <c r="S108" s="126">
        <f ca="1">[1]!i_val_pb_percentile(E108,[1]!td($B$2-1),$B$2-365*5,[1]!td($B$2-1))</f>
        <v>1.0035419126328218</v>
      </c>
      <c r="T108" s="126">
        <f ca="1">[1]!s_val_pe_ttm([1]!to_windcode_index(H108&amp;"(申万)"),[1]!td($B$2-1))</f>
        <v>13.180000305175781</v>
      </c>
      <c r="U108" s="126"/>
      <c r="V108" s="126">
        <f ca="1">[1]!s_fa_roe(E108,$C$3)</f>
        <v>11.298400000000001</v>
      </c>
      <c r="W108" s="126">
        <f ca="1">[1]!s_fa_grossprofitmargin(E108,$C$3)</f>
        <v>17.104700000000001</v>
      </c>
      <c r="X108" s="126">
        <f ca="1">[1]!s_fa_netprofitmargin(E108,$C$3)</f>
        <v>13.781499999999999</v>
      </c>
      <c r="Y108" s="126">
        <f ca="1">[1]!s_fa_roic(E108,$C$3)</f>
        <v>9.2868999999999993</v>
      </c>
      <c r="Z108" s="126">
        <f ca="1">[1]!s_fa_operateincometoebt_ttm2(E108,$C$3)</f>
        <v>55.998800000000003</v>
      </c>
      <c r="AA108" s="125"/>
      <c r="AB108" s="343"/>
      <c r="AC108" s="125">
        <f ca="1">[1]!s_fa_cagr_tr($E108,AC$6,3)</f>
        <v>0</v>
      </c>
      <c r="AD108" s="125">
        <f ca="1">[1]!s_fa_cagr_tr($E108,AD$6,3)</f>
        <v>-5.8944461388654172</v>
      </c>
      <c r="AE108" s="126">
        <f ca="1">[1]!s_fa_cagr_tr($E108,AE$6,3)</f>
        <v>17.639213994422608</v>
      </c>
      <c r="AF108" s="126">
        <f ca="1">[1]!s_fa_cagr_tr($E108,AF$6,3)</f>
        <v>42.872109861865802</v>
      </c>
      <c r="AG108" s="126">
        <f ca="1">[1]!s_fa_cagr_tr($E108,AG$6,3)</f>
        <v>41.526069274613178</v>
      </c>
      <c r="AH108" s="126">
        <f ca="1">[1]!s_fa_cagr_tr($E108,AH$6,3)</f>
        <v>13.257353113649994</v>
      </c>
      <c r="AI108" s="169"/>
      <c r="AJ108" s="126">
        <f ca="1">[1]!s_fa_cagr_netprofit($E108,AJ$6,3)</f>
        <v>0</v>
      </c>
      <c r="AK108" s="126">
        <f ca="1">[1]!s_fa_cagr_netprofit($E108,AK$6,3)</f>
        <v>-16.522439317109516</v>
      </c>
      <c r="AL108" s="126">
        <f ca="1">[1]!s_fa_cagr_netprofit($E108,AL$6,3)</f>
        <v>26.618093280940425</v>
      </c>
      <c r="AM108" s="126">
        <f ca="1">[1]!s_fa_cagr_netprofit($E108,AM$6,3)</f>
        <v>39.146847733455871</v>
      </c>
      <c r="AN108" s="126">
        <f ca="1">[1]!s_fa_cagr_netprofit($E108,AN$6,3)</f>
        <v>94.322105080509047</v>
      </c>
      <c r="AO108" s="126">
        <f ca="1">[1]!s_fa_cagr_netprofit($E108,AO$6,3)</f>
        <v>39.405015808791767</v>
      </c>
      <c r="AP108" s="129"/>
      <c r="AQ108" s="203">
        <f ca="1">[1]!s_fa_dupont_roe(E108,$C$3)</f>
        <v>11.298400000000001</v>
      </c>
      <c r="AR108" s="203">
        <f ca="1">[1]!s_fa_dupont_nptosales(B108,$C$3)</f>
        <v>13.781499999999999</v>
      </c>
      <c r="AS108" s="238">
        <f ca="1">[1]!s_fa_dupont_faturnover(E108,$C$3)</f>
        <v>0.62860000000000005</v>
      </c>
      <c r="AT108" s="203">
        <f ca="1">[1]!s_fa_dupont_assetstoequity(E108,$C$3)</f>
        <v>1.3043</v>
      </c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29"/>
      <c r="BE108" s="129"/>
    </row>
    <row r="109" spans="1:57" s="191" customFormat="1" ht="12" customHeight="1" x14ac:dyDescent="0.35">
      <c r="A109" s="182" t="s">
        <v>5</v>
      </c>
      <c r="B109" s="182" t="s">
        <v>411</v>
      </c>
      <c r="C109" s="182" t="s">
        <v>412</v>
      </c>
      <c r="D109" s="182" t="str">
        <f ca="1">[1]!cb_info_underlyingname(B109)</f>
        <v>万顺新材</v>
      </c>
      <c r="E109" s="183" t="str">
        <f ca="1">[1]!cb_info_underlyingcode(B109)</f>
        <v>300057.SZ</v>
      </c>
      <c r="F109" s="184" t="str">
        <f ca="1">[1]!s_info_industry_sw(B109,1)</f>
        <v>轻工制造</v>
      </c>
      <c r="G109" s="184" t="str">
        <f ca="1">[1]!s_info_industry_sw(E109,2)</f>
        <v>包装印刷Ⅱ</v>
      </c>
      <c r="H109" s="184" t="str">
        <f ca="1">[1]!s_info_industry_sw(E109,3)</f>
        <v>包装印刷Ⅲ</v>
      </c>
      <c r="I109" s="192" t="str">
        <f ca="1">[1]!s_info_majorproducttype(E109)</f>
        <v>高分子聚合物、铝合金及制品、特种纸、显示设备</v>
      </c>
      <c r="J109" s="189">
        <f ca="1">[1]!s_val_ev(E109,$B$2,100000000)</f>
        <v>53.567395875400003</v>
      </c>
      <c r="K109" s="193">
        <f ca="1">[1]!s_share_total(E109,$B$2,100000000)</f>
        <v>6.74652341</v>
      </c>
      <c r="L109" s="193">
        <f ca="1">[1]!s_share_liqa(E109,$B$2,100000000)</f>
        <v>4.9696858800000001</v>
      </c>
      <c r="M109" s="186">
        <f ca="1">[1]!s_fa_gr_ttm2(E109,$C$3,100000000)</f>
        <v>49.145092465399998</v>
      </c>
      <c r="N109" s="187">
        <f ca="1">[1]!s_fa_netprofit_ttm2(E109,$C$3,100000000)</f>
        <v>1.0011032436</v>
      </c>
      <c r="O109" s="186"/>
      <c r="P109" s="187">
        <f ca="1">[1]!s_val_pe_ttm(E109,[1]!td($B$2-1))</f>
        <v>88.827186584472656</v>
      </c>
      <c r="Q109" s="187">
        <f ca="1">[1]!i_val_pe_percentile(E109,[1]!td($B$2-1),$B$2-365*5,[1]!td($B$2-1))</f>
        <v>90.405701754385973</v>
      </c>
      <c r="R109" s="187">
        <f ca="1">[1]!pb_mrq(E109,[1]!td($B$2-1))</f>
        <v>1.5051102495645989</v>
      </c>
      <c r="S109" s="187">
        <f ca="1">[1]!i_val_pb_percentile(E109,[1]!td($B$2-1),$B$2-365*5,[1]!td($B$2-1))</f>
        <v>65.789473684210535</v>
      </c>
      <c r="T109" s="187">
        <f ca="1">[1]!s_val_pe_ttm([1]!to_windcode_index(H109&amp;"(申万)"),[1]!td($B$2-1))</f>
        <v>28.680000305175781</v>
      </c>
      <c r="U109" s="186"/>
      <c r="V109" s="186">
        <f ca="1">[1]!s_fa_roe(E109,$C$3)</f>
        <v>1.4748000000000001</v>
      </c>
      <c r="W109" s="186">
        <f ca="1">[1]!s_fa_grossprofitmargin(E109,$C$3)</f>
        <v>8.8469999999999995</v>
      </c>
      <c r="X109" s="186">
        <f ca="1">[1]!s_fa_netprofitmargin(E109,$C$3)</f>
        <v>1.1744000000000001</v>
      </c>
      <c r="Y109" s="186">
        <f ca="1">[1]!s_fa_roic(E109,$C$3)</f>
        <v>1.3968</v>
      </c>
      <c r="Z109" s="186">
        <f ca="1">[1]!s_fa_operateincometoebt_ttm2(E109,$C$3)</f>
        <v>47.518300000000004</v>
      </c>
      <c r="AA109" s="186"/>
      <c r="AB109" s="342"/>
      <c r="AC109" s="186">
        <f ca="1">[1]!s_fa_cagr_tr($E109,AC$6,3)</f>
        <v>0</v>
      </c>
      <c r="AD109" s="186">
        <f ca="1">[1]!s_fa_cagr_tr($E109,AD$6,3)</f>
        <v>16.412774173616285</v>
      </c>
      <c r="AE109" s="187">
        <f ca="1">[1]!s_fa_cagr_tr($E109,AE$6,3)</f>
        <v>25.806976163863983</v>
      </c>
      <c r="AF109" s="187">
        <f ca="1">[1]!s_fa_cagr_tr($E109,AF$6,3)</f>
        <v>23.86674434700393</v>
      </c>
      <c r="AG109" s="187">
        <f ca="1">[1]!s_fa_cagr_tr($E109,AG$6,3)</f>
        <v>13.90505507821338</v>
      </c>
      <c r="AH109" s="187">
        <f ca="1">[1]!s_fa_cagr_tr($E109,AH$6,3)</f>
        <v>3.2044445667970267</v>
      </c>
      <c r="AI109" s="194"/>
      <c r="AJ109" s="187">
        <f ca="1">[1]!s_fa_cagr_netprofit($E109,AJ$6,3)</f>
        <v>0</v>
      </c>
      <c r="AK109" s="187">
        <f ca="1">[1]!s_fa_cagr_netprofit($E109,AK$6,3)</f>
        <v>-1.0630817559106664</v>
      </c>
      <c r="AL109" s="187">
        <f ca="1">[1]!s_fa_cagr_netprofit($E109,AL$6,3)</f>
        <v>21.083856381464059</v>
      </c>
      <c r="AM109" s="187">
        <f ca="1">[1]!s_fa_cagr_netprofit($E109,AM$6,3)</f>
        <v>23.547968789326124</v>
      </c>
      <c r="AN109" s="187">
        <f ca="1">[1]!s_fa_cagr_netprofit($E109,AN$6,3)</f>
        <v>-23.743728170649771</v>
      </c>
      <c r="AO109" s="187">
        <f ca="1">[1]!s_fa_cagr_netprofit($E109,AO$6,3)</f>
        <v>-19.361510821142513</v>
      </c>
      <c r="AP109" s="189"/>
      <c r="AQ109" s="202">
        <f ca="1">[1]!s_fa_dupont_roe(E109,$C$3)</f>
        <v>1.4748000000000001</v>
      </c>
      <c r="AR109" s="202">
        <f ca="1">[1]!s_fa_dupont_nptosales(B109,$C$3)</f>
        <v>1.1744000000000001</v>
      </c>
      <c r="AS109" s="237">
        <f ca="1">[1]!s_fa_dupont_faturnover(E109,$C$3)</f>
        <v>0.50800000000000001</v>
      </c>
      <c r="AT109" s="202">
        <f ca="1">[1]!s_fa_dupont_assetstoequity(E109,$C$3)</f>
        <v>2.1002999999999998</v>
      </c>
      <c r="AU109" s="189"/>
      <c r="AV109" s="189"/>
      <c r="AW109" s="189"/>
      <c r="AX109" s="189"/>
      <c r="AY109" s="189"/>
      <c r="AZ109" s="189"/>
      <c r="BA109" s="189"/>
      <c r="BB109" s="189"/>
      <c r="BC109" s="189"/>
      <c r="BD109" s="189"/>
      <c r="BE109" s="189"/>
    </row>
    <row r="110" spans="1:57" s="130" customFormat="1" ht="12" customHeight="1" x14ac:dyDescent="0.35">
      <c r="A110" s="121" t="s">
        <v>5</v>
      </c>
      <c r="B110" s="121" t="s">
        <v>611</v>
      </c>
      <c r="C110" s="121" t="s">
        <v>612</v>
      </c>
      <c r="D110" s="121" t="str">
        <f ca="1">[1]!cb_info_underlyingname(B110)</f>
        <v>万顺新材</v>
      </c>
      <c r="E110" s="122" t="str">
        <f ca="1">[1]!cb_info_underlyingcode(B110)</f>
        <v>300057.SZ</v>
      </c>
      <c r="F110" s="123" t="str">
        <f ca="1">[1]!s_info_industry_sw(B110,1)</f>
        <v>轻工制造</v>
      </c>
      <c r="G110" s="123" t="str">
        <f ca="1">[1]!s_info_industry_sw(E110,2)</f>
        <v>包装印刷Ⅱ</v>
      </c>
      <c r="H110" s="123" t="str">
        <f ca="1">[1]!s_info_industry_sw(E110,3)</f>
        <v>包装印刷Ⅲ</v>
      </c>
      <c r="I110" s="156" t="str">
        <f ca="1">[1]!s_info_majorproducttype(E110)</f>
        <v>高分子聚合物、铝合金及制品、特种纸、显示设备</v>
      </c>
      <c r="J110" s="129">
        <f ca="1">[1]!s_val_ev(E110,$B$2,100000000)</f>
        <v>53.567395875400003</v>
      </c>
      <c r="K110" s="157">
        <f ca="1">[1]!s_share_total(E110,$B$2,100000000)</f>
        <v>6.74652341</v>
      </c>
      <c r="L110" s="157">
        <f ca="1">[1]!s_share_liqa(E110,$B$2,100000000)</f>
        <v>4.9696858800000001</v>
      </c>
      <c r="M110" s="125">
        <f ca="1">[1]!s_fa_gr_ttm2(E110,$C$3,100000000)</f>
        <v>49.145092465399998</v>
      </c>
      <c r="N110" s="126">
        <f ca="1">[1]!s_fa_netprofit_ttm2(E110,$C$3,100000000)</f>
        <v>1.0011032436</v>
      </c>
      <c r="O110" s="125"/>
      <c r="P110" s="126">
        <f ca="1">[1]!s_val_pe_ttm(E110,[1]!td($B$2-1))</f>
        <v>88.827186584472656</v>
      </c>
      <c r="Q110" s="126">
        <f ca="1">[1]!i_val_pe_percentile(E110,[1]!td($B$2-1),$B$2-365*5,[1]!td($B$2-1))</f>
        <v>90.405701754385973</v>
      </c>
      <c r="R110" s="126">
        <f ca="1">[1]!pb_mrq(E110,[1]!td($B$2-1))</f>
        <v>1.5051102495645989</v>
      </c>
      <c r="S110" s="126">
        <f ca="1">[1]!i_val_pb_percentile(E110,[1]!td($B$2-1),$B$2-365*5,[1]!td($B$2-1))</f>
        <v>65.789473684210535</v>
      </c>
      <c r="T110" s="126">
        <f ca="1">[1]!s_val_pe_ttm([1]!to_windcode_index(H110&amp;"(申万)"),[1]!td($B$2-1))</f>
        <v>28.680000305175781</v>
      </c>
      <c r="U110" s="125"/>
      <c r="V110" s="125">
        <f ca="1">[1]!s_fa_roe(E110,$C$3)</f>
        <v>1.4748000000000001</v>
      </c>
      <c r="W110" s="125">
        <f ca="1">[1]!s_fa_grossprofitmargin(E110,$C$3)</f>
        <v>8.8469999999999995</v>
      </c>
      <c r="X110" s="125">
        <f ca="1">[1]!s_fa_netprofitmargin(E110,$C$3)</f>
        <v>1.1744000000000001</v>
      </c>
      <c r="Y110" s="125">
        <f ca="1">[1]!s_fa_roic(E110,$C$3)</f>
        <v>1.3968</v>
      </c>
      <c r="Z110" s="125">
        <f ca="1">[1]!s_fa_operateincometoebt_ttm2(E110,$C$3)</f>
        <v>47.518300000000004</v>
      </c>
      <c r="AA110" s="125"/>
      <c r="AB110" s="343"/>
      <c r="AC110" s="125">
        <f ca="1">[1]!s_fa_cagr_tr($E110,AC$6,3)</f>
        <v>0</v>
      </c>
      <c r="AD110" s="125">
        <f ca="1">[1]!s_fa_cagr_tr($E110,AD$6,3)</f>
        <v>16.412774173616285</v>
      </c>
      <c r="AE110" s="126">
        <f ca="1">[1]!s_fa_cagr_tr($E110,AE$6,3)</f>
        <v>25.806976163863983</v>
      </c>
      <c r="AF110" s="126">
        <f ca="1">[1]!s_fa_cagr_tr($E110,AF$6,3)</f>
        <v>23.86674434700393</v>
      </c>
      <c r="AG110" s="126">
        <f ca="1">[1]!s_fa_cagr_tr($E110,AG$6,3)</f>
        <v>13.90505507821338</v>
      </c>
      <c r="AH110" s="126">
        <f ca="1">[1]!s_fa_cagr_tr($E110,AH$6,3)</f>
        <v>3.2044445667970267</v>
      </c>
      <c r="AI110" s="169"/>
      <c r="AJ110" s="126">
        <f ca="1">[1]!s_fa_cagr_netprofit($E110,AJ$6,3)</f>
        <v>0</v>
      </c>
      <c r="AK110" s="126">
        <f ca="1">[1]!s_fa_cagr_netprofit($E110,AK$6,3)</f>
        <v>-1.0630817559106664</v>
      </c>
      <c r="AL110" s="126">
        <f ca="1">[1]!s_fa_cagr_netprofit($E110,AL$6,3)</f>
        <v>21.083856381464059</v>
      </c>
      <c r="AM110" s="126">
        <f ca="1">[1]!s_fa_cagr_netprofit($E110,AM$6,3)</f>
        <v>23.547968789326124</v>
      </c>
      <c r="AN110" s="126">
        <f ca="1">[1]!s_fa_cagr_netprofit($E110,AN$6,3)</f>
        <v>-23.743728170649771</v>
      </c>
      <c r="AO110" s="126">
        <f ca="1">[1]!s_fa_cagr_netprofit($E110,AO$6,3)</f>
        <v>-19.361510821142513</v>
      </c>
      <c r="AP110" s="129"/>
      <c r="AQ110" s="203">
        <f ca="1">[1]!s_fa_dupont_roe(E110,$C$3)</f>
        <v>1.4748000000000001</v>
      </c>
      <c r="AR110" s="203">
        <f ca="1">[1]!s_fa_dupont_nptosales(B110,$C$3)</f>
        <v>1.1744000000000001</v>
      </c>
      <c r="AS110" s="238">
        <f ca="1">[1]!s_fa_dupont_faturnover(E110,$C$3)</f>
        <v>0.50800000000000001</v>
      </c>
      <c r="AT110" s="203">
        <f ca="1">[1]!s_fa_dupont_assetstoequity(E110,$C$3)</f>
        <v>2.1002999999999998</v>
      </c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29"/>
      <c r="BE110" s="129"/>
    </row>
    <row r="111" spans="1:57" s="191" customFormat="1" ht="12" customHeight="1" x14ac:dyDescent="0.35">
      <c r="A111" s="182" t="s">
        <v>5</v>
      </c>
      <c r="B111" s="182" t="s">
        <v>388</v>
      </c>
      <c r="C111" s="182" t="s">
        <v>389</v>
      </c>
      <c r="D111" s="182" t="str">
        <f ca="1">[1]!cb_info_underlyingname(B111)</f>
        <v>华源控股</v>
      </c>
      <c r="E111" s="183" t="str">
        <f ca="1">[1]!cb_info_underlyingcode(B111)</f>
        <v>002787.SZ</v>
      </c>
      <c r="F111" s="184" t="str">
        <f ca="1">[1]!s_info_industry_sw(B111,1)</f>
        <v>轻工制造</v>
      </c>
      <c r="G111" s="184" t="str">
        <f ca="1">[1]!s_info_industry_sw(E111,2)</f>
        <v>包装印刷Ⅱ</v>
      </c>
      <c r="H111" s="184" t="str">
        <f ca="1">[1]!s_info_industry_sw(E111,3)</f>
        <v>包装印刷Ⅲ</v>
      </c>
      <c r="I111" s="192" t="str">
        <f ca="1">[1]!s_info_majorproducttype(E111)</f>
        <v>金属包装制品、塑料包装制品</v>
      </c>
      <c r="J111" s="189">
        <f ca="1">[1]!s_val_ev(E111,$B$2,100000000)</f>
        <v>18.326558120000001</v>
      </c>
      <c r="K111" s="193">
        <f ca="1">[1]!s_share_total(E111,$B$2,100000000)</f>
        <v>3.1597514000000002</v>
      </c>
      <c r="L111" s="193">
        <f ca="1">[1]!s_share_liqa(E111,$B$2,100000000)</f>
        <v>1.78872776</v>
      </c>
      <c r="M111" s="186">
        <f ca="1">[1]!s_fa_gr_ttm2(E111,$C$3,100000000)</f>
        <v>17.016662302299999</v>
      </c>
      <c r="N111" s="187">
        <f ca="1">[1]!s_fa_netprofit_ttm2(E111,$C$3,100000000)</f>
        <v>0.81991914349999995</v>
      </c>
      <c r="O111" s="186"/>
      <c r="P111" s="187">
        <f ca="1">[1]!s_val_pe_ttm(E111,[1]!td($B$2-1))</f>
        <v>37.678924560546875</v>
      </c>
      <c r="Q111" s="187">
        <f ca="1">[1]!i_val_pe_percentile(E111,[1]!td($B$2-1),$B$2-365*5,[1]!td($B$2-1))</f>
        <v>47.752192982456144</v>
      </c>
      <c r="R111" s="187">
        <f ca="1">[1]!pb_mrq(E111,[1]!td($B$2-1))</f>
        <v>1.2178323335143639</v>
      </c>
      <c r="S111" s="187">
        <f ca="1">[1]!i_val_pb_percentile(E111,[1]!td($B$2-1),$B$2-365*5,[1]!td($B$2-1))</f>
        <v>7.0997807017543861</v>
      </c>
      <c r="T111" s="187">
        <f ca="1">[1]!s_val_pe_ttm([1]!to_windcode_index(H111&amp;"(申万)"),[1]!td($B$2-1))</f>
        <v>28.680000305175781</v>
      </c>
      <c r="U111" s="187"/>
      <c r="V111" s="187">
        <f ca="1">[1]!s_fa_roe(E111,$C$3)</f>
        <v>3.7069999999999999</v>
      </c>
      <c r="W111" s="187">
        <f ca="1">[1]!s_fa_grossprofitmargin(E111,$C$3)</f>
        <v>17.967500000000001</v>
      </c>
      <c r="X111" s="187">
        <f ca="1">[1]!s_fa_netprofitmargin(E111,$C$3)</f>
        <v>4.6593999999999998</v>
      </c>
      <c r="Y111" s="187">
        <f ca="1">[1]!s_fa_roic(E111,$C$3)</f>
        <v>3.7966000000000002</v>
      </c>
      <c r="Z111" s="187">
        <f ca="1">[1]!s_fa_operateincometoebt_ttm2(E111,$C$3)</f>
        <v>78.213099999999997</v>
      </c>
      <c r="AA111" s="186"/>
      <c r="AB111" s="342"/>
      <c r="AC111" s="186">
        <f ca="1">[1]!s_fa_cagr_tr($E111,AC$6,3)</f>
        <v>0</v>
      </c>
      <c r="AD111" s="186">
        <f ca="1">[1]!s_fa_cagr_tr($E111,AD$6,3)</f>
        <v>15.73519732614912</v>
      </c>
      <c r="AE111" s="187">
        <f ca="1">[1]!s_fa_cagr_tr($E111,AE$6,3)</f>
        <v>18.293903545407829</v>
      </c>
      <c r="AF111" s="187">
        <f ca="1">[1]!s_fa_cagr_tr($E111,AF$6,3)</f>
        <v>15.001798642119169</v>
      </c>
      <c r="AG111" s="187">
        <f ca="1">[1]!s_fa_cagr_tr($E111,AG$6,3)</f>
        <v>11.377498276377374</v>
      </c>
      <c r="AH111" s="187">
        <f ca="1">[1]!s_fa_cagr_tr($E111,AH$6,3)</f>
        <v>12.423689710497365</v>
      </c>
      <c r="AI111" s="194"/>
      <c r="AJ111" s="187">
        <f ca="1">[1]!s_fa_cagr_netprofit($E111,AJ$6,3)</f>
        <v>0</v>
      </c>
      <c r="AK111" s="187">
        <f ca="1">[1]!s_fa_cagr_netprofit($E111,AK$6,3)</f>
        <v>-20.705945355811494</v>
      </c>
      <c r="AL111" s="187">
        <f ca="1">[1]!s_fa_cagr_netprofit($E111,AL$6,3)</f>
        <v>-14.40502264884962</v>
      </c>
      <c r="AM111" s="187">
        <f ca="1">[1]!s_fa_cagr_netprofit($E111,AM$6,3)</f>
        <v>-14.004424159553198</v>
      </c>
      <c r="AN111" s="187">
        <f ca="1">[1]!s_fa_cagr_netprofit($E111,AN$6,3)</f>
        <v>8.6542248263646862</v>
      </c>
      <c r="AO111" s="187">
        <f ca="1">[1]!s_fa_cagr_netprofit($E111,AO$6,3)</f>
        <v>15.748301992963798</v>
      </c>
      <c r="AP111" s="189"/>
      <c r="AQ111" s="202">
        <f ca="1">[1]!s_fa_dupont_roe(E111,$C$3)</f>
        <v>3.7069999999999999</v>
      </c>
      <c r="AR111" s="202">
        <f ca="1">[1]!s_fa_dupont_nptosales(B111,$C$3)</f>
        <v>4.6593999999999998</v>
      </c>
      <c r="AS111" s="237">
        <f ca="1">[1]!s_fa_dupont_faturnover(E111,$C$3)</f>
        <v>0.50949999999999995</v>
      </c>
      <c r="AT111" s="202">
        <f ca="1">[1]!s_fa_dupont_assetstoequity(E111,$C$3)</f>
        <v>1.575</v>
      </c>
      <c r="AU111" s="189"/>
      <c r="AV111" s="201"/>
      <c r="AW111" s="189"/>
      <c r="AX111" s="189"/>
      <c r="AY111" s="189"/>
      <c r="AZ111" s="189"/>
      <c r="BA111" s="189"/>
      <c r="BB111" s="189"/>
      <c r="BC111" s="189"/>
      <c r="BD111" s="189"/>
      <c r="BE111" s="189"/>
    </row>
    <row r="112" spans="1:57" s="130" customFormat="1" ht="12" customHeight="1" x14ac:dyDescent="0.35">
      <c r="A112" s="121" t="s">
        <v>0</v>
      </c>
      <c r="B112" s="121" t="s">
        <v>196</v>
      </c>
      <c r="C112" s="121" t="s">
        <v>197</v>
      </c>
      <c r="D112" s="121" t="str">
        <f ca="1">[1]!cb_info_underlyingname(B112)</f>
        <v>翔港科技</v>
      </c>
      <c r="E112" s="122" t="str">
        <f ca="1">[1]!cb_info_underlyingcode(B112)</f>
        <v>603499.SH</v>
      </c>
      <c r="F112" s="123" t="str">
        <f ca="1">[1]!s_info_industry_sw(B112,1)</f>
        <v>轻工制造</v>
      </c>
      <c r="G112" s="123" t="str">
        <f ca="1">[1]!s_info_industry_sw(E112,2)</f>
        <v>包装印刷Ⅱ</v>
      </c>
      <c r="H112" s="123" t="str">
        <f ca="1">[1]!s_info_industry_sw(E112,3)</f>
        <v>包装印刷Ⅲ</v>
      </c>
      <c r="I112" s="156" t="str">
        <f ca="1">[1]!s_info_majorproducttype(E112)</f>
        <v>纸包装制品</v>
      </c>
      <c r="J112" s="129">
        <f ca="1">[1]!s_val_ev(E112,$B$2,100000000)</f>
        <v>15.2539881342</v>
      </c>
      <c r="K112" s="157">
        <f ca="1">[1]!s_share_total(E112,$B$2,100000000)</f>
        <v>2.0123994900000004</v>
      </c>
      <c r="L112" s="157">
        <f ca="1">[1]!s_share_liqa(E112,$B$2,100000000)</f>
        <v>2.0108902899999999</v>
      </c>
      <c r="M112" s="125">
        <f ca="1">[1]!s_fa_gr_ttm2(E112,$C$3,100000000)</f>
        <v>4.1836229093000004</v>
      </c>
      <c r="N112" s="126">
        <f ca="1">[1]!s_fa_netprofit_ttm2(E112,$C$3,100000000)</f>
        <v>1.1339139299999999E-2</v>
      </c>
      <c r="O112" s="125"/>
      <c r="P112" s="126">
        <f ca="1">[1]!s_val_pe_ttm(E112,[1]!td($B$2-1))</f>
        <v>-408.44967651367188</v>
      </c>
      <c r="Q112" s="126">
        <f ca="1">[1]!i_val_pe_percentile(E112,[1]!td($B$2-1),$B$2-365*5,[1]!td($B$2-1))</f>
        <v>0</v>
      </c>
      <c r="R112" s="126">
        <f ca="1">[1]!pb_mrq(E112,[1]!td($B$2-1))</f>
        <v>2.6848825116675576</v>
      </c>
      <c r="S112" s="126">
        <f ca="1">[1]!i_val_pb_percentile(E112,[1]!td($B$2-1),$B$2-365*5,[1]!td($B$2-1))</f>
        <v>7.1729957805907167</v>
      </c>
      <c r="T112" s="126">
        <f ca="1">[1]!s_val_pe_ttm([1]!to_windcode_index(H112&amp;"(申万)"),[1]!td($B$2-1))</f>
        <v>28.680000305175781</v>
      </c>
      <c r="U112" s="126"/>
      <c r="V112" s="126">
        <f ca="1">[1]!s_fa_roe(E112,$C$3)</f>
        <v>1.2463</v>
      </c>
      <c r="W112" s="126">
        <f ca="1">[1]!s_fa_grossprofitmargin(E112,$C$3)</f>
        <v>21.055099999999999</v>
      </c>
      <c r="X112" s="126">
        <f ca="1">[1]!s_fa_netprofitmargin(E112,$C$3)</f>
        <v>3.4836</v>
      </c>
      <c r="Y112" s="126">
        <f ca="1">[1]!s_fa_roic(E112,$C$3)</f>
        <v>2.3513999999999999</v>
      </c>
      <c r="Z112" s="126">
        <f ca="1">[1]!s_fa_operateincometoebt_ttm2(E112,$C$3)</f>
        <v>-416.90910000000002</v>
      </c>
      <c r="AA112" s="125"/>
      <c r="AB112" s="343"/>
      <c r="AC112" s="125">
        <f ca="1">[1]!s_fa_cagr_tr($E112,AC$6,3)</f>
        <v>0</v>
      </c>
      <c r="AD112" s="125">
        <f ca="1">[1]!s_fa_cagr_tr($E112,AD$6,3)</f>
        <v>12.564653032814665</v>
      </c>
      <c r="AE112" s="126">
        <f ca="1">[1]!s_fa_cagr_tr($E112,AE$6,3)</f>
        <v>4.5033133465496977</v>
      </c>
      <c r="AF112" s="126">
        <f ca="1">[1]!s_fa_cagr_tr($E112,AF$6,3)</f>
        <v>9.206874544150434</v>
      </c>
      <c r="AG112" s="126">
        <f ca="1">[1]!s_fa_cagr_tr($E112,AG$6,3)</f>
        <v>12.073109160059614</v>
      </c>
      <c r="AH112" s="126">
        <f ca="1">[1]!s_fa_cagr_tr($E112,AH$6,3)</f>
        <v>8.1360811299435056</v>
      </c>
      <c r="AI112" s="169"/>
      <c r="AJ112" s="126">
        <f ca="1">[1]!s_fa_cagr_netprofit($E112,AJ$6,3)</f>
        <v>0</v>
      </c>
      <c r="AK112" s="126">
        <f ca="1">[1]!s_fa_cagr_netprofit($E112,AK$6,3)</f>
        <v>-44.240311548346732</v>
      </c>
      <c r="AL112" s="126">
        <f ca="1">[1]!s_fa_cagr_netprofit($E112,AL$6,3)</f>
        <v>-31.099632109029095</v>
      </c>
      <c r="AM112" s="126">
        <f ca="1">[1]!s_fa_cagr_netprofit($E112,AM$6,3)</f>
        <v>4.0344113751831223</v>
      </c>
      <c r="AN112" s="126">
        <f ca="1">[1]!s_fa_cagr_netprofit($E112,AN$6,3)</f>
        <v>-3.7792845636394623</v>
      </c>
      <c r="AO112" s="126">
        <f ca="1">[1]!s_fa_cagr_netprofit($E112,AO$6,3)</f>
        <v>-8.6740548306147414</v>
      </c>
      <c r="AP112" s="129"/>
      <c r="AQ112" s="203">
        <f ca="1">[1]!s_fa_dupont_roe(E112,$C$3)</f>
        <v>1.2463</v>
      </c>
      <c r="AR112" s="203">
        <f ca="1">[1]!s_fa_dupont_nptosales(B112,$C$3)</f>
        <v>3.4836</v>
      </c>
      <c r="AS112" s="238">
        <f ca="1">[1]!s_fa_dupont_faturnover(E112,$C$3)</f>
        <v>0.39950000000000002</v>
      </c>
      <c r="AT112" s="203">
        <f ca="1">[1]!s_fa_dupont_assetstoequity(E112,$C$3)</f>
        <v>1.4251</v>
      </c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29"/>
      <c r="BE112" s="129"/>
    </row>
    <row r="113" spans="1:57" s="191" customFormat="1" ht="12" customHeight="1" x14ac:dyDescent="0.35">
      <c r="A113" s="182" t="s">
        <v>5</v>
      </c>
      <c r="B113" s="182" t="s">
        <v>401</v>
      </c>
      <c r="C113" s="182" t="s">
        <v>402</v>
      </c>
      <c r="D113" s="182" t="str">
        <f ca="1">[1]!cb_info_underlyingname(B113)</f>
        <v>哈尔斯</v>
      </c>
      <c r="E113" s="183" t="str">
        <f ca="1">[1]!cb_info_underlyingcode(B113)</f>
        <v>002615.SZ</v>
      </c>
      <c r="F113" s="184" t="str">
        <f ca="1">[1]!s_info_industry_sw(B113,1)</f>
        <v>轻工制造</v>
      </c>
      <c r="G113" s="184" t="str">
        <f ca="1">[1]!s_info_industry_sw(E113,2)</f>
        <v>家用轻工</v>
      </c>
      <c r="H113" s="184" t="str">
        <f ca="1">[1]!s_info_industry_sw(E113,3)</f>
        <v>其他家用轻工</v>
      </c>
      <c r="I113" s="192" t="str">
        <f ca="1">[1]!s_info_majorproducttype(E113)</f>
        <v>金属包装制品</v>
      </c>
      <c r="J113" s="189">
        <f ca="1">[1]!s_val_ev(E113,$B$2,100000000)</f>
        <v>22.669522480000001</v>
      </c>
      <c r="K113" s="193">
        <f ca="1">[1]!s_share_total(E113,$B$2,100000000)</f>
        <v>4.1217313600000001</v>
      </c>
      <c r="L113" s="193">
        <f ca="1">[1]!s_share_liqa(E113,$B$2,100000000)</f>
        <v>2.3089011099999999</v>
      </c>
      <c r="M113" s="186">
        <f ca="1">[1]!s_fa_gr_ttm2(E113,$C$3,100000000)</f>
        <v>14.6242141691</v>
      </c>
      <c r="N113" s="187">
        <f ca="1">[1]!s_fa_netprofit_ttm2(E113,$C$3,100000000)</f>
        <v>-0.49609503459999998</v>
      </c>
      <c r="O113" s="186"/>
      <c r="P113" s="187">
        <f ca="1">[1]!s_val_pe_ttm(E113,[1]!td($B$2-1))</f>
        <v>38.019584655761719</v>
      </c>
      <c r="Q113" s="187">
        <f ca="1">[1]!i_val_pe_percentile(E113,[1]!td($B$2-1),$B$2-365*5,[1]!td($B$2-1))</f>
        <v>76.645569620253156</v>
      </c>
      <c r="R113" s="187">
        <f ca="1">[1]!pb_mrq(E113,[1]!td($B$2-1))</f>
        <v>2.7683386374634784</v>
      </c>
      <c r="S113" s="187">
        <f ca="1">[1]!i_val_pb_percentile(E113,[1]!td($B$2-1),$B$2-365*5,[1]!td($B$2-1))</f>
        <v>38.432017543859651</v>
      </c>
      <c r="T113" s="187">
        <f ca="1">[1]!s_val_pe_ttm([1]!to_windcode_index(H113&amp;"(申万)"),[1]!td($B$2-1))</f>
        <v>35.150001525878906</v>
      </c>
      <c r="U113" s="186"/>
      <c r="V113" s="186">
        <f ca="1">[1]!s_fa_roe(E113,$C$3)</f>
        <v>-1.6020000000000001</v>
      </c>
      <c r="W113" s="186">
        <f ca="1">[1]!s_fa_grossprofitmargin(E113,$C$3)</f>
        <v>24.944299999999998</v>
      </c>
      <c r="X113" s="186">
        <f ca="1">[1]!s_fa_netprofitmargin(E113,$C$3)</f>
        <v>-1.5206999999999999</v>
      </c>
      <c r="Y113" s="186">
        <f ca="1">[1]!s_fa_roic(E113,$C$3)</f>
        <v>0.22339999999999999</v>
      </c>
      <c r="Z113" s="186">
        <f ca="1">[1]!s_fa_operateincometoebt_ttm2(E113,$C$3)</f>
        <v>0</v>
      </c>
      <c r="AA113" s="186"/>
      <c r="AB113" s="342"/>
      <c r="AC113" s="186">
        <f ca="1">[1]!s_fa_cagr_tr($E113,AC$6,3)</f>
        <v>0</v>
      </c>
      <c r="AD113" s="186">
        <f ca="1">[1]!s_fa_cagr_tr($E113,AD$6,3)</f>
        <v>1.2080441876338943</v>
      </c>
      <c r="AE113" s="187">
        <f ca="1">[1]!s_fa_cagr_tr($E113,AE$6,3)</f>
        <v>10.167237240239025</v>
      </c>
      <c r="AF113" s="187">
        <f ca="1">[1]!s_fa_cagr_tr($E113,AF$6,3)</f>
        <v>33.247473035555444</v>
      </c>
      <c r="AG113" s="187">
        <f ca="1">[1]!s_fa_cagr_tr($E113,AG$6,3)</f>
        <v>24.448146900150292</v>
      </c>
      <c r="AH113" s="187">
        <f ca="1">[1]!s_fa_cagr_tr($E113,AH$6,3)</f>
        <v>29.755182904053701</v>
      </c>
      <c r="AI113" s="194"/>
      <c r="AJ113" s="187">
        <f ca="1">[1]!s_fa_cagr_netprofit($E113,AJ$6,3)</f>
        <v>0</v>
      </c>
      <c r="AK113" s="187">
        <f ca="1">[1]!s_fa_cagr_netprofit($E113,AK$6,3)</f>
        <v>-163.64629928293445</v>
      </c>
      <c r="AL113" s="187">
        <f ca="1">[1]!s_fa_cagr_netprofit($E113,AL$6,3)</f>
        <v>-22.660368382811203</v>
      </c>
      <c r="AM113" s="187">
        <f ca="1">[1]!s_fa_cagr_netprofit($E113,AM$6,3)</f>
        <v>38.753322544846888</v>
      </c>
      <c r="AN113" s="187">
        <f ca="1">[1]!s_fa_cagr_netprofit($E113,AN$6,3)</f>
        <v>16.016018669755681</v>
      </c>
      <c r="AO113" s="187">
        <f ca="1">[1]!s_fa_cagr_netprofit($E113,AO$6,3)</f>
        <v>26.77509547312258</v>
      </c>
      <c r="AP113" s="189"/>
      <c r="AQ113" s="202">
        <f ca="1">[1]!s_fa_dupont_roe(E113,$C$3)</f>
        <v>-1.6020000000000001</v>
      </c>
      <c r="AR113" s="202">
        <f ca="1">[1]!s_fa_dupont_nptosales(B113,$C$3)</f>
        <v>-1.5206999999999999</v>
      </c>
      <c r="AS113" s="237">
        <f ca="1">[1]!s_fa_dupont_faturnover(E113,$C$3)</f>
        <v>0.48070000000000002</v>
      </c>
      <c r="AT113" s="202">
        <f ca="1">[1]!s_fa_dupont_assetstoequity(E113,$C$3)</f>
        <v>2.4091999999999998</v>
      </c>
      <c r="AU113" s="189"/>
      <c r="AV113" s="189"/>
      <c r="AW113" s="189"/>
      <c r="AX113" s="189"/>
      <c r="AY113" s="189"/>
      <c r="AZ113" s="189"/>
      <c r="BA113" s="189"/>
      <c r="BB113" s="189"/>
      <c r="BC113" s="189"/>
      <c r="BD113" s="189"/>
      <c r="BE113" s="189"/>
    </row>
    <row r="114" spans="1:57" s="130" customFormat="1" ht="12" customHeight="1" x14ac:dyDescent="0.35">
      <c r="A114" s="121" t="s">
        <v>0</v>
      </c>
      <c r="B114" s="121" t="s">
        <v>525</v>
      </c>
      <c r="C114" s="121" t="s">
        <v>526</v>
      </c>
      <c r="D114" s="121" t="str">
        <f ca="1">[1]!cb_info_underlyingname(B114)</f>
        <v>广汽集团</v>
      </c>
      <c r="E114" s="122" t="str">
        <f ca="1">[1]!cb_info_underlyingcode(B114)</f>
        <v>601238.SH</v>
      </c>
      <c r="F114" s="123" t="str">
        <f ca="1">[1]!s_info_industry_sw(B114,1)</f>
        <v>汽车</v>
      </c>
      <c r="G114" s="123" t="str">
        <f ca="1">[1]!s_info_industry_sw(E114,2)</f>
        <v>汽车整车</v>
      </c>
      <c r="H114" s="123" t="str">
        <f ca="1">[1]!s_info_industry_sw(E114,3)</f>
        <v>乘用车</v>
      </c>
      <c r="I114" s="156" t="str">
        <f ca="1">[1]!s_info_majorproducttype(E114)</f>
        <v>车身及外观设备、发动机设备、行驶底盘设备、轿车、客车、轻型卡车、专用设备与零部件、转向设备</v>
      </c>
      <c r="J114" s="129">
        <f ca="1">[1]!s_val_ev(E114,$B$2,100000000)</f>
        <v>1714.4019125345098</v>
      </c>
      <c r="K114" s="157">
        <f ca="1">[1]!s_share_total(E114,$B$2,100000000)</f>
        <v>103.55595768000001</v>
      </c>
      <c r="L114" s="157">
        <f ca="1">[1]!s_share_liqa(E114,$B$2,100000000)</f>
        <v>71.548741329999999</v>
      </c>
      <c r="M114" s="125">
        <f ca="1">[1]!s_fa_gr_ttm2(E114,$C$3,100000000)</f>
        <v>598.21881697000003</v>
      </c>
      <c r="N114" s="126">
        <f ca="1">[1]!s_fa_netprofit_ttm2(E114,$C$3,100000000)</f>
        <v>52.8443313</v>
      </c>
      <c r="O114" s="125"/>
      <c r="P114" s="126">
        <f ca="1">[1]!s_val_pe_ttm(E114,[1]!td($B$2-1))</f>
        <v>26.420024871826172</v>
      </c>
      <c r="Q114" s="126">
        <f ca="1">[1]!i_val_pe_percentile(E114,[1]!td($B$2-1),$B$2-365*5,[1]!td($B$2-1))</f>
        <v>95.23026315789474</v>
      </c>
      <c r="R114" s="126">
        <f ca="1">[1]!pb_mrq(E114,[1]!td($B$2-1))</f>
        <v>2.4124451313257853</v>
      </c>
      <c r="S114" s="126">
        <f ca="1">[1]!i_val_pb_percentile(E114,[1]!td($B$2-1),$B$2-365*5,[1]!td($B$2-1))</f>
        <v>71.436403508771932</v>
      </c>
      <c r="T114" s="126">
        <f ca="1">[1]!s_val_pe_ttm([1]!to_windcode_index(H114&amp;"(申万)"),[1]!td($B$2-1))</f>
        <v>43.069999694824219</v>
      </c>
      <c r="U114" s="125"/>
      <c r="V114" s="125">
        <f ca="1">[1]!s_fa_roe(E114,$C$3)</f>
        <v>6.1298000000000004</v>
      </c>
      <c r="W114" s="125">
        <f ca="1">[1]!s_fa_grossprofitmargin(E114,$C$3)</f>
        <v>5.0960999999999999</v>
      </c>
      <c r="X114" s="125">
        <f ca="1">[1]!s_fa_netprofitmargin(E114,$C$3)</f>
        <v>11.8302</v>
      </c>
      <c r="Y114" s="125">
        <f ca="1">[1]!s_fa_roic(E114,$C$3)</f>
        <v>4.7845000000000004</v>
      </c>
      <c r="Z114" s="125">
        <f ca="1">[1]!s_fa_operateincometoebt_ttm2(E114,$C$3)</f>
        <v>-136.11109999999999</v>
      </c>
      <c r="AA114" s="125"/>
      <c r="AB114" s="343"/>
      <c r="AC114" s="125">
        <f ca="1">[1]!s_fa_cagr_tr($E114,AC$6,3)</f>
        <v>0</v>
      </c>
      <c r="AD114" s="125">
        <f ca="1">[1]!s_fa_cagr_tr($E114,AD$6,3)</f>
        <v>-4.0849402306359135</v>
      </c>
      <c r="AE114" s="126">
        <f ca="1">[1]!s_fa_cagr_tr($E114,AE$6,3)</f>
        <v>6.5061002359180886</v>
      </c>
      <c r="AF114" s="126">
        <f ca="1">[1]!s_fa_cagr_tr($E114,AF$6,3)</f>
        <v>34.999949902980923</v>
      </c>
      <c r="AG114" s="126">
        <f ca="1">[1]!s_fa_cagr_tr($E114,AG$6,3)</f>
        <v>47.342015073265365</v>
      </c>
      <c r="AH114" s="126">
        <f ca="1">[1]!s_fa_cagr_tr($E114,AH$6,3)</f>
        <v>37.950075203694468</v>
      </c>
      <c r="AI114" s="169"/>
      <c r="AJ114" s="126">
        <f ca="1">[1]!s_fa_cagr_netprofit($E114,AJ$6,3)</f>
        <v>0</v>
      </c>
      <c r="AK114" s="126">
        <f ca="1">[1]!s_fa_cagr_netprofit($E114,AK$6,3)</f>
        <v>-17.914371406045014</v>
      </c>
      <c r="AL114" s="126">
        <f ca="1">[1]!s_fa_cagr_netprofit($E114,AL$6,3)</f>
        <v>1.7160894483368772</v>
      </c>
      <c r="AM114" s="126">
        <f ca="1">[1]!s_fa_cagr_netprofit($E114,AM$6,3)</f>
        <v>37.082927893559756</v>
      </c>
      <c r="AN114" s="126">
        <f ca="1">[1]!s_fa_cagr_netprofit($E114,AN$6,3)</f>
        <v>50.157190320842268</v>
      </c>
      <c r="AO114" s="126">
        <f ca="1">[1]!s_fa_cagr_netprofit($E114,AO$6,3)</f>
        <v>33.06500577153848</v>
      </c>
      <c r="AP114" s="129"/>
      <c r="AQ114" s="203">
        <f ca="1">[1]!s_fa_dupont_roe(E114,$C$3)</f>
        <v>6.1298000000000004</v>
      </c>
      <c r="AR114" s="203">
        <f ca="1">[1]!s_fa_dupont_nptosales(B114,$C$3)</f>
        <v>11.747299999999999</v>
      </c>
      <c r="AS114" s="238">
        <f ca="1">[1]!s_fa_dupont_faturnover(E114,$C$3)</f>
        <v>0.32019999999999998</v>
      </c>
      <c r="AT114" s="203">
        <f ca="1">[1]!s_fa_dupont_assetstoequity(E114,$C$3)</f>
        <v>1.6516</v>
      </c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29"/>
      <c r="BE114" s="129"/>
    </row>
    <row r="115" spans="1:57" s="191" customFormat="1" ht="12" customHeight="1" x14ac:dyDescent="0.35">
      <c r="A115" s="182" t="s">
        <v>0</v>
      </c>
      <c r="B115" s="182" t="s">
        <v>545</v>
      </c>
      <c r="C115" s="182" t="s">
        <v>546</v>
      </c>
      <c r="D115" s="182" t="str">
        <f ca="1">[1]!cb_info_underlyingname(B115)</f>
        <v>星宇股份</v>
      </c>
      <c r="E115" s="183" t="str">
        <f ca="1">[1]!cb_info_underlyingcode(B115)</f>
        <v>601799.SH</v>
      </c>
      <c r="F115" s="184" t="str">
        <f ca="1">[1]!s_info_industry_sw(B115,1)</f>
        <v>汽车</v>
      </c>
      <c r="G115" s="184" t="str">
        <f ca="1">[1]!s_info_industry_sw(E115,2)</f>
        <v>汽车零部件Ⅱ</v>
      </c>
      <c r="H115" s="184" t="str">
        <f ca="1">[1]!s_info_industry_sw(E115,3)</f>
        <v>汽车零部件Ⅲ</v>
      </c>
      <c r="I115" s="192" t="str">
        <f ca="1">[1]!s_info_majorproducttype(E115)</f>
        <v>车身及外观设备</v>
      </c>
      <c r="J115" s="189">
        <f ca="1">[1]!s_val_ev(E115,$B$2,100000000)</f>
        <v>555.01797523319999</v>
      </c>
      <c r="K115" s="193">
        <f ca="1">[1]!s_share_total(E115,$B$2,100000000)</f>
        <v>2.85679419</v>
      </c>
      <c r="L115" s="193">
        <f ca="1">[1]!s_share_liqa(E115,$B$2,100000000)</f>
        <v>2.85679419</v>
      </c>
      <c r="M115" s="186">
        <f ca="1">[1]!s_fa_gr_ttm2(E115,$C$3,100000000)</f>
        <v>67.351670322900006</v>
      </c>
      <c r="N115" s="187">
        <f ca="1">[1]!s_fa_netprofit_ttm2(E115,$C$3,100000000)</f>
        <v>9.6555053975000007</v>
      </c>
      <c r="O115" s="186"/>
      <c r="P115" s="187">
        <f ca="1">[1]!s_val_pe_ttm(E115,[1]!td($B$2-1))</f>
        <v>41.48114013671875</v>
      </c>
      <c r="Q115" s="187">
        <f ca="1">[1]!i_val_pe_percentile(E115,[1]!td($B$2-1),$B$2-365*5,[1]!td($B$2-1))</f>
        <v>77.467105263157904</v>
      </c>
      <c r="R115" s="187">
        <f ca="1">[1]!pb_mrq(E115,[1]!td($B$2-1))</f>
        <v>9.1349607118003391</v>
      </c>
      <c r="S115" s="187">
        <f ca="1">[1]!i_val_pb_percentile(E115,[1]!td($B$2-1),$B$2-365*5,[1]!td($B$2-1))</f>
        <v>77.741228070175438</v>
      </c>
      <c r="T115" s="187">
        <f ca="1">[1]!s_val_pe_ttm([1]!to_windcode_index(H115&amp;"(申万)"),[1]!td($B$2-1))</f>
        <v>25.280000686645508</v>
      </c>
      <c r="U115" s="187"/>
      <c r="V115" s="187">
        <f ca="1">[1]!s_fa_roe(E115,$C$3)</f>
        <v>13.8607</v>
      </c>
      <c r="W115" s="187">
        <f ca="1">[1]!s_fa_grossprofitmargin(E115,$C$3)</f>
        <v>26.5152</v>
      </c>
      <c r="X115" s="187">
        <f ca="1">[1]!s_fa_netprofitmargin(E115,$C$3)</f>
        <v>14.888999999999999</v>
      </c>
      <c r="Y115" s="187">
        <f ca="1">[1]!s_fa_roic(E115,$C$3)</f>
        <v>13.342599999999999</v>
      </c>
      <c r="Z115" s="187">
        <f ca="1">[1]!s_fa_operateincometoebt_ttm2(E115,$C$3)</f>
        <v>92.1464</v>
      </c>
      <c r="AA115" s="186"/>
      <c r="AB115" s="342"/>
      <c r="AC115" s="186">
        <f ca="1">[1]!s_fa_cagr_tr($E115,AC$6,3)</f>
        <v>0</v>
      </c>
      <c r="AD115" s="186">
        <f ca="1">[1]!s_fa_cagr_tr($E115,AD$6,3)</f>
        <v>19.833074111587546</v>
      </c>
      <c r="AE115" s="187">
        <f ca="1">[1]!s_fa_cagr_tr($E115,AE$6,3)</f>
        <v>22.095948778722651</v>
      </c>
      <c r="AF115" s="187">
        <f ca="1">[1]!s_fa_cagr_tr($E115,AF$6,3)</f>
        <v>27.164321171435013</v>
      </c>
      <c r="AG115" s="187">
        <f ca="1">[1]!s_fa_cagr_tr($E115,AG$6,3)</f>
        <v>28.277002819865405</v>
      </c>
      <c r="AH115" s="187">
        <f ca="1">[1]!s_fa_cagr_tr($E115,AH$6,3)</f>
        <v>27.041900416001631</v>
      </c>
      <c r="AI115" s="194"/>
      <c r="AJ115" s="187">
        <f ca="1">[1]!s_fa_cagr_netprofit($E115,AJ$6,3)</f>
        <v>0</v>
      </c>
      <c r="AK115" s="187">
        <f ca="1">[1]!s_fa_cagr_netprofit($E115,AK$6,3)</f>
        <v>35.125158204823002</v>
      </c>
      <c r="AL115" s="187">
        <f ca="1">[1]!s_fa_cagr_netprofit($E115,AL$6,3)</f>
        <v>31.182693870484691</v>
      </c>
      <c r="AM115" s="187">
        <f ca="1">[1]!s_fa_cagr_netprofit($E115,AM$6,3)</f>
        <v>27.656258747313856</v>
      </c>
      <c r="AN115" s="187">
        <f ca="1">[1]!s_fa_cagr_netprofit($E115,AN$6,3)</f>
        <v>19.893263652452518</v>
      </c>
      <c r="AO115" s="187">
        <f ca="1">[1]!s_fa_cagr_netprofit($E115,AO$6,3)</f>
        <v>17.116867808506122</v>
      </c>
      <c r="AP115" s="189"/>
      <c r="AQ115" s="202">
        <f ca="1">[1]!s_fa_dupont_roe(E115,$C$3)</f>
        <v>13.8607</v>
      </c>
      <c r="AR115" s="202">
        <f ca="1">[1]!s_fa_dupont_nptosales(B115,$C$3)</f>
        <v>14.888999999999999</v>
      </c>
      <c r="AS115" s="237">
        <f ca="1">[1]!s_fa_dupont_faturnover(E115,$C$3)</f>
        <v>0.54169999999999996</v>
      </c>
      <c r="AT115" s="202">
        <f ca="1">[1]!s_fa_dupont_assetstoequity(E115,$C$3)</f>
        <v>1.7184999999999999</v>
      </c>
      <c r="AU115" s="189"/>
      <c r="AV115" s="201"/>
      <c r="AW115" s="189"/>
      <c r="AX115" s="189"/>
      <c r="AY115" s="189"/>
      <c r="AZ115" s="189"/>
      <c r="BA115" s="189"/>
      <c r="BB115" s="189"/>
      <c r="BC115" s="189"/>
      <c r="BD115" s="189"/>
      <c r="BE115" s="189"/>
    </row>
    <row r="116" spans="1:57" s="130" customFormat="1" ht="12" customHeight="1" x14ac:dyDescent="0.35">
      <c r="A116" s="121" t="s">
        <v>0</v>
      </c>
      <c r="B116" s="121" t="s">
        <v>481</v>
      </c>
      <c r="C116" s="121" t="s">
        <v>482</v>
      </c>
      <c r="D116" s="121" t="str">
        <f ca="1">[1]!cb_info_underlyingname(B116)</f>
        <v>小康股份</v>
      </c>
      <c r="E116" s="122" t="str">
        <f ca="1">[1]!cb_info_underlyingcode(B116)</f>
        <v>601127.SH</v>
      </c>
      <c r="F116" s="123" t="str">
        <f ca="1">[1]!s_info_industry_sw(B116,1)</f>
        <v>汽车</v>
      </c>
      <c r="G116" s="123" t="str">
        <f ca="1">[1]!s_info_industry_sw(E116,2)</f>
        <v>汽车整车</v>
      </c>
      <c r="H116" s="123" t="str">
        <f ca="1">[1]!s_info_industry_sw(E116,3)</f>
        <v>乘用车</v>
      </c>
      <c r="I116" s="156" t="str">
        <f ca="1">[1]!s_info_majorproducttype(E116)</f>
        <v>汽车及零配件经销</v>
      </c>
      <c r="J116" s="129">
        <f ca="1">[1]!s_val_ev(E116,$B$2,100000000)</f>
        <v>1076.920861289</v>
      </c>
      <c r="K116" s="157">
        <f ca="1">[1]!s_share_total(E116,$B$2,100000000)</f>
        <v>13.580338729999999</v>
      </c>
      <c r="L116" s="157">
        <f ca="1">[1]!s_share_liqa(E116,$B$2,100000000)</f>
        <v>9.7428400800000006</v>
      </c>
      <c r="M116" s="125">
        <f ca="1">[1]!s_fa_gr_ttm2(E116,$C$3,100000000)</f>
        <v>158.02516247809999</v>
      </c>
      <c r="N116" s="126">
        <f ca="1">[1]!s_fa_netprofit_ttm2(E116,$C$3,100000000)</f>
        <v>-2.3727805248</v>
      </c>
      <c r="O116" s="125"/>
      <c r="P116" s="126">
        <f ca="1">[1]!s_val_pe_ttm(E116,[1]!td($B$2-1))</f>
        <v>-60.491565704345703</v>
      </c>
      <c r="Q116" s="126">
        <f ca="1">[1]!i_val_pe_percentile(E116,[1]!td($B$2-1),$B$2-365*5,[1]!td($B$2-1))</f>
        <v>0</v>
      </c>
      <c r="R116" s="126">
        <f ca="1">[1]!pb_mrq(E116,[1]!td($B$2-1))</f>
        <v>13.930928329521414</v>
      </c>
      <c r="S116" s="126">
        <f ca="1">[1]!i_val_pb_percentile(E116,[1]!td($B$2-1),$B$2-365*5,[1]!td($B$2-1))</f>
        <v>96.984649122807014</v>
      </c>
      <c r="T116" s="126">
        <f ca="1">[1]!s_val_pe_ttm([1]!to_windcode_index(H116&amp;"(申万)"),[1]!td($B$2-1))</f>
        <v>43.069999694824219</v>
      </c>
      <c r="U116" s="126"/>
      <c r="V116" s="126">
        <f ca="1">[1]!s_fa_roe(E116,$C$3)</f>
        <v>-12.535299999999999</v>
      </c>
      <c r="W116" s="126">
        <f ca="1">[1]!s_fa_grossprofitmargin(E116,$C$3)</f>
        <v>8.1224000000000007</v>
      </c>
      <c r="X116" s="126">
        <f ca="1">[1]!s_fa_netprofitmargin(E116,$C$3)</f>
        <v>-11.367100000000001</v>
      </c>
      <c r="Y116" s="126">
        <f ca="1">[1]!s_fa_roic(E116,$C$3)</f>
        <v>-6.6837</v>
      </c>
      <c r="Z116" s="126">
        <f ca="1">[1]!s_fa_operateincometoebt_ttm2(E116,$C$3)</f>
        <v>0</v>
      </c>
      <c r="AA116" s="125"/>
      <c r="AB116" s="343"/>
      <c r="AC116" s="125">
        <f ca="1">[1]!s_fa_cagr_tr($E116,AC$6,3)</f>
        <v>0</v>
      </c>
      <c r="AD116" s="125">
        <f ca="1">[1]!s_fa_cagr_tr($E116,AD$6,3)</f>
        <v>-13.283976532431485</v>
      </c>
      <c r="AE116" s="126">
        <f ca="1">[1]!s_fa_cagr_tr($E116,AE$6,3)</f>
        <v>3.8431623932645653</v>
      </c>
      <c r="AF116" s="126">
        <f ca="1">[1]!s_fa_cagr_tr($E116,AF$6,3)</f>
        <v>24.238560861163492</v>
      </c>
      <c r="AG116" s="126">
        <f ca="1">[1]!s_fa_cagr_tr($E116,AG$6,3)</f>
        <v>32.551187070986366</v>
      </c>
      <c r="AH116" s="126">
        <f ca="1">[1]!s_fa_cagr_tr($E116,AH$6,3)</f>
        <v>25.015716379431318</v>
      </c>
      <c r="AI116" s="169"/>
      <c r="AJ116" s="126">
        <f ca="1">[1]!s_fa_cagr_netprofit($E116,AJ$6,3)</f>
        <v>0</v>
      </c>
      <c r="AK116" s="126">
        <f ca="1">[1]!s_fa_cagr_netprofit($E116,AK$6,3)</f>
        <v>-233.60752965311269</v>
      </c>
      <c r="AL116" s="126">
        <f ca="1">[1]!s_fa_cagr_netprofit($E116,AL$6,3)</f>
        <v>-49.351059787715677</v>
      </c>
      <c r="AM116" s="126">
        <f ca="1">[1]!s_fa_cagr_netprofit($E116,AM$6,3)</f>
        <v>-34.150985671311716</v>
      </c>
      <c r="AN116" s="126">
        <f ca="1">[1]!s_fa_cagr_netprofit($E116,AN$6,3)</f>
        <v>34.112207924313594</v>
      </c>
      <c r="AO116" s="126">
        <f ca="1">[1]!s_fa_cagr_netprofit($E116,AO$6,3)</f>
        <v>11.97877884583245</v>
      </c>
      <c r="AP116" s="129"/>
      <c r="AQ116" s="203">
        <f ca="1">[1]!s_fa_dupont_roe(E116,$C$3)</f>
        <v>-12.535299999999999</v>
      </c>
      <c r="AR116" s="203">
        <f ca="1">[1]!s_fa_dupont_nptosales(B116,$C$3)</f>
        <v>-11.367100000000001</v>
      </c>
      <c r="AS116" s="238">
        <f ca="1">[1]!s_fa_dupont_faturnover(E116,$C$3)</f>
        <v>0.33179999999999998</v>
      </c>
      <c r="AT116" s="203">
        <f ca="1">[1]!s_fa_dupont_assetstoequity(E116,$C$3)</f>
        <v>4.8037000000000001</v>
      </c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29"/>
      <c r="BE116" s="129"/>
    </row>
    <row r="117" spans="1:57" s="191" customFormat="1" ht="12" customHeight="1" x14ac:dyDescent="0.35">
      <c r="A117" s="182" t="s">
        <v>0</v>
      </c>
      <c r="B117" s="182" t="s">
        <v>42</v>
      </c>
      <c r="C117" s="182" t="s">
        <v>43</v>
      </c>
      <c r="D117" s="182" t="str">
        <f ca="1">[1]!cb_info_underlyingname(B117)</f>
        <v>广汇汽车</v>
      </c>
      <c r="E117" s="183" t="str">
        <f ca="1">[1]!cb_info_underlyingcode(B117)</f>
        <v>600297.SH</v>
      </c>
      <c r="F117" s="184" t="str">
        <f ca="1">[1]!s_info_industry_sw(B117,1)</f>
        <v>汽车</v>
      </c>
      <c r="G117" s="184" t="str">
        <f ca="1">[1]!s_info_industry_sw(E117,2)</f>
        <v>汽车服务Ⅱ</v>
      </c>
      <c r="H117" s="184" t="str">
        <f ca="1">[1]!s_info_industry_sw(E117,3)</f>
        <v>汽车服务Ⅲ</v>
      </c>
      <c r="I117" s="192" t="str">
        <f ca="1">[1]!s_info_majorproducttype(E117)</f>
        <v>汽车保险、汽车及零配件经销、汽车零售店、汽车维修、专业咨询服务、装饰材料</v>
      </c>
      <c r="J117" s="189">
        <f ca="1">[1]!s_val_ev(E117,$B$2,100000000)</f>
        <v>260.34860168189999</v>
      </c>
      <c r="K117" s="193">
        <f ca="1">[1]!s_share_total(E117,$B$2,100000000)</f>
        <v>81.105483390000003</v>
      </c>
      <c r="L117" s="193">
        <f ca="1">[1]!s_share_liqa(E117,$B$2,100000000)</f>
        <v>81.105483390000003</v>
      </c>
      <c r="M117" s="186">
        <f ca="1">[1]!s_fa_gr_ttm2(E117,$C$3,100000000)</f>
        <v>1565.0111303251999</v>
      </c>
      <c r="N117" s="187">
        <f ca="1">[1]!s_fa_netprofit_ttm2(E117,$C$3,100000000)</f>
        <v>16.661017092400002</v>
      </c>
      <c r="O117" s="186"/>
      <c r="P117" s="187">
        <f ca="1">[1]!s_val_pe_ttm(E117,[1]!td($B$2-1))</f>
        <v>10.324007987976074</v>
      </c>
      <c r="Q117" s="187">
        <f ca="1">[1]!i_val_pe_percentile(E117,[1]!td($B$2-1),$B$2-365*5,[1]!td($B$2-1))</f>
        <v>16.447368421052634</v>
      </c>
      <c r="R117" s="187">
        <f ca="1">[1]!pb_mrq(E117,[1]!td($B$2-1))</f>
        <v>0.63859843118261994</v>
      </c>
      <c r="S117" s="187">
        <f ca="1">[1]!i_val_pb_percentile(E117,[1]!td($B$2-1),$B$2-365*5,[1]!td($B$2-1))</f>
        <v>14.199561403508772</v>
      </c>
      <c r="T117" s="187">
        <f ca="1">[1]!s_val_pe_ttm([1]!to_windcode_index(H117&amp;"(申万)"),[1]!td($B$2-1))</f>
        <v>20.149999618530273</v>
      </c>
      <c r="U117" s="187"/>
      <c r="V117" s="187">
        <f ca="1">[1]!s_fa_roe(E117,$C$3)</f>
        <v>3.3464999999999998</v>
      </c>
      <c r="W117" s="187">
        <f ca="1">[1]!s_fa_grossprofitmargin(E117,$C$3)</f>
        <v>9.1303000000000001</v>
      </c>
      <c r="X117" s="187">
        <f ca="1">[1]!s_fa_netprofitmargin(E117,$C$3)</f>
        <v>1.4218</v>
      </c>
      <c r="Y117" s="187">
        <f ca="1">[1]!s_fa_roic(E117,$C$3)</f>
        <v>2.9422999999999999</v>
      </c>
      <c r="Z117" s="187">
        <f ca="1">[1]!s_fa_operateincometoebt_ttm2(E117,$C$3)</f>
        <v>91.022400000000005</v>
      </c>
      <c r="AA117" s="186"/>
      <c r="AB117" s="342"/>
      <c r="AC117" s="186">
        <f ca="1">[1]!s_fa_cagr_tr($E117,AC$6,3)</f>
        <v>0</v>
      </c>
      <c r="AD117" s="186">
        <f ca="1">[1]!s_fa_cagr_tr($E117,AD$6,3)</f>
        <v>-0.47293631430432859</v>
      </c>
      <c r="AE117" s="187">
        <f ca="1">[1]!s_fa_cagr_tr($E117,AE$6,3)</f>
        <v>7.971060263557983</v>
      </c>
      <c r="AF117" s="187">
        <f ca="1">[1]!s_fa_cagr_tr($E117,AF$6,3)</f>
        <v>21.043153162064755</v>
      </c>
      <c r="AG117" s="187">
        <f ca="1">[1]!s_fa_cagr_tr($E117,AG$6,3)</f>
        <v>656.2938465265994</v>
      </c>
      <c r="AH117" s="187">
        <f ca="1">[1]!s_fa_cagr_tr($E117,AH$6,3)</f>
        <v>581.71266934618177</v>
      </c>
      <c r="AI117" s="194"/>
      <c r="AJ117" s="187">
        <f ca="1">[1]!s_fa_cagr_netprofit($E117,AJ$6,3)</f>
        <v>0</v>
      </c>
      <c r="AK117" s="187">
        <f ca="1">[1]!s_fa_cagr_netprofit($E117,AK$6,3)</f>
        <v>-26.925398372006693</v>
      </c>
      <c r="AL117" s="187">
        <f ca="1">[1]!s_fa_cagr_netprofit($E117,AL$6,3)</f>
        <v>-2.4649584922648016</v>
      </c>
      <c r="AM117" s="187">
        <f ca="1">[1]!s_fa_cagr_netprofit($E117,AM$6,3)</f>
        <v>17.885621178623602</v>
      </c>
      <c r="AN117" s="187">
        <f ca="1">[1]!s_fa_cagr_netprofit($E117,AN$6,3)</f>
        <v>386.01416876940061</v>
      </c>
      <c r="AO117" s="187">
        <f ca="1">[1]!s_fa_cagr_netprofit($E117,AO$6,3)</f>
        <v>275.97530577073957</v>
      </c>
      <c r="AP117" s="189"/>
      <c r="AQ117" s="202">
        <f ca="1">[1]!s_fa_dupont_roe(E117,$C$3)</f>
        <v>3.3464999999999998</v>
      </c>
      <c r="AR117" s="202">
        <f ca="1">[1]!s_fa_dupont_nptosales(B117,$C$3)</f>
        <v>1.4218</v>
      </c>
      <c r="AS117" s="237">
        <f ca="1">[1]!s_fa_dupont_faturnover(E117,$C$3)</f>
        <v>0.77500000000000002</v>
      </c>
      <c r="AT117" s="202">
        <f ca="1">[1]!s_fa_dupont_assetstoequity(E117,$C$3)</f>
        <v>3.5619999999999998</v>
      </c>
      <c r="AU117" s="189"/>
      <c r="AV117" s="189"/>
      <c r="AW117" s="189"/>
      <c r="AX117" s="189"/>
      <c r="AY117" s="189"/>
      <c r="AZ117" s="189"/>
      <c r="BA117" s="189"/>
      <c r="BB117" s="189"/>
      <c r="BC117" s="189"/>
      <c r="BD117" s="189"/>
      <c r="BE117" s="189"/>
    </row>
    <row r="118" spans="1:57" s="130" customFormat="1" ht="12" customHeight="1" x14ac:dyDescent="0.35">
      <c r="A118" s="121" t="s">
        <v>5</v>
      </c>
      <c r="B118" s="121" t="s">
        <v>354</v>
      </c>
      <c r="C118" s="121" t="s">
        <v>355</v>
      </c>
      <c r="D118" s="121" t="str">
        <f ca="1">[1]!cb_info_underlyingname(B118)</f>
        <v>中鼎股份</v>
      </c>
      <c r="E118" s="122" t="str">
        <f ca="1">[1]!cb_info_underlyingcode(B118)</f>
        <v>000887.SZ</v>
      </c>
      <c r="F118" s="123" t="str">
        <f ca="1">[1]!s_info_industry_sw(B118,1)</f>
        <v>汽车</v>
      </c>
      <c r="G118" s="123" t="str">
        <f ca="1">[1]!s_info_industry_sw(E118,2)</f>
        <v>汽车零部件Ⅱ</v>
      </c>
      <c r="H118" s="123" t="str">
        <f ca="1">[1]!s_info_industry_sw(E118,3)</f>
        <v>汽车零部件Ⅲ</v>
      </c>
      <c r="I118" s="156" t="str">
        <f ca="1">[1]!s_info_majorproducttype(E118)</f>
        <v>汽车橡胶配件</v>
      </c>
      <c r="J118" s="129">
        <f ca="1">[1]!s_val_ev(E118,$B$2,100000000)</f>
        <v>216.82112290560002</v>
      </c>
      <c r="K118" s="157">
        <f ca="1">[1]!s_share_total(E118,$B$2,100000000)</f>
        <v>12.208396560000001</v>
      </c>
      <c r="L118" s="157">
        <f ca="1">[1]!s_share_liqa(E118,$B$2,100000000)</f>
        <v>12.18247233</v>
      </c>
      <c r="M118" s="125">
        <f ca="1">[1]!s_fa_gr_ttm2(E118,$C$3,100000000)</f>
        <v>113.2499347107</v>
      </c>
      <c r="N118" s="126">
        <f ca="1">[1]!s_fa_netprofit_ttm2(E118,$C$3,100000000)</f>
        <v>3.0345705222000001</v>
      </c>
      <c r="O118" s="125"/>
      <c r="P118" s="126">
        <f ca="1">[1]!s_val_pe_ttm(E118,[1]!td($B$2-1))</f>
        <v>22.528926849365234</v>
      </c>
      <c r="Q118" s="126">
        <f ca="1">[1]!i_val_pe_percentile(E118,[1]!td($B$2-1),$B$2-365*5,[1]!td($B$2-1))</f>
        <v>53.70065789473685</v>
      </c>
      <c r="R118" s="126">
        <f ca="1">[1]!pb_mrq(E118,[1]!td($B$2-1))</f>
        <v>2.406044246712435</v>
      </c>
      <c r="S118" s="126">
        <f ca="1">[1]!i_val_pb_percentile(E118,[1]!td($B$2-1),$B$2-365*5,[1]!td($B$2-1))</f>
        <v>64.446271929824562</v>
      </c>
      <c r="T118" s="126">
        <f ca="1">[1]!s_val_pe_ttm([1]!to_windcode_index(H118&amp;"(申万)"),[1]!td($B$2-1))</f>
        <v>25.280000686645508</v>
      </c>
      <c r="U118" s="126"/>
      <c r="V118" s="126">
        <f ca="1">[1]!s_fa_roe(E118,$C$3)</f>
        <v>3.3828</v>
      </c>
      <c r="W118" s="126">
        <f ca="1">[1]!s_fa_grossprofitmargin(E118,$C$3)</f>
        <v>22.3566</v>
      </c>
      <c r="X118" s="126">
        <f ca="1">[1]!s_fa_netprofitmargin(E118,$C$3)</f>
        <v>3.8578999999999999</v>
      </c>
      <c r="Y118" s="126">
        <f ca="1">[1]!s_fa_roic(E118,$C$3)</f>
        <v>2.4315000000000002</v>
      </c>
      <c r="Z118" s="126">
        <f ca="1">[1]!s_fa_operateincometoebt_ttm2(E118,$C$3)</f>
        <v>60.127000000000002</v>
      </c>
      <c r="AA118" s="125"/>
      <c r="AB118" s="343"/>
      <c r="AC118" s="125">
        <f ca="1">[1]!s_fa_cagr_tr($E118,AC$6,3)</f>
        <v>0</v>
      </c>
      <c r="AD118" s="125">
        <f ca="1">[1]!s_fa_cagr_tr($E118,AD$6,3)</f>
        <v>-0.63313229645305391</v>
      </c>
      <c r="AE118" s="126">
        <f ca="1">[1]!s_fa_cagr_tr($E118,AE$6,3)</f>
        <v>11.767105733713269</v>
      </c>
      <c r="AF118" s="126">
        <f ca="1">[1]!s_fa_cagr_tr($E118,AF$6,3)</f>
        <v>23.643280079702155</v>
      </c>
      <c r="AG118" s="126">
        <f ca="1">[1]!s_fa_cagr_tr($E118,AG$6,3)</f>
        <v>32.67295177961347</v>
      </c>
      <c r="AH118" s="126">
        <f ca="1">[1]!s_fa_cagr_tr($E118,AH$6,3)</f>
        <v>26.299052740586593</v>
      </c>
      <c r="AI118" s="169"/>
      <c r="AJ118" s="126">
        <f ca="1">[1]!s_fa_cagr_netprofit($E118,AJ$6,3)</f>
        <v>0</v>
      </c>
      <c r="AK118" s="126">
        <f ca="1">[1]!s_fa_cagr_netprofit($E118,AK$6,3)</f>
        <v>-24.121333530759848</v>
      </c>
      <c r="AL118" s="126">
        <f ca="1">[1]!s_fa_cagr_netprofit($E118,AL$6,3)</f>
        <v>-12.579219807091313</v>
      </c>
      <c r="AM118" s="126">
        <f ca="1">[1]!s_fa_cagr_netprofit($E118,AM$6,3)</f>
        <v>16.084004219542326</v>
      </c>
      <c r="AN118" s="126">
        <f ca="1">[1]!s_fa_cagr_netprofit($E118,AN$6,3)</f>
        <v>25.77923363525365</v>
      </c>
      <c r="AO118" s="126">
        <f ca="1">[1]!s_fa_cagr_netprofit($E118,AO$6,3)</f>
        <v>32.378490914312593</v>
      </c>
      <c r="AP118" s="129"/>
      <c r="AQ118" s="203">
        <f ca="1">[1]!s_fa_dupont_roe(E118,$C$3)</f>
        <v>3.3828</v>
      </c>
      <c r="AR118" s="203">
        <f ca="1">[1]!s_fa_dupont_nptosales(B118,$C$3)</f>
        <v>3.8578999999999999</v>
      </c>
      <c r="AS118" s="238">
        <f ca="1">[1]!s_fa_dupont_faturnover(E118,$C$3)</f>
        <v>0.42620000000000002</v>
      </c>
      <c r="AT118" s="203">
        <f ca="1">[1]!s_fa_dupont_assetstoequity(E118,$C$3)</f>
        <v>2.0518000000000001</v>
      </c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29"/>
      <c r="BE118" s="129"/>
    </row>
    <row r="119" spans="1:57" s="191" customFormat="1" ht="12" customHeight="1" x14ac:dyDescent="0.35">
      <c r="A119" s="182" t="s">
        <v>0</v>
      </c>
      <c r="B119" s="182" t="s">
        <v>499</v>
      </c>
      <c r="C119" s="182" t="s">
        <v>500</v>
      </c>
      <c r="D119" s="182" t="str">
        <f ca="1">[1]!cb_info_underlyingname(B119)</f>
        <v>骆驼股份</v>
      </c>
      <c r="E119" s="183" t="str">
        <f ca="1">[1]!cb_info_underlyingcode(B119)</f>
        <v>601311.SH</v>
      </c>
      <c r="F119" s="184" t="str">
        <f ca="1">[1]!s_info_industry_sw(B119,1)</f>
        <v>汽车</v>
      </c>
      <c r="G119" s="184" t="str">
        <f ca="1">[1]!s_info_industry_sw(E119,2)</f>
        <v>汽车零部件Ⅱ</v>
      </c>
      <c r="H119" s="184" t="str">
        <f ca="1">[1]!s_info_industry_sw(E119,3)</f>
        <v>汽车零部件Ⅲ</v>
      </c>
      <c r="I119" s="192" t="str">
        <f ca="1">[1]!s_info_majorproducttype(E119)</f>
        <v>低压电器类</v>
      </c>
      <c r="J119" s="189">
        <f ca="1">[1]!s_val_ev(E119,$B$2,100000000)</f>
        <v>170.4581309454</v>
      </c>
      <c r="K119" s="193">
        <f ca="1">[1]!s_share_total(E119,$B$2,100000000)</f>
        <v>11.73146118</v>
      </c>
      <c r="L119" s="193">
        <f ca="1">[1]!s_share_liqa(E119,$B$2,100000000)</f>
        <v>11.73146118</v>
      </c>
      <c r="M119" s="186">
        <f ca="1">[1]!s_fa_gr_ttm2(E119,$C$3,100000000)</f>
        <v>91.617032839200007</v>
      </c>
      <c r="N119" s="187">
        <f ca="1">[1]!s_fa_netprofit_ttm2(E119,$C$3,100000000)</f>
        <v>6.2544150874</v>
      </c>
      <c r="O119" s="186"/>
      <c r="P119" s="187">
        <f ca="1">[1]!s_val_pe_ttm(E119,[1]!td($B$2-1))</f>
        <v>17.266359329223633</v>
      </c>
      <c r="Q119" s="187">
        <f ca="1">[1]!i_val_pe_percentile(E119,[1]!td($B$2-1),$B$2-365*5,[1]!td($B$2-1))</f>
        <v>49.34210526315789</v>
      </c>
      <c r="R119" s="187">
        <f ca="1">[1]!pb_mrq(E119,[1]!td($B$2-1))</f>
        <v>2.1858117898668876</v>
      </c>
      <c r="S119" s="187">
        <f ca="1">[1]!i_val_pb_percentile(E119,[1]!td($B$2-1),$B$2-365*5,[1]!td($B$2-1))</f>
        <v>70.285087719298247</v>
      </c>
      <c r="T119" s="187">
        <f ca="1">[1]!s_val_pe_ttm([1]!to_windcode_index(H119&amp;"(申万)"),[1]!td($B$2-1))</f>
        <v>25.280000686645508</v>
      </c>
      <c r="U119" s="187"/>
      <c r="V119" s="187">
        <f ca="1">[1]!s_fa_roe(E119,$C$3)</f>
        <v>6.7621000000000002</v>
      </c>
      <c r="W119" s="187">
        <f ca="1">[1]!s_fa_grossprofitmargin(E119,$C$3)</f>
        <v>19.600300000000001</v>
      </c>
      <c r="X119" s="187">
        <f ca="1">[1]!s_fa_netprofitmargin(E119,$C$3)</f>
        <v>6.5959000000000003</v>
      </c>
      <c r="Y119" s="187">
        <f ca="1">[1]!s_fa_roic(E119,$C$3)</f>
        <v>5.4545000000000003</v>
      </c>
      <c r="Z119" s="187">
        <f ca="1">[1]!s_fa_operateincometoebt_ttm2(E119,$C$3)</f>
        <v>43.7958</v>
      </c>
      <c r="AA119" s="186"/>
      <c r="AB119" s="342"/>
      <c r="AC119" s="186">
        <f ca="1">[1]!s_fa_cagr_tr($E119,AC$6,3)</f>
        <v>0</v>
      </c>
      <c r="AD119" s="186">
        <f ca="1">[1]!s_fa_cagr_tr($E119,AD$6,3)</f>
        <v>8.1623943946525621</v>
      </c>
      <c r="AE119" s="187">
        <f ca="1">[1]!s_fa_cagr_tr($E119,AE$6,3)</f>
        <v>12.715598716341315</v>
      </c>
      <c r="AF119" s="187">
        <f ca="1">[1]!s_fa_cagr_tr($E119,AF$6,3)</f>
        <v>19.708069461593738</v>
      </c>
      <c r="AG119" s="187">
        <f ca="1">[1]!s_fa_cagr_tr($E119,AG$6,3)</f>
        <v>13.81387745595093</v>
      </c>
      <c r="AH119" s="187">
        <f ca="1">[1]!s_fa_cagr_tr($E119,AH$6,3)</f>
        <v>10.901515288040663</v>
      </c>
      <c r="AI119" s="194"/>
      <c r="AJ119" s="187">
        <f ca="1">[1]!s_fa_cagr_netprofit($E119,AJ$6,3)</f>
        <v>0</v>
      </c>
      <c r="AK119" s="187">
        <f ca="1">[1]!s_fa_cagr_netprofit($E119,AK$6,3)</f>
        <v>14.555651950058168</v>
      </c>
      <c r="AL119" s="187">
        <f ca="1">[1]!s_fa_cagr_netprofit($E119,AL$6,3)</f>
        <v>4.9189971063615001</v>
      </c>
      <c r="AM119" s="187">
        <f ca="1">[1]!s_fa_cagr_netprofit($E119,AM$6,3)</f>
        <v>-2.814344802573665</v>
      </c>
      <c r="AN119" s="187">
        <f ca="1">[1]!s_fa_cagr_netprofit($E119,AN$6,3)</f>
        <v>-10.388630919966257</v>
      </c>
      <c r="AO119" s="187">
        <f ca="1">[1]!s_fa_cagr_netprofit($E119,AO$6,3)</f>
        <v>-0.60761428462334788</v>
      </c>
      <c r="AP119" s="189"/>
      <c r="AQ119" s="202">
        <f ca="1">[1]!s_fa_dupont_roe(E119,$C$3)</f>
        <v>6.7621000000000002</v>
      </c>
      <c r="AR119" s="202">
        <f ca="1">[1]!s_fa_dupont_nptosales(B119,$C$3)</f>
        <v>6.5959000000000003</v>
      </c>
      <c r="AS119" s="237">
        <f ca="1">[1]!s_fa_dupont_faturnover(E119,$C$3)</f>
        <v>0.58809999999999996</v>
      </c>
      <c r="AT119" s="202">
        <f ca="1">[1]!s_fa_dupont_assetstoequity(E119,$C$3)</f>
        <v>1.7324999999999999</v>
      </c>
      <c r="AU119" s="189"/>
      <c r="AV119" s="201"/>
      <c r="AW119" s="189"/>
      <c r="AX119" s="189"/>
      <c r="AY119" s="189"/>
      <c r="AZ119" s="189"/>
      <c r="BA119" s="189"/>
      <c r="BB119" s="189"/>
      <c r="BC119" s="189"/>
      <c r="BD119" s="189"/>
      <c r="BE119" s="189"/>
    </row>
    <row r="120" spans="1:57" s="130" customFormat="1" ht="12" customHeight="1" x14ac:dyDescent="0.35">
      <c r="A120" s="121" t="s">
        <v>0</v>
      </c>
      <c r="B120" s="121" t="s">
        <v>429</v>
      </c>
      <c r="C120" s="121" t="s">
        <v>430</v>
      </c>
      <c r="D120" s="121" t="str">
        <f ca="1">[1]!cb_info_underlyingname(B120)</f>
        <v>新泉股份</v>
      </c>
      <c r="E120" s="122" t="str">
        <f ca="1">[1]!cb_info_underlyingcode(B120)</f>
        <v>603179.SH</v>
      </c>
      <c r="F120" s="123" t="str">
        <f ca="1">[1]!s_info_industry_sw(B120,1)</f>
        <v>汽车</v>
      </c>
      <c r="G120" s="123" t="str">
        <f ca="1">[1]!s_info_industry_sw(E120,2)</f>
        <v>汽车零部件Ⅱ</v>
      </c>
      <c r="H120" s="123" t="str">
        <f ca="1">[1]!s_info_industry_sw(E120,3)</f>
        <v>汽车零部件Ⅲ</v>
      </c>
      <c r="I120" s="156" t="str">
        <f ca="1">[1]!s_info_majorproducttype(E120)</f>
        <v>汽车及零配件经销</v>
      </c>
      <c r="J120" s="129">
        <f ca="1">[1]!s_val_ev(E120,$B$2,100000000)</f>
        <v>114.32853935</v>
      </c>
      <c r="K120" s="157">
        <f ca="1">[1]!s_share_total(E120,$B$2,100000000)</f>
        <v>3.7484766999999999</v>
      </c>
      <c r="L120" s="157">
        <f ca="1">[1]!s_share_liqa(E120,$B$2,100000000)</f>
        <v>3.7484766999999999</v>
      </c>
      <c r="M120" s="125">
        <f ca="1">[1]!s_fa_gr_ttm2(E120,$C$3,100000000)</f>
        <v>34.5314884573</v>
      </c>
      <c r="N120" s="126">
        <f ca="1">[1]!s_fa_netprofit_ttm2(E120,$C$3,100000000)</f>
        <v>2.2120570411</v>
      </c>
      <c r="O120" s="125"/>
      <c r="P120" s="126">
        <f ca="1">[1]!s_val_pe_ttm(E120,[1]!td($B$2-1))</f>
        <v>35.325637817382813</v>
      </c>
      <c r="Q120" s="126">
        <f ca="1">[1]!i_val_pe_percentile(E120,[1]!td($B$2-1),$B$2-365*5,[1]!td($B$2-1))</f>
        <v>59.755351681957194</v>
      </c>
      <c r="R120" s="126">
        <f ca="1">[1]!pb_mrq(E120,[1]!td($B$2-1))</f>
        <v>3.2519443799068233</v>
      </c>
      <c r="S120" s="126">
        <f ca="1">[1]!i_val_pb_percentile(E120,[1]!td($B$2-1),$B$2-365*5,[1]!td($B$2-1))</f>
        <v>44.464831804281346</v>
      </c>
      <c r="T120" s="126">
        <f ca="1">[1]!s_val_pe_ttm([1]!to_windcode_index(H120&amp;"(申万)"),[1]!td($B$2-1))</f>
        <v>25.280000686645508</v>
      </c>
      <c r="U120" s="125"/>
      <c r="V120" s="125">
        <f ca="1">[1]!s_fa_roe(E120,$C$3)</f>
        <v>8.7905999999999995</v>
      </c>
      <c r="W120" s="125">
        <f ca="1">[1]!s_fa_grossprofitmargin(E120,$C$3)</f>
        <v>22.8308</v>
      </c>
      <c r="X120" s="125">
        <f ca="1">[1]!s_fa_netprofitmargin(E120,$C$3)</f>
        <v>6.5164999999999997</v>
      </c>
      <c r="Y120" s="125">
        <f ca="1">[1]!s_fa_roic(E120,$C$3)</f>
        <v>6.4564000000000004</v>
      </c>
      <c r="Z120" s="125">
        <f ca="1">[1]!s_fa_operateincometoebt_ttm2(E120,$C$3)</f>
        <v>93.884299999999996</v>
      </c>
      <c r="AA120" s="125"/>
      <c r="AB120" s="343"/>
      <c r="AC120" s="125">
        <f ca="1">[1]!s_fa_cagr_tr($E120,AC$6,3)</f>
        <v>0</v>
      </c>
      <c r="AD120" s="125">
        <f ca="1">[1]!s_fa_cagr_tr($E120,AD$6,3)</f>
        <v>5.9443550663588862</v>
      </c>
      <c r="AE120" s="126">
        <f ca="1">[1]!s_fa_cagr_tr($E120,AE$6,3)</f>
        <v>21.063636965138379</v>
      </c>
      <c r="AF120" s="126">
        <f ca="1">[1]!s_fa_cagr_tr($E120,AF$6,3)</f>
        <v>55.699054803104289</v>
      </c>
      <c r="AG120" s="126">
        <f ca="1">[1]!s_fa_cagr_tr($E120,AG$6,3)</f>
        <v>57.70099994247564</v>
      </c>
      <c r="AH120" s="126">
        <f ca="1">[1]!s_fa_cagr_tr($E120,AH$6,3)</f>
        <v>35.007535699891164</v>
      </c>
      <c r="AI120" s="169"/>
      <c r="AJ120" s="126">
        <f ca="1">[1]!s_fa_cagr_netprofit($E120,AJ$6,3)</f>
        <v>0</v>
      </c>
      <c r="AK120" s="126">
        <f ca="1">[1]!s_fa_cagr_netprofit($E120,AK$6,3)</f>
        <v>0.99307789667486546</v>
      </c>
      <c r="AL120" s="126">
        <f ca="1">[1]!s_fa_cagr_netprofit($E120,AL$6,3)</f>
        <v>17.249213115466411</v>
      </c>
      <c r="AM120" s="126">
        <f ca="1">[1]!s_fa_cagr_netprofit($E120,AM$6,3)</f>
        <v>75.063510488954407</v>
      </c>
      <c r="AN120" s="126">
        <f ca="1">[1]!s_fa_cagr_netprofit($E120,AN$6,3)</f>
        <v>74.0003051671751</v>
      </c>
      <c r="AO120" s="126">
        <f ca="1">[1]!s_fa_cagr_netprofit($E120,AO$6,3)</f>
        <v>43.257628023712627</v>
      </c>
      <c r="AP120" s="129"/>
      <c r="AQ120" s="203">
        <f ca="1">[1]!s_fa_dupont_roe(E120,$C$3)</f>
        <v>8.7905999999999995</v>
      </c>
      <c r="AR120" s="203">
        <f ca="1">[1]!s_fa_dupont_nptosales(B120,$C$3)</f>
        <v>6.5164999999999997</v>
      </c>
      <c r="AS120" s="238">
        <f ca="1">[1]!s_fa_dupont_faturnover(E120,$C$3)</f>
        <v>0.51449999999999996</v>
      </c>
      <c r="AT120" s="203">
        <f ca="1">[1]!s_fa_dupont_assetstoequity(E120,$C$3)</f>
        <v>2.5958999999999999</v>
      </c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29"/>
      <c r="BE120" s="129"/>
    </row>
    <row r="121" spans="1:57" s="191" customFormat="1" ht="12" customHeight="1" x14ac:dyDescent="0.35">
      <c r="A121" s="182" t="s">
        <v>0</v>
      </c>
      <c r="B121" s="182" t="s">
        <v>152</v>
      </c>
      <c r="C121" s="182" t="s">
        <v>153</v>
      </c>
      <c r="D121" s="182" t="str">
        <f ca="1">[1]!cb_info_underlyingname(B121)</f>
        <v>东方时尚</v>
      </c>
      <c r="E121" s="183" t="str">
        <f ca="1">[1]!cb_info_underlyingcode(B121)</f>
        <v>603377.SH</v>
      </c>
      <c r="F121" s="184" t="str">
        <f ca="1">[1]!s_info_industry_sw(B121,1)</f>
        <v>汽车</v>
      </c>
      <c r="G121" s="184" t="str">
        <f ca="1">[1]!s_info_industry_sw(E121,2)</f>
        <v>汽车服务Ⅱ</v>
      </c>
      <c r="H121" s="184" t="str">
        <f ca="1">[1]!s_info_industry_sw(E121,3)</f>
        <v>汽车服务Ⅲ</v>
      </c>
      <c r="I121" s="192" t="str">
        <f ca="1">[1]!s_info_majorproducttype(E121)</f>
        <v>教育培训服务、汽车保险、汽车维修</v>
      </c>
      <c r="J121" s="189">
        <f ca="1">[1]!s_val_ev(E121,$B$2,100000000)</f>
        <v>59.609768072399994</v>
      </c>
      <c r="K121" s="193">
        <f ca="1">[1]!s_share_total(E121,$B$2,100000000)</f>
        <v>7.2783599600000004</v>
      </c>
      <c r="L121" s="193">
        <f ca="1">[1]!s_share_liqa(E121,$B$2,100000000)</f>
        <v>7.2783599600000004</v>
      </c>
      <c r="M121" s="186">
        <f ca="1">[1]!s_fa_gr_ttm2(E121,$C$3,100000000)</f>
        <v>8.4229571740000004</v>
      </c>
      <c r="N121" s="187">
        <f ca="1">[1]!s_fa_netprofit_ttm2(E121,$C$3,100000000)</f>
        <v>1.3636270822999998</v>
      </c>
      <c r="O121" s="186"/>
      <c r="P121" s="187">
        <f ca="1">[1]!s_val_pe_ttm(E121,[1]!td($B$2-1))</f>
        <v>26.384361267089844</v>
      </c>
      <c r="Q121" s="187">
        <f ca="1">[1]!i_val_pe_percentile(E121,[1]!td($B$2-1),$B$2-365*5,[1]!td($B$2-1))</f>
        <v>3.0975877192982457</v>
      </c>
      <c r="R121" s="187">
        <f ca="1">[1]!pb_mrq(E121,[1]!td($B$2-1))</f>
        <v>2.8605946789970016</v>
      </c>
      <c r="S121" s="187">
        <f ca="1">[1]!i_val_pb_percentile(E121,[1]!td($B$2-1),$B$2-365*5,[1]!td($B$2-1))</f>
        <v>0.46600877192982454</v>
      </c>
      <c r="T121" s="187">
        <f ca="1">[1]!s_val_pe_ttm([1]!to_windcode_index(H121&amp;"(申万)"),[1]!td($B$2-1))</f>
        <v>20.149999618530273</v>
      </c>
      <c r="U121" s="187"/>
      <c r="V121" s="187">
        <f ca="1">[1]!s_fa_roe(E121,$C$3)</f>
        <v>4.5770999999999997</v>
      </c>
      <c r="W121" s="187">
        <f ca="1">[1]!s_fa_grossprofitmargin(E121,$C$3)</f>
        <v>40.540900000000001</v>
      </c>
      <c r="X121" s="187">
        <f ca="1">[1]!s_fa_netprofitmargin(E121,$C$3)</f>
        <v>11.2822</v>
      </c>
      <c r="Y121" s="187">
        <f ca="1">[1]!s_fa_roic(E121,$C$3)</f>
        <v>2.6410999999999998</v>
      </c>
      <c r="Z121" s="187">
        <f ca="1">[1]!s_fa_operateincometoebt_ttm2(E121,$C$3)</f>
        <v>-14.81</v>
      </c>
      <c r="AA121" s="186"/>
      <c r="AB121" s="342"/>
      <c r="AC121" s="186">
        <f ca="1">[1]!s_fa_cagr_tr($E121,AC$6,3)</f>
        <v>0</v>
      </c>
      <c r="AD121" s="186">
        <f ca="1">[1]!s_fa_cagr_tr($E121,AD$6,3)</f>
        <v>-10.247897468418554</v>
      </c>
      <c r="AE121" s="187">
        <f ca="1">[1]!s_fa_cagr_tr($E121,AE$6,3)</f>
        <v>-1.2044509035486373</v>
      </c>
      <c r="AF121" s="187">
        <f ca="1">[1]!s_fa_cagr_tr($E121,AF$6,3)</f>
        <v>-7.4777138616888621</v>
      </c>
      <c r="AG121" s="187">
        <f ca="1">[1]!s_fa_cagr_tr($E121,AG$6,3)</f>
        <v>-2.9840813816084277</v>
      </c>
      <c r="AH121" s="187">
        <f ca="1">[1]!s_fa_cagr_tr($E121,AH$6,3)</f>
        <v>6.4876005251000235</v>
      </c>
      <c r="AI121" s="194"/>
      <c r="AJ121" s="187">
        <f ca="1">[1]!s_fa_cagr_netprofit($E121,AJ$6,3)</f>
        <v>0</v>
      </c>
      <c r="AK121" s="187">
        <f ca="1">[1]!s_fa_cagr_netprofit($E121,AK$6,3)</f>
        <v>-11.826157956235395</v>
      </c>
      <c r="AL121" s="187">
        <f ca="1">[1]!s_fa_cagr_netprofit($E121,AL$6,3)</f>
        <v>-0.22297032513629578</v>
      </c>
      <c r="AM121" s="187">
        <f ca="1">[1]!s_fa_cagr_netprofit($E121,AM$6,3)</f>
        <v>-12.129625985265635</v>
      </c>
      <c r="AN121" s="187">
        <f ca="1">[1]!s_fa_cagr_netprofit($E121,AN$6,3)</f>
        <v>-10.369085718616445</v>
      </c>
      <c r="AO121" s="187">
        <f ca="1">[1]!s_fa_cagr_netprofit($E121,AO$6,3)</f>
        <v>-2.6235571081223874</v>
      </c>
      <c r="AP121" s="189"/>
      <c r="AQ121" s="202">
        <f ca="1">[1]!s_fa_dupont_roe(E121,$C$3)</f>
        <v>4.5770999999999997</v>
      </c>
      <c r="AR121" s="202">
        <f ca="1">[1]!s_fa_dupont_nptosales(B121,$C$3)</f>
        <v>11.2822</v>
      </c>
      <c r="AS121" s="237">
        <f ca="1">[1]!s_fa_dupont_faturnover(E121,$C$3)</f>
        <v>0.1295</v>
      </c>
      <c r="AT121" s="202">
        <f ca="1">[1]!s_fa_dupont_assetstoequity(E121,$C$3)</f>
        <v>2.4735999999999998</v>
      </c>
      <c r="AU121" s="189"/>
      <c r="AV121" s="189"/>
      <c r="AW121" s="189"/>
      <c r="AX121" s="189"/>
      <c r="AY121" s="189"/>
      <c r="AZ121" s="189"/>
      <c r="BA121" s="189"/>
      <c r="BB121" s="189"/>
      <c r="BC121" s="189"/>
      <c r="BD121" s="189"/>
      <c r="BE121" s="189"/>
    </row>
    <row r="122" spans="1:57" s="130" customFormat="1" ht="12" customHeight="1" x14ac:dyDescent="0.35">
      <c r="A122" s="121" t="s">
        <v>0</v>
      </c>
      <c r="B122" s="121" t="s">
        <v>312</v>
      </c>
      <c r="C122" s="121" t="s">
        <v>313</v>
      </c>
      <c r="D122" s="121" t="str">
        <f ca="1">[1]!cb_info_underlyingname(B122)</f>
        <v>文灿股份</v>
      </c>
      <c r="E122" s="122" t="str">
        <f ca="1">[1]!cb_info_underlyingcode(B122)</f>
        <v>603348.SH</v>
      </c>
      <c r="F122" s="123" t="str">
        <f ca="1">[1]!s_info_industry_sw(B122,1)</f>
        <v>汽车</v>
      </c>
      <c r="G122" s="123" t="str">
        <f ca="1">[1]!s_info_industry_sw(E122,2)</f>
        <v>汽车零部件Ⅱ</v>
      </c>
      <c r="H122" s="123" t="str">
        <f ca="1">[1]!s_info_industry_sw(E122,3)</f>
        <v>汽车零部件Ⅲ</v>
      </c>
      <c r="I122" s="156" t="str">
        <f ca="1">[1]!s_info_majorproducttype(E122)</f>
        <v>发动机设备、汽车及零配件经销、专用设备与零部件</v>
      </c>
      <c r="J122" s="129">
        <f ca="1">[1]!s_val_ev(E122,$B$2,100000000)</f>
        <v>93.616071865999999</v>
      </c>
      <c r="K122" s="157">
        <f ca="1">[1]!s_share_total(E122,$B$2,100000000)</f>
        <v>2.6215646000000001</v>
      </c>
      <c r="L122" s="157">
        <f ca="1">[1]!s_share_liqa(E122,$B$2,100000000)</f>
        <v>2.5741646</v>
      </c>
      <c r="M122" s="125">
        <f ca="1">[1]!s_fa_gr_ttm2(E122,$C$3,100000000)</f>
        <v>19.094733881099998</v>
      </c>
      <c r="N122" s="126">
        <f ca="1">[1]!s_fa_netprofit_ttm2(E122,$C$3,100000000)</f>
        <v>0.97892481409999998</v>
      </c>
      <c r="O122" s="125"/>
      <c r="P122" s="126">
        <f ca="1">[1]!s_val_pe_ttm(E122,[1]!td($B$2-1))</f>
        <v>76.310745239257813</v>
      </c>
      <c r="Q122" s="126">
        <f ca="1">[1]!i_val_pe_percentile(E122,[1]!td($B$2-1),$B$2-365*5,[1]!td($B$2-1))</f>
        <v>75.447154471544721</v>
      </c>
      <c r="R122" s="126">
        <f ca="1">[1]!pb_mrq(E122,[1]!td($B$2-1))</f>
        <v>3.5520994973274407</v>
      </c>
      <c r="S122" s="126">
        <f ca="1">[1]!i_val_pb_percentile(E122,[1]!td($B$2-1),$B$2-365*5,[1]!td($B$2-1))</f>
        <v>79.349593495934954</v>
      </c>
      <c r="T122" s="126">
        <f ca="1">[1]!s_val_pe_ttm([1]!to_windcode_index(H122&amp;"(申万)"),[1]!td($B$2-1))</f>
        <v>25.280000686645508</v>
      </c>
      <c r="U122" s="126"/>
      <c r="V122" s="126">
        <f ca="1">[1]!s_fa_roe(E122,$C$3)</f>
        <v>3.1147999999999998</v>
      </c>
      <c r="W122" s="126">
        <f ca="1">[1]!s_fa_grossprofitmargin(E122,$C$3)</f>
        <v>24.829699999999999</v>
      </c>
      <c r="X122" s="126">
        <f ca="1">[1]!s_fa_netprofitmargin(E122,$C$3)</f>
        <v>5.3646000000000003</v>
      </c>
      <c r="Y122" s="126">
        <f ca="1">[1]!s_fa_roic(E122,$C$3)</f>
        <v>2.5015000000000001</v>
      </c>
      <c r="Z122" s="126">
        <f ca="1">[1]!s_fa_operateincometoebt_ttm2(E122,$C$3)</f>
        <v>86.488399999999999</v>
      </c>
      <c r="AA122" s="125"/>
      <c r="AB122" s="343"/>
      <c r="AC122" s="125">
        <f ca="1">[1]!s_fa_cagr_tr($E122,AC$6,3)</f>
        <v>0</v>
      </c>
      <c r="AD122" s="125">
        <f ca="1">[1]!s_fa_cagr_tr($E122,AD$6,3)</f>
        <v>18.675846019659392</v>
      </c>
      <c r="AE122" s="126">
        <f ca="1">[1]!s_fa_cagr_tr($E122,AE$6,3)</f>
        <v>8.1194003196454645</v>
      </c>
      <c r="AF122" s="126">
        <f ca="1">[1]!s_fa_cagr_tr($E122,AF$6,3)</f>
        <v>11.559576465215082</v>
      </c>
      <c r="AG122" s="126">
        <f ca="1">[1]!s_fa_cagr_tr($E122,AG$6,3)</f>
        <v>16.856122707267218</v>
      </c>
      <c r="AH122" s="126">
        <f ca="1">[1]!s_fa_cagr_tr($E122,AH$6,3)</f>
        <v>8.5278665961344924</v>
      </c>
      <c r="AI122" s="169"/>
      <c r="AJ122" s="126">
        <f ca="1">[1]!s_fa_cagr_netprofit($E122,AJ$6,3)</f>
        <v>0</v>
      </c>
      <c r="AK122" s="126">
        <f ca="1">[1]!s_fa_cagr_netprofit($E122,AK$6,3)</f>
        <v>-18.586639841174733</v>
      </c>
      <c r="AL122" s="126">
        <f ca="1">[1]!s_fa_cagr_netprofit($E122,AL$6,3)</f>
        <v>-22.851773171032775</v>
      </c>
      <c r="AM122" s="126">
        <f ca="1">[1]!s_fa_cagr_netprofit($E122,AM$6,3)</f>
        <v>-5.9496995362180343</v>
      </c>
      <c r="AN122" s="126">
        <f ca="1">[1]!s_fa_cagr_netprofit($E122,AN$6,3)</f>
        <v>25.354856572655173</v>
      </c>
      <c r="AO122" s="126">
        <f ca="1">[1]!s_fa_cagr_netprofit($E122,AO$6,3)</f>
        <v>31.667886521600042</v>
      </c>
      <c r="AP122" s="129"/>
      <c r="AQ122" s="203">
        <f ca="1">[1]!s_fa_dupont_roe(E122,$C$3)</f>
        <v>3.1147999999999998</v>
      </c>
      <c r="AR122" s="203">
        <f ca="1">[1]!s_fa_dupont_nptosales(B122,$C$3)</f>
        <v>5.3646000000000003</v>
      </c>
      <c r="AS122" s="238">
        <f ca="1">[1]!s_fa_dupont_faturnover(E122,$C$3)</f>
        <v>0.28470000000000001</v>
      </c>
      <c r="AT122" s="203">
        <f ca="1">[1]!s_fa_dupont_assetstoequity(E122,$C$3)</f>
        <v>2.1488</v>
      </c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29"/>
      <c r="BE122" s="129"/>
    </row>
    <row r="123" spans="1:57" s="191" customFormat="1" ht="12" customHeight="1" x14ac:dyDescent="0.35">
      <c r="A123" s="182" t="s">
        <v>5</v>
      </c>
      <c r="B123" s="182" t="s">
        <v>457</v>
      </c>
      <c r="C123" s="182" t="s">
        <v>458</v>
      </c>
      <c r="D123" s="182" t="str">
        <f ca="1">[1]!cb_info_underlyingname(B123)</f>
        <v>双环传动</v>
      </c>
      <c r="E123" s="183" t="str">
        <f ca="1">[1]!cb_info_underlyingcode(B123)</f>
        <v>002472.SZ</v>
      </c>
      <c r="F123" s="184" t="str">
        <f ca="1">[1]!s_info_industry_sw(B123,1)</f>
        <v>汽车</v>
      </c>
      <c r="G123" s="184" t="str">
        <f ca="1">[1]!s_info_industry_sw(E123,2)</f>
        <v>汽车零部件Ⅱ</v>
      </c>
      <c r="H123" s="184" t="str">
        <f ca="1">[1]!s_info_industry_sw(E123,3)</f>
        <v>汽车零部件Ⅲ</v>
      </c>
      <c r="I123" s="192" t="str">
        <f ca="1">[1]!s_info_majorproducttype(E123)</f>
        <v>传动设备</v>
      </c>
      <c r="J123" s="189">
        <f ca="1">[1]!s_val_ev(E123,$B$2,100000000)</f>
        <v>177.4710214875</v>
      </c>
      <c r="K123" s="193">
        <f ca="1">[1]!s_share_total(E123,$B$2,100000000)</f>
        <v>7.8561762499999999</v>
      </c>
      <c r="L123" s="193">
        <f ca="1">[1]!s_share_liqa(E123,$B$2,100000000)</f>
        <v>6.55837629</v>
      </c>
      <c r="M123" s="186">
        <f ca="1">[1]!s_fa_gr_ttm2(E123,$C$3,100000000)</f>
        <v>34.344350634000001</v>
      </c>
      <c r="N123" s="187">
        <f ca="1">[1]!s_fa_netprofit_ttm2(E123,$C$3,100000000)</f>
        <v>-7.1873672900000005E-2</v>
      </c>
      <c r="O123" s="186"/>
      <c r="P123" s="187">
        <f ca="1">[1]!s_val_pe_ttm(E123,[1]!td($B$2-1))</f>
        <v>99.585456848144531</v>
      </c>
      <c r="Q123" s="187">
        <f ca="1">[1]!i_val_pe_percentile(E123,[1]!td($B$2-1),$B$2-365*5,[1]!td($B$2-1))</f>
        <v>84.970059880239518</v>
      </c>
      <c r="R123" s="187">
        <f ca="1">[1]!pb_mrq(E123,[1]!td($B$2-1))</f>
        <v>4.4125907567828646</v>
      </c>
      <c r="S123" s="187">
        <f ca="1">[1]!i_val_pb_percentile(E123,[1]!td($B$2-1),$B$2-365*5,[1]!td($B$2-1))</f>
        <v>98.958333333333343</v>
      </c>
      <c r="T123" s="187">
        <f ca="1">[1]!s_val_pe_ttm([1]!to_windcode_index(H123&amp;"(申万)"),[1]!td($B$2-1))</f>
        <v>25.280000686645508</v>
      </c>
      <c r="U123" s="187"/>
      <c r="V123" s="187">
        <f ca="1">[1]!s_fa_roe(E123,$C$3)</f>
        <v>0.4133</v>
      </c>
      <c r="W123" s="187">
        <f ca="1">[1]!s_fa_grossprofitmargin(E123,$C$3)</f>
        <v>15.2867</v>
      </c>
      <c r="X123" s="187">
        <f ca="1">[1]!s_fa_netprofitmargin(E123,$C$3)</f>
        <v>1.4655</v>
      </c>
      <c r="Y123" s="187">
        <f ca="1">[1]!s_fa_roic(E123,$C$3)</f>
        <v>1.8612</v>
      </c>
      <c r="Z123" s="187">
        <f ca="1">[1]!s_fa_operateincometoebt_ttm2(E123,$C$3)</f>
        <v>-107.3918</v>
      </c>
      <c r="AA123" s="186"/>
      <c r="AB123" s="342"/>
      <c r="AC123" s="186">
        <f ca="1">[1]!s_fa_cagr_tr($E123,AC$6,3)</f>
        <v>0</v>
      </c>
      <c r="AD123" s="186">
        <f ca="1">[1]!s_fa_cagr_tr($E123,AD$6,3)</f>
        <v>11.561919063250748</v>
      </c>
      <c r="AE123" s="187">
        <f ca="1">[1]!s_fa_cagr_tr($E123,AE$6,3)</f>
        <v>22.910656156500274</v>
      </c>
      <c r="AF123" s="187">
        <f ca="1">[1]!s_fa_cagr_tr($E123,AF$6,3)</f>
        <v>31.131498559300532</v>
      </c>
      <c r="AG123" s="187">
        <f ca="1">[1]!s_fa_cagr_tr($E123,AG$6,3)</f>
        <v>27.728627217916667</v>
      </c>
      <c r="AH123" s="187">
        <f ca="1">[1]!s_fa_cagr_tr($E123,AH$6,3)</f>
        <v>20.706573874798373</v>
      </c>
      <c r="AI123" s="194"/>
      <c r="AJ123" s="187">
        <f ca="1">[1]!s_fa_cagr_netprofit($E123,AJ$6,3)</f>
        <v>0</v>
      </c>
      <c r="AK123" s="187">
        <f ca="1">[1]!s_fa_cagr_netprofit($E123,AK$6,3)</f>
        <v>-40.450270686661113</v>
      </c>
      <c r="AL123" s="187">
        <f ca="1">[1]!s_fa_cagr_netprofit($E123,AL$6,3)</f>
        <v>-25.014625380749067</v>
      </c>
      <c r="AM123" s="187">
        <f ca="1">[1]!s_fa_cagr_netprofit($E123,AM$6,3)</f>
        <v>12.597332858694532</v>
      </c>
      <c r="AN123" s="187">
        <f ca="1">[1]!s_fa_cagr_netprofit($E123,AN$6,3)</f>
        <v>25.648912324878648</v>
      </c>
      <c r="AO123" s="187">
        <f ca="1">[1]!s_fa_cagr_netprofit($E123,AO$6,3)</f>
        <v>40.274851684253136</v>
      </c>
      <c r="AP123" s="189"/>
      <c r="AQ123" s="202">
        <f ca="1">[1]!s_fa_dupont_roe(E123,$C$3)</f>
        <v>0.4133</v>
      </c>
      <c r="AR123" s="202">
        <f ca="1">[1]!s_fa_dupont_nptosales(B123,$C$3)</f>
        <v>1.4655</v>
      </c>
      <c r="AS123" s="237">
        <f ca="1">[1]!s_fa_dupont_faturnover(E123,$C$3)</f>
        <v>0.29330000000000001</v>
      </c>
      <c r="AT123" s="202">
        <f ca="1">[1]!s_fa_dupont_assetstoequity(E123,$C$3)</f>
        <v>2.3542000000000001</v>
      </c>
      <c r="AU123" s="189"/>
      <c r="AV123" s="201"/>
      <c r="AW123" s="189"/>
      <c r="AX123" s="189"/>
      <c r="AY123" s="189"/>
      <c r="AZ123" s="189"/>
      <c r="BA123" s="189"/>
      <c r="BB123" s="189"/>
      <c r="BC123" s="189"/>
      <c r="BD123" s="189"/>
      <c r="BE123" s="189"/>
    </row>
    <row r="124" spans="1:57" s="130" customFormat="1" ht="12" customHeight="1" x14ac:dyDescent="0.35">
      <c r="A124" s="121" t="s">
        <v>5</v>
      </c>
      <c r="B124" s="121" t="s">
        <v>493</v>
      </c>
      <c r="C124" s="121" t="s">
        <v>494</v>
      </c>
      <c r="D124" s="121" t="str">
        <f ca="1">[1]!cb_info_underlyingname(B124)</f>
        <v>模塑科技</v>
      </c>
      <c r="E124" s="122" t="str">
        <f ca="1">[1]!cb_info_underlyingcode(B124)</f>
        <v>000700.SZ</v>
      </c>
      <c r="F124" s="123" t="str">
        <f ca="1">[1]!s_info_industry_sw(B124,1)</f>
        <v>汽车</v>
      </c>
      <c r="G124" s="123" t="str">
        <f ca="1">[1]!s_info_industry_sw(E124,2)</f>
        <v>汽车零部件Ⅱ</v>
      </c>
      <c r="H124" s="123" t="str">
        <f ca="1">[1]!s_info_industry_sw(E124,3)</f>
        <v>汽车零部件Ⅲ</v>
      </c>
      <c r="I124" s="156" t="str">
        <f ca="1">[1]!s_info_majorproducttype(E124)</f>
        <v>车身及外观设备、客车、塑胶机械、医院、住宅楼盘</v>
      </c>
      <c r="J124" s="129">
        <f ca="1">[1]!s_val_ev(E124,$B$2,100000000)</f>
        <v>58.417244594800003</v>
      </c>
      <c r="K124" s="157">
        <f ca="1">[1]!s_share_total(E124,$B$2,100000000)</f>
        <v>9.1706820400000009</v>
      </c>
      <c r="L124" s="157">
        <f ca="1">[1]!s_share_liqa(E124,$B$2,100000000)</f>
        <v>9.1706820400000009</v>
      </c>
      <c r="M124" s="125">
        <f ca="1">[1]!s_fa_gr_ttm2(E124,$C$3,100000000)</f>
        <v>56.115947352700005</v>
      </c>
      <c r="N124" s="126">
        <f ca="1">[1]!s_fa_netprofit_ttm2(E124,$C$3,100000000)</f>
        <v>-0.24695929670000002</v>
      </c>
      <c r="O124" s="125"/>
      <c r="P124" s="126">
        <f ca="1">[1]!s_val_pe_ttm(E124,[1]!td($B$2-1))</f>
        <v>18.586214065551758</v>
      </c>
      <c r="Q124" s="126">
        <f ca="1">[1]!i_val_pe_percentile(E124,[1]!td($B$2-1),$B$2-365*5,[1]!td($B$2-1))</f>
        <v>1.6972165648336728</v>
      </c>
      <c r="R124" s="126">
        <f ca="1">[1]!pb_mrq(E124,[1]!td($B$2-1))</f>
        <v>2.1600722081869104</v>
      </c>
      <c r="S124" s="126">
        <f ca="1">[1]!i_val_pb_percentile(E124,[1]!td($B$2-1),$B$2-365*5,[1]!td($B$2-1))</f>
        <v>78.563596491228068</v>
      </c>
      <c r="T124" s="126">
        <f ca="1">[1]!s_val_pe_ttm([1]!to_windcode_index(H124&amp;"(申万)"),[1]!td($B$2-1))</f>
        <v>25.280000686645508</v>
      </c>
      <c r="U124" s="125"/>
      <c r="V124" s="125">
        <f ca="1">[1]!s_fa_roe(E124,$C$3)</f>
        <v>-1.5176000000000001</v>
      </c>
      <c r="W124" s="125">
        <f ca="1">[1]!s_fa_grossprofitmargin(E124,$C$3)</f>
        <v>18.698699999999999</v>
      </c>
      <c r="X124" s="125">
        <f ca="1">[1]!s_fa_netprofitmargin(E124,$C$3)</f>
        <v>-0.98480000000000001</v>
      </c>
      <c r="Y124" s="125">
        <f ca="1">[1]!s_fa_roic(E124,$C$3)</f>
        <v>4.1711</v>
      </c>
      <c r="Z124" s="125">
        <f ca="1">[1]!s_fa_operateincometoebt_ttm2(E124,$C$3)</f>
        <v>-6368.0689000000002</v>
      </c>
      <c r="AA124" s="125"/>
      <c r="AB124" s="343"/>
      <c r="AC124" s="125">
        <f ca="1">[1]!s_fa_cagr_tr($E124,AC$6,3)</f>
        <v>0</v>
      </c>
      <c r="AD124" s="125">
        <f ca="1">[1]!s_fa_cagr_tr($E124,AD$6,3)</f>
        <v>12.164179971411592</v>
      </c>
      <c r="AE124" s="126">
        <f ca="1">[1]!s_fa_cagr_tr($E124,AE$6,3)</f>
        <v>19.821590384319521</v>
      </c>
      <c r="AF124" s="126">
        <f ca="1">[1]!s_fa_cagr_tr($E124,AF$6,3)</f>
        <v>16.551248078353886</v>
      </c>
      <c r="AG124" s="126">
        <f ca="1">[1]!s_fa_cagr_tr($E124,AG$6,3)</f>
        <v>8.5270343538427653</v>
      </c>
      <c r="AH124" s="126">
        <f ca="1">[1]!s_fa_cagr_tr($E124,AH$6,3)</f>
        <v>3.2255548493794972</v>
      </c>
      <c r="AI124" s="169"/>
      <c r="AJ124" s="126">
        <f ca="1">[1]!s_fa_cagr_netprofit($E124,AJ$6,3)</f>
        <v>0</v>
      </c>
      <c r="AK124" s="126">
        <f ca="1">[1]!s_fa_cagr_netprofit($E124,AK$6,3)</f>
        <v>-52.535312025452875</v>
      </c>
      <c r="AL124" s="126">
        <f ca="1">[1]!s_fa_cagr_netprofit($E124,AL$6,3)</f>
        <v>-17.977856902416136</v>
      </c>
      <c r="AM124" s="126">
        <f ca="1">[1]!s_fa_cagr_netprofit($E124,AM$6,3)</f>
        <v>-66.646069974688558</v>
      </c>
      <c r="AN124" s="126">
        <f ca="1">[1]!s_fa_cagr_netprofit($E124,AN$6,3)</f>
        <v>-18.227058715966638</v>
      </c>
      <c r="AO124" s="126">
        <f ca="1">[1]!s_fa_cagr_netprofit($E124,AO$6,3)</f>
        <v>-4.9936337399053237</v>
      </c>
      <c r="AP124" s="129"/>
      <c r="AQ124" s="203">
        <f ca="1">[1]!s_fa_dupont_roe(E124,$C$3)</f>
        <v>-1.5176000000000001</v>
      </c>
      <c r="AR124" s="203">
        <f ca="1">[1]!s_fa_dupont_nptosales(B124,$C$3)</f>
        <v>-0.98480000000000001</v>
      </c>
      <c r="AS124" s="238">
        <f ca="1">[1]!s_fa_dupont_faturnover(E124,$C$3)</f>
        <v>0.51119999999999999</v>
      </c>
      <c r="AT124" s="203">
        <f ca="1">[1]!s_fa_dupont_assetstoequity(E124,$C$3)</f>
        <v>3.1663000000000001</v>
      </c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29"/>
      <c r="BE124" s="129"/>
    </row>
    <row r="125" spans="1:57" s="191" customFormat="1" ht="12" customHeight="1" x14ac:dyDescent="0.35">
      <c r="A125" s="182" t="s">
        <v>5</v>
      </c>
      <c r="B125" s="182" t="s">
        <v>280</v>
      </c>
      <c r="C125" s="182" t="s">
        <v>281</v>
      </c>
      <c r="D125" s="182" t="str">
        <f ca="1">[1]!cb_info_underlyingname(B125)</f>
        <v>远东传动</v>
      </c>
      <c r="E125" s="183" t="str">
        <f ca="1">[1]!cb_info_underlyingcode(B125)</f>
        <v>002406.SZ</v>
      </c>
      <c r="F125" s="184" t="str">
        <f ca="1">[1]!s_info_industry_sw(B125,1)</f>
        <v>汽车</v>
      </c>
      <c r="G125" s="184" t="str">
        <f ca="1">[1]!s_info_industry_sw(E125,2)</f>
        <v>汽车零部件Ⅱ</v>
      </c>
      <c r="H125" s="184" t="str">
        <f ca="1">[1]!s_info_industry_sw(E125,3)</f>
        <v>汽车零部件Ⅲ</v>
      </c>
      <c r="I125" s="192" t="str">
        <f ca="1">[1]!s_info_majorproducttype(E125)</f>
        <v>传动设备</v>
      </c>
      <c r="J125" s="189">
        <f ca="1">[1]!s_val_ev(E125,$B$2,100000000)</f>
        <v>41.068948928000005</v>
      </c>
      <c r="K125" s="193">
        <f ca="1">[1]!s_share_total(E125,$B$2,100000000)</f>
        <v>6.2414816000000002</v>
      </c>
      <c r="L125" s="193">
        <f ca="1">[1]!s_share_liqa(E125,$B$2,100000000)</f>
        <v>4.9613856299999997</v>
      </c>
      <c r="M125" s="186">
        <f ca="1">[1]!s_fa_gr_ttm2(E125,$C$3,100000000)</f>
        <v>20.1691311479</v>
      </c>
      <c r="N125" s="187">
        <f ca="1">[1]!s_fa_netprofit_ttm2(E125,$C$3,100000000)</f>
        <v>3.3045743802999996</v>
      </c>
      <c r="O125" s="186"/>
      <c r="P125" s="187">
        <f ca="1">[1]!s_val_pe_ttm(E125,[1]!td($B$2-1))</f>
        <v>13.283659934997559</v>
      </c>
      <c r="Q125" s="187">
        <f ca="1">[1]!i_val_pe_percentile(E125,[1]!td($B$2-1),$B$2-365*5,[1]!td($B$2-1))</f>
        <v>44.791666666666671</v>
      </c>
      <c r="R125" s="187">
        <f ca="1">[1]!pb_mrq(E125,[1]!td($B$2-1))</f>
        <v>1.2744492615156797</v>
      </c>
      <c r="S125" s="187">
        <f ca="1">[1]!i_val_pb_percentile(E125,[1]!td($B$2-1),$B$2-365*5,[1]!td($B$2-1))</f>
        <v>24.835526315789476</v>
      </c>
      <c r="T125" s="187">
        <f ca="1">[1]!s_val_pe_ttm([1]!to_windcode_index(H125&amp;"(申万)"),[1]!td($B$2-1))</f>
        <v>25.280000686645508</v>
      </c>
      <c r="U125" s="187"/>
      <c r="V125" s="187">
        <f ca="1">[1]!s_fa_roe(E125,$C$3)</f>
        <v>8.3079000000000001</v>
      </c>
      <c r="W125" s="187">
        <f ca="1">[1]!s_fa_grossprofitmargin(E125,$C$3)</f>
        <v>31.2394</v>
      </c>
      <c r="X125" s="187">
        <f ca="1">[1]!s_fa_netprofitmargin(E125,$C$3)</f>
        <v>15.831300000000001</v>
      </c>
      <c r="Y125" s="187">
        <f ca="1">[1]!s_fa_roic(E125,$C$3)</f>
        <v>7.1334999999999997</v>
      </c>
      <c r="Z125" s="187">
        <f ca="1">[1]!s_fa_operateincometoebt_ttm2(E125,$C$3)</f>
        <v>86.660899999999998</v>
      </c>
      <c r="AA125" s="186"/>
      <c r="AB125" s="342"/>
      <c r="AC125" s="186">
        <f ca="1">[1]!s_fa_cagr_tr($E125,AC$6,3)</f>
        <v>0</v>
      </c>
      <c r="AD125" s="186">
        <f ca="1">[1]!s_fa_cagr_tr($E125,AD$6,3)</f>
        <v>12.454894392979089</v>
      </c>
      <c r="AE125" s="187">
        <f ca="1">[1]!s_fa_cagr_tr($E125,AE$6,3)</f>
        <v>19.64305236075532</v>
      </c>
      <c r="AF125" s="187">
        <f ca="1">[1]!s_fa_cagr_tr($E125,AF$6,3)</f>
        <v>22.894010198583924</v>
      </c>
      <c r="AG125" s="187">
        <f ca="1">[1]!s_fa_cagr_tr($E125,AG$6,3)</f>
        <v>8.658966882314667</v>
      </c>
      <c r="AH125" s="187">
        <f ca="1">[1]!s_fa_cagr_tr($E125,AH$6,3)</f>
        <v>-2.4184482196241808</v>
      </c>
      <c r="AI125" s="194"/>
      <c r="AJ125" s="187">
        <f ca="1">[1]!s_fa_cagr_netprofit($E125,AJ$6,3)</f>
        <v>0</v>
      </c>
      <c r="AK125" s="187">
        <f ca="1">[1]!s_fa_cagr_netprofit($E125,AK$6,3)</f>
        <v>20.119981464907767</v>
      </c>
      <c r="AL125" s="187">
        <f ca="1">[1]!s_fa_cagr_netprofit($E125,AL$6,3)</f>
        <v>32.589346204484592</v>
      </c>
      <c r="AM125" s="187">
        <f ca="1">[1]!s_fa_cagr_netprofit($E125,AM$6,3)</f>
        <v>43.159001610327152</v>
      </c>
      <c r="AN125" s="187">
        <f ca="1">[1]!s_fa_cagr_netprofit($E125,AN$6,3)</f>
        <v>13.194910087545274</v>
      </c>
      <c r="AO125" s="187">
        <f ca="1">[1]!s_fa_cagr_netprofit($E125,AO$6,3)</f>
        <v>-2.3484227794914103</v>
      </c>
      <c r="AP125" s="189"/>
      <c r="AQ125" s="202">
        <f ca="1">[1]!s_fa_dupont_roe(E125,$C$3)</f>
        <v>8.3079000000000001</v>
      </c>
      <c r="AR125" s="202">
        <f ca="1">[1]!s_fa_dupont_nptosales(B125,$C$3)</f>
        <v>15.831300000000001</v>
      </c>
      <c r="AS125" s="237">
        <f ca="1">[1]!s_fa_dupont_faturnover(E125,$C$3)</f>
        <v>0.38069999999999998</v>
      </c>
      <c r="AT125" s="202">
        <f ca="1">[1]!s_fa_dupont_assetstoequity(E125,$C$3)</f>
        <v>1.3782000000000001</v>
      </c>
      <c r="AU125" s="189"/>
      <c r="AV125" s="189"/>
      <c r="AW125" s="189"/>
      <c r="AX125" s="189"/>
      <c r="AY125" s="189"/>
      <c r="AZ125" s="189"/>
      <c r="BA125" s="189"/>
      <c r="BB125" s="189"/>
      <c r="BC125" s="189"/>
      <c r="BD125" s="189"/>
      <c r="BE125" s="189"/>
    </row>
    <row r="126" spans="1:57" s="130" customFormat="1" ht="12" customHeight="1" x14ac:dyDescent="0.35">
      <c r="A126" s="121" t="s">
        <v>5</v>
      </c>
      <c r="B126" s="121" t="s">
        <v>220</v>
      </c>
      <c r="C126" s="121" t="s">
        <v>221</v>
      </c>
      <c r="D126" s="121" t="str">
        <f ca="1">[1]!cb_info_underlyingname(B126)</f>
        <v>天汽模</v>
      </c>
      <c r="E126" s="122" t="str">
        <f ca="1">[1]!cb_info_underlyingcode(B126)</f>
        <v>002510.SZ</v>
      </c>
      <c r="F126" s="123" t="str">
        <f ca="1">[1]!s_info_industry_sw(B126,1)</f>
        <v>汽车</v>
      </c>
      <c r="G126" s="123" t="str">
        <f ca="1">[1]!s_info_industry_sw(E126,2)</f>
        <v>汽车零部件Ⅱ</v>
      </c>
      <c r="H126" s="123" t="str">
        <f ca="1">[1]!s_info_industry_sw(E126,3)</f>
        <v>汽车零部件Ⅲ</v>
      </c>
      <c r="I126" s="156" t="str">
        <f ca="1">[1]!s_info_majorproducttype(E126)</f>
        <v>横向附件、专用设备与零部件</v>
      </c>
      <c r="J126" s="129">
        <f ca="1">[1]!s_val_ev(E126,$B$2,100000000)</f>
        <v>41.803325052000005</v>
      </c>
      <c r="K126" s="157">
        <f ca="1">[1]!s_share_total(E126,$B$2,100000000)</f>
        <v>9.4151632999999997</v>
      </c>
      <c r="L126" s="157">
        <f ca="1">[1]!s_share_liqa(E126,$B$2,100000000)</f>
        <v>9.3121627900000004</v>
      </c>
      <c r="M126" s="125">
        <f ca="1">[1]!s_fa_gr_ttm2(E126,$C$3,100000000)</f>
        <v>16.239994875000001</v>
      </c>
      <c r="N126" s="126">
        <f ca="1">[1]!s_fa_netprofit_ttm2(E126,$C$3,100000000)</f>
        <v>-1.2821234132999999</v>
      </c>
      <c r="O126" s="125"/>
      <c r="P126" s="126">
        <f ca="1">[1]!s_val_pe_ttm(E126,[1]!td($B$2-1))</f>
        <v>-5.7693309783935547</v>
      </c>
      <c r="Q126" s="126">
        <f ca="1">[1]!i_val_pe_percentile(E126,[1]!td($B$2-1),$B$2-365*5,[1]!td($B$2-1))</f>
        <v>0</v>
      </c>
      <c r="R126" s="126">
        <f ca="1">[1]!pb_mrq(E126,[1]!td($B$2-1))</f>
        <v>2.0469994474510118</v>
      </c>
      <c r="S126" s="126">
        <f ca="1">[1]!i_val_pb_percentile(E126,[1]!td($B$2-1),$B$2-365*5,[1]!td($B$2-1))</f>
        <v>65.296052631578945</v>
      </c>
      <c r="T126" s="126">
        <f ca="1">[1]!s_val_pe_ttm([1]!to_windcode_index(H126&amp;"(申万)"),[1]!td($B$2-1))</f>
        <v>25.280000686645508</v>
      </c>
      <c r="U126" s="126"/>
      <c r="V126" s="126">
        <f ca="1">[1]!s_fa_roe(E126,$C$3)</f>
        <v>-4.7724000000000002</v>
      </c>
      <c r="W126" s="126">
        <f ca="1">[1]!s_fa_grossprofitmargin(E126,$C$3)</f>
        <v>10.0406</v>
      </c>
      <c r="X126" s="126">
        <f ca="1">[1]!s_fa_netprofitmargin(E126,$C$3)</f>
        <v>-16.147300000000001</v>
      </c>
      <c r="Y126" s="126">
        <f ca="1">[1]!s_fa_roic(E126,$C$3)</f>
        <v>-1.8343</v>
      </c>
      <c r="Z126" s="126">
        <f ca="1">[1]!s_fa_operateincometoebt_ttm2(E126,$C$3)</f>
        <v>0</v>
      </c>
      <c r="AA126" s="125"/>
      <c r="AB126" s="343"/>
      <c r="AC126" s="125">
        <f ca="1">[1]!s_fa_cagr_tr($E126,AC$6,3)</f>
        <v>0</v>
      </c>
      <c r="AD126" s="125">
        <f ca="1">[1]!s_fa_cagr_tr($E126,AD$6,3)</f>
        <v>-11.340855845020537</v>
      </c>
      <c r="AE126" s="126">
        <f ca="1">[1]!s_fa_cagr_tr($E126,AE$6,3)</f>
        <v>3.2185649850646314</v>
      </c>
      <c r="AF126" s="126">
        <f ca="1">[1]!s_fa_cagr_tr($E126,AF$6,3)</f>
        <v>7.2521641295898442</v>
      </c>
      <c r="AG126" s="126">
        <f ca="1">[1]!s_fa_cagr_tr($E126,AG$6,3)</f>
        <v>9.0515295823803363</v>
      </c>
      <c r="AH126" s="126">
        <f ca="1">[1]!s_fa_cagr_tr($E126,AH$6,3)</f>
        <v>19.126725653400101</v>
      </c>
      <c r="AI126" s="169"/>
      <c r="AJ126" s="126">
        <f ca="1">[1]!s_fa_cagr_netprofit($E126,AJ$6,3)</f>
        <v>0</v>
      </c>
      <c r="AK126" s="126">
        <f ca="1">[1]!s_fa_cagr_netprofit($E126,AK$6,3)</f>
        <v>-306.79495293105015</v>
      </c>
      <c r="AL126" s="126">
        <f ca="1">[1]!s_fa_cagr_netprofit($E126,AL$6,3)</f>
        <v>-15.936587192605323</v>
      </c>
      <c r="AM126" s="126">
        <f ca="1">[1]!s_fa_cagr_netprofit($E126,AM$6,3)</f>
        <v>8.9220620253410701</v>
      </c>
      <c r="AN126" s="126">
        <f ca="1">[1]!s_fa_cagr_netprofit($E126,AN$6,3)</f>
        <v>-17.555164328102869</v>
      </c>
      <c r="AO126" s="126">
        <f ca="1">[1]!s_fa_cagr_netprofit($E126,AO$6,3)</f>
        <v>6.9852176164265201</v>
      </c>
      <c r="AP126" s="129"/>
      <c r="AQ126" s="203">
        <f ca="1">[1]!s_fa_dupont_roe(E126,$C$3)</f>
        <v>-4.7724000000000002</v>
      </c>
      <c r="AR126" s="203">
        <f ca="1">[1]!s_fa_dupont_nptosales(B126,$C$3)</f>
        <v>-16.147300000000001</v>
      </c>
      <c r="AS126" s="238">
        <f ca="1">[1]!s_fa_dupont_faturnover(E126,$C$3)</f>
        <v>0.13639999999999999</v>
      </c>
      <c r="AT126" s="203">
        <f ca="1">[1]!s_fa_dupont_assetstoequity(E126,$C$3)</f>
        <v>2.2837999999999998</v>
      </c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129"/>
      <c r="BE126" s="129"/>
    </row>
    <row r="127" spans="1:57" s="191" customFormat="1" ht="12" customHeight="1" x14ac:dyDescent="0.35">
      <c r="A127" s="182" t="s">
        <v>0</v>
      </c>
      <c r="B127" s="182" t="s">
        <v>250</v>
      </c>
      <c r="C127" s="182" t="s">
        <v>251</v>
      </c>
      <c r="D127" s="182" t="str">
        <f ca="1">[1]!cb_info_underlyingname(B127)</f>
        <v>常熟汽饰</v>
      </c>
      <c r="E127" s="183" t="str">
        <f ca="1">[1]!cb_info_underlyingcode(B127)</f>
        <v>603035.SH</v>
      </c>
      <c r="F127" s="184" t="str">
        <f ca="1">[1]!s_info_industry_sw(B127,1)</f>
        <v>汽车</v>
      </c>
      <c r="G127" s="184" t="str">
        <f ca="1">[1]!s_info_industry_sw(E127,2)</f>
        <v>汽车零部件Ⅱ</v>
      </c>
      <c r="H127" s="184" t="str">
        <f ca="1">[1]!s_info_industry_sw(E127,3)</f>
        <v>汽车零部件Ⅲ</v>
      </c>
      <c r="I127" s="192" t="str">
        <f ca="1">[1]!s_info_majorproducttype(E127)</f>
        <v>专用设备与零部件</v>
      </c>
      <c r="J127" s="189">
        <f ca="1">[1]!s_val_ev(E127,$B$2,100000000)</f>
        <v>49.488679806799993</v>
      </c>
      <c r="K127" s="193">
        <f ca="1">[1]!s_share_total(E127,$B$2,100000000)</f>
        <v>3.59134106</v>
      </c>
      <c r="L127" s="193">
        <f ca="1">[1]!s_share_liqa(E127,$B$2,100000000)</f>
        <v>3.59134106</v>
      </c>
      <c r="M127" s="186">
        <f ca="1">[1]!s_fa_gr_ttm2(E127,$C$3,100000000)</f>
        <v>20.027198240699999</v>
      </c>
      <c r="N127" s="187">
        <f ca="1">[1]!s_fa_netprofit_ttm2(E127,$C$3,100000000)</f>
        <v>2.7997567510000003</v>
      </c>
      <c r="O127" s="186"/>
      <c r="P127" s="187">
        <f ca="1">[1]!s_val_pe_ttm(E127,[1]!td($B$2-1))</f>
        <v>10.890385627746582</v>
      </c>
      <c r="Q127" s="187">
        <f ca="1">[1]!i_val_pe_percentile(E127,[1]!td($B$2-1),$B$2-365*5,[1]!td($B$2-1))</f>
        <v>24.736225087924971</v>
      </c>
      <c r="R127" s="187">
        <f ca="1">[1]!pb_mrq(E127,[1]!td($B$2-1))</f>
        <v>1.2908762766915927</v>
      </c>
      <c r="S127" s="187">
        <f ca="1">[1]!i_val_pb_percentile(E127,[1]!td($B$2-1),$B$2-365*5,[1]!td($B$2-1))</f>
        <v>25.674091441969519</v>
      </c>
      <c r="T127" s="187">
        <f ca="1">[1]!s_val_pe_ttm([1]!to_windcode_index(H127&amp;"(申万)"),[1]!td($B$2-1))</f>
        <v>25.280000686645508</v>
      </c>
      <c r="U127" s="187"/>
      <c r="V127" s="187">
        <f ca="1">[1]!s_fa_roe(E127,$C$3)</f>
        <v>7.0053999999999998</v>
      </c>
      <c r="W127" s="187">
        <f ca="1">[1]!s_fa_grossprofitmargin(E127,$C$3)</f>
        <v>24.488399999999999</v>
      </c>
      <c r="X127" s="187">
        <f ca="1">[1]!s_fa_netprofitmargin(E127,$C$3)</f>
        <v>14.8498</v>
      </c>
      <c r="Y127" s="187">
        <f ca="1">[1]!s_fa_roic(E127,$C$3)</f>
        <v>5.4375999999999998</v>
      </c>
      <c r="Z127" s="187">
        <f ca="1">[1]!s_fa_operateincometoebt_ttm2(E127,$C$3)</f>
        <v>2.6002999999999998</v>
      </c>
      <c r="AA127" s="186"/>
      <c r="AB127" s="342"/>
      <c r="AC127" s="186">
        <f ca="1">[1]!s_fa_cagr_tr($E127,AC$6,3)</f>
        <v>0</v>
      </c>
      <c r="AD127" s="186">
        <f ca="1">[1]!s_fa_cagr_tr($E127,AD$6,3)</f>
        <v>18.307486892049596</v>
      </c>
      <c r="AE127" s="187">
        <f ca="1">[1]!s_fa_cagr_tr($E127,AE$6,3)</f>
        <v>8.2838381317056342</v>
      </c>
      <c r="AF127" s="187">
        <f ca="1">[1]!s_fa_cagr_tr($E127,AF$6,3)</f>
        <v>12.75264666453011</v>
      </c>
      <c r="AG127" s="187">
        <f ca="1">[1]!s_fa_cagr_tr($E127,AG$6,3)</f>
        <v>7.1629901845426502</v>
      </c>
      <c r="AH127" s="187">
        <f ca="1">[1]!s_fa_cagr_tr($E127,AH$6,3)</f>
        <v>19.037121237200139</v>
      </c>
      <c r="AI127" s="194"/>
      <c r="AJ127" s="187">
        <f ca="1">[1]!s_fa_cagr_netprofit($E127,AJ$6,3)</f>
        <v>0</v>
      </c>
      <c r="AK127" s="187">
        <f ca="1">[1]!s_fa_cagr_netprofit($E127,AK$6,3)</f>
        <v>16.712391176133522</v>
      </c>
      <c r="AL127" s="187">
        <f ca="1">[1]!s_fa_cagr_netprofit($E127,AL$6,3)</f>
        <v>5.3385516932923816</v>
      </c>
      <c r="AM127" s="187">
        <f ca="1">[1]!s_fa_cagr_netprofit($E127,AM$6,3)</f>
        <v>15.020608553188497</v>
      </c>
      <c r="AN127" s="187">
        <f ca="1">[1]!s_fa_cagr_netprofit($E127,AN$6,3)</f>
        <v>4.0574354881140362</v>
      </c>
      <c r="AO127" s="187">
        <f ca="1">[1]!s_fa_cagr_netprofit($E127,AO$6,3)</f>
        <v>8.0753244959579362</v>
      </c>
      <c r="AP127" s="189"/>
      <c r="AQ127" s="202">
        <f ca="1">[1]!s_fa_dupont_roe(E127,$C$3)</f>
        <v>7.0053999999999998</v>
      </c>
      <c r="AR127" s="202">
        <f ca="1">[1]!s_fa_dupont_nptosales(B127,$C$3)</f>
        <v>14.8498</v>
      </c>
      <c r="AS127" s="237">
        <f ca="1">[1]!s_fa_dupont_faturnover(E127,$C$3)</f>
        <v>0.2082</v>
      </c>
      <c r="AT127" s="202">
        <f ca="1">[1]!s_fa_dupont_assetstoequity(E127,$C$3)</f>
        <v>2.1951999999999998</v>
      </c>
      <c r="AU127" s="189"/>
      <c r="AV127" s="201"/>
      <c r="AW127" s="189"/>
      <c r="AX127" s="189"/>
      <c r="AY127" s="189"/>
      <c r="AZ127" s="189"/>
      <c r="BA127" s="189"/>
      <c r="BB127" s="189"/>
      <c r="BC127" s="189"/>
      <c r="BD127" s="189"/>
      <c r="BE127" s="189"/>
    </row>
    <row r="128" spans="1:57" s="130" customFormat="1" ht="12" customHeight="1" x14ac:dyDescent="0.35">
      <c r="A128" s="121" t="s">
        <v>0</v>
      </c>
      <c r="B128" s="121" t="s">
        <v>563</v>
      </c>
      <c r="C128" s="121" t="s">
        <v>564</v>
      </c>
      <c r="D128" s="121" t="str">
        <f ca="1">[1]!cb_info_underlyingname(B128)</f>
        <v>永安行</v>
      </c>
      <c r="E128" s="122" t="str">
        <f ca="1">[1]!cb_info_underlyingcode(B128)</f>
        <v>603776.SH</v>
      </c>
      <c r="F128" s="123" t="str">
        <f ca="1">[1]!s_info_industry_sw(B128,1)</f>
        <v>汽车</v>
      </c>
      <c r="G128" s="123" t="str">
        <f ca="1">[1]!s_info_industry_sw(E128,2)</f>
        <v>其他交运设备Ⅱ</v>
      </c>
      <c r="H128" s="123" t="str">
        <f ca="1">[1]!s_info_industry_sw(E128,3)</f>
        <v>其他交运设备Ⅲ</v>
      </c>
      <c r="I128" s="156" t="str">
        <f ca="1">[1]!s_info_majorproducttype(E128)</f>
        <v>运营平台系统</v>
      </c>
      <c r="J128" s="129">
        <f ca="1">[1]!s_val_ev(E128,$B$2,100000000)</f>
        <v>43.721074701500008</v>
      </c>
      <c r="K128" s="157">
        <f ca="1">[1]!s_share_total(E128,$B$2,100000000)</f>
        <v>2.3342805499999999</v>
      </c>
      <c r="L128" s="157">
        <f ca="1">[1]!s_share_liqa(E128,$B$2,100000000)</f>
        <v>2.3272785500000004</v>
      </c>
      <c r="M128" s="125">
        <f ca="1">[1]!s_fa_gr_ttm2(E128,$C$3,100000000)</f>
        <v>9.4257447254999995</v>
      </c>
      <c r="N128" s="126">
        <f ca="1">[1]!s_fa_netprofit_ttm2(E128,$C$3,100000000)</f>
        <v>5.0174359938000004</v>
      </c>
      <c r="O128" s="125"/>
      <c r="P128" s="126">
        <f ca="1">[1]!s_val_pe_ttm(E128,[1]!td($B$2-1))</f>
        <v>8.652679443359375</v>
      </c>
      <c r="Q128" s="126">
        <f ca="1">[1]!i_val_pe_percentile(E128,[1]!td($B$2-1),$B$2-365*5,[1]!td($B$2-1))</f>
        <v>46.288798920377864</v>
      </c>
      <c r="R128" s="126">
        <f ca="1">[1]!pb_mrq(E128,[1]!td($B$2-1))</f>
        <v>1.357684399116168</v>
      </c>
      <c r="S128" s="126">
        <f ca="1">[1]!i_val_pb_percentile(E128,[1]!td($B$2-1),$B$2-365*5,[1]!td($B$2-1))</f>
        <v>24.224021592442647</v>
      </c>
      <c r="T128" s="126">
        <f ca="1">[1]!s_val_pe_ttm([1]!to_windcode_index(H128&amp;"(申万)"),[1]!td($B$2-1))</f>
        <v>0</v>
      </c>
      <c r="U128" s="126"/>
      <c r="V128" s="126">
        <f ca="1">[1]!s_fa_roe(E128,$C$3)</f>
        <v>4.0027999999999997</v>
      </c>
      <c r="W128" s="126">
        <f ca="1">[1]!s_fa_grossprofitmargin(E128,$C$3)</f>
        <v>29.285799999999998</v>
      </c>
      <c r="X128" s="126">
        <f ca="1">[1]!s_fa_netprofitmargin(E128,$C$3)</f>
        <v>16.603400000000001</v>
      </c>
      <c r="Y128" s="126">
        <f ca="1">[1]!s_fa_roic(E128,$C$3)</f>
        <v>3.8159000000000001</v>
      </c>
      <c r="Z128" s="126">
        <f ca="1">[1]!s_fa_operateincometoebt_ttm2(E128,$C$3)</f>
        <v>23.481200000000001</v>
      </c>
      <c r="AA128" s="125"/>
      <c r="AB128" s="343"/>
      <c r="AC128" s="125">
        <f ca="1">[1]!s_fa_cagr_tr($E128,AC$6,3)</f>
        <v>0</v>
      </c>
      <c r="AD128" s="125">
        <f ca="1">[1]!s_fa_cagr_tr($E128,AD$6,3)</f>
        <v>-6.1046166759491038</v>
      </c>
      <c r="AE128" s="126">
        <f ca="1">[1]!s_fa_cagr_tr($E128,AE$6,3)</f>
        <v>6.5119943150425463</v>
      </c>
      <c r="AF128" s="126">
        <f ca="1">[1]!s_fa_cagr_tr($E128,AF$6,3)</f>
        <v>10.888082397653843</v>
      </c>
      <c r="AG128" s="126">
        <f ca="1">[1]!s_fa_cagr_tr($E128,AG$6,3)</f>
        <v>40.44780664743606</v>
      </c>
      <c r="AH128" s="126">
        <f ca="1">[1]!s_fa_cagr_tr($E128,AH$6,3)</f>
        <v>50.147550345579276</v>
      </c>
      <c r="AI128" s="169"/>
      <c r="AJ128" s="126">
        <f ca="1">[1]!s_fa_cagr_netprofit($E128,AJ$6,3)</f>
        <v>0</v>
      </c>
      <c r="AK128" s="126">
        <f ca="1">[1]!s_fa_cagr_netprofit($E128,AK$6,3)</f>
        <v>-1.4323188156738054</v>
      </c>
      <c r="AL128" s="126">
        <f ca="1">[1]!s_fa_cagr_netprofit($E128,AL$6,3)</f>
        <v>62.637968065213734</v>
      </c>
      <c r="AM128" s="126">
        <f ca="1">[1]!s_fa_cagr_netprofit($E128,AM$6,3)</f>
        <v>8.5305407336725203</v>
      </c>
      <c r="AN128" s="126">
        <f ca="1">[1]!s_fa_cagr_netprofit($E128,AN$6,3)</f>
        <v>96.2679754243144</v>
      </c>
      <c r="AO128" s="126">
        <f ca="1">[1]!s_fa_cagr_netprofit($E128,AO$6,3)</f>
        <v>47.262649525062692</v>
      </c>
      <c r="AP128" s="129"/>
      <c r="AQ128" s="203">
        <f ca="1">[1]!s_fa_dupont_roe(E128,$C$3)</f>
        <v>4.0027999999999997</v>
      </c>
      <c r="AR128" s="203">
        <f ca="1">[1]!s_fa_dupont_nptosales(B128,$C$3)</f>
        <v>16.603400000000001</v>
      </c>
      <c r="AS128" s="238">
        <f ca="1">[1]!s_fa_dupont_faturnover(E128,$C$3)</f>
        <v>0.16600000000000001</v>
      </c>
      <c r="AT128" s="203">
        <f ca="1">[1]!s_fa_dupont_assetstoequity(E128,$C$3)</f>
        <v>1.446</v>
      </c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129"/>
      <c r="BE128" s="129"/>
    </row>
    <row r="129" spans="1:57" s="191" customFormat="1" ht="12" customHeight="1" x14ac:dyDescent="0.35">
      <c r="A129" s="182" t="s">
        <v>5</v>
      </c>
      <c r="B129" s="182" t="s">
        <v>471</v>
      </c>
      <c r="C129" s="182" t="s">
        <v>472</v>
      </c>
      <c r="D129" s="182" t="str">
        <f ca="1">[1]!cb_info_underlyingname(B129)</f>
        <v>亚太股份</v>
      </c>
      <c r="E129" s="183" t="str">
        <f ca="1">[1]!cb_info_underlyingcode(B129)</f>
        <v>002284.SZ</v>
      </c>
      <c r="F129" s="184" t="str">
        <f ca="1">[1]!s_info_industry_sw(B129,1)</f>
        <v>汽车</v>
      </c>
      <c r="G129" s="184" t="str">
        <f ca="1">[1]!s_info_industry_sw(E129,2)</f>
        <v>汽车零部件Ⅱ</v>
      </c>
      <c r="H129" s="184" t="str">
        <f ca="1">[1]!s_info_industry_sw(E129,3)</f>
        <v>汽车零部件Ⅲ</v>
      </c>
      <c r="I129" s="192" t="str">
        <f ca="1">[1]!s_info_majorproducttype(E129)</f>
        <v>电子设备及加工、发动机设备、制动设备</v>
      </c>
      <c r="J129" s="189">
        <f ca="1">[1]!s_val_ev(E129,$B$2,100000000)</f>
        <v>62.998032893599998</v>
      </c>
      <c r="K129" s="193">
        <f ca="1">[1]!s_share_total(E129,$B$2,100000000)</f>
        <v>7.3768188400000003</v>
      </c>
      <c r="L129" s="193">
        <f ca="1">[1]!s_share_liqa(E129,$B$2,100000000)</f>
        <v>6.8604535099999984</v>
      </c>
      <c r="M129" s="186">
        <f ca="1">[1]!s_fa_gr_ttm2(E129,$C$3,100000000)</f>
        <v>28.9997490043</v>
      </c>
      <c r="N129" s="187">
        <f ca="1">[1]!s_fa_netprofit_ttm2(E129,$C$3,100000000)</f>
        <v>-0.59232517920000005</v>
      </c>
      <c r="O129" s="186"/>
      <c r="P129" s="187">
        <f ca="1">[1]!s_val_pe_ttm(E129,[1]!td($B$2-1))</f>
        <v>68.343902587890625</v>
      </c>
      <c r="Q129" s="187">
        <f ca="1">[1]!i_val_pe_percentile(E129,[1]!td($B$2-1),$B$2-365*5,[1]!td($B$2-1))</f>
        <v>35.707844905320108</v>
      </c>
      <c r="R129" s="187">
        <f ca="1">[1]!pb_mrq(E129,[1]!td($B$2-1))</f>
        <v>2.5132533721184087</v>
      </c>
      <c r="S129" s="187">
        <f ca="1">[1]!i_val_pb_percentile(E129,[1]!td($B$2-1),$B$2-365*5,[1]!td($B$2-1))</f>
        <v>73.903508771929822</v>
      </c>
      <c r="T129" s="187">
        <f ca="1">[1]!s_val_pe_ttm([1]!to_windcode_index(H129&amp;"(申万)"),[1]!td($B$2-1))</f>
        <v>25.280000686645508</v>
      </c>
      <c r="U129" s="186"/>
      <c r="V129" s="186">
        <f ca="1">[1]!s_fa_roe(E129,$C$3)</f>
        <v>-1.3586</v>
      </c>
      <c r="W129" s="186">
        <f ca="1">[1]!s_fa_grossprofitmargin(E129,$C$3)</f>
        <v>13.789899999999999</v>
      </c>
      <c r="X129" s="186">
        <f ca="1">[1]!s_fa_netprofitmargin(E129,$C$3)</f>
        <v>-1.8047</v>
      </c>
      <c r="Y129" s="186">
        <f ca="1">[1]!s_fa_roic(E129,$C$3)</f>
        <v>-0.30059999999999998</v>
      </c>
      <c r="Z129" s="186">
        <f ca="1">[1]!s_fa_operateincometoebt_ttm2(E129,$C$3)</f>
        <v>0</v>
      </c>
      <c r="AA129" s="186"/>
      <c r="AB129" s="342"/>
      <c r="AC129" s="186">
        <f ca="1">[1]!s_fa_cagr_tr($E129,AC$6,3)</f>
        <v>0</v>
      </c>
      <c r="AD129" s="186">
        <f ca="1">[1]!s_fa_cagr_tr($E129,AD$6,3)</f>
        <v>-9.6732441586305455</v>
      </c>
      <c r="AE129" s="187">
        <f ca="1">[1]!s_fa_cagr_tr($E129,AE$6,3)</f>
        <v>-2.3505511052108519</v>
      </c>
      <c r="AF129" s="187">
        <f ca="1">[1]!s_fa_cagr_tr($E129,AF$6,3)</f>
        <v>8.4689653355788828</v>
      </c>
      <c r="AG129" s="187">
        <f ca="1">[1]!s_fa_cagr_tr($E129,AG$6,3)</f>
        <v>6.5254575848620933</v>
      </c>
      <c r="AH129" s="187">
        <f ca="1">[1]!s_fa_cagr_tr($E129,AH$6,3)</f>
        <v>7.9401465602980226</v>
      </c>
      <c r="AI129" s="194"/>
      <c r="AJ129" s="187">
        <f ca="1">[1]!s_fa_cagr_netprofit($E129,AJ$6,3)</f>
        <v>0</v>
      </c>
      <c r="AK129" s="187">
        <f ca="1">[1]!s_fa_cagr_netprofit($E129,AK$6,3)</f>
        <v>-41.898628560220367</v>
      </c>
      <c r="AL129" s="187">
        <f ca="1">[1]!s_fa_cagr_netprofit($E129,AL$6,3)</f>
        <v>-188.00709163453251</v>
      </c>
      <c r="AM129" s="187">
        <f ca="1">[1]!s_fa_cagr_netprofit($E129,AM$6,3)</f>
        <v>-61.709498605246381</v>
      </c>
      <c r="AN129" s="187">
        <f ca="1">[1]!s_fa_cagr_netprofit($E129,AN$6,3)</f>
        <v>-21.971682233379987</v>
      </c>
      <c r="AO129" s="187">
        <f ca="1">[1]!s_fa_cagr_netprofit($E129,AO$6,3)</f>
        <v>1.7090528472158972</v>
      </c>
      <c r="AP129" s="189"/>
      <c r="AQ129" s="202">
        <f ca="1">[1]!s_fa_dupont_roe(E129,$C$3)</f>
        <v>-1.3586</v>
      </c>
      <c r="AR129" s="202">
        <f ca="1">[1]!s_fa_dupont_nptosales(B129,$C$3)</f>
        <v>-1.8047</v>
      </c>
      <c r="AS129" s="237">
        <f ca="1">[1]!s_fa_dupont_faturnover(E129,$C$3)</f>
        <v>0.33850000000000002</v>
      </c>
      <c r="AT129" s="202">
        <f ca="1">[1]!s_fa_dupont_assetstoequity(E129,$C$3)</f>
        <v>2.2084000000000001</v>
      </c>
      <c r="AU129" s="189"/>
      <c r="AV129" s="189"/>
      <c r="AW129" s="189"/>
      <c r="AX129" s="189"/>
      <c r="AY129" s="189"/>
      <c r="AZ129" s="189"/>
      <c r="BA129" s="189"/>
      <c r="BB129" s="189"/>
      <c r="BC129" s="189"/>
      <c r="BD129" s="189"/>
      <c r="BE129" s="189"/>
    </row>
    <row r="130" spans="1:57" s="130" customFormat="1" ht="12" customHeight="1" x14ac:dyDescent="0.35">
      <c r="A130" s="121" t="s">
        <v>5</v>
      </c>
      <c r="B130" s="121" t="s">
        <v>591</v>
      </c>
      <c r="C130" s="121" t="s">
        <v>592</v>
      </c>
      <c r="D130" s="121" t="str">
        <f ca="1">[1]!cb_info_underlyingname(B130)</f>
        <v>贝斯特</v>
      </c>
      <c r="E130" s="122" t="str">
        <f ca="1">[1]!cb_info_underlyingcode(B130)</f>
        <v>300580.SZ</v>
      </c>
      <c r="F130" s="123" t="str">
        <f ca="1">[1]!s_info_industry_sw(B130,1)</f>
        <v>汽车</v>
      </c>
      <c r="G130" s="123" t="str">
        <f ca="1">[1]!s_info_industry_sw(E130,2)</f>
        <v>汽车零部件Ⅱ</v>
      </c>
      <c r="H130" s="123" t="str">
        <f ca="1">[1]!s_info_industry_sw(E130,3)</f>
        <v>汽车零部件Ⅲ</v>
      </c>
      <c r="I130" s="156" t="str">
        <f ca="1">[1]!s_info_majorproducttype(E130)</f>
        <v>专用设备与零部件</v>
      </c>
      <c r="J130" s="129">
        <f ca="1">[1]!s_val_ev(E130,$B$2,100000000)</f>
        <v>43.300215417499999</v>
      </c>
      <c r="K130" s="157">
        <f ca="1">[1]!s_share_total(E130,$B$2,100000000)</f>
        <v>2.0000099499999999</v>
      </c>
      <c r="L130" s="157">
        <f ca="1">[1]!s_share_liqa(E130,$B$2,100000000)</f>
        <v>1.8651787</v>
      </c>
      <c r="M130" s="125">
        <f ca="1">[1]!s_fa_gr_ttm2(E130,$C$3,100000000)</f>
        <v>9.0877341827000002</v>
      </c>
      <c r="N130" s="126">
        <f ca="1">[1]!s_fa_netprofit_ttm2(E130,$C$3,100000000)</f>
        <v>1.7441295478000001</v>
      </c>
      <c r="O130" s="125"/>
      <c r="P130" s="126">
        <f ca="1">[1]!s_val_pe_ttm(E130,[1]!td($B$2-1))</f>
        <v>19.656135559082031</v>
      </c>
      <c r="Q130" s="126">
        <f ca="1">[1]!i_val_pe_percentile(E130,[1]!td($B$2-1),$B$2-365*5,[1]!td($B$2-1))</f>
        <v>29.176470588235293</v>
      </c>
      <c r="R130" s="126">
        <f ca="1">[1]!pb_mrq(E130,[1]!td($B$2-1))</f>
        <v>2.5196980852767257</v>
      </c>
      <c r="S130" s="126">
        <f ca="1">[1]!i_val_pb_percentile(E130,[1]!td($B$2-1),$B$2-365*5,[1]!td($B$2-1))</f>
        <v>49.147058823529413</v>
      </c>
      <c r="T130" s="126">
        <f ca="1">[1]!s_val_pe_ttm([1]!to_windcode_index(H130&amp;"(申万)"),[1]!td($B$2-1))</f>
        <v>25.280000686645508</v>
      </c>
      <c r="U130" s="126"/>
      <c r="V130" s="126">
        <f ca="1">[1]!s_fa_roe(E130,$C$3)</f>
        <v>7.9008000000000003</v>
      </c>
      <c r="W130" s="126">
        <f ca="1">[1]!s_fa_grossprofitmargin(E130,$C$3)</f>
        <v>35.5608</v>
      </c>
      <c r="X130" s="126">
        <f ca="1">[1]!s_fa_netprofitmargin(E130,$C$3)</f>
        <v>18.444700000000001</v>
      </c>
      <c r="Y130" s="126">
        <f ca="1">[1]!s_fa_roic(E130,$C$3)</f>
        <v>7.9189999999999996</v>
      </c>
      <c r="Z130" s="126">
        <f ca="1">[1]!s_fa_operateincometoebt_ttm2(E130,$C$3)</f>
        <v>90.299400000000006</v>
      </c>
      <c r="AA130" s="125"/>
      <c r="AB130" s="343"/>
      <c r="AC130" s="125">
        <f ca="1">[1]!s_fa_cagr_tr($E130,AC$6,3)</f>
        <v>0</v>
      </c>
      <c r="AD130" s="125">
        <f ca="1">[1]!s_fa_cagr_tr($E130,AD$6,3)</f>
        <v>11.556711810099252</v>
      </c>
      <c r="AE130" s="126">
        <f ca="1">[1]!s_fa_cagr_tr($E130,AE$6,3)</f>
        <v>13.569356128228938</v>
      </c>
      <c r="AF130" s="126">
        <f ca="1">[1]!s_fa_cagr_tr($E130,AF$6,3)</f>
        <v>16.041464307313326</v>
      </c>
      <c r="AG130" s="126">
        <f ca="1">[1]!s_fa_cagr_tr($E130,AG$6,3)</f>
        <v>14.831214467677167</v>
      </c>
      <c r="AH130" s="126">
        <f ca="1">[1]!s_fa_cagr_tr($E130,AH$6,3)</f>
        <v>13.362943009499828</v>
      </c>
      <c r="AI130" s="169"/>
      <c r="AJ130" s="126">
        <f ca="1">[1]!s_fa_cagr_netprofit($E130,AJ$6,3)</f>
        <v>0</v>
      </c>
      <c r="AK130" s="126">
        <f ca="1">[1]!s_fa_cagr_netprofit($E130,AK$6,3)</f>
        <v>8.1449086674757467</v>
      </c>
      <c r="AL130" s="126">
        <f ca="1">[1]!s_fa_cagr_netprofit($E130,AL$6,3)</f>
        <v>12.789639215977155</v>
      </c>
      <c r="AM130" s="126">
        <f ca="1">[1]!s_fa_cagr_netprofit($E130,AM$6,3)</f>
        <v>19.055207369899406</v>
      </c>
      <c r="AN130" s="126">
        <f ca="1">[1]!s_fa_cagr_netprofit($E130,AN$6,3)</f>
        <v>22.556515007055889</v>
      </c>
      <c r="AO130" s="126">
        <f ca="1">[1]!s_fa_cagr_netprofit($E130,AO$6,3)</f>
        <v>21.539697134669964</v>
      </c>
      <c r="AP130" s="129"/>
      <c r="AQ130" s="203">
        <f ca="1">[1]!s_fa_dupont_roe(E130,$C$3)</f>
        <v>7.9008000000000003</v>
      </c>
      <c r="AR130" s="203">
        <f ca="1">[1]!s_fa_dupont_nptosales(B130,$C$3)</f>
        <v>18.444700000000001</v>
      </c>
      <c r="AS130" s="238">
        <f ca="1">[1]!s_fa_dupont_faturnover(E130,$C$3)</f>
        <v>0.35449999999999998</v>
      </c>
      <c r="AT130" s="203">
        <f ca="1">[1]!s_fa_dupont_assetstoequity(E130,$C$3)</f>
        <v>1.2131000000000001</v>
      </c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129"/>
      <c r="BE130" s="129"/>
    </row>
    <row r="131" spans="1:57" s="191" customFormat="1" ht="12" customHeight="1" x14ac:dyDescent="0.35">
      <c r="A131" s="182" t="s">
        <v>5</v>
      </c>
      <c r="B131" s="182" t="s">
        <v>364</v>
      </c>
      <c r="C131" s="182" t="s">
        <v>365</v>
      </c>
      <c r="D131" s="182" t="str">
        <f ca="1">[1]!cb_info_underlyingname(B131)</f>
        <v>今飞凯达</v>
      </c>
      <c r="E131" s="183" t="str">
        <f ca="1">[1]!cb_info_underlyingcode(B131)</f>
        <v>002863.SZ</v>
      </c>
      <c r="F131" s="184" t="str">
        <f ca="1">[1]!s_info_industry_sw(B131,1)</f>
        <v>汽车</v>
      </c>
      <c r="G131" s="184" t="str">
        <f ca="1">[1]!s_info_industry_sw(E131,2)</f>
        <v>汽车零部件Ⅱ</v>
      </c>
      <c r="H131" s="184" t="str">
        <f ca="1">[1]!s_info_industry_sw(E131,3)</f>
        <v>汽车零部件Ⅲ</v>
      </c>
      <c r="I131" s="192" t="str">
        <f ca="1">[1]!s_info_majorproducttype(E131)</f>
        <v>汽车及零配件经销</v>
      </c>
      <c r="J131" s="189">
        <f ca="1">[1]!s_val_ev(E131,$B$2,100000000)</f>
        <v>26.387210874000001</v>
      </c>
      <c r="K131" s="193">
        <f ca="1">[1]!s_share_total(E131,$B$2,100000000)</f>
        <v>4.988130599999999</v>
      </c>
      <c r="L131" s="193">
        <f ca="1">[1]!s_share_liqa(E131,$B$2,100000000)</f>
        <v>4.988130599999999</v>
      </c>
      <c r="M131" s="186">
        <f ca="1">[1]!s_fa_gr_ttm2(E131,$C$3,100000000)</f>
        <v>30.015120410200002</v>
      </c>
      <c r="N131" s="187">
        <f ca="1">[1]!s_fa_netprofit_ttm2(E131,$C$3,100000000)</f>
        <v>0.65941546409999996</v>
      </c>
      <c r="O131" s="186"/>
      <c r="P131" s="187">
        <f ca="1">[1]!s_val_pe_ttm(E131,[1]!td($B$2-1))</f>
        <v>36.276584625244141</v>
      </c>
      <c r="Q131" s="187">
        <f ca="1">[1]!i_val_pe_percentile(E131,[1]!td($B$2-1),$B$2-365*5,[1]!td($B$2-1))</f>
        <v>24.578914535246412</v>
      </c>
      <c r="R131" s="187">
        <f ca="1">[1]!pb_mrq(E131,[1]!td($B$2-1))</f>
        <v>1.3983496361474144</v>
      </c>
      <c r="S131" s="187">
        <f ca="1">[1]!i_val_pb_percentile(E131,[1]!td($B$2-1),$B$2-365*5,[1]!td($B$2-1))</f>
        <v>10.293200249532127</v>
      </c>
      <c r="T131" s="187">
        <f ca="1">[1]!s_val_pe_ttm([1]!to_windcode_index(H131&amp;"(申万)"),[1]!td($B$2-1))</f>
        <v>25.280000686645508</v>
      </c>
      <c r="U131" s="187"/>
      <c r="V131" s="187">
        <f ca="1">[1]!s_fa_roe(E131,$C$3)</f>
        <v>4.9702999999999999</v>
      </c>
      <c r="W131" s="187">
        <f ca="1">[1]!s_fa_grossprofitmargin(E131,$C$3)</f>
        <v>15.924899999999999</v>
      </c>
      <c r="X131" s="187">
        <f ca="1">[1]!s_fa_netprofitmargin(E131,$C$3)</f>
        <v>2.6515</v>
      </c>
      <c r="Y131" s="187">
        <f ca="1">[1]!s_fa_roic(E131,$C$3)</f>
        <v>4.2945000000000002</v>
      </c>
      <c r="Z131" s="187">
        <f ca="1">[1]!s_fa_operateincometoebt_ttm2(E131,$C$3)</f>
        <v>16.480699999999999</v>
      </c>
      <c r="AA131" s="186"/>
      <c r="AB131" s="342"/>
      <c r="AC131" s="186">
        <f ca="1">[1]!s_fa_cagr_tr($E131,AC$6,3)</f>
        <v>0</v>
      </c>
      <c r="AD131" s="186">
        <f ca="1">[1]!s_fa_cagr_tr($E131,AD$6,3)</f>
        <v>6.4754531919583247</v>
      </c>
      <c r="AE131" s="187">
        <f ca="1">[1]!s_fa_cagr_tr($E131,AE$6,3)</f>
        <v>8.6911008502610354</v>
      </c>
      <c r="AF131" s="187">
        <f ca="1">[1]!s_fa_cagr_tr($E131,AF$6,3)</f>
        <v>10.522570209109915</v>
      </c>
      <c r="AG131" s="187">
        <f ca="1">[1]!s_fa_cagr_tr($E131,AG$6,3)</f>
        <v>6.3647609060088373</v>
      </c>
      <c r="AH131" s="187">
        <f ca="1">[1]!s_fa_cagr_tr($E131,AH$6,3)</f>
        <v>5.1427739552527107</v>
      </c>
      <c r="AI131" s="194"/>
      <c r="AJ131" s="187">
        <f ca="1">[1]!s_fa_cagr_netprofit($E131,AJ$6,3)</f>
        <v>0</v>
      </c>
      <c r="AK131" s="187">
        <f ca="1">[1]!s_fa_cagr_netprofit($E131,AK$6,3)</f>
        <v>2.0737852223747799</v>
      </c>
      <c r="AL131" s="187">
        <f ca="1">[1]!s_fa_cagr_netprofit($E131,AL$6,3)</f>
        <v>-7.8753292067123333</v>
      </c>
      <c r="AM131" s="187">
        <f ca="1">[1]!s_fa_cagr_netprofit($E131,AM$6,3)</f>
        <v>4.0069937248941478</v>
      </c>
      <c r="AN131" s="187">
        <f ca="1">[1]!s_fa_cagr_netprofit($E131,AN$6,3)</f>
        <v>1.5227393178906201</v>
      </c>
      <c r="AO131" s="187">
        <f ca="1">[1]!s_fa_cagr_netprofit($E131,AO$6,3)</f>
        <v>6.076306693003497</v>
      </c>
      <c r="AP131" s="189"/>
      <c r="AQ131" s="202">
        <f ca="1">[1]!s_fa_dupont_roe(E131,$C$3)</f>
        <v>4.9702999999999999</v>
      </c>
      <c r="AR131" s="202">
        <f ca="1">[1]!s_fa_dupont_nptosales(B131,$C$3)</f>
        <v>2.6515</v>
      </c>
      <c r="AS131" s="237">
        <f ca="1">[1]!s_fa_dupont_faturnover(E131,$C$3)</f>
        <v>0.44919999999999999</v>
      </c>
      <c r="AT131" s="202">
        <f ca="1">[1]!s_fa_dupont_assetstoequity(E131,$C$3)</f>
        <v>4.2487000000000004</v>
      </c>
      <c r="AU131" s="189"/>
      <c r="AV131" s="201"/>
      <c r="AW131" s="189"/>
      <c r="AX131" s="189"/>
      <c r="AY131" s="189"/>
      <c r="AZ131" s="189"/>
      <c r="BA131" s="189"/>
      <c r="BB131" s="189"/>
      <c r="BC131" s="189"/>
      <c r="BD131" s="189"/>
      <c r="BE131" s="189"/>
    </row>
    <row r="132" spans="1:57" s="130" customFormat="1" ht="12" customHeight="1" x14ac:dyDescent="0.35">
      <c r="A132" s="121" t="s">
        <v>5</v>
      </c>
      <c r="B132" s="121" t="s">
        <v>384</v>
      </c>
      <c r="C132" s="121" t="s">
        <v>385</v>
      </c>
      <c r="D132" s="121" t="str">
        <f ca="1">[1]!cb_info_underlyingname(B132)</f>
        <v>钧达股份</v>
      </c>
      <c r="E132" s="122" t="str">
        <f ca="1">[1]!cb_info_underlyingcode(B132)</f>
        <v>002865.SZ</v>
      </c>
      <c r="F132" s="123" t="str">
        <f ca="1">[1]!s_info_industry_sw(B132,1)</f>
        <v>汽车</v>
      </c>
      <c r="G132" s="123" t="str">
        <f ca="1">[1]!s_info_industry_sw(E132,2)</f>
        <v>汽车零部件Ⅱ</v>
      </c>
      <c r="H132" s="123" t="str">
        <f ca="1">[1]!s_info_industry_sw(E132,3)</f>
        <v>汽车零部件Ⅲ</v>
      </c>
      <c r="I132" s="156" t="str">
        <f ca="1">[1]!s_info_majorproducttype(E132)</f>
        <v>汽车及零配件经销</v>
      </c>
      <c r="J132" s="129">
        <f ca="1">[1]!s_val_ev(E132,$B$2,100000000)</f>
        <v>40.230268252199998</v>
      </c>
      <c r="K132" s="157">
        <f ca="1">[1]!s_share_total(E132,$B$2,100000000)</f>
        <v>1.32641834</v>
      </c>
      <c r="L132" s="157">
        <f ca="1">[1]!s_share_liqa(E132,$B$2,100000000)</f>
        <v>1.2883348400000001</v>
      </c>
      <c r="M132" s="125">
        <f ca="1">[1]!s_fa_gr_ttm2(E132,$C$3,100000000)</f>
        <v>8.8420954676000001</v>
      </c>
      <c r="N132" s="126">
        <f ca="1">[1]!s_fa_netprofit_ttm2(E132,$C$3,100000000)</f>
        <v>0.52722656460000006</v>
      </c>
      <c r="O132" s="125"/>
      <c r="P132" s="126">
        <f ca="1">[1]!s_val_pe_ttm(E132,[1]!td($B$2-1))</f>
        <v>-163.71585083007813</v>
      </c>
      <c r="Q132" s="126">
        <f ca="1">[1]!i_val_pe_percentile(E132,[1]!td($B$2-1),$B$2-365*5,[1]!td($B$2-1))</f>
        <v>0</v>
      </c>
      <c r="R132" s="126">
        <f ca="1">[1]!pb_mrq(E132,[1]!td($B$2-1))</f>
        <v>3.8905319575608646</v>
      </c>
      <c r="S132" s="126">
        <f ca="1">[1]!i_val_pb_percentile(E132,[1]!td($B$2-1),$B$2-365*5,[1]!td($B$2-1))</f>
        <v>87.030075187969928</v>
      </c>
      <c r="T132" s="126">
        <f ca="1">[1]!s_val_pe_ttm([1]!to_windcode_index(H132&amp;"(申万)"),[1]!td($B$2-1))</f>
        <v>25.280000686645508</v>
      </c>
      <c r="U132" s="126"/>
      <c r="V132" s="126">
        <f ca="1">[1]!s_fa_roe(E132,$C$3)</f>
        <v>0.77229999999999999</v>
      </c>
      <c r="W132" s="126">
        <f ca="1">[1]!s_fa_grossprofitmargin(E132,$C$3)</f>
        <v>24.376999999999999</v>
      </c>
      <c r="X132" s="126">
        <f ca="1">[1]!s_fa_netprofitmargin(E132,$C$3)</f>
        <v>1.2492000000000001</v>
      </c>
      <c r="Y132" s="126">
        <f ca="1">[1]!s_fa_roic(E132,$C$3)</f>
        <v>1.7363</v>
      </c>
      <c r="Z132" s="126">
        <f ca="1">[1]!s_fa_operateincometoebt_ttm2(E132,$C$3)</f>
        <v>50.409700000000001</v>
      </c>
      <c r="AA132" s="125"/>
      <c r="AB132" s="343"/>
      <c r="AC132" s="125">
        <f ca="1">[1]!s_fa_cagr_tr($E132,AC$6,3)</f>
        <v>0</v>
      </c>
      <c r="AD132" s="125">
        <f ca="1">[1]!s_fa_cagr_tr($E132,AD$6,3)</f>
        <v>-9.3577864818948591</v>
      </c>
      <c r="AE132" s="126">
        <f ca="1">[1]!s_fa_cagr_tr($E132,AE$6,3)</f>
        <v>-3.5866054481980547</v>
      </c>
      <c r="AF132" s="126">
        <f ca="1">[1]!s_fa_cagr_tr($E132,AF$6,3)</f>
        <v>5.6387338189114899</v>
      </c>
      <c r="AG132" s="126">
        <f ca="1">[1]!s_fa_cagr_tr($E132,AG$6,3)</f>
        <v>11.868468867085857</v>
      </c>
      <c r="AH132" s="126">
        <f ca="1">[1]!s_fa_cagr_tr($E132,AH$6,3)</f>
        <v>8.5087440308612372</v>
      </c>
      <c r="AI132" s="169"/>
      <c r="AJ132" s="126">
        <f ca="1">[1]!s_fa_cagr_netprofit($E132,AJ$6,3)</f>
        <v>0</v>
      </c>
      <c r="AK132" s="126">
        <f ca="1">[1]!s_fa_cagr_netprofit($E132,AK$6,3)</f>
        <v>-41.436092874963684</v>
      </c>
      <c r="AL132" s="126">
        <f ca="1">[1]!s_fa_cagr_netprofit($E132,AL$6,3)</f>
        <v>-32.39484677198444</v>
      </c>
      <c r="AM132" s="126">
        <f ca="1">[1]!s_fa_cagr_netprofit($E132,AM$6,3)</f>
        <v>-3.1762003950337347</v>
      </c>
      <c r="AN132" s="126">
        <f ca="1">[1]!s_fa_cagr_netprofit($E132,AN$6,3)</f>
        <v>6.2603478924705191</v>
      </c>
      <c r="AO132" s="126">
        <f ca="1">[1]!s_fa_cagr_netprofit($E132,AO$6,3)</f>
        <v>0.81703191214990145</v>
      </c>
      <c r="AP132" s="129"/>
      <c r="AQ132" s="203">
        <f ca="1">[1]!s_fa_dupont_roe(E132,$C$3)</f>
        <v>0.77229999999999999</v>
      </c>
      <c r="AR132" s="203">
        <f ca="1">[1]!s_fa_dupont_nptosales(B132,$C$3)</f>
        <v>1.2492000000000001</v>
      </c>
      <c r="AS132" s="238">
        <f ca="1">[1]!s_fa_dupont_faturnover(E132,$C$3)</f>
        <v>0.2873</v>
      </c>
      <c r="AT132" s="203">
        <f ca="1">[1]!s_fa_dupont_assetstoequity(E132,$C$3)</f>
        <v>2.1520999999999999</v>
      </c>
      <c r="AU132" s="129"/>
      <c r="AV132" s="129"/>
      <c r="AW132" s="129"/>
      <c r="AX132" s="129"/>
      <c r="AY132" s="129"/>
      <c r="AZ132" s="129"/>
      <c r="BA132" s="129"/>
      <c r="BB132" s="129"/>
      <c r="BC132" s="129"/>
      <c r="BD132" s="129"/>
      <c r="BE132" s="129"/>
    </row>
    <row r="133" spans="1:57" s="191" customFormat="1" ht="12" customHeight="1" x14ac:dyDescent="0.35">
      <c r="A133" s="182" t="s">
        <v>0</v>
      </c>
      <c r="B133" s="182" t="s">
        <v>216</v>
      </c>
      <c r="C133" s="182" t="s">
        <v>217</v>
      </c>
      <c r="D133" s="182" t="str">
        <f ca="1">[1]!cb_info_underlyingname(B133)</f>
        <v>正裕工业</v>
      </c>
      <c r="E133" s="183" t="str">
        <f ca="1">[1]!cb_info_underlyingcode(B133)</f>
        <v>603089.SH</v>
      </c>
      <c r="F133" s="184" t="str">
        <f ca="1">[1]!s_info_industry_sw(B133,1)</f>
        <v>汽车</v>
      </c>
      <c r="G133" s="184" t="str">
        <f ca="1">[1]!s_info_industry_sw(E133,2)</f>
        <v>汽车零部件Ⅱ</v>
      </c>
      <c r="H133" s="184" t="str">
        <f ca="1">[1]!s_info_industry_sw(E133,3)</f>
        <v>汽车零部件Ⅲ</v>
      </c>
      <c r="I133" s="192" t="str">
        <f ca="1">[1]!s_info_majorproducttype(E133)</f>
        <v>汽车及零配件经销</v>
      </c>
      <c r="J133" s="189">
        <f ca="1">[1]!s_val_ev(E133,$B$2,100000000)</f>
        <v>19.557549675899999</v>
      </c>
      <c r="K133" s="193">
        <f ca="1">[1]!s_share_total(E133,$B$2,100000000)</f>
        <v>2.2249772099999996</v>
      </c>
      <c r="L133" s="193">
        <f ca="1">[1]!s_share_liqa(E133,$B$2,100000000)</f>
        <v>2.2249772099999996</v>
      </c>
      <c r="M133" s="186">
        <f ca="1">[1]!s_fa_gr_ttm2(E133,$C$3,100000000)</f>
        <v>10.5393654025</v>
      </c>
      <c r="N133" s="187">
        <f ca="1">[1]!s_fa_netprofit_ttm2(E133,$C$3,100000000)</f>
        <v>0.34616932380000004</v>
      </c>
      <c r="O133" s="186"/>
      <c r="P133" s="187">
        <f ca="1">[1]!s_val_pe_ttm(E133,[1]!td($B$2-1))</f>
        <v>14.741240501403809</v>
      </c>
      <c r="Q133" s="187">
        <f ca="1">[1]!i_val_pe_percentile(E133,[1]!td($B$2-1),$B$2-365*5,[1]!td($B$2-1))</f>
        <v>7.3590504451038585</v>
      </c>
      <c r="R133" s="187">
        <f ca="1">[1]!pb_mrq(E133,[1]!td($B$2-1))</f>
        <v>1.9098908798207659</v>
      </c>
      <c r="S133" s="187">
        <f ca="1">[1]!i_val_pb_percentile(E133,[1]!td($B$2-1),$B$2-365*5,[1]!td($B$2-1))</f>
        <v>4.3323442136498516</v>
      </c>
      <c r="T133" s="187">
        <f ca="1">[1]!s_val_pe_ttm([1]!to_windcode_index(H133&amp;"(申万)"),[1]!td($B$2-1))</f>
        <v>25.280000686645508</v>
      </c>
      <c r="U133" s="187"/>
      <c r="V133" s="187">
        <f ca="1">[1]!s_fa_roe(E133,$C$3)</f>
        <v>4.1284000000000001</v>
      </c>
      <c r="W133" s="187">
        <f ca="1">[1]!s_fa_grossprofitmargin(E133,$C$3)</f>
        <v>27.1418</v>
      </c>
      <c r="X133" s="187">
        <f ca="1">[1]!s_fa_netprofitmargin(E133,$C$3)</f>
        <v>6.1215999999999999</v>
      </c>
      <c r="Y133" s="187">
        <f ca="1">[1]!s_fa_roic(E133,$C$3)</f>
        <v>4.6375999999999999</v>
      </c>
      <c r="Z133" s="187">
        <f ca="1">[1]!s_fa_operateincometoebt_ttm2(E133,$C$3)</f>
        <v>77.118899999999996</v>
      </c>
      <c r="AA133" s="186"/>
      <c r="AB133" s="342"/>
      <c r="AC133" s="186">
        <f ca="1">[1]!s_fa_cagr_tr($E133,AC$6,3)</f>
        <v>0</v>
      </c>
      <c r="AD133" s="186">
        <f ca="1">[1]!s_fa_cagr_tr($E133,AD$6,3)</f>
        <v>10.505498213937358</v>
      </c>
      <c r="AE133" s="187">
        <f ca="1">[1]!s_fa_cagr_tr($E133,AE$6,3)</f>
        <v>17.026924695397195</v>
      </c>
      <c r="AF133" s="187">
        <f ca="1">[1]!s_fa_cagr_tr($E133,AF$6,3)</f>
        <v>23.724886665837719</v>
      </c>
      <c r="AG133" s="187">
        <f ca="1">[1]!s_fa_cagr_tr($E133,AG$6,3)</f>
        <v>9.6250565018345178</v>
      </c>
      <c r="AH133" s="187">
        <f ca="1">[1]!s_fa_cagr_tr($E133,AH$6,3)</f>
        <v>11.637158698773199</v>
      </c>
      <c r="AI133" s="194"/>
      <c r="AJ133" s="187">
        <f ca="1">[1]!s_fa_cagr_netprofit($E133,AJ$6,3)</f>
        <v>0</v>
      </c>
      <c r="AK133" s="187">
        <f ca="1">[1]!s_fa_cagr_netprofit($E133,AK$6,3)</f>
        <v>15.136321275170349</v>
      </c>
      <c r="AL133" s="187">
        <f ca="1">[1]!s_fa_cagr_netprofit($E133,AL$6,3)</f>
        <v>-5.4784176297997149</v>
      </c>
      <c r="AM133" s="187">
        <f ca="1">[1]!s_fa_cagr_netprofit($E133,AM$6,3)</f>
        <v>14.468772931136552</v>
      </c>
      <c r="AN133" s="187">
        <f ca="1">[1]!s_fa_cagr_netprofit($E133,AN$6,3)</f>
        <v>5.9611812211140203</v>
      </c>
      <c r="AO133" s="187">
        <f ca="1">[1]!s_fa_cagr_netprofit($E133,AO$6,3)</f>
        <v>13.871708911413339</v>
      </c>
      <c r="AP133" s="189"/>
      <c r="AQ133" s="202">
        <f ca="1">[1]!s_fa_dupont_roe(E133,$C$3)</f>
        <v>4.1284000000000001</v>
      </c>
      <c r="AR133" s="202">
        <f ca="1">[1]!s_fa_dupont_nptosales(B133,$C$3)</f>
        <v>6.1215999999999999</v>
      </c>
      <c r="AS133" s="237">
        <f ca="1">[1]!s_fa_dupont_faturnover(E133,$C$3)</f>
        <v>0.45850000000000002</v>
      </c>
      <c r="AT133" s="202">
        <f ca="1">[1]!s_fa_dupont_assetstoequity(E133,$C$3)</f>
        <v>1.9038999999999999</v>
      </c>
      <c r="AU133" s="189"/>
      <c r="AV133" s="189"/>
      <c r="AW133" s="189"/>
      <c r="AX133" s="189"/>
      <c r="AY133" s="189"/>
      <c r="AZ133" s="189"/>
      <c r="BA133" s="189"/>
      <c r="BB133" s="189"/>
      <c r="BC133" s="189"/>
      <c r="BD133" s="189"/>
      <c r="BE133" s="189"/>
    </row>
    <row r="134" spans="1:57" s="130" customFormat="1" ht="12" customHeight="1" x14ac:dyDescent="0.35">
      <c r="A134" s="121" t="s">
        <v>5</v>
      </c>
      <c r="B134" s="121" t="s">
        <v>616</v>
      </c>
      <c r="C134" s="121" t="s">
        <v>617</v>
      </c>
      <c r="D134" s="121" t="str">
        <f ca="1">[1]!cb_info_underlyingname(B134)</f>
        <v>威唐工业</v>
      </c>
      <c r="E134" s="122" t="str">
        <f ca="1">[1]!cb_info_underlyingcode(B134)</f>
        <v>300707.SZ</v>
      </c>
      <c r="F134" s="123" t="str">
        <f ca="1">[1]!s_info_industry_sw(B134,1)</f>
        <v>汽车</v>
      </c>
      <c r="G134" s="123" t="str">
        <f ca="1">[1]!s_info_industry_sw(E134,2)</f>
        <v>汽车零部件Ⅱ</v>
      </c>
      <c r="H134" s="123" t="str">
        <f ca="1">[1]!s_info_industry_sw(E134,3)</f>
        <v>汽车零部件Ⅲ</v>
      </c>
      <c r="I134" s="156" t="str">
        <f ca="1">[1]!s_info_majorproducttype(E134)</f>
        <v>专用设备与零部件</v>
      </c>
      <c r="J134" s="129">
        <f ca="1">[1]!s_val_ev(E134,$B$2,100000000)</f>
        <v>27.298687268599995</v>
      </c>
      <c r="K134" s="157">
        <f ca="1">[1]!s_share_total(E134,$B$2,100000000)</f>
        <v>1.57069547</v>
      </c>
      <c r="L134" s="157">
        <f ca="1">[1]!s_share_liqa(E134,$B$2,100000000)</f>
        <v>1.11293873</v>
      </c>
      <c r="M134" s="125">
        <f ca="1">[1]!s_fa_gr_ttm2(E134,$C$3,100000000)</f>
        <v>5.3143281943999998</v>
      </c>
      <c r="N134" s="126">
        <f ca="1">[1]!s_fa_netprofit_ttm2(E134,$C$3,100000000)</f>
        <v>0.4510828295</v>
      </c>
      <c r="O134" s="125"/>
      <c r="P134" s="126">
        <f ca="1">[1]!s_val_pe_ttm(E134,[1]!td($B$2-1))</f>
        <v>96.635551452636719</v>
      </c>
      <c r="Q134" s="126">
        <f ca="1">[1]!i_val_pe_percentile(E134,[1]!td($B$2-1),$B$2-365*5,[1]!td($B$2-1))</f>
        <v>91.736694677871142</v>
      </c>
      <c r="R134" s="126">
        <f ca="1">[1]!pb_mrq(E134,[1]!td($B$2-1))</f>
        <v>3.9231742744486264</v>
      </c>
      <c r="S134" s="126">
        <f ca="1">[1]!i_val_pb_percentile(E134,[1]!td($B$2-1),$B$2-365*5,[1]!td($B$2-1))</f>
        <v>39.215686274509807</v>
      </c>
      <c r="T134" s="126">
        <f ca="1">[1]!s_val_pe_ttm([1]!to_windcode_index(H134&amp;"(申万)"),[1]!td($B$2-1))</f>
        <v>25.280000686645508</v>
      </c>
      <c r="U134" s="126"/>
      <c r="V134" s="126">
        <f ca="1">[1]!s_fa_roe(E134,$C$3)</f>
        <v>5.4946000000000002</v>
      </c>
      <c r="W134" s="126">
        <f ca="1">[1]!s_fa_grossprofitmargin(E134,$C$3)</f>
        <v>42.616100000000003</v>
      </c>
      <c r="X134" s="126">
        <f ca="1">[1]!s_fa_netprofitmargin(E134,$C$3)</f>
        <v>8.6922999999999995</v>
      </c>
      <c r="Y134" s="126">
        <f ca="1">[1]!s_fa_roic(E134,$C$3)</f>
        <v>5.1687000000000003</v>
      </c>
      <c r="Z134" s="126">
        <f ca="1">[1]!s_fa_operateincometoebt_ttm2(E134,$C$3)</f>
        <v>92.345500000000001</v>
      </c>
      <c r="AA134" s="125"/>
      <c r="AB134" s="343"/>
      <c r="AC134" s="125">
        <f ca="1">[1]!s_fa_cagr_tr($E134,AC$6,3)</f>
        <v>0</v>
      </c>
      <c r="AD134" s="125">
        <f ca="1">[1]!s_fa_cagr_tr($E134,AD$6,3)</f>
        <v>8.2816792937512531</v>
      </c>
      <c r="AE134" s="126">
        <f ca="1">[1]!s_fa_cagr_tr($E134,AE$6,3)</f>
        <v>8.3740852077560888</v>
      </c>
      <c r="AF134" s="126">
        <f ca="1">[1]!s_fa_cagr_tr($E134,AF$6,3)</f>
        <v>29.246215318420088</v>
      </c>
      <c r="AG134" s="126">
        <f ca="1">[1]!s_fa_cagr_tr($E134,AG$6,3)</f>
        <v>38.86258313765223</v>
      </c>
      <c r="AH134" s="126">
        <f ca="1">[1]!s_fa_cagr_tr($E134,AH$6,3)</f>
        <v>37.51220047286872</v>
      </c>
      <c r="AI134" s="169"/>
      <c r="AJ134" s="126">
        <f ca="1">[1]!s_fa_cagr_netprofit($E134,AJ$6,3)</f>
        <v>0</v>
      </c>
      <c r="AK134" s="126">
        <f ca="1">[1]!s_fa_cagr_netprofit($E134,AK$6,3)</f>
        <v>-27.840422321356417</v>
      </c>
      <c r="AL134" s="126">
        <f ca="1">[1]!s_fa_cagr_netprofit($E134,AL$6,3)</f>
        <v>-12.303343988344961</v>
      </c>
      <c r="AM134" s="126">
        <f ca="1">[1]!s_fa_cagr_netprofit($E134,AM$6,3)</f>
        <v>31.534525303032602</v>
      </c>
      <c r="AN134" s="126">
        <f ca="1">[1]!s_fa_cagr_netprofit($E134,AN$6,3)</f>
        <v>39.363865799782637</v>
      </c>
      <c r="AO134" s="126">
        <f ca="1">[1]!s_fa_cagr_netprofit($E134,AO$6,3)</f>
        <v>32.973325013664237</v>
      </c>
      <c r="AP134" s="129"/>
      <c r="AQ134" s="203">
        <f ca="1">[1]!s_fa_dupont_roe(E134,$C$3)</f>
        <v>5.4946000000000002</v>
      </c>
      <c r="AR134" s="203">
        <f ca="1">[1]!s_fa_dupont_nptosales(B134,$C$3)</f>
        <v>8.6922999999999995</v>
      </c>
      <c r="AS134" s="238">
        <f ca="1">[1]!s_fa_dupont_faturnover(E134,$C$3)</f>
        <v>0.46489999999999998</v>
      </c>
      <c r="AT134" s="203">
        <f ca="1">[1]!s_fa_dupont_assetstoequity(E134,$C$3)</f>
        <v>1.3517999999999999</v>
      </c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129"/>
      <c r="BE134" s="129"/>
    </row>
    <row r="135" spans="1:57" s="191" customFormat="1" ht="12" customHeight="1" x14ac:dyDescent="0.35">
      <c r="A135" s="182" t="s">
        <v>5</v>
      </c>
      <c r="B135" s="182" t="s">
        <v>413</v>
      </c>
      <c r="C135" s="182" t="s">
        <v>414</v>
      </c>
      <c r="D135" s="182" t="str">
        <f ca="1">[1]!cb_info_underlyingname(B135)</f>
        <v>德尔股份</v>
      </c>
      <c r="E135" s="183" t="str">
        <f ca="1">[1]!cb_info_underlyingcode(B135)</f>
        <v>300473.SZ</v>
      </c>
      <c r="F135" s="184" t="str">
        <f ca="1">[1]!s_info_industry_sw(B135,1)</f>
        <v>汽车</v>
      </c>
      <c r="G135" s="184" t="str">
        <f ca="1">[1]!s_info_industry_sw(E135,2)</f>
        <v>汽车零部件Ⅱ</v>
      </c>
      <c r="H135" s="184" t="str">
        <f ca="1">[1]!s_info_industry_sw(E135,3)</f>
        <v>汽车零部件Ⅲ</v>
      </c>
      <c r="I135" s="192" t="str">
        <f ca="1">[1]!s_info_majorproducttype(E135)</f>
        <v>汽车及零配件经销</v>
      </c>
      <c r="J135" s="189">
        <f ca="1">[1]!s_val_ev(E135,$B$2,100000000)</f>
        <v>33.432547827</v>
      </c>
      <c r="K135" s="193">
        <f ca="1">[1]!s_share_total(E135,$B$2,100000000)</f>
        <v>1.3491746499999999</v>
      </c>
      <c r="L135" s="193">
        <f ca="1">[1]!s_share_liqa(E135,$B$2,100000000)</f>
        <v>1.1181978299999999</v>
      </c>
      <c r="M135" s="186">
        <f ca="1">[1]!s_fa_gr_ttm2(E135,$C$3,100000000)</f>
        <v>33.5870264558</v>
      </c>
      <c r="N135" s="187">
        <f ca="1">[1]!s_fa_netprofit_ttm2(E135,$C$3,100000000)</f>
        <v>-0.5642291814</v>
      </c>
      <c r="O135" s="186"/>
      <c r="P135" s="187">
        <f ca="1">[1]!s_val_pe_ttm(E135,[1]!td($B$2-1))</f>
        <v>-10.723702430725098</v>
      </c>
      <c r="Q135" s="187">
        <f ca="1">[1]!i_val_pe_percentile(E135,[1]!td($B$2-1),$B$2-365*5,[1]!td($B$2-1))</f>
        <v>0</v>
      </c>
      <c r="R135" s="187">
        <f ca="1">[1]!pb_mrq(E135,[1]!td($B$2-1))</f>
        <v>1.5419508772953974</v>
      </c>
      <c r="S135" s="187">
        <f ca="1">[1]!i_val_pb_percentile(E135,[1]!td($B$2-1),$B$2-365*5,[1]!td($B$2-1))</f>
        <v>29.605263157894733</v>
      </c>
      <c r="T135" s="187">
        <f ca="1">[1]!s_val_pe_ttm([1]!to_windcode_index(H135&amp;"(申万)"),[1]!td($B$2-1))</f>
        <v>25.280000686645508</v>
      </c>
      <c r="U135" s="187"/>
      <c r="V135" s="187">
        <f ca="1">[1]!s_fa_roe(E135,$C$3)</f>
        <v>-2.6071</v>
      </c>
      <c r="W135" s="187">
        <f ca="1">[1]!s_fa_grossprofitmargin(E135,$C$3)</f>
        <v>23.258199999999999</v>
      </c>
      <c r="X135" s="187">
        <f ca="1">[1]!s_fa_netprofitmargin(E135,$C$3)</f>
        <v>-2.3273999999999999</v>
      </c>
      <c r="Y135" s="187">
        <f ca="1">[1]!s_fa_roic(E135,$C$3)</f>
        <v>1.6528</v>
      </c>
      <c r="Z135" s="187">
        <f ca="1">[1]!s_fa_operateincometoebt_ttm2(E135,$C$3)</f>
        <v>0</v>
      </c>
      <c r="AA135" s="186"/>
      <c r="AB135" s="342"/>
      <c r="AC135" s="186">
        <f ca="1">[1]!s_fa_cagr_tr($E135,AC$6,3)</f>
        <v>0</v>
      </c>
      <c r="AD135" s="186">
        <f ca="1">[1]!s_fa_cagr_tr($E135,AD$6,3)</f>
        <v>10.047001302905167</v>
      </c>
      <c r="AE135" s="187">
        <f ca="1">[1]!s_fa_cagr_tr($E135,AE$6,3)</f>
        <v>83.716564948467635</v>
      </c>
      <c r="AF135" s="187">
        <f ca="1">[1]!s_fa_cagr_tr($E135,AF$6,3)</f>
        <v>76.528357354651732</v>
      </c>
      <c r="AG135" s="187">
        <f ca="1">[1]!s_fa_cagr_tr($E135,AG$6,3)</f>
        <v>55.599348942458725</v>
      </c>
      <c r="AH135" s="187">
        <f ca="1">[1]!s_fa_cagr_tr($E135,AH$6,3)</f>
        <v>0.55732055939450298</v>
      </c>
      <c r="AI135" s="194"/>
      <c r="AJ135" s="187">
        <f ca="1">[1]!s_fa_cagr_netprofit($E135,AJ$6,3)</f>
        <v>0</v>
      </c>
      <c r="AK135" s="187">
        <f ca="1">[1]!s_fa_cagr_netprofit($E135,AK$6,3)</f>
        <v>-247.65472683346707</v>
      </c>
      <c r="AL135" s="187">
        <f ca="1">[1]!s_fa_cagr_netprofit($E135,AL$6,3)</f>
        <v>-18.271111744818448</v>
      </c>
      <c r="AM135" s="187">
        <f ca="1">[1]!s_fa_cagr_netprofit($E135,AM$6,3)</f>
        <v>-0.9920354741889903</v>
      </c>
      <c r="AN135" s="187">
        <f ca="1">[1]!s_fa_cagr_netprofit($E135,AN$6,3)</f>
        <v>-0.83711135265840397</v>
      </c>
      <c r="AO135" s="187">
        <f ca="1">[1]!s_fa_cagr_netprofit($E135,AO$6,3)</f>
        <v>-5.7596674658014768</v>
      </c>
      <c r="AP135" s="189"/>
      <c r="AQ135" s="202">
        <f ca="1">[1]!s_fa_dupont_roe(E135,$C$3)</f>
        <v>-2.6071</v>
      </c>
      <c r="AR135" s="202">
        <f ca="1">[1]!s_fa_dupont_nptosales(B135,$C$3)</f>
        <v>-2.3273999999999999</v>
      </c>
      <c r="AS135" s="237">
        <f ca="1">[1]!s_fa_dupont_faturnover(E135,$C$3)</f>
        <v>0.47320000000000001</v>
      </c>
      <c r="AT135" s="202">
        <f ca="1">[1]!s_fa_dupont_assetstoequity(E135,$C$3)</f>
        <v>2.1947999999999999</v>
      </c>
      <c r="AU135" s="189"/>
      <c r="AV135" s="201"/>
      <c r="AW135" s="189"/>
      <c r="AX135" s="189"/>
      <c r="AY135" s="189"/>
      <c r="AZ135" s="189"/>
      <c r="BA135" s="189"/>
      <c r="BB135" s="189"/>
      <c r="BC135" s="189"/>
      <c r="BD135" s="189"/>
      <c r="BE135" s="189"/>
    </row>
    <row r="136" spans="1:57" s="130" customFormat="1" ht="12" customHeight="1" x14ac:dyDescent="0.35">
      <c r="A136" s="121" t="s">
        <v>5</v>
      </c>
      <c r="B136" s="121" t="s">
        <v>178</v>
      </c>
      <c r="C136" s="121" t="s">
        <v>179</v>
      </c>
      <c r="D136" s="121" t="str">
        <f ca="1">[1]!cb_info_underlyingname(B136)</f>
        <v>雷迪克</v>
      </c>
      <c r="E136" s="122" t="str">
        <f ca="1">[1]!cb_info_underlyingcode(B136)</f>
        <v>300652.SZ</v>
      </c>
      <c r="F136" s="123" t="str">
        <f ca="1">[1]!s_info_industry_sw(B136,1)</f>
        <v>汽车</v>
      </c>
      <c r="G136" s="123" t="str">
        <f ca="1">[1]!s_info_industry_sw(E136,2)</f>
        <v>汽车零部件Ⅱ</v>
      </c>
      <c r="H136" s="123" t="str">
        <f ca="1">[1]!s_info_industry_sw(E136,3)</f>
        <v>汽车零部件Ⅲ</v>
      </c>
      <c r="I136" s="156" t="str">
        <f ca="1">[1]!s_info_majorproducttype(E136)</f>
        <v>汽车及零配件经销</v>
      </c>
      <c r="J136" s="129">
        <f ca="1">[1]!s_val_ev(E136,$B$2,100000000)</f>
        <v>19.625111988999997</v>
      </c>
      <c r="K136" s="157">
        <f ca="1">[1]!s_share_total(E136,$B$2,100000000)</f>
        <v>0.94080114999999997</v>
      </c>
      <c r="L136" s="157">
        <f ca="1">[1]!s_share_liqa(E136,$B$2,100000000)</f>
        <v>0.83506071000000004</v>
      </c>
      <c r="M136" s="125">
        <f ca="1">[1]!s_fa_gr_ttm2(E136,$C$3,100000000)</f>
        <v>4.4257738498999997</v>
      </c>
      <c r="N136" s="126">
        <f ca="1">[1]!s_fa_netprofit_ttm2(E136,$C$3,100000000)</f>
        <v>0.55934181090000001</v>
      </c>
      <c r="O136" s="125"/>
      <c r="P136" s="126">
        <f ca="1">[1]!s_val_pe_ttm(E136,[1]!td($B$2-1))</f>
        <v>28.590539932250977</v>
      </c>
      <c r="Q136" s="126">
        <f ca="1">[1]!i_val_pe_percentile(E136,[1]!td($B$2-1),$B$2-365*5,[1]!td($B$2-1))</f>
        <v>55.936507936507937</v>
      </c>
      <c r="R136" s="126">
        <f ca="1">[1]!pb_mrq(E136,[1]!td($B$2-1))</f>
        <v>2.1249475893830851</v>
      </c>
      <c r="S136" s="126">
        <f ca="1">[1]!i_val_pb_percentile(E136,[1]!td($B$2-1),$B$2-365*5,[1]!td($B$2-1))</f>
        <v>17.904761904761905</v>
      </c>
      <c r="T136" s="126">
        <f ca="1">[1]!s_val_pe_ttm([1]!to_windcode_index(H136&amp;"(申万)"),[1]!td($B$2-1))</f>
        <v>25.280000686645508</v>
      </c>
      <c r="U136" s="126"/>
      <c r="V136" s="126">
        <f ca="1">[1]!s_fa_roe(E136,$C$3)</f>
        <v>4.9972000000000003</v>
      </c>
      <c r="W136" s="126">
        <f ca="1">[1]!s_fa_grossprofitmargin(E136,$C$3)</f>
        <v>31.322600000000001</v>
      </c>
      <c r="X136" s="126">
        <f ca="1">[1]!s_fa_netprofitmargin(E136,$C$3)</f>
        <v>13.0349</v>
      </c>
      <c r="Y136" s="126">
        <f ca="1">[1]!s_fa_roic(E136,$C$3)</f>
        <v>4.2803000000000004</v>
      </c>
      <c r="Z136" s="126">
        <f ca="1">[1]!s_fa_operateincometoebt_ttm2(E136,$C$3)</f>
        <v>75.849000000000004</v>
      </c>
      <c r="AA136" s="125"/>
      <c r="AB136" s="343"/>
      <c r="AC136" s="125">
        <f ca="1">[1]!s_fa_cagr_tr($E136,AC$6,3)</f>
        <v>0</v>
      </c>
      <c r="AD136" s="125">
        <f ca="1">[1]!s_fa_cagr_tr($E136,AD$6,3)</f>
        <v>-4.0702299521460983</v>
      </c>
      <c r="AE136" s="126">
        <f ca="1">[1]!s_fa_cagr_tr($E136,AE$6,3)</f>
        <v>5.5276172717705352</v>
      </c>
      <c r="AF136" s="126">
        <f ca="1">[1]!s_fa_cagr_tr($E136,AF$6,3)</f>
        <v>8.5290721529135851</v>
      </c>
      <c r="AG136" s="126">
        <f ca="1">[1]!s_fa_cagr_tr($E136,AG$6,3)</f>
        <v>10.719477849663249</v>
      </c>
      <c r="AH136" s="126">
        <f ca="1">[1]!s_fa_cagr_tr($E136,AH$6,3)</f>
        <v>8.8959512142853683</v>
      </c>
      <c r="AI136" s="169"/>
      <c r="AJ136" s="126">
        <f ca="1">[1]!s_fa_cagr_netprofit($E136,AJ$6,3)</f>
        <v>0</v>
      </c>
      <c r="AK136" s="126">
        <f ca="1">[1]!s_fa_cagr_netprofit($E136,AK$6,3)</f>
        <v>-7.4943599654887949</v>
      </c>
      <c r="AL136" s="126">
        <f ca="1">[1]!s_fa_cagr_netprofit($E136,AL$6,3)</f>
        <v>-2.5199359588253256</v>
      </c>
      <c r="AM136" s="126">
        <f ca="1">[1]!s_fa_cagr_netprofit($E136,AM$6,3)</f>
        <v>10.1482795573685</v>
      </c>
      <c r="AN136" s="126">
        <f ca="1">[1]!s_fa_cagr_netprofit($E136,AN$6,3)</f>
        <v>10.741679073588628</v>
      </c>
      <c r="AO136" s="126">
        <f ca="1">[1]!s_fa_cagr_netprofit($E136,AO$6,3)</f>
        <v>26.2334440322443</v>
      </c>
      <c r="AP136" s="129"/>
      <c r="AQ136" s="203">
        <f ca="1">[1]!s_fa_dupont_roe(E136,$C$3)</f>
        <v>4.9972000000000003</v>
      </c>
      <c r="AR136" s="203">
        <f ca="1">[1]!s_fa_dupont_nptosales(B136,$C$3)</f>
        <v>13.0349</v>
      </c>
      <c r="AS136" s="238">
        <f ca="1">[1]!s_fa_dupont_faturnover(E136,$C$3)</f>
        <v>0.22850000000000001</v>
      </c>
      <c r="AT136" s="203">
        <f ca="1">[1]!s_fa_dupont_assetstoequity(E136,$C$3)</f>
        <v>1.6780999999999999</v>
      </c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129"/>
      <c r="BE136" s="129"/>
    </row>
    <row r="137" spans="1:57" s="191" customFormat="1" ht="12" customHeight="1" x14ac:dyDescent="0.35">
      <c r="A137" s="182" t="s">
        <v>5</v>
      </c>
      <c r="B137" s="182" t="s">
        <v>82</v>
      </c>
      <c r="C137" s="182" t="s">
        <v>83</v>
      </c>
      <c r="D137" s="182" t="str">
        <f ca="1">[1]!cb_info_underlyingname(B137)</f>
        <v>联诚精密</v>
      </c>
      <c r="E137" s="183" t="str">
        <f ca="1">[1]!cb_info_underlyingcode(B137)</f>
        <v>002921.SZ</v>
      </c>
      <c r="F137" s="184" t="str">
        <f ca="1">[1]!s_info_industry_sw(B137,1)</f>
        <v>汽车</v>
      </c>
      <c r="G137" s="184" t="str">
        <f ca="1">[1]!s_info_industry_sw(E137,2)</f>
        <v>汽车零部件Ⅱ</v>
      </c>
      <c r="H137" s="184" t="str">
        <f ca="1">[1]!s_info_industry_sw(E137,3)</f>
        <v>汽车零部件Ⅲ</v>
      </c>
      <c r="I137" s="192" t="str">
        <f ca="1">[1]!s_info_majorproducttype(E137)</f>
        <v>专用设备与零部件</v>
      </c>
      <c r="J137" s="189">
        <f ca="1">[1]!s_val_ev(E137,$B$2,100000000)</f>
        <v>17.503316819999998</v>
      </c>
      <c r="K137" s="193">
        <f ca="1">[1]!s_share_total(E137,$B$2,100000000)</f>
        <v>1.06080708</v>
      </c>
      <c r="L137" s="193">
        <f ca="1">[1]!s_share_liqa(E137,$B$2,100000000)</f>
        <v>0.81816213000000004</v>
      </c>
      <c r="M137" s="186">
        <f ca="1">[1]!s_fa_gr_ttm2(E137,$C$3,100000000)</f>
        <v>8.6357092574000003</v>
      </c>
      <c r="N137" s="187">
        <f ca="1">[1]!s_fa_netprofit_ttm2(E137,$C$3,100000000)</f>
        <v>0.67580441329999996</v>
      </c>
      <c r="O137" s="186"/>
      <c r="P137" s="187">
        <f ca="1">[1]!s_val_pe_ttm(E137,[1]!td($B$2-1))</f>
        <v>20.350830078125</v>
      </c>
      <c r="Q137" s="187">
        <f ca="1">[1]!i_val_pe_percentile(E137,[1]!td($B$2-1),$B$2-365*5,[1]!td($B$2-1))</f>
        <v>8.4444444444444446</v>
      </c>
      <c r="R137" s="187">
        <f ca="1">[1]!pb_mrq(E137,[1]!td($B$2-1))</f>
        <v>2.2377599855923829</v>
      </c>
      <c r="S137" s="187">
        <f ca="1">[1]!i_val_pb_percentile(E137,[1]!td($B$2-1),$B$2-365*5,[1]!td($B$2-1))</f>
        <v>34.592592592592588</v>
      </c>
      <c r="T137" s="187">
        <f ca="1">[1]!s_val_pe_ttm([1]!to_windcode_index(H137&amp;"(申万)"),[1]!td($B$2-1))</f>
        <v>25.280000686645508</v>
      </c>
      <c r="U137" s="187"/>
      <c r="V137" s="187">
        <f ca="1">[1]!s_fa_roe(E137,$C$3)</f>
        <v>7.1531000000000002</v>
      </c>
      <c r="W137" s="187">
        <f ca="1">[1]!s_fa_grossprofitmargin(E137,$C$3)</f>
        <v>26.308700000000002</v>
      </c>
      <c r="X137" s="187">
        <f ca="1">[1]!s_fa_netprofitmargin(E137,$C$3)</f>
        <v>8.4009</v>
      </c>
      <c r="Y137" s="187">
        <f ca="1">[1]!s_fa_roic(E137,$C$3)</f>
        <v>6.1295999999999999</v>
      </c>
      <c r="Z137" s="187">
        <f ca="1">[1]!s_fa_operateincometoebt_ttm2(E137,$C$3)</f>
        <v>96.372200000000007</v>
      </c>
      <c r="AA137" s="186"/>
      <c r="AB137" s="342"/>
      <c r="AC137" s="186">
        <f ca="1">[1]!s_fa_cagr_tr($E137,AC$6,3)</f>
        <v>0</v>
      </c>
      <c r="AD137" s="186">
        <f ca="1">[1]!s_fa_cagr_tr($E137,AD$6,3)</f>
        <v>14.387257974100741</v>
      </c>
      <c r="AE137" s="187">
        <f ca="1">[1]!s_fa_cagr_tr($E137,AE$6,3)</f>
        <v>13.492097496009347</v>
      </c>
      <c r="AF137" s="187">
        <f ca="1">[1]!s_fa_cagr_tr($E137,AF$6,3)</f>
        <v>9.4525433340995946</v>
      </c>
      <c r="AG137" s="187">
        <f ca="1">[1]!s_fa_cagr_tr($E137,AG$6,3)</f>
        <v>3.8520151151492543</v>
      </c>
      <c r="AH137" s="187">
        <f ca="1">[1]!s_fa_cagr_tr($E137,AH$6,3)</f>
        <v>0.57639763719843362</v>
      </c>
      <c r="AI137" s="194"/>
      <c r="AJ137" s="187">
        <f ca="1">[1]!s_fa_cagr_netprofit($E137,AJ$6,3)</f>
        <v>0</v>
      </c>
      <c r="AK137" s="187">
        <f ca="1">[1]!s_fa_cagr_netprofit($E137,AK$6,3)</f>
        <v>15.159493525206113</v>
      </c>
      <c r="AL137" s="187">
        <f ca="1">[1]!s_fa_cagr_netprofit($E137,AL$6,3)</f>
        <v>-0.8233029322123997</v>
      </c>
      <c r="AM137" s="187">
        <f ca="1">[1]!s_fa_cagr_netprofit($E137,AM$6,3)</f>
        <v>1.2915241835465885</v>
      </c>
      <c r="AN137" s="187">
        <f ca="1">[1]!s_fa_cagr_netprofit($E137,AN$6,3)</f>
        <v>-1.0476322696150397</v>
      </c>
      <c r="AO137" s="187">
        <f ca="1">[1]!s_fa_cagr_netprofit($E137,AO$6,3)</f>
        <v>15.141502218595825</v>
      </c>
      <c r="AP137" s="189"/>
      <c r="AQ137" s="202">
        <f ca="1">[1]!s_fa_dupont_roe(E137,$C$3)</f>
        <v>7.1531000000000002</v>
      </c>
      <c r="AR137" s="202">
        <f ca="1">[1]!s_fa_dupont_nptosales(B137,$C$3)</f>
        <v>8.4009</v>
      </c>
      <c r="AS137" s="237">
        <f ca="1">[1]!s_fa_dupont_faturnover(E137,$C$3)</f>
        <v>0.46100000000000002</v>
      </c>
      <c r="AT137" s="202">
        <f ca="1">[1]!s_fa_dupont_assetstoequity(E137,$C$3)</f>
        <v>1.8342000000000001</v>
      </c>
      <c r="AU137" s="189"/>
      <c r="AV137" s="189"/>
      <c r="AW137" s="189"/>
      <c r="AX137" s="189"/>
      <c r="AY137" s="189"/>
      <c r="AZ137" s="189"/>
      <c r="BA137" s="189"/>
      <c r="BB137" s="189"/>
      <c r="BC137" s="189"/>
      <c r="BD137" s="189"/>
      <c r="BE137" s="189"/>
    </row>
    <row r="138" spans="1:57" s="130" customFormat="1" ht="12" customHeight="1" x14ac:dyDescent="0.35">
      <c r="A138" s="121" t="s">
        <v>5</v>
      </c>
      <c r="B138" s="121" t="s">
        <v>848</v>
      </c>
      <c r="C138" s="121" t="s">
        <v>849</v>
      </c>
      <c r="D138" s="121" t="str">
        <f ca="1">[1]!cb_info_underlyingname(B138)</f>
        <v>美力科技</v>
      </c>
      <c r="E138" s="122" t="str">
        <f ca="1">[1]!cb_info_underlyingcode(B138)</f>
        <v>300611.SZ</v>
      </c>
      <c r="F138" s="123" t="str">
        <f ca="1">[1]!s_info_industry_sw(B138,1)</f>
        <v>汽车</v>
      </c>
      <c r="G138" s="123" t="str">
        <f ca="1">[1]!s_info_industry_sw(E138,2)</f>
        <v>汽车零部件Ⅱ</v>
      </c>
      <c r="H138" s="123" t="str">
        <f ca="1">[1]!s_info_industry_sw(E138,3)</f>
        <v>汽车零部件Ⅲ</v>
      </c>
      <c r="I138" s="156" t="str">
        <f ca="1">[1]!s_info_majorproducttype(E138)</f>
        <v>汽车及零配件经销</v>
      </c>
      <c r="J138" s="129">
        <f ca="1">[1]!s_val_ev(E138,$B$2,100000000)</f>
        <v>18.915073135</v>
      </c>
      <c r="K138" s="157">
        <f ca="1">[1]!s_share_total(E138,$B$2,100000000)</f>
        <v>1.7895055</v>
      </c>
      <c r="L138" s="157">
        <f ca="1">[1]!s_share_liqa(E138,$B$2,100000000)</f>
        <v>1.2172780000000001</v>
      </c>
      <c r="M138" s="125">
        <f ca="1">[1]!s_fa_gr_ttm2(E138,$C$3,100000000)</f>
        <v>6.3175758789999996</v>
      </c>
      <c r="N138" s="126">
        <f ca="1">[1]!s_fa_netprofit_ttm2(E138,$C$3,100000000)</f>
        <v>0.25947313500000002</v>
      </c>
      <c r="O138" s="125"/>
      <c r="P138" s="126">
        <f ca="1">[1]!s_val_pe_ttm(E138,[1]!td($B$2-1))</f>
        <v>42.657665252685547</v>
      </c>
      <c r="Q138" s="126">
        <f ca="1">[1]!i_val_pe_percentile(E138,[1]!td($B$2-1),$B$2-365*5,[1]!td($B$2-1))</f>
        <v>19.939759036144579</v>
      </c>
      <c r="R138" s="126">
        <f ca="1">[1]!pb_mrq(E138,[1]!td($B$2-1))</f>
        <v>2.7249301351554069</v>
      </c>
      <c r="S138" s="126">
        <f ca="1">[1]!i_val_pb_percentile(E138,[1]!td($B$2-1),$B$2-365*5,[1]!td($B$2-1))</f>
        <v>48.614457831325304</v>
      </c>
      <c r="T138" s="126">
        <f ca="1">[1]!s_val_pe_ttm([1]!to_windcode_index(H138&amp;"(申万)"),[1]!td($B$2-1))</f>
        <v>25.280000686645508</v>
      </c>
      <c r="U138" s="126"/>
      <c r="V138" s="126">
        <f ca="1">[1]!s_fa_roe(E138,$C$3)</f>
        <v>4.9622000000000002</v>
      </c>
      <c r="W138" s="126">
        <f ca="1">[1]!s_fa_grossprofitmargin(E138,$C$3)</f>
        <v>30.008600000000001</v>
      </c>
      <c r="X138" s="126">
        <f ca="1">[1]!s_fa_netprofitmargin(E138,$C$3)</f>
        <v>7.2195</v>
      </c>
      <c r="Y138" s="126">
        <f ca="1">[1]!s_fa_roic(E138,$C$3)</f>
        <v>4.2233000000000001</v>
      </c>
      <c r="Z138" s="126">
        <f ca="1">[1]!s_fa_operateincometoebt_ttm2(E138,$C$3)</f>
        <v>79.822100000000006</v>
      </c>
      <c r="AA138" s="125"/>
      <c r="AB138" s="343"/>
      <c r="AC138" s="125">
        <f ca="1">[1]!s_fa_cagr_tr($E138,AC$6,3)</f>
        <v>0</v>
      </c>
      <c r="AD138" s="125">
        <f ca="1">[1]!s_fa_cagr_tr($E138,AD$6,3)</f>
        <v>18.825132401281053</v>
      </c>
      <c r="AE138" s="126">
        <f ca="1">[1]!s_fa_cagr_tr($E138,AE$6,3)</f>
        <v>18.745399033782164</v>
      </c>
      <c r="AF138" s="126">
        <f ca="1">[1]!s_fa_cagr_tr($E138,AF$6,3)</f>
        <v>22.337572675893714</v>
      </c>
      <c r="AG138" s="126">
        <f ca="1">[1]!s_fa_cagr_tr($E138,AG$6,3)</f>
        <v>19.25931517513899</v>
      </c>
      <c r="AH138" s="126">
        <f ca="1">[1]!s_fa_cagr_tr($E138,AH$6,3)</f>
        <v>23.766869045969898</v>
      </c>
      <c r="AI138" s="169"/>
      <c r="AJ138" s="126">
        <f ca="1">[1]!s_fa_cagr_netprofit($E138,AJ$6,3)</f>
        <v>0</v>
      </c>
      <c r="AK138" s="126">
        <f ca="1">[1]!s_fa_cagr_netprofit($E138,AK$6,3)</f>
        <v>-5.4768478588563259</v>
      </c>
      <c r="AL138" s="126">
        <f ca="1">[1]!s_fa_cagr_netprofit($E138,AL$6,3)</f>
        <v>-31.131642695350138</v>
      </c>
      <c r="AM138" s="126">
        <f ca="1">[1]!s_fa_cagr_netprofit($E138,AM$6,3)</f>
        <v>-25.342652287183466</v>
      </c>
      <c r="AN138" s="126">
        <f ca="1">[1]!s_fa_cagr_netprofit($E138,AN$6,3)</f>
        <v>8.3476683264952953</v>
      </c>
      <c r="AO138" s="126">
        <f ca="1">[1]!s_fa_cagr_netprofit($E138,AO$6,3)</f>
        <v>26.415111604444409</v>
      </c>
      <c r="AP138" s="129"/>
      <c r="AQ138" s="203">
        <f ca="1">[1]!s_fa_dupont_roe(E138,$C$3)</f>
        <v>4.9622000000000002</v>
      </c>
      <c r="AR138" s="203">
        <f ca="1">[1]!s_fa_dupont_nptosales(B138,$C$3)</f>
        <v>7.2195</v>
      </c>
      <c r="AS138" s="238">
        <f ca="1">[1]!s_fa_dupont_faturnover(E138,$C$3)</f>
        <v>0.39319999999999999</v>
      </c>
      <c r="AT138" s="203">
        <f ca="1">[1]!s_fa_dupont_assetstoequity(E138,$C$3)</f>
        <v>1.7413000000000001</v>
      </c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129"/>
      <c r="BE138" s="129"/>
    </row>
    <row r="139" spans="1:57" s="191" customFormat="1" ht="12" customHeight="1" x14ac:dyDescent="0.35">
      <c r="A139" s="182" t="s">
        <v>5</v>
      </c>
      <c r="B139" s="182" t="s">
        <v>1287</v>
      </c>
      <c r="C139" s="182" t="s">
        <v>1288</v>
      </c>
      <c r="D139" s="182" t="str">
        <f ca="1">[1]!cb_info_underlyingname(B139)</f>
        <v>温氏股份</v>
      </c>
      <c r="E139" s="183" t="str">
        <f ca="1">[1]!cb_info_underlyingcode(B139)</f>
        <v>300498.SZ</v>
      </c>
      <c r="F139" s="184" t="str">
        <f ca="1">[1]!s_info_industry_sw(B139,1)</f>
        <v>农林牧渔</v>
      </c>
      <c r="G139" s="184" t="str">
        <f ca="1">[1]!s_info_industry_sw(E139,2)</f>
        <v>畜禽养殖Ⅱ</v>
      </c>
      <c r="H139" s="184" t="str">
        <f ca="1">[1]!s_info_industry_sw(E139,3)</f>
        <v>畜禽养殖Ⅲ</v>
      </c>
      <c r="I139" s="192" t="str">
        <f ca="1">[1]!s_info_majorproducttype(E139)</f>
        <v>禽畜养殖</v>
      </c>
      <c r="J139" s="189">
        <f ca="1">[1]!s_val_ev(E139,$B$2,100000000)</f>
        <v>864.47890099919994</v>
      </c>
      <c r="K139" s="193">
        <f ca="1">[1]!s_share_total(E139,$B$2,100000000)</f>
        <v>63.517920719999992</v>
      </c>
      <c r="L139" s="193">
        <f ca="1">[1]!s_share_liqa(E139,$B$2,100000000)</f>
        <v>48.29233636</v>
      </c>
      <c r="M139" s="186">
        <f ca="1">[1]!s_fa_gr_ttm2(E139,$C$3,100000000)</f>
        <v>802.92448522509994</v>
      </c>
      <c r="N139" s="187">
        <f ca="1">[1]!s_fa_netprofit_ttm2(E139,$C$3,100000000)</f>
        <v>161.2368351037</v>
      </c>
      <c r="O139" s="186"/>
      <c r="P139" s="187">
        <f ca="1">[1]!s_val_pe_ttm(E139,[1]!td($B$2-1))</f>
        <v>111.56447601318359</v>
      </c>
      <c r="Q139" s="187">
        <f ca="1">[1]!i_val_pe_percentile(E139,[1]!td($B$2-1),$B$2-365*5,[1]!td($B$2-1))</f>
        <v>99.945175438596493</v>
      </c>
      <c r="R139" s="187">
        <f ca="1">[1]!pb_mrq(E139,[1]!td($B$2-1))</f>
        <v>2.0627071848330161</v>
      </c>
      <c r="S139" s="187">
        <f ca="1">[1]!i_val_pb_percentile(E139,[1]!td($B$2-1),$B$2-365*5,[1]!td($B$2-1))</f>
        <v>7.4561403508771926</v>
      </c>
      <c r="T139" s="187">
        <f ca="1">[1]!s_val_pe_ttm([1]!to_windcode_index(H139&amp;"(申万)"),[1]!td($B$2-1))</f>
        <v>16.559999465942383</v>
      </c>
      <c r="U139" s="187"/>
      <c r="V139" s="187">
        <f ca="1">[1]!s_fa_roe(E139,$C$3)</f>
        <v>17.936599999999999</v>
      </c>
      <c r="W139" s="187">
        <f ca="1">[1]!s_fa_grossprofitmargin(E139,$C$3)</f>
        <v>23.259899999999998</v>
      </c>
      <c r="X139" s="187">
        <f ca="1">[1]!s_fa_netprofitmargin(E139,$C$3)</f>
        <v>14.9499</v>
      </c>
      <c r="Y139" s="187">
        <f ca="1">[1]!s_fa_roic(E139,$C$3)</f>
        <v>14.3347</v>
      </c>
      <c r="Z139" s="187">
        <f ca="1">[1]!s_fa_operateincometoebt_ttm2(E139,$C$3)</f>
        <v>94.168599999999998</v>
      </c>
      <c r="AA139" s="186"/>
      <c r="AB139" s="342"/>
      <c r="AC139" s="186">
        <f ca="1">[1]!s_fa_cagr_tr($E139,AC$6,3)</f>
        <v>0</v>
      </c>
      <c r="AD139" s="186">
        <f ca="1">[1]!s_fa_cagr_tr($E139,AD$6,3)</f>
        <v>10.423653897263208</v>
      </c>
      <c r="AE139" s="187">
        <f ca="1">[1]!s_fa_cagr_tr($E139,AE$6,3)</f>
        <v>7.2113752824075616</v>
      </c>
      <c r="AF139" s="187">
        <f ca="1">[1]!s_fa_cagr_tr($E139,AF$6,3)</f>
        <v>5.8722853434064692</v>
      </c>
      <c r="AG139" s="187">
        <f ca="1">[1]!s_fa_cagr_tr($E139,AG$6,3)</f>
        <v>13.525297396985248</v>
      </c>
      <c r="AH139" s="187">
        <f ca="1">[1]!s_fa_cagr_tr($E139,AH$6,3)</f>
        <v>19.039756994243472</v>
      </c>
      <c r="AI139" s="194"/>
      <c r="AJ139" s="187">
        <f ca="1">[1]!s_fa_cagr_netprofit($E139,AJ$6,3)</f>
        <v>0</v>
      </c>
      <c r="AK139" s="187">
        <f ca="1">[1]!s_fa_cagr_netprofit($E139,AK$6,3)</f>
        <v>3.2263613676914327</v>
      </c>
      <c r="AL139" s="187">
        <f ca="1">[1]!s_fa_cagr_netprofit($E139,AL$6,3)</f>
        <v>5.8116244845554332</v>
      </c>
      <c r="AM139" s="187">
        <f ca="1">[1]!s_fa_cagr_netprofit($E139,AM$6,3)</f>
        <v>-13.923990152468358</v>
      </c>
      <c r="AN139" s="187">
        <f ca="1">[1]!s_fa_cagr_netprofit($E139,AN$6,3)</f>
        <v>36.337403443157015</v>
      </c>
      <c r="AO139" s="187">
        <f ca="1">[1]!s_fa_cagr_netprofit($E139,AO$6,3)</f>
        <v>177.04508389554272</v>
      </c>
      <c r="AP139" s="189"/>
      <c r="AQ139" s="202">
        <f ca="1">[1]!s_fa_dupont_roe(E139,$C$3)</f>
        <v>17.936599999999999</v>
      </c>
      <c r="AR139" s="202">
        <f ca="1">[1]!s_fa_dupont_nptosales(B139,$C$3)</f>
        <v>14.946199999999999</v>
      </c>
      <c r="AS139" s="237">
        <f ca="1">[1]!s_fa_dupont_faturnover(E139,$C$3)</f>
        <v>0.77439999999999998</v>
      </c>
      <c r="AT139" s="202">
        <f ca="1">[1]!s_fa_dupont_assetstoequity(E139,$C$3)</f>
        <v>1.5586</v>
      </c>
      <c r="AU139" s="189"/>
      <c r="AV139" s="201"/>
      <c r="AW139" s="189"/>
      <c r="AX139" s="189"/>
      <c r="AY139" s="189"/>
      <c r="AZ139" s="189"/>
      <c r="BA139" s="189"/>
      <c r="BB139" s="189"/>
      <c r="BC139" s="189"/>
      <c r="BD139" s="189"/>
      <c r="BE139" s="189"/>
    </row>
    <row r="140" spans="1:57" s="130" customFormat="1" ht="12" customHeight="1" x14ac:dyDescent="0.35">
      <c r="A140" s="121" t="s">
        <v>5</v>
      </c>
      <c r="B140" s="121" t="s">
        <v>212</v>
      </c>
      <c r="C140" s="121" t="s">
        <v>213</v>
      </c>
      <c r="D140" s="121" t="str">
        <f ca="1">[1]!cb_info_underlyingname(B140)</f>
        <v>新希望</v>
      </c>
      <c r="E140" s="122" t="str">
        <f ca="1">[1]!cb_info_underlyingcode(B140)</f>
        <v>000876.SZ</v>
      </c>
      <c r="F140" s="123" t="str">
        <f ca="1">[1]!s_info_industry_sw(B140,1)</f>
        <v>农林牧渔</v>
      </c>
      <c r="G140" s="123" t="str">
        <f ca="1">[1]!s_info_industry_sw(E140,2)</f>
        <v>饲料Ⅱ</v>
      </c>
      <c r="H140" s="123" t="str">
        <f ca="1">[1]!s_info_industry_sw(E140,3)</f>
        <v>饲料Ⅲ</v>
      </c>
      <c r="I140" s="156" t="str">
        <f ca="1">[1]!s_info_majorproducttype(E140)</f>
        <v>高分子聚合物、肉制品、乳制品、饲料、无机化工原料</v>
      </c>
      <c r="J140" s="129">
        <f ca="1">[1]!s_val_ev(E140,$B$2,100000000)</f>
        <v>532.51598062440007</v>
      </c>
      <c r="K140" s="157">
        <f ca="1">[1]!s_share_total(E140,$B$2,100000000)</f>
        <v>45.052113419999998</v>
      </c>
      <c r="L140" s="157">
        <f ca="1">[1]!s_share_liqa(E140,$B$2,100000000)</f>
        <v>43.255538389999998</v>
      </c>
      <c r="M140" s="125">
        <f ca="1">[1]!s_fa_gr_ttm2(E140,$C$3,100000000)</f>
        <v>999.2100362747999</v>
      </c>
      <c r="N140" s="126">
        <f ca="1">[1]!s_fa_netprofit_ttm2(E140,$C$3,100000000)</f>
        <v>70.5498998634</v>
      </c>
      <c r="O140" s="125"/>
      <c r="P140" s="126">
        <f ca="1">[1]!s_val_pe_ttm(E140,[1]!td($B$2-1))</f>
        <v>-32.574954986572266</v>
      </c>
      <c r="Q140" s="126">
        <f ca="1">[1]!i_val_pe_percentile(E140,[1]!td($B$2-1),$B$2-365*5,[1]!td($B$2-1))</f>
        <v>0</v>
      </c>
      <c r="R140" s="126">
        <f ca="1">[1]!pb_mrq(E140,[1]!td($B$2-1))</f>
        <v>1.5922593916258156</v>
      </c>
      <c r="S140" s="126">
        <f ca="1">[1]!i_val_pb_percentile(E140,[1]!td($B$2-1),$B$2-365*5,[1]!td($B$2-1))</f>
        <v>32.017543859649123</v>
      </c>
      <c r="T140" s="126">
        <f ca="1">[1]!s_val_pe_ttm([1]!to_windcode_index(H140&amp;"(申万)"),[1]!td($B$2-1))</f>
        <v>24.790000915527344</v>
      </c>
      <c r="U140" s="126"/>
      <c r="V140" s="126">
        <f ca="1">[1]!s_fa_roe(E140,$C$3)</f>
        <v>16.232600000000001</v>
      </c>
      <c r="W140" s="126">
        <f ca="1">[1]!s_fa_grossprofitmargin(E140,$C$3)</f>
        <v>13.026899999999999</v>
      </c>
      <c r="X140" s="126">
        <f ca="1">[1]!s_fa_netprofitmargin(E140,$C$3)</f>
        <v>7.9955999999999996</v>
      </c>
      <c r="Y140" s="126">
        <f ca="1">[1]!s_fa_roic(E140,$C$3)</f>
        <v>9.6852</v>
      </c>
      <c r="Z140" s="126">
        <f ca="1">[1]!s_fa_operateincometoebt_ttm2(E140,$C$3)</f>
        <v>80.3048</v>
      </c>
      <c r="AA140" s="125"/>
      <c r="AB140" s="343"/>
      <c r="AC140" s="125">
        <f ca="1">[1]!s_fa_cagr_tr($E140,AC$6,3)</f>
        <v>0</v>
      </c>
      <c r="AD140" s="125">
        <f ca="1">[1]!s_fa_cagr_tr($E140,AD$6,3)</f>
        <v>20.629244041348716</v>
      </c>
      <c r="AE140" s="126">
        <f ca="1">[1]!s_fa_cagr_tr($E140,AE$6,3)</f>
        <v>10.45958305601884</v>
      </c>
      <c r="AF140" s="126">
        <f ca="1">[1]!s_fa_cagr_tr($E140,AF$6,3)</f>
        <v>3.9308152516837502</v>
      </c>
      <c r="AG140" s="126">
        <f ca="1">[1]!s_fa_cagr_tr($E140,AG$6,3)</f>
        <v>-3.6784528484424706</v>
      </c>
      <c r="AH140" s="126">
        <f ca="1">[1]!s_fa_cagr_tr($E140,AH$6,3)</f>
        <v>-4.2701959000352225</v>
      </c>
      <c r="AI140" s="169"/>
      <c r="AJ140" s="126">
        <f ca="1">[1]!s_fa_cagr_netprofit($E140,AJ$6,3)</f>
        <v>0</v>
      </c>
      <c r="AK140" s="126">
        <f ca="1">[1]!s_fa_cagr_netprofit($E140,AK$6,3)</f>
        <v>29.435508350505568</v>
      </c>
      <c r="AL140" s="126">
        <f ca="1">[1]!s_fa_cagr_netprofit($E140,AL$6,3)</f>
        <v>26.869339039482742</v>
      </c>
      <c r="AM140" s="126">
        <f ca="1">[1]!s_fa_cagr_netprofit($E140,AM$6,3)</f>
        <v>-8.3050468856073039</v>
      </c>
      <c r="AN140" s="126">
        <f ca="1">[1]!s_fa_cagr_netprofit($E140,AN$6,3)</f>
        <v>4.1224797400517099</v>
      </c>
      <c r="AO140" s="126">
        <f ca="1">[1]!s_fa_cagr_netprofit($E140,AO$6,3)</f>
        <v>9.1541455931409832</v>
      </c>
      <c r="AP140" s="129"/>
      <c r="AQ140" s="203">
        <f ca="1">[1]!s_fa_dupont_roe(E140,$C$3)</f>
        <v>16.232600000000001</v>
      </c>
      <c r="AR140" s="203">
        <f ca="1">[1]!s_fa_dupont_nptosales(B140,$C$3)</f>
        <v>7.9955999999999996</v>
      </c>
      <c r="AS140" s="238">
        <f ca="1">[1]!s_fa_dupont_faturnover(E140,$C$3)</f>
        <v>0.88529999999999998</v>
      </c>
      <c r="AT140" s="203">
        <f ca="1">[1]!s_fa_dupont_assetstoequity(E140,$C$3)</f>
        <v>2.6968999999999999</v>
      </c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129"/>
      <c r="BE140" s="129"/>
    </row>
    <row r="141" spans="1:57" s="191" customFormat="1" ht="12" customHeight="1" x14ac:dyDescent="0.35">
      <c r="A141" s="182" t="s">
        <v>5</v>
      </c>
      <c r="B141" s="182" t="s">
        <v>114</v>
      </c>
      <c r="C141" s="182" t="s">
        <v>115</v>
      </c>
      <c r="D141" s="182" t="str">
        <f ca="1">[1]!cb_info_underlyingname(B141)</f>
        <v>正邦科技</v>
      </c>
      <c r="E141" s="183" t="str">
        <f ca="1">[1]!cb_info_underlyingcode(B141)</f>
        <v>002157.SZ</v>
      </c>
      <c r="F141" s="184" t="str">
        <f ca="1">[1]!s_info_industry_sw(B141,1)</f>
        <v>农林牧渔</v>
      </c>
      <c r="G141" s="184" t="str">
        <f ca="1">[1]!s_info_industry_sw(E141,2)</f>
        <v>饲料Ⅱ</v>
      </c>
      <c r="H141" s="184" t="str">
        <f ca="1">[1]!s_info_industry_sw(E141,3)</f>
        <v>饲料Ⅲ</v>
      </c>
      <c r="I141" s="192" t="str">
        <f ca="1">[1]!s_info_majorproducttype(E141)</f>
        <v>禽畜养殖、肉制品、饲料</v>
      </c>
      <c r="J141" s="189">
        <f ca="1">[1]!s_val_ev(E141,$B$2,100000000)</f>
        <v>281.48169463979997</v>
      </c>
      <c r="K141" s="193">
        <f ca="1">[1]!s_share_total(E141,$B$2,100000000)</f>
        <v>31.485648170000001</v>
      </c>
      <c r="L141" s="193">
        <f ca="1">[1]!s_share_liqa(E141,$B$2,100000000)</f>
        <v>23.065905919999999</v>
      </c>
      <c r="M141" s="186">
        <f ca="1">[1]!s_fa_gr_ttm2(E141,$C$3,100000000)</f>
        <v>395.58802524470002</v>
      </c>
      <c r="N141" s="187">
        <f ca="1">[1]!s_fa_netprofit_ttm2(E141,$C$3,100000000)</f>
        <v>70.298132917000004</v>
      </c>
      <c r="O141" s="186"/>
      <c r="P141" s="187">
        <f ca="1">[1]!s_val_pe_ttm(E141,[1]!td($B$2-1))</f>
        <v>14.839544296264648</v>
      </c>
      <c r="Q141" s="187">
        <f ca="1">[1]!i_val_pe_percentile(E141,[1]!td($B$2-1),$B$2-365*5,[1]!td($B$2-1))</f>
        <v>42.294117647058819</v>
      </c>
      <c r="R141" s="187">
        <f ca="1">[1]!pb_mrq(E141,[1]!td($B$2-1))</f>
        <v>1.4600526147337063</v>
      </c>
      <c r="S141" s="187">
        <f ca="1">[1]!i_val_pb_percentile(E141,[1]!td($B$2-1),$B$2-365*5,[1]!td($B$2-1))</f>
        <v>5.4824561403508767</v>
      </c>
      <c r="T141" s="187">
        <f ca="1">[1]!s_val_pe_ttm([1]!to_windcode_index(H141&amp;"(申万)"),[1]!td($B$2-1))</f>
        <v>24.790000915527344</v>
      </c>
      <c r="U141" s="187"/>
      <c r="V141" s="187">
        <f ca="1">[1]!s_fa_roe(E141,$C$3)</f>
        <v>43.911700000000003</v>
      </c>
      <c r="W141" s="187">
        <f ca="1">[1]!s_fa_grossprofitmargin(E141,$C$3)</f>
        <v>27.105699999999999</v>
      </c>
      <c r="X141" s="187">
        <f ca="1">[1]!s_fa_netprofitmargin(E141,$C$3)</f>
        <v>16.890999999999998</v>
      </c>
      <c r="Y141" s="187">
        <f ca="1">[1]!s_fa_roic(E141,$C$3)</f>
        <v>22.860600000000002</v>
      </c>
      <c r="Z141" s="187">
        <f ca="1">[1]!s_fa_operateincometoebt_ttm2(E141,$C$3)</f>
        <v>95.143000000000001</v>
      </c>
      <c r="AA141" s="186"/>
      <c r="AB141" s="342"/>
      <c r="AC141" s="186">
        <f ca="1">[1]!s_fa_cagr_tr($E141,AC$6,3)</f>
        <v>0</v>
      </c>
      <c r="AD141" s="186">
        <f ca="1">[1]!s_fa_cagr_tr($E141,AD$6,3)</f>
        <v>33.606819033648236</v>
      </c>
      <c r="AE141" s="187">
        <f ca="1">[1]!s_fa_cagr_tr($E141,AE$6,3)</f>
        <v>9.0231784861488418</v>
      </c>
      <c r="AF141" s="187">
        <f ca="1">[1]!s_fa_cagr_tr($E141,AF$6,3)</f>
        <v>10.439469624568121</v>
      </c>
      <c r="AG141" s="187">
        <f ca="1">[1]!s_fa_cagr_tr($E141,AG$6,3)</f>
        <v>7.7400080429313123</v>
      </c>
      <c r="AH141" s="187">
        <f ca="1">[1]!s_fa_cagr_tr($E141,AH$6,3)</f>
        <v>6.6831507296447601</v>
      </c>
      <c r="AI141" s="194"/>
      <c r="AJ141" s="187">
        <f ca="1">[1]!s_fa_cagr_netprofit($E141,AJ$6,3)</f>
        <v>0</v>
      </c>
      <c r="AK141" s="187">
        <f ca="1">[1]!s_fa_cagr_netprofit($E141,AK$6,3)</f>
        <v>121.89599921135361</v>
      </c>
      <c r="AL141" s="187">
        <f ca="1">[1]!s_fa_cagr_netprofit($E141,AL$6,3)</f>
        <v>16.340674888231433</v>
      </c>
      <c r="AM141" s="187">
        <f ca="1">[1]!s_fa_cagr_netprofit($E141,AM$6,3)</f>
        <v>-14.680718600819176</v>
      </c>
      <c r="AN141" s="187">
        <f ca="1">[1]!s_fa_cagr_netprofit($E141,AN$6,3)</f>
        <v>133.85371830282389</v>
      </c>
      <c r="AO141" s="187">
        <f ca="1">[1]!s_fa_cagr_netprofit($E141,AO$6,3)</f>
        <v>233.02985301840914</v>
      </c>
      <c r="AP141" s="189"/>
      <c r="AQ141" s="202">
        <f ca="1">[1]!s_fa_dupont_roe(E141,$C$3)</f>
        <v>43.911700000000003</v>
      </c>
      <c r="AR141" s="202">
        <f ca="1">[1]!s_fa_dupont_nptosales(B141,$C$3)</f>
        <v>16.890999999999998</v>
      </c>
      <c r="AS141" s="237">
        <f ca="1">[1]!s_fa_dupont_faturnover(E141,$C$3)</f>
        <v>0.79900000000000004</v>
      </c>
      <c r="AT141" s="202">
        <f ca="1">[1]!s_fa_dupont_assetstoequity(E141,$C$3)</f>
        <v>3.2984</v>
      </c>
      <c r="AU141" s="189"/>
      <c r="AV141" s="189"/>
      <c r="AW141" s="189"/>
      <c r="AX141" s="189"/>
      <c r="AY141" s="189"/>
      <c r="AZ141" s="189"/>
      <c r="BA141" s="189"/>
      <c r="BB141" s="189"/>
      <c r="BC141" s="189"/>
      <c r="BD141" s="189"/>
      <c r="BE141" s="189"/>
    </row>
    <row r="142" spans="1:57" s="130" customFormat="1" ht="12" customHeight="1" x14ac:dyDescent="0.35">
      <c r="A142" s="121" t="s">
        <v>5</v>
      </c>
      <c r="B142" s="121" t="s">
        <v>463</v>
      </c>
      <c r="C142" s="121" t="s">
        <v>464</v>
      </c>
      <c r="D142" s="121" t="str">
        <f ca="1">[1]!cb_info_underlyingname(B142)</f>
        <v>天康生物</v>
      </c>
      <c r="E142" s="122" t="str">
        <f ca="1">[1]!cb_info_underlyingcode(B142)</f>
        <v>002100.SZ</v>
      </c>
      <c r="F142" s="123" t="str">
        <f ca="1">[1]!s_info_industry_sw(B142,1)</f>
        <v>农林牧渔</v>
      </c>
      <c r="G142" s="123" t="str">
        <f ca="1">[1]!s_info_industry_sw(E142,2)</f>
        <v>饲料Ⅱ</v>
      </c>
      <c r="H142" s="123" t="str">
        <f ca="1">[1]!s_info_industry_sw(E142,3)</f>
        <v>饲料Ⅲ</v>
      </c>
      <c r="I142" s="156" t="str">
        <f ca="1">[1]!s_info_majorproducttype(E142)</f>
        <v>禽畜养殖、肉制品、兽药、饲料、疫苗</v>
      </c>
      <c r="J142" s="129">
        <f ca="1">[1]!s_val_ev(E142,$B$2,100000000)</f>
        <v>82.766678237600004</v>
      </c>
      <c r="K142" s="157">
        <f ca="1">[1]!s_share_total(E142,$B$2,100000000)</f>
        <v>10.76289704</v>
      </c>
      <c r="L142" s="157">
        <f ca="1">[1]!s_share_liqa(E142,$B$2,100000000)</f>
        <v>10.76289704</v>
      </c>
      <c r="M142" s="125">
        <f ca="1">[1]!s_fa_gr_ttm2(E142,$C$3,100000000)</f>
        <v>109.1725845966</v>
      </c>
      <c r="N142" s="126">
        <f ca="1">[1]!s_fa_netprofit_ttm2(E142,$C$3,100000000)</f>
        <v>18.203686922300001</v>
      </c>
      <c r="O142" s="125"/>
      <c r="P142" s="126">
        <f ca="1">[1]!s_val_pe_ttm(E142,[1]!td($B$2-1))</f>
        <v>7.3373770713806152</v>
      </c>
      <c r="Q142" s="126">
        <f ca="1">[1]!i_val_pe_percentile(E142,[1]!td($B$2-1),$B$2-365*5,[1]!td($B$2-1))</f>
        <v>14.035087719298245</v>
      </c>
      <c r="R142" s="126">
        <f ca="1">[1]!pb_mrq(E142,[1]!td($B$2-1))</f>
        <v>1.3714387312347691</v>
      </c>
      <c r="S142" s="126">
        <f ca="1">[1]!i_val_pb_percentile(E142,[1]!td($B$2-1),$B$2-365*5,[1]!td($B$2-1))</f>
        <v>4.9890350877192988</v>
      </c>
      <c r="T142" s="126">
        <f ca="1">[1]!s_val_pe_ttm([1]!to_windcode_index(H142&amp;"(申万)"),[1]!td($B$2-1))</f>
        <v>24.790000915527344</v>
      </c>
      <c r="U142" s="126"/>
      <c r="V142" s="126">
        <f ca="1">[1]!s_fa_roe(E142,$C$3)</f>
        <v>27.948699999999999</v>
      </c>
      <c r="W142" s="126">
        <f ca="1">[1]!s_fa_grossprofitmargin(E142,$C$3)</f>
        <v>31.223299999999998</v>
      </c>
      <c r="X142" s="126">
        <f ca="1">[1]!s_fa_netprofitmargin(E142,$C$3)</f>
        <v>17.571999999999999</v>
      </c>
      <c r="Y142" s="126">
        <f ca="1">[1]!s_fa_roic(E142,$C$3)</f>
        <v>16.003799999999998</v>
      </c>
      <c r="Z142" s="126">
        <f ca="1">[1]!s_fa_operateincometoebt_ttm2(E142,$C$3)</f>
        <v>99.357900000000001</v>
      </c>
      <c r="AA142" s="125"/>
      <c r="AB142" s="343"/>
      <c r="AC142" s="125">
        <f ca="1">[1]!s_fa_cagr_tr($E142,AC$6,3)</f>
        <v>0</v>
      </c>
      <c r="AD142" s="125">
        <f ca="1">[1]!s_fa_cagr_tr($E142,AD$6,3)</f>
        <v>37.311441363395303</v>
      </c>
      <c r="AE142" s="126">
        <f ca="1">[1]!s_fa_cagr_tr($E142,AE$6,3)</f>
        <v>18.932361236829863</v>
      </c>
      <c r="AF142" s="126">
        <f ca="1">[1]!s_fa_cagr_tr($E142,AF$6,3)</f>
        <v>8.1605593240468686</v>
      </c>
      <c r="AG142" s="126">
        <f ca="1">[1]!s_fa_cagr_tr($E142,AG$6,3)</f>
        <v>4.8687432222980664</v>
      </c>
      <c r="AH142" s="126">
        <f ca="1">[1]!s_fa_cagr_tr($E142,AH$6,3)</f>
        <v>6.0627969147338368</v>
      </c>
      <c r="AI142" s="169"/>
      <c r="AJ142" s="126">
        <f ca="1">[1]!s_fa_cagr_netprofit($E142,AJ$6,3)</f>
        <v>0</v>
      </c>
      <c r="AK142" s="126">
        <f ca="1">[1]!s_fa_cagr_netprofit($E142,AK$6,3)</f>
        <v>61.668828470611125</v>
      </c>
      <c r="AL142" s="126">
        <f ca="1">[1]!s_fa_cagr_netprofit($E142,AL$6,3)</f>
        <v>17.971247384262877</v>
      </c>
      <c r="AM142" s="126">
        <f ca="1">[1]!s_fa_cagr_netprofit($E142,AM$6,3)</f>
        <v>8.4743371942440415</v>
      </c>
      <c r="AN142" s="126">
        <f ca="1">[1]!s_fa_cagr_netprofit($E142,AN$6,3)</f>
        <v>25.166424799064124</v>
      </c>
      <c r="AO142" s="126">
        <f ca="1">[1]!s_fa_cagr_netprofit($E142,AO$6,3)</f>
        <v>32.226379594840559</v>
      </c>
      <c r="AP142" s="129"/>
      <c r="AQ142" s="203">
        <f ca="1">[1]!s_fa_dupont_roe(E142,$C$3)</f>
        <v>27.948699999999999</v>
      </c>
      <c r="AR142" s="203">
        <f ca="1">[1]!s_fa_dupont_nptosales(B142,$C$3)</f>
        <v>17.571999999999999</v>
      </c>
      <c r="AS142" s="238">
        <f ca="1">[1]!s_fa_dupont_faturnover(E142,$C$3)</f>
        <v>0.74219999999999997</v>
      </c>
      <c r="AT142" s="203">
        <f ca="1">[1]!s_fa_dupont_assetstoequity(E142,$C$3)</f>
        <v>2.1970000000000001</v>
      </c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129"/>
      <c r="BE142" s="129"/>
    </row>
    <row r="143" spans="1:57" s="191" customFormat="1" ht="12" customHeight="1" x14ac:dyDescent="0.35">
      <c r="A143" s="182" t="s">
        <v>0</v>
      </c>
      <c r="B143" s="182" t="s">
        <v>900</v>
      </c>
      <c r="C143" s="182" t="s">
        <v>901</v>
      </c>
      <c r="D143" s="182" t="str">
        <f ca="1">[1]!cb_info_underlyingname(B143)</f>
        <v>傲农生物</v>
      </c>
      <c r="E143" s="183" t="str">
        <f ca="1">[1]!cb_info_underlyingcode(B143)</f>
        <v>603363.SH</v>
      </c>
      <c r="F143" s="184" t="str">
        <f ca="1">[1]!s_info_industry_sw(B143,1)</f>
        <v>农林牧渔</v>
      </c>
      <c r="G143" s="184" t="str">
        <f ca="1">[1]!s_info_industry_sw(E143,2)</f>
        <v>饲料Ⅱ</v>
      </c>
      <c r="H143" s="184" t="str">
        <f ca="1">[1]!s_info_industry_sw(E143,3)</f>
        <v>饲料Ⅲ</v>
      </c>
      <c r="I143" s="192" t="str">
        <f ca="1">[1]!s_info_majorproducttype(E143)</f>
        <v>国内贸易、禽畜养殖、兽药、饲料、疫苗</v>
      </c>
      <c r="J143" s="189">
        <f ca="1">[1]!s_val_ev(E143,$B$2,100000000)</f>
        <v>58.315701994300007</v>
      </c>
      <c r="K143" s="193">
        <f ca="1">[1]!s_share_total(E143,$B$2,100000000)</f>
        <v>6.8526089300000015</v>
      </c>
      <c r="L143" s="193">
        <f ca="1">[1]!s_share_liqa(E143,$B$2,100000000)</f>
        <v>6.3634779799999999</v>
      </c>
      <c r="M143" s="186">
        <f ca="1">[1]!s_fa_gr_ttm2(E143,$C$3,100000000)</f>
        <v>88.602971276000005</v>
      </c>
      <c r="N143" s="187">
        <f ca="1">[1]!s_fa_netprofit_ttm2(E143,$C$3,100000000)</f>
        <v>4.9097319041</v>
      </c>
      <c r="O143" s="186"/>
      <c r="P143" s="187">
        <f ca="1">[1]!s_val_pe_ttm(E143,[1]!td($B$2-1))</f>
        <v>80.4713134765625</v>
      </c>
      <c r="Q143" s="187">
        <f ca="1">[1]!i_val_pe_percentile(E143,[1]!td($B$2-1),$B$2-365*5,[1]!td($B$2-1))</f>
        <v>63.592233009708742</v>
      </c>
      <c r="R143" s="187">
        <f ca="1">[1]!pb_mrq(E143,[1]!td($B$2-1))</f>
        <v>2.3209416729051586</v>
      </c>
      <c r="S143" s="187">
        <f ca="1">[1]!i_val_pb_percentile(E143,[1]!td($B$2-1),$B$2-365*5,[1]!td($B$2-1))</f>
        <v>4.9930651872399441</v>
      </c>
      <c r="T143" s="187">
        <f ca="1">[1]!s_val_pe_ttm([1]!to_windcode_index(H143&amp;"(申万)"),[1]!td($B$2-1))</f>
        <v>24.790000915527344</v>
      </c>
      <c r="U143" s="187"/>
      <c r="V143" s="187">
        <f ca="1">[1]!s_fa_roe(E143,$C$3)</f>
        <v>28.683700000000002</v>
      </c>
      <c r="W143" s="187">
        <f ca="1">[1]!s_fa_grossprofitmargin(E143,$C$3)</f>
        <v>19.258299999999998</v>
      </c>
      <c r="X143" s="187">
        <f ca="1">[1]!s_fa_netprofitmargin(E143,$C$3)</f>
        <v>11.112299999999999</v>
      </c>
      <c r="Y143" s="187">
        <f ca="1">[1]!s_fa_roic(E143,$C$3)</f>
        <v>17.318200000000001</v>
      </c>
      <c r="Z143" s="187">
        <f ca="1">[1]!s_fa_operateincometoebt_ttm2(E143,$C$3)</f>
        <v>93.995599999999996</v>
      </c>
      <c r="AA143" s="186"/>
      <c r="AB143" s="342"/>
      <c r="AC143" s="186">
        <f ca="1">[1]!s_fa_cagr_tr($E143,AC$6,3)</f>
        <v>0</v>
      </c>
      <c r="AD143" s="186">
        <f ca="1">[1]!s_fa_cagr_tr($E143,AD$6,3)</f>
        <v>32.934572796192455</v>
      </c>
      <c r="AE143" s="187">
        <f ca="1">[1]!s_fa_cagr_tr($E143,AE$6,3)</f>
        <v>5.1508677861805019</v>
      </c>
      <c r="AF143" s="187">
        <f ca="1">[1]!s_fa_cagr_tr($E143,AF$6,3)</f>
        <v>12.817328207405222</v>
      </c>
      <c r="AG143" s="187">
        <f ca="1">[1]!s_fa_cagr_tr($E143,AG$6,3)</f>
        <v>5.4220328201203483</v>
      </c>
      <c r="AH143" s="187">
        <f ca="1">[1]!s_fa_cagr_tr($E143,AH$6,3)</f>
        <v>19.006629006659082</v>
      </c>
      <c r="AI143" s="194"/>
      <c r="AJ143" s="187">
        <f ca="1">[1]!s_fa_cagr_netprofit($E143,AJ$6,3)</f>
        <v>0</v>
      </c>
      <c r="AK143" s="187">
        <f ca="1">[1]!s_fa_cagr_netprofit($E143,AK$6,3)</f>
        <v>74.347212472927325</v>
      </c>
      <c r="AL143" s="187">
        <f ca="1">[1]!s_fa_cagr_netprofit($E143,AL$6,3)</f>
        <v>-31.666859711632501</v>
      </c>
      <c r="AM143" s="187">
        <f ca="1">[1]!s_fa_cagr_netprofit($E143,AM$6,3)</f>
        <v>-3.741576471248409</v>
      </c>
      <c r="AN143" s="187">
        <f ca="1">[1]!s_fa_cagr_netprofit($E143,AN$6,3)</f>
        <v>36.250617191100034</v>
      </c>
      <c r="AO143" s="187">
        <f ca="1">[1]!s_fa_cagr_netprofit($E143,AO$6,3)</f>
        <v>54.056469380038408</v>
      </c>
      <c r="AP143" s="189"/>
      <c r="AQ143" s="202">
        <f ca="1">[1]!s_fa_dupont_roe(E143,$C$3)</f>
        <v>28.683700000000002</v>
      </c>
      <c r="AR143" s="202">
        <f ca="1">[1]!s_fa_dupont_nptosales(B143,$C$3)</f>
        <v>11.112299999999999</v>
      </c>
      <c r="AS143" s="237">
        <f ca="1">[1]!s_fa_dupont_faturnover(E143,$C$3)</f>
        <v>0.94840000000000002</v>
      </c>
      <c r="AT143" s="202">
        <f ca="1">[1]!s_fa_dupont_assetstoequity(E143,$C$3)</f>
        <v>4.4165000000000001</v>
      </c>
      <c r="AU143" s="189"/>
      <c r="AV143" s="201"/>
      <c r="AW143" s="189"/>
      <c r="AX143" s="189"/>
      <c r="AY143" s="189"/>
      <c r="AZ143" s="189"/>
      <c r="BA143" s="189"/>
      <c r="BB143" s="189"/>
      <c r="BC143" s="189"/>
      <c r="BD143" s="189"/>
      <c r="BE143" s="189"/>
    </row>
    <row r="144" spans="1:57" s="130" customFormat="1" ht="12" customHeight="1" x14ac:dyDescent="0.35">
      <c r="A144" s="121" t="s">
        <v>5</v>
      </c>
      <c r="B144" s="121" t="s">
        <v>443</v>
      </c>
      <c r="C144" s="121" t="s">
        <v>444</v>
      </c>
      <c r="D144" s="121" t="str">
        <f ca="1">[1]!cb_info_underlyingname(B144)</f>
        <v>金新农</v>
      </c>
      <c r="E144" s="122" t="str">
        <f ca="1">[1]!cb_info_underlyingcode(B144)</f>
        <v>002548.SZ</v>
      </c>
      <c r="F144" s="123" t="str">
        <f ca="1">[1]!s_info_industry_sw(B144,1)</f>
        <v>农林牧渔</v>
      </c>
      <c r="G144" s="123" t="str">
        <f ca="1">[1]!s_info_industry_sw(E144,2)</f>
        <v>饲料Ⅱ</v>
      </c>
      <c r="H144" s="123" t="str">
        <f ca="1">[1]!s_info_industry_sw(E144,3)</f>
        <v>饲料Ⅲ</v>
      </c>
      <c r="I144" s="156" t="str">
        <f ca="1">[1]!s_info_majorproducttype(E144)</f>
        <v>饲料</v>
      </c>
      <c r="J144" s="129">
        <f ca="1">[1]!s_val_ev(E144,$B$2,100000000)</f>
        <v>36.608614050999996</v>
      </c>
      <c r="K144" s="157">
        <f ca="1">[1]!s_share_total(E144,$B$2,100000000)</f>
        <v>6.9072856700000003</v>
      </c>
      <c r="L144" s="157">
        <f ca="1">[1]!s_share_liqa(E144,$B$2,100000000)</f>
        <v>5.3822070999999996</v>
      </c>
      <c r="M144" s="125">
        <f ca="1">[1]!s_fa_gr_ttm2(E144,$C$3,100000000)</f>
        <v>29.441591311</v>
      </c>
      <c r="N144" s="126">
        <f ca="1">[1]!s_fa_netprofit_ttm2(E144,$C$3,100000000)</f>
        <v>4.3085089917000001</v>
      </c>
      <c r="O144" s="125"/>
      <c r="P144" s="126">
        <f ca="1">[1]!s_val_pe_ttm(E144,[1]!td($B$2-1))</f>
        <v>-277.89840698242188</v>
      </c>
      <c r="Q144" s="126">
        <f ca="1">[1]!i_val_pe_percentile(E144,[1]!td($B$2-1),$B$2-365*5,[1]!td($B$2-1))</f>
        <v>0</v>
      </c>
      <c r="R144" s="126">
        <f ca="1">[1]!pb_mrq(E144,[1]!td($B$2-1))</f>
        <v>1.3746283855042594</v>
      </c>
      <c r="S144" s="126">
        <f ca="1">[1]!i_val_pb_percentile(E144,[1]!td($B$2-1),$B$2-365*5,[1]!td($B$2-1))</f>
        <v>3.6184210526315792</v>
      </c>
      <c r="T144" s="126">
        <f ca="1">[1]!s_val_pe_ttm([1]!to_windcode_index(H144&amp;"(申万)"),[1]!td($B$2-1))</f>
        <v>24.790000915527344</v>
      </c>
      <c r="U144" s="126"/>
      <c r="V144" s="126">
        <f ca="1">[1]!s_fa_roe(E144,$C$3)</f>
        <v>16.247800000000002</v>
      </c>
      <c r="W144" s="126">
        <f ca="1">[1]!s_fa_grossprofitmargin(E144,$C$3)</f>
        <v>34.3964</v>
      </c>
      <c r="X144" s="126">
        <f ca="1">[1]!s_fa_netprofitmargin(E144,$C$3)</f>
        <v>16.674499999999998</v>
      </c>
      <c r="Y144" s="126">
        <f ca="1">[1]!s_fa_roic(E144,$C$3)</f>
        <v>12.519600000000001</v>
      </c>
      <c r="Z144" s="126">
        <f ca="1">[1]!s_fa_operateincometoebt_ttm2(E144,$C$3)</f>
        <v>69.161500000000004</v>
      </c>
      <c r="AA144" s="125"/>
      <c r="AB144" s="343"/>
      <c r="AC144" s="125">
        <f ca="1">[1]!s_fa_cagr_tr($E144,AC$6,3)</f>
        <v>0</v>
      </c>
      <c r="AD144" s="125">
        <f ca="1">[1]!s_fa_cagr_tr($E144,AD$6,3)</f>
        <v>9.9511981409150287</v>
      </c>
      <c r="AE144" s="126">
        <f ca="1">[1]!s_fa_cagr_tr($E144,AE$6,3)</f>
        <v>-4.5847092974424353</v>
      </c>
      <c r="AF144" s="126">
        <f ca="1">[1]!s_fa_cagr_tr($E144,AF$6,3)</f>
        <v>3.7904785635357818</v>
      </c>
      <c r="AG144" s="126">
        <f ca="1">[1]!s_fa_cagr_tr($E144,AG$6,3)</f>
        <v>15.481308483143529</v>
      </c>
      <c r="AH144" s="126">
        <f ca="1">[1]!s_fa_cagr_tr($E144,AH$6,3)</f>
        <v>11.559830215893264</v>
      </c>
      <c r="AI144" s="169"/>
      <c r="AJ144" s="126">
        <f ca="1">[1]!s_fa_cagr_netprofit($E144,AJ$6,3)</f>
        <v>0</v>
      </c>
      <c r="AK144" s="126">
        <f ca="1">[1]!s_fa_cagr_netprofit($E144,AK$6,3)</f>
        <v>25.033113984124732</v>
      </c>
      <c r="AL144" s="126">
        <f ca="1">[1]!s_fa_cagr_netprofit($E144,AL$6,3)</f>
        <v>-3.9965371400285332</v>
      </c>
      <c r="AM144" s="126">
        <f ca="1">[1]!s_fa_cagr_netprofit($E144,AM$6,3)</f>
        <v>-240.4980726384066</v>
      </c>
      <c r="AN144" s="126">
        <f ca="1">[1]!s_fa_cagr_netprofit($E144,AN$6,3)</f>
        <v>3.5030482999063528</v>
      </c>
      <c r="AO144" s="126">
        <f ca="1">[1]!s_fa_cagr_netprofit($E144,AO$6,3)</f>
        <v>55.642740923368869</v>
      </c>
      <c r="AP144" s="129"/>
      <c r="AQ144" s="203">
        <f ca="1">[1]!s_fa_dupont_roe(E144,$C$3)</f>
        <v>16.247800000000002</v>
      </c>
      <c r="AR144" s="203">
        <f ca="1">[1]!s_fa_dupont_nptosales(B144,$C$3)</f>
        <v>16.674499999999998</v>
      </c>
      <c r="AS144" s="238">
        <f ca="1">[1]!s_fa_dupont_faturnover(E144,$C$3)</f>
        <v>0.48299999999999998</v>
      </c>
      <c r="AT144" s="203">
        <f ca="1">[1]!s_fa_dupont_assetstoequity(E144,$C$3)</f>
        <v>2.4619</v>
      </c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129"/>
      <c r="BE144" s="129"/>
    </row>
    <row r="145" spans="1:57" s="191" customFormat="1" ht="12" customHeight="1" x14ac:dyDescent="0.35">
      <c r="A145" s="182" t="s">
        <v>5</v>
      </c>
      <c r="B145" s="182" t="s">
        <v>110</v>
      </c>
      <c r="C145" s="182" t="s">
        <v>111</v>
      </c>
      <c r="D145" s="182" t="str">
        <f ca="1">[1]!cb_info_underlyingname(B145)</f>
        <v>雪榕生物</v>
      </c>
      <c r="E145" s="183" t="str">
        <f ca="1">[1]!cb_info_underlyingcode(B145)</f>
        <v>300511.SZ</v>
      </c>
      <c r="F145" s="184" t="str">
        <f ca="1">[1]!s_info_industry_sw(B145,1)</f>
        <v>农林牧渔</v>
      </c>
      <c r="G145" s="184" t="str">
        <f ca="1">[1]!s_info_industry_sw(E145,2)</f>
        <v>种植业</v>
      </c>
      <c r="H145" s="184" t="str">
        <f ca="1">[1]!s_info_industry_sw(E145,3)</f>
        <v>粮食种植</v>
      </c>
      <c r="I145" s="192" t="str">
        <f ca="1">[1]!s_info_majorproducttype(E145)</f>
        <v>菌藻类</v>
      </c>
      <c r="J145" s="189">
        <f ca="1">[1]!s_val_ev(E145,$B$2,100000000)</f>
        <v>30.580273862399999</v>
      </c>
      <c r="K145" s="193">
        <f ca="1">[1]!s_share_total(E145,$B$2,100000000)</f>
        <v>4.4191147199999996</v>
      </c>
      <c r="L145" s="193">
        <f ca="1">[1]!s_share_liqa(E145,$B$2,100000000)</f>
        <v>3.1592295199999998</v>
      </c>
      <c r="M145" s="186">
        <f ca="1">[1]!s_fa_gr_ttm2(E145,$C$3,100000000)</f>
        <v>22.078831443000002</v>
      </c>
      <c r="N145" s="187">
        <f ca="1">[1]!s_fa_netprofit_ttm2(E145,$C$3,100000000)</f>
        <v>3.2700864498000004</v>
      </c>
      <c r="O145" s="186"/>
      <c r="P145" s="187">
        <f ca="1">[1]!s_val_pe_ttm(E145,[1]!td($B$2-1))</f>
        <v>145.11314392089844</v>
      </c>
      <c r="Q145" s="187">
        <f ca="1">[1]!i_val_pe_percentile(E145,[1]!td($B$2-1),$B$2-365*5,[1]!td($B$2-1))</f>
        <v>99.91776315789474</v>
      </c>
      <c r="R145" s="187">
        <f ca="1">[1]!pb_mrq(E145,[1]!td($B$2-1))</f>
        <v>1.6562720062721561</v>
      </c>
      <c r="S145" s="187">
        <f ca="1">[1]!i_val_pb_percentile(E145,[1]!td($B$2-1),$B$2-365*5,[1]!td($B$2-1))</f>
        <v>3.5910087719298245</v>
      </c>
      <c r="T145" s="187">
        <f ca="1">[1]!s_val_pe_ttm([1]!to_windcode_index(H145&amp;"(申万)"),[1]!td($B$2-1))</f>
        <v>30.440000534057617</v>
      </c>
      <c r="U145" s="187"/>
      <c r="V145" s="187">
        <f ca="1">[1]!s_fa_roe(E145,$C$3)</f>
        <v>11.6614</v>
      </c>
      <c r="W145" s="187">
        <f ca="1">[1]!s_fa_grossprofitmargin(E145,$C$3)</f>
        <v>22.661000000000001</v>
      </c>
      <c r="X145" s="187">
        <f ca="1">[1]!s_fa_netprofitmargin(E145,$C$3)</f>
        <v>12.930300000000001</v>
      </c>
      <c r="Y145" s="187">
        <f ca="1">[1]!s_fa_roic(E145,$C$3)</f>
        <v>6.9714</v>
      </c>
      <c r="Z145" s="187">
        <f ca="1">[1]!s_fa_operateincometoebt_ttm2(E145,$C$3)</f>
        <v>98.306899999999999</v>
      </c>
      <c r="AA145" s="186"/>
      <c r="AB145" s="342"/>
      <c r="AC145" s="186">
        <f ca="1">[1]!s_fa_cagr_tr($E145,AC$6,3)</f>
        <v>0</v>
      </c>
      <c r="AD145" s="186">
        <f ca="1">[1]!s_fa_cagr_tr($E145,AD$6,3)</f>
        <v>18.295950634622127</v>
      </c>
      <c r="AE145" s="187">
        <f ca="1">[1]!s_fa_cagr_tr($E145,AE$6,3)</f>
        <v>25.299064944629901</v>
      </c>
      <c r="AF145" s="187">
        <f ca="1">[1]!s_fa_cagr_tr($E145,AF$6,3)</f>
        <v>21.918072938325707</v>
      </c>
      <c r="AG145" s="187">
        <f ca="1">[1]!s_fa_cagr_tr($E145,AG$6,3)</f>
        <v>14.40612367431382</v>
      </c>
      <c r="AH145" s="187">
        <f ca="1">[1]!s_fa_cagr_tr($E145,AH$6,3)</f>
        <v>8.9123443678311496</v>
      </c>
      <c r="AI145" s="194"/>
      <c r="AJ145" s="187">
        <f ca="1">[1]!s_fa_cagr_netprofit($E145,AJ$6,3)</f>
        <v>0</v>
      </c>
      <c r="AK145" s="187">
        <f ca="1">[1]!s_fa_cagr_netprofit($E145,AK$6,3)</f>
        <v>26.407842261435775</v>
      </c>
      <c r="AL145" s="187">
        <f ca="1">[1]!s_fa_cagr_netprofit($E145,AL$6,3)</f>
        <v>28.103508684581268</v>
      </c>
      <c r="AM145" s="187">
        <f ca="1">[1]!s_fa_cagr_netprofit($E145,AM$6,3)</f>
        <v>7.0838563676751676</v>
      </c>
      <c r="AN145" s="187">
        <f ca="1">[1]!s_fa_cagr_netprofit($E145,AN$6,3)</f>
        <v>8.6439295847838835</v>
      </c>
      <c r="AO145" s="187">
        <f ca="1">[1]!s_fa_cagr_netprofit($E145,AO$6,3)</f>
        <v>10.037301882172954</v>
      </c>
      <c r="AP145" s="189"/>
      <c r="AQ145" s="202">
        <f ca="1">[1]!s_fa_dupont_roe(E145,$C$3)</f>
        <v>11.6614</v>
      </c>
      <c r="AR145" s="202">
        <f ca="1">[1]!s_fa_dupont_nptosales(B145,$C$3)</f>
        <v>12.930300000000001</v>
      </c>
      <c r="AS145" s="237">
        <f ca="1">[1]!s_fa_dupont_faturnover(E145,$C$3)</f>
        <v>0.37590000000000001</v>
      </c>
      <c r="AT145" s="202">
        <f ca="1">[1]!s_fa_dupont_assetstoequity(E145,$C$3)</f>
        <v>2.2389000000000001</v>
      </c>
      <c r="AU145" s="189"/>
      <c r="AV145" s="189"/>
      <c r="AW145" s="189"/>
      <c r="AX145" s="189"/>
      <c r="AY145" s="189"/>
      <c r="AZ145" s="189"/>
      <c r="BA145" s="189"/>
      <c r="BB145" s="189"/>
      <c r="BC145" s="189"/>
      <c r="BD145" s="189"/>
      <c r="BE145" s="189"/>
    </row>
    <row r="146" spans="1:57" s="130" customFormat="1" ht="12" customHeight="1" x14ac:dyDescent="0.35">
      <c r="A146" s="121" t="s">
        <v>5</v>
      </c>
      <c r="B146" s="121" t="s">
        <v>60</v>
      </c>
      <c r="C146" s="121" t="s">
        <v>61</v>
      </c>
      <c r="D146" s="121" t="str">
        <f ca="1">[1]!cb_info_underlyingname(B146)</f>
        <v>大禹节水</v>
      </c>
      <c r="E146" s="122" t="str">
        <f ca="1">[1]!cb_info_underlyingcode(B146)</f>
        <v>300021.SZ</v>
      </c>
      <c r="F146" s="123" t="str">
        <f ca="1">[1]!s_info_industry_sw(B146,1)</f>
        <v>农林牧渔</v>
      </c>
      <c r="G146" s="123" t="str">
        <f ca="1">[1]!s_info_industry_sw(E146,2)</f>
        <v>农业综合Ⅱ</v>
      </c>
      <c r="H146" s="123" t="str">
        <f ca="1">[1]!s_info_industry_sw(E146,3)</f>
        <v>农业综合Ⅲ</v>
      </c>
      <c r="I146" s="156" t="str">
        <f ca="1">[1]!s_info_majorproducttype(E146)</f>
        <v>电子测试和测量仪器、高分子聚合物、塑胶机械</v>
      </c>
      <c r="J146" s="129">
        <f ca="1">[1]!s_val_ev(E146,$B$2,100000000)</f>
        <v>42.776931395399998</v>
      </c>
      <c r="K146" s="157">
        <f ca="1">[1]!s_share_total(E146,$B$2,100000000)</f>
        <v>8.0106613099999997</v>
      </c>
      <c r="L146" s="157">
        <f ca="1">[1]!s_share_liqa(E146,$B$2,100000000)</f>
        <v>6.3932245300000003</v>
      </c>
      <c r="M146" s="125">
        <f ca="1">[1]!s_fa_gr_ttm2(E146,$C$3,100000000)</f>
        <v>19.570549986700001</v>
      </c>
      <c r="N146" s="126">
        <f ca="1">[1]!s_fa_netprofit_ttm2(E146,$C$3,100000000)</f>
        <v>0.9376554143000001</v>
      </c>
      <c r="O146" s="125"/>
      <c r="P146" s="126">
        <f ca="1">[1]!s_val_pe_ttm(E146,[1]!td($B$2-1))</f>
        <v>41.504245758056641</v>
      </c>
      <c r="Q146" s="126">
        <f ca="1">[1]!i_val_pe_percentile(E146,[1]!td($B$2-1),$B$2-365*5,[1]!td($B$2-1))</f>
        <v>40.350877192982452</v>
      </c>
      <c r="R146" s="126">
        <f ca="1">[1]!pb_mrq(E146,[1]!td($B$2-1))</f>
        <v>2.9349119758929492</v>
      </c>
      <c r="S146" s="126">
        <f ca="1">[1]!i_val_pb_percentile(E146,[1]!td($B$2-1),$B$2-365*5,[1]!td($B$2-1))</f>
        <v>100</v>
      </c>
      <c r="T146" s="126">
        <f ca="1">[1]!s_val_pe_ttm([1]!to_windcode_index(H146&amp;"(申万)"),[1]!td($B$2-1))</f>
        <v>41.470001220703125</v>
      </c>
      <c r="U146" s="126"/>
      <c r="V146" s="126">
        <f ca="1">[1]!s_fa_roe(E146,$C$3)</f>
        <v>3.1333000000000002</v>
      </c>
      <c r="W146" s="126">
        <f ca="1">[1]!s_fa_grossprofitmargin(E146,$C$3)</f>
        <v>25.304400000000001</v>
      </c>
      <c r="X146" s="126">
        <f ca="1">[1]!s_fa_netprofitmargin(E146,$C$3)</f>
        <v>4.7590000000000003</v>
      </c>
      <c r="Y146" s="126">
        <f ca="1">[1]!s_fa_roic(E146,$C$3)</f>
        <v>3.0985</v>
      </c>
      <c r="Z146" s="126">
        <f ca="1">[1]!s_fa_operateincometoebt_ttm2(E146,$C$3)</f>
        <v>84.093400000000003</v>
      </c>
      <c r="AA146" s="125"/>
      <c r="AB146" s="343"/>
      <c r="AC146" s="125">
        <f ca="1">[1]!s_fa_cagr_tr($E146,AC$6,3)</f>
        <v>0</v>
      </c>
      <c r="AD146" s="125">
        <f ca="1">[1]!s_fa_cagr_tr($E146,AD$6,3)</f>
        <v>16.247356848978622</v>
      </c>
      <c r="AE146" s="126">
        <f ca="1">[1]!s_fa_cagr_tr($E146,AE$6,3)</f>
        <v>28.147559307058234</v>
      </c>
      <c r="AF146" s="126">
        <f ca="1">[1]!s_fa_cagr_tr($E146,AF$6,3)</f>
        <v>15.329842184073605</v>
      </c>
      <c r="AG146" s="126">
        <f ca="1">[1]!s_fa_cagr_tr($E146,AG$6,3)</f>
        <v>17.631235281226722</v>
      </c>
      <c r="AH146" s="126">
        <f ca="1">[1]!s_fa_cagr_tr($E146,AH$6,3)</f>
        <v>12.569151735116545</v>
      </c>
      <c r="AI146" s="169"/>
      <c r="AJ146" s="126">
        <f ca="1">[1]!s_fa_cagr_netprofit($E146,AJ$6,3)</f>
        <v>0</v>
      </c>
      <c r="AK146" s="126">
        <f ca="1">[1]!s_fa_cagr_netprofit($E146,AK$6,3)</f>
        <v>1.1515005531309797</v>
      </c>
      <c r="AL146" s="126">
        <f ca="1">[1]!s_fa_cagr_netprofit($E146,AL$6,3)</f>
        <v>28.860479736239817</v>
      </c>
      <c r="AM146" s="126">
        <f ca="1">[1]!s_fa_cagr_netprofit($E146,AM$6,3)</f>
        <v>17.741486052960131</v>
      </c>
      <c r="AN146" s="126">
        <f ca="1">[1]!s_fa_cagr_netprofit($E146,AN$6,3)</f>
        <v>66.200030818298103</v>
      </c>
      <c r="AO146" s="126">
        <f ca="1">[1]!s_fa_cagr_netprofit($E146,AO$6,3)</f>
        <v>52.353959456139897</v>
      </c>
      <c r="AP146" s="129"/>
      <c r="AQ146" s="203">
        <f ca="1">[1]!s_fa_dupont_roe(E146,$C$3)</f>
        <v>3.1333000000000002</v>
      </c>
      <c r="AR146" s="203">
        <f ca="1">[1]!s_fa_dupont_nptosales(B146,$C$3)</f>
        <v>4.7590000000000003</v>
      </c>
      <c r="AS146" s="238">
        <f ca="1">[1]!s_fa_dupont_faturnover(E146,$C$3)</f>
        <v>0.25850000000000001</v>
      </c>
      <c r="AT146" s="203">
        <f ca="1">[1]!s_fa_dupont_assetstoequity(E146,$C$3)</f>
        <v>2.78</v>
      </c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129"/>
      <c r="BE146" s="129"/>
    </row>
    <row r="147" spans="1:57" s="191" customFormat="1" ht="12" customHeight="1" x14ac:dyDescent="0.35">
      <c r="A147" s="182" t="s">
        <v>5</v>
      </c>
      <c r="B147" s="182" t="s">
        <v>467</v>
      </c>
      <c r="C147" s="182" t="s">
        <v>468</v>
      </c>
      <c r="D147" s="182" t="str">
        <f ca="1">[1]!cb_info_underlyingname(B147)</f>
        <v>众兴菌业</v>
      </c>
      <c r="E147" s="183" t="str">
        <f ca="1">[1]!cb_info_underlyingcode(B147)</f>
        <v>002772.SZ</v>
      </c>
      <c r="F147" s="184" t="str">
        <f ca="1">[1]!s_info_industry_sw(B147,1)</f>
        <v>农林牧渔</v>
      </c>
      <c r="G147" s="184" t="str">
        <f ca="1">[1]!s_info_industry_sw(E147,2)</f>
        <v>种植业</v>
      </c>
      <c r="H147" s="184" t="str">
        <f ca="1">[1]!s_info_industry_sw(E147,3)</f>
        <v>粮食种植</v>
      </c>
      <c r="I147" s="192" t="str">
        <f ca="1">[1]!s_info_majorproducttype(E147)</f>
        <v>菌藻类</v>
      </c>
      <c r="J147" s="189">
        <f ca="1">[1]!s_val_ev(E147,$B$2,100000000)</f>
        <v>49.530599683999995</v>
      </c>
      <c r="K147" s="193">
        <f ca="1">[1]!s_share_total(E147,$B$2,100000000)</f>
        <v>4.05988522</v>
      </c>
      <c r="L147" s="193">
        <f ca="1">[1]!s_share_liqa(E147,$B$2,100000000)</f>
        <v>2.5954066400000002</v>
      </c>
      <c r="M147" s="186">
        <f ca="1">[1]!s_fa_gr_ttm2(E147,$C$3,100000000)</f>
        <v>14.2196193295</v>
      </c>
      <c r="N147" s="187">
        <f ca="1">[1]!s_fa_netprofit_ttm2(E147,$C$3,100000000)</f>
        <v>1.4962608461000002</v>
      </c>
      <c r="O147" s="186"/>
      <c r="P147" s="187">
        <f ca="1">[1]!s_val_pe_ttm(E147,[1]!td($B$2-1))</f>
        <v>34.084102630615234</v>
      </c>
      <c r="Q147" s="187">
        <f ca="1">[1]!i_val_pe_percentile(E147,[1]!td($B$2-1),$B$2-365*5,[1]!td($B$2-1))</f>
        <v>57.401315789473685</v>
      </c>
      <c r="R147" s="187">
        <f ca="1">[1]!pb_mrq(E147,[1]!td($B$2-1))</f>
        <v>1.6468773376551105</v>
      </c>
      <c r="S147" s="187">
        <f ca="1">[1]!i_val_pb_percentile(E147,[1]!td($B$2-1),$B$2-365*5,[1]!td($B$2-1))</f>
        <v>68.530701754385973</v>
      </c>
      <c r="T147" s="187">
        <f ca="1">[1]!s_val_pe_ttm([1]!to_windcode_index(H147&amp;"(申万)"),[1]!td($B$2-1))</f>
        <v>30.440000534057617</v>
      </c>
      <c r="U147" s="187"/>
      <c r="V147" s="187">
        <f ca="1">[1]!s_fa_roe(E147,$C$3)</f>
        <v>4.5957999999999997</v>
      </c>
      <c r="W147" s="187">
        <f ca="1">[1]!s_fa_grossprofitmargin(E147,$C$3)</f>
        <v>25.7178</v>
      </c>
      <c r="X147" s="187">
        <f ca="1">[1]!s_fa_netprofitmargin(E147,$C$3)</f>
        <v>11.7117</v>
      </c>
      <c r="Y147" s="187">
        <f ca="1">[1]!s_fa_roic(E147,$C$3)</f>
        <v>3.2654999999999998</v>
      </c>
      <c r="Z147" s="187">
        <f ca="1">[1]!s_fa_operateincometoebt_ttm2(E147,$C$3)</f>
        <v>91.746200000000002</v>
      </c>
      <c r="AA147" s="186"/>
      <c r="AB147" s="342"/>
      <c r="AC147" s="186">
        <f ca="1">[1]!s_fa_cagr_tr($E147,AC$6,3)</f>
        <v>0</v>
      </c>
      <c r="AD147" s="186">
        <f ca="1">[1]!s_fa_cagr_tr($E147,AD$6,3)</f>
        <v>26.094006148773307</v>
      </c>
      <c r="AE147" s="187">
        <f ca="1">[1]!s_fa_cagr_tr($E147,AE$6,3)</f>
        <v>25.48017212203877</v>
      </c>
      <c r="AF147" s="187">
        <f ca="1">[1]!s_fa_cagr_tr($E147,AF$6,3)</f>
        <v>24.547653497292931</v>
      </c>
      <c r="AG147" s="187">
        <f ca="1">[1]!s_fa_cagr_tr($E147,AG$6,3)</f>
        <v>24.484687844421394</v>
      </c>
      <c r="AH147" s="187">
        <f ca="1">[1]!s_fa_cagr_tr($E147,AH$6,3)</f>
        <v>30.383045641619798</v>
      </c>
      <c r="AI147" s="194"/>
      <c r="AJ147" s="187">
        <f ca="1">[1]!s_fa_cagr_netprofit($E147,AJ$6,3)</f>
        <v>0</v>
      </c>
      <c r="AK147" s="187">
        <f ca="1">[1]!s_fa_cagr_netprofit($E147,AK$6,3)</f>
        <v>9.9213032657481151</v>
      </c>
      <c r="AL147" s="187">
        <f ca="1">[1]!s_fa_cagr_netprofit($E147,AL$6,3)</f>
        <v>-24.431464220077046</v>
      </c>
      <c r="AM147" s="187">
        <f ca="1">[1]!s_fa_cagr_netprofit($E147,AM$6,3)</f>
        <v>-0.71687828560491607</v>
      </c>
      <c r="AN147" s="187">
        <f ca="1">[1]!s_fa_cagr_netprofit($E147,AN$6,3)</f>
        <v>16.113826007138133</v>
      </c>
      <c r="AO147" s="187">
        <f ca="1">[1]!s_fa_cagr_netprofit($E147,AO$6,3)</f>
        <v>42.524676368751699</v>
      </c>
      <c r="AP147" s="189"/>
      <c r="AQ147" s="202">
        <f ca="1">[1]!s_fa_dupont_roe(E147,$C$3)</f>
        <v>4.5957999999999997</v>
      </c>
      <c r="AR147" s="202">
        <f ca="1">[1]!s_fa_dupont_nptosales(B147,$C$3)</f>
        <v>11.7117</v>
      </c>
      <c r="AS147" s="237">
        <f ca="1">[1]!s_fa_dupont_faturnover(E147,$C$3)</f>
        <v>0.19750000000000001</v>
      </c>
      <c r="AT147" s="202">
        <f ca="1">[1]!s_fa_dupont_assetstoequity(E147,$C$3)</f>
        <v>1.9941</v>
      </c>
      <c r="AU147" s="189"/>
      <c r="AV147" s="201"/>
      <c r="AW147" s="189"/>
      <c r="AX147" s="189"/>
      <c r="AY147" s="189"/>
      <c r="AZ147" s="189"/>
      <c r="BA147" s="189"/>
      <c r="BB147" s="189"/>
      <c r="BC147" s="189"/>
      <c r="BD147" s="189"/>
      <c r="BE147" s="189"/>
    </row>
    <row r="148" spans="1:57" s="130" customFormat="1" ht="12" customHeight="1" x14ac:dyDescent="0.35">
      <c r="A148" s="121" t="s">
        <v>0</v>
      </c>
      <c r="B148" s="121" t="s">
        <v>198</v>
      </c>
      <c r="C148" s="121" t="s">
        <v>199</v>
      </c>
      <c r="D148" s="121" t="str">
        <f ca="1">[1]!cb_info_underlyingname(B148)</f>
        <v>宏辉果蔬</v>
      </c>
      <c r="E148" s="122" t="str">
        <f ca="1">[1]!cb_info_underlyingcode(B148)</f>
        <v>603336.SH</v>
      </c>
      <c r="F148" s="123" t="str">
        <f ca="1">[1]!s_info_industry_sw(B148,1)</f>
        <v>农林牧渔</v>
      </c>
      <c r="G148" s="123" t="str">
        <f ca="1">[1]!s_info_industry_sw(E148,2)</f>
        <v>种植业</v>
      </c>
      <c r="H148" s="123" t="str">
        <f ca="1">[1]!s_info_industry_sw(E148,3)</f>
        <v>其他种植业</v>
      </c>
      <c r="I148" s="156" t="str">
        <f ca="1">[1]!s_info_majorproducttype(E148)</f>
        <v>蔬菜类、水果类</v>
      </c>
      <c r="J148" s="129">
        <f ca="1">[1]!s_val_ev(E148,$B$2,100000000)</f>
        <v>29.0841411627</v>
      </c>
      <c r="K148" s="157">
        <f ca="1">[1]!s_share_total(E148,$B$2,100000000)</f>
        <v>4.3867482899999999</v>
      </c>
      <c r="L148" s="157">
        <f ca="1">[1]!s_share_liqa(E148,$B$2,100000000)</f>
        <v>4.3867482899999999</v>
      </c>
      <c r="M148" s="125">
        <f ca="1">[1]!s_fa_gr_ttm2(E148,$C$3,100000000)</f>
        <v>9.3063497952999992</v>
      </c>
      <c r="N148" s="126">
        <f ca="1">[1]!s_fa_netprofit_ttm2(E148,$C$3,100000000)</f>
        <v>0.70574726290000012</v>
      </c>
      <c r="O148" s="125"/>
      <c r="P148" s="126">
        <f ca="1">[1]!s_val_pe_ttm(E148,[1]!td($B$2-1))</f>
        <v>50.428764343261719</v>
      </c>
      <c r="Q148" s="126">
        <f ca="1">[1]!i_val_pe_percentile(E148,[1]!td($B$2-1),$B$2-365*5,[1]!td($B$2-1))</f>
        <v>52.059496567505725</v>
      </c>
      <c r="R148" s="126">
        <f ca="1">[1]!pb_mrq(E148,[1]!td($B$2-1))</f>
        <v>2.8230471950240612</v>
      </c>
      <c r="S148" s="126">
        <f ca="1">[1]!i_val_pb_percentile(E148,[1]!td($B$2-1),$B$2-365*5,[1]!td($B$2-1))</f>
        <v>1.7734553775743707</v>
      </c>
      <c r="T148" s="126">
        <f ca="1">[1]!s_val_pe_ttm([1]!to_windcode_index(H148&amp;"(申万)"),[1]!td($B$2-1))</f>
        <v>141.30999755859375</v>
      </c>
      <c r="U148" s="126"/>
      <c r="V148" s="126">
        <f ca="1">[1]!s_fa_roe(E148,$C$3)</f>
        <v>5.9485000000000001</v>
      </c>
      <c r="W148" s="126">
        <f ca="1">[1]!s_fa_grossprofitmargin(E148,$C$3)</f>
        <v>14.0275</v>
      </c>
      <c r="X148" s="126">
        <f ca="1">[1]!s_fa_netprofitmargin(E148,$C$3)</f>
        <v>8.0411999999999999</v>
      </c>
      <c r="Y148" s="126">
        <f ca="1">[1]!s_fa_roic(E148,$C$3)</f>
        <v>5.0762999999999998</v>
      </c>
      <c r="Z148" s="126">
        <f ca="1">[1]!s_fa_operateincometoebt_ttm2(E148,$C$3)</f>
        <v>89.132000000000005</v>
      </c>
      <c r="AA148" s="125"/>
      <c r="AB148" s="343"/>
      <c r="AC148" s="125">
        <f ca="1">[1]!s_fa_cagr_tr($E148,AC$6,3)</f>
        <v>0</v>
      </c>
      <c r="AD148" s="125">
        <f ca="1">[1]!s_fa_cagr_tr($E148,AD$6,3)</f>
        <v>12.10322123726093</v>
      </c>
      <c r="AE148" s="126">
        <f ca="1">[1]!s_fa_cagr_tr($E148,AE$6,3)</f>
        <v>8.0001120156947039</v>
      </c>
      <c r="AF148" s="126">
        <f ca="1">[1]!s_fa_cagr_tr($E148,AF$6,3)</f>
        <v>6.510602614447536</v>
      </c>
      <c r="AG148" s="126">
        <f ca="1">[1]!s_fa_cagr_tr($E148,AG$6,3)</f>
        <v>9.7167949872872139</v>
      </c>
      <c r="AH148" s="126">
        <f ca="1">[1]!s_fa_cagr_tr($E148,AH$6,3)</f>
        <v>13.554659284394099</v>
      </c>
      <c r="AI148" s="169"/>
      <c r="AJ148" s="126">
        <f ca="1">[1]!s_fa_cagr_netprofit($E148,AJ$6,3)</f>
        <v>0</v>
      </c>
      <c r="AK148" s="126">
        <f ca="1">[1]!s_fa_cagr_netprofit($E148,AK$6,3)</f>
        <v>4.9282870572643578</v>
      </c>
      <c r="AL148" s="126">
        <f ca="1">[1]!s_fa_cagr_netprofit($E148,AL$6,3)</f>
        <v>9.2190799022915151</v>
      </c>
      <c r="AM148" s="126">
        <f ca="1">[1]!s_fa_cagr_netprofit($E148,AM$6,3)</f>
        <v>0.85470355499932538</v>
      </c>
      <c r="AN148" s="126">
        <f ca="1">[1]!s_fa_cagr_netprofit($E148,AN$6,3)</f>
        <v>11.040686328158579</v>
      </c>
      <c r="AO148" s="126">
        <f ca="1">[1]!s_fa_cagr_netprofit($E148,AO$6,3)</f>
        <v>14.309084431096085</v>
      </c>
      <c r="AP148" s="129"/>
      <c r="AQ148" s="203">
        <f ca="1">[1]!s_fa_dupont_roe(E148,$C$3)</f>
        <v>5.9485000000000001</v>
      </c>
      <c r="AR148" s="203">
        <f ca="1">[1]!s_fa_dupont_nptosales(B148,$C$3)</f>
        <v>8.0411999999999999</v>
      </c>
      <c r="AS148" s="238">
        <f ca="1">[1]!s_fa_dupont_faturnover(E148,$C$3)</f>
        <v>0.53800000000000003</v>
      </c>
      <c r="AT148" s="203">
        <f ca="1">[1]!s_fa_dupont_assetstoequity(E148,$C$3)</f>
        <v>1.375</v>
      </c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129"/>
      <c r="BE148" s="129"/>
    </row>
    <row r="149" spans="1:57" s="191" customFormat="1" ht="12" customHeight="1" x14ac:dyDescent="0.35">
      <c r="A149" s="182" t="s">
        <v>0</v>
      </c>
      <c r="B149" s="182" t="s">
        <v>549</v>
      </c>
      <c r="C149" s="182" t="s">
        <v>550</v>
      </c>
      <c r="D149" s="182" t="str">
        <f ca="1">[1]!cb_info_underlyingname(B149)</f>
        <v>大秦铁路</v>
      </c>
      <c r="E149" s="183" t="str">
        <f ca="1">[1]!cb_info_underlyingcode(B149)</f>
        <v>601006.SH</v>
      </c>
      <c r="F149" s="184" t="str">
        <f ca="1">[1]!s_info_industry_sw(B149,1)</f>
        <v>交通运输</v>
      </c>
      <c r="G149" s="184" t="str">
        <f ca="1">[1]!s_info_industry_sw(E149,2)</f>
        <v>铁路运输Ⅱ</v>
      </c>
      <c r="H149" s="184" t="str">
        <f ca="1">[1]!s_info_industry_sw(E149,3)</f>
        <v>铁路运输Ⅲ</v>
      </c>
      <c r="I149" s="192" t="str">
        <f ca="1">[1]!s_info_majorproducttype(E149)</f>
        <v>铁路货运、铁路客运</v>
      </c>
      <c r="J149" s="189">
        <f ca="1">[1]!s_val_ev(E149,$B$2,100000000)</f>
        <v>936.61308594000002</v>
      </c>
      <c r="K149" s="193">
        <f ca="1">[1]!s_share_total(E149,$B$2,100000000)</f>
        <v>148.66874379999999</v>
      </c>
      <c r="L149" s="193">
        <f ca="1">[1]!s_share_liqa(E149,$B$2,100000000)</f>
        <v>148.66874379999999</v>
      </c>
      <c r="M149" s="186">
        <f ca="1">[1]!s_fa_gr_ttm2(E149,$C$3,100000000)</f>
        <v>727.23126324999998</v>
      </c>
      <c r="N149" s="187">
        <f ca="1">[1]!s_fa_netprofit_ttm2(E149,$C$3,100000000)</f>
        <v>104.81247515</v>
      </c>
      <c r="O149" s="186"/>
      <c r="P149" s="187">
        <f ca="1">[1]!s_val_pe_ttm(E149,[1]!td($B$2-1))</f>
        <v>7.327338695526123</v>
      </c>
      <c r="Q149" s="187">
        <f ca="1">[1]!i_val_pe_percentile(E149,[1]!td($B$2-1),$B$2-365*5,[1]!td($B$2-1))</f>
        <v>4.057017543859649</v>
      </c>
      <c r="R149" s="187">
        <f ca="1">[1]!pb_mrq(E149,[1]!td($B$2-1))</f>
        <v>0.79748911920739463</v>
      </c>
      <c r="S149" s="187">
        <f ca="1">[1]!i_val_pb_percentile(E149,[1]!td($B$2-1),$B$2-365*5,[1]!td($B$2-1))</f>
        <v>1.3706140350877192</v>
      </c>
      <c r="T149" s="187">
        <f ca="1">[1]!s_val_pe_ttm([1]!to_windcode_index(H149&amp;"(申万)"),[1]!td($B$2-1))</f>
        <v>16.739999771118164</v>
      </c>
      <c r="U149" s="187"/>
      <c r="V149" s="187">
        <f ca="1">[1]!s_fa_roe(E149,$C$3)</f>
        <v>7.7363999999999997</v>
      </c>
      <c r="W149" s="187">
        <f ca="1">[1]!s_fa_grossprofitmargin(E149,$C$3)</f>
        <v>21.225100000000001</v>
      </c>
      <c r="X149" s="187">
        <f ca="1">[1]!s_fa_netprofitmargin(E149,$C$3)</f>
        <v>18.6784</v>
      </c>
      <c r="Y149" s="187">
        <f ca="1">[1]!s_fa_roic(E149,$C$3)</f>
        <v>7.3943000000000003</v>
      </c>
      <c r="Z149" s="187">
        <f ca="1">[1]!s_fa_operateincometoebt_ttm2(E149,$C$3)</f>
        <v>83.321200000000005</v>
      </c>
      <c r="AA149" s="186"/>
      <c r="AB149" s="342"/>
      <c r="AC149" s="186">
        <f ca="1">[1]!s_fa_cagr_tr($E149,AC$6,3)</f>
        <v>0</v>
      </c>
      <c r="AD149" s="186">
        <f ca="1">[1]!s_fa_cagr_tr($E149,AD$6,3)</f>
        <v>9.1364774129959478</v>
      </c>
      <c r="AE149" s="187">
        <f ca="1">[1]!s_fa_cagr_tr($E149,AE$6,3)</f>
        <v>21.437814493792608</v>
      </c>
      <c r="AF149" s="187">
        <f ca="1">[1]!s_fa_cagr_tr($E149,AF$6,3)</f>
        <v>14.251929981045652</v>
      </c>
      <c r="AG149" s="187">
        <f ca="1">[1]!s_fa_cagr_tr($E149,AG$6,3)</f>
        <v>1.0184034697238165</v>
      </c>
      <c r="AH149" s="187">
        <f ca="1">[1]!s_fa_cagr_tr($E149,AH$6,3)</f>
        <v>-4.5668320456243254</v>
      </c>
      <c r="AI149" s="194"/>
      <c r="AJ149" s="187">
        <f ca="1">[1]!s_fa_cagr_netprofit($E149,AJ$6,3)</f>
        <v>0</v>
      </c>
      <c r="AK149" s="187">
        <f ca="1">[1]!s_fa_cagr_netprofit($E149,AK$6,3)</f>
        <v>-6.5462788065203892</v>
      </c>
      <c r="AL149" s="187">
        <f ca="1">[1]!s_fa_cagr_netprofit($E149,AL$6,3)</f>
        <v>24.005091846591498</v>
      </c>
      <c r="AM149" s="187">
        <f ca="1">[1]!s_fa_cagr_netprofit($E149,AM$6,3)</f>
        <v>4.7671827714863335</v>
      </c>
      <c r="AN149" s="187">
        <f ca="1">[1]!s_fa_cagr_netprofit($E149,AN$6,3)</f>
        <v>-2.0025544729349143</v>
      </c>
      <c r="AO149" s="187">
        <f ca="1">[1]!s_fa_cagr_netprofit($E149,AO$6,3)</f>
        <v>-17.338286872612173</v>
      </c>
      <c r="AP149" s="189"/>
      <c r="AQ149" s="202">
        <f ca="1">[1]!s_fa_dupont_roe(E149,$C$3)</f>
        <v>7.7363999999999997</v>
      </c>
      <c r="AR149" s="202">
        <f ca="1">[1]!s_fa_dupont_nptosales(B149,$C$3)</f>
        <v>18.6784</v>
      </c>
      <c r="AS149" s="237">
        <f ca="1">[1]!s_fa_dupont_faturnover(E149,$C$3)</f>
        <v>0.35420000000000001</v>
      </c>
      <c r="AT149" s="202">
        <f ca="1">[1]!s_fa_dupont_assetstoequity(E149,$C$3)</f>
        <v>1.2926</v>
      </c>
      <c r="AU149" s="189"/>
      <c r="AV149" s="189"/>
      <c r="AW149" s="189"/>
      <c r="AX149" s="189"/>
      <c r="AY149" s="189"/>
      <c r="AZ149" s="189"/>
      <c r="BA149" s="189"/>
      <c r="BB149" s="189"/>
      <c r="BC149" s="189"/>
      <c r="BD149" s="189"/>
      <c r="BE149" s="189"/>
    </row>
    <row r="150" spans="1:57" s="130" customFormat="1" ht="12" customHeight="1" x14ac:dyDescent="0.35">
      <c r="A150" s="121" t="s">
        <v>0</v>
      </c>
      <c r="B150" s="121" t="s">
        <v>539</v>
      </c>
      <c r="C150" s="121" t="s">
        <v>540</v>
      </c>
      <c r="D150" s="121" t="str">
        <f ca="1">[1]!cb_info_underlyingname(B150)</f>
        <v>南方航空</v>
      </c>
      <c r="E150" s="122" t="str">
        <f ca="1">[1]!cb_info_underlyingcode(B150)</f>
        <v>600029.SH</v>
      </c>
      <c r="F150" s="123" t="str">
        <f ca="1">[1]!s_info_industry_sw(B150,1)</f>
        <v>交通运输</v>
      </c>
      <c r="G150" s="123" t="str">
        <f ca="1">[1]!s_info_industry_sw(E150,2)</f>
        <v>航空运输Ⅱ</v>
      </c>
      <c r="H150" s="123" t="str">
        <f ca="1">[1]!s_info_industry_sw(E150,3)</f>
        <v>航空运输Ⅲ</v>
      </c>
      <c r="I150" s="156" t="str">
        <f ca="1">[1]!s_info_majorproducttype(E150)</f>
        <v>航空客运、航空物流</v>
      </c>
      <c r="J150" s="129">
        <f ca="1">[1]!s_val_ev(E150,$B$2,100000000)</f>
        <v>928.22442989051717</v>
      </c>
      <c r="K150" s="157">
        <f ca="1">[1]!s_share_total(E150,$B$2,100000000)</f>
        <v>169.48413206999999</v>
      </c>
      <c r="L150" s="157">
        <f ca="1">[1]!s_share_liqa(E150,$B$2,100000000)</f>
        <v>97.306312430000006</v>
      </c>
      <c r="M150" s="125">
        <f ca="1">[1]!s_fa_gr_ttm2(E150,$C$3,100000000)</f>
        <v>1030.07</v>
      </c>
      <c r="N150" s="126">
        <f ca="1">[1]!s_fa_netprofit_ttm2(E150,$C$3,100000000)</f>
        <v>-88.9</v>
      </c>
      <c r="O150" s="125"/>
      <c r="P150" s="126">
        <f ca="1">[1]!s_val_pe_ttm(E150,[1]!td($B$2-1))</f>
        <v>-13.939355850219727</v>
      </c>
      <c r="Q150" s="126">
        <f ca="1">[1]!i_val_pe_percentile(E150,[1]!td($B$2-1),$B$2-365*5,[1]!td($B$2-1))</f>
        <v>0</v>
      </c>
      <c r="R150" s="126">
        <f ca="1">[1]!pb_mrq(E150,[1]!td($B$2-1))</f>
        <v>1.366242953489627</v>
      </c>
      <c r="S150" s="126">
        <f ca="1">[1]!i_val_pb_percentile(E150,[1]!td($B$2-1),$B$2-365*5,[1]!td($B$2-1))</f>
        <v>46.600877192982452</v>
      </c>
      <c r="T150" s="126">
        <f ca="1">[1]!s_val_pe_ttm([1]!to_windcode_index(H150&amp;"(申万)"),[1]!td($B$2-1))</f>
        <v>209.35000610351563</v>
      </c>
      <c r="U150" s="125"/>
      <c r="V150" s="125">
        <f ca="1">[1]!s_fa_roe(E150,$C$3)</f>
        <v>-10.9787</v>
      </c>
      <c r="W150" s="125">
        <f ca="1">[1]!s_fa_grossprofitmargin(E150,$C$3)</f>
        <v>-3.4001999999999999</v>
      </c>
      <c r="X150" s="125">
        <f ca="1">[1]!s_fa_netprofitmargin(E150,$C$3)</f>
        <v>-13.077299999999999</v>
      </c>
      <c r="Y150" s="125">
        <f ca="1">[1]!s_fa_roic(E150,$C$3)</f>
        <v>-3.8391000000000002</v>
      </c>
      <c r="Z150" s="125">
        <f ca="1">[1]!s_fa_operateincometoebt_ttm2(E150,$C$3)</f>
        <v>0</v>
      </c>
      <c r="AA150" s="125"/>
      <c r="AB150" s="343"/>
      <c r="AC150" s="125">
        <f ca="1">[1]!s_fa_cagr_tr($E150,AC$6,3)</f>
        <v>0</v>
      </c>
      <c r="AD150" s="125">
        <f ca="1">[1]!s_fa_cagr_tr($E150,AD$6,3)</f>
        <v>-10.122336362002427</v>
      </c>
      <c r="AE150" s="126">
        <f ca="1">[1]!s_fa_cagr_tr($E150,AE$6,3)</f>
        <v>10.366873562396716</v>
      </c>
      <c r="AF150" s="126">
        <f ca="1">[1]!s_fa_cagr_tr($E150,AF$6,3)</f>
        <v>8.81595061987246</v>
      </c>
      <c r="AG150" s="126">
        <f ca="1">[1]!s_fa_cagr_tr($E150,AG$6,3)</f>
        <v>5.5838214460055546</v>
      </c>
      <c r="AH150" s="126">
        <f ca="1">[1]!s_fa_cagr_tr($E150,AH$6,3)</f>
        <v>5.366674784522063</v>
      </c>
      <c r="AI150" s="169"/>
      <c r="AJ150" s="126">
        <f ca="1">[1]!s_fa_cagr_netprofit($E150,AJ$6,3)</f>
        <v>0</v>
      </c>
      <c r="AK150" s="126">
        <f ca="1">[1]!s_fa_cagr_netprofit($E150,AK$6,3)</f>
        <v>-222.38908677775035</v>
      </c>
      <c r="AL150" s="126">
        <f ca="1">[1]!s_fa_cagr_netprofit($E150,AL$6,3)</f>
        <v>-19.357709258445688</v>
      </c>
      <c r="AM150" s="126">
        <f ca="1">[1]!s_fa_cagr_netprofit($E150,AM$6,3)</f>
        <v>-8.1611201059428318</v>
      </c>
      <c r="AN150" s="126">
        <f ca="1">[1]!s_fa_cagr_netprofit($E150,AN$6,3)</f>
        <v>49.413851725572158</v>
      </c>
      <c r="AO150" s="126">
        <f ca="1">[1]!s_fa_cagr_netprofit($E150,AO$6,3)</f>
        <v>38.687498604983176</v>
      </c>
      <c r="AP150" s="129"/>
      <c r="AQ150" s="203">
        <f ca="1">[1]!s_fa_dupont_roe(E150,$C$3)</f>
        <v>-10.9787</v>
      </c>
      <c r="AR150" s="203">
        <f ca="1">[1]!s_fa_dupont_nptosales(B150,$C$3)</f>
        <v>-13.077299999999999</v>
      </c>
      <c r="AS150" s="238">
        <f ca="1">[1]!s_fa_dupont_faturnover(E150,$C$3)</f>
        <v>0.21010000000000001</v>
      </c>
      <c r="AT150" s="203">
        <f ca="1">[1]!s_fa_dupont_assetstoequity(E150,$C$3)</f>
        <v>4.5761000000000003</v>
      </c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129"/>
      <c r="BE150" s="129"/>
    </row>
    <row r="151" spans="1:57" s="191" customFormat="1" ht="12" customHeight="1" x14ac:dyDescent="0.35">
      <c r="A151" s="182" t="s">
        <v>5</v>
      </c>
      <c r="B151" s="182" t="s">
        <v>344</v>
      </c>
      <c r="C151" s="182" t="s">
        <v>345</v>
      </c>
      <c r="D151" s="182" t="str">
        <f ca="1">[1]!cb_info_underlyingname(B151)</f>
        <v>招商公路</v>
      </c>
      <c r="E151" s="183" t="str">
        <f ca="1">[1]!cb_info_underlyingcode(B151)</f>
        <v>001965.SZ</v>
      </c>
      <c r="F151" s="184" t="str">
        <f ca="1">[1]!s_info_industry_sw(B151,1)</f>
        <v>交通运输</v>
      </c>
      <c r="G151" s="184" t="str">
        <f ca="1">[1]!s_info_industry_sw(E151,2)</f>
        <v>高速公路Ⅱ</v>
      </c>
      <c r="H151" s="184" t="str">
        <f ca="1">[1]!s_info_industry_sw(E151,3)</f>
        <v>高速公路Ⅲ</v>
      </c>
      <c r="I151" s="192" t="str">
        <f ca="1">[1]!s_info_majorproducttype(E151)</f>
        <v>高速公路收费、专用设备与零部件</v>
      </c>
      <c r="J151" s="189">
        <f ca="1">[1]!s_val_ev(E151,$B$2,100000000)</f>
        <v>468.92762398349998</v>
      </c>
      <c r="K151" s="193">
        <f ca="1">[1]!s_share_total(E151,$B$2,100000000)</f>
        <v>61.782295650000002</v>
      </c>
      <c r="L151" s="193">
        <f ca="1">[1]!s_share_liqa(E151,$B$2,100000000)</f>
        <v>19.32803685</v>
      </c>
      <c r="M151" s="186">
        <f ca="1">[1]!s_fa_gr_ttm2(E151,$C$3,100000000)</f>
        <v>69.585516308899997</v>
      </c>
      <c r="N151" s="187">
        <f ca="1">[1]!s_fa_netprofit_ttm2(E151,$C$3,100000000)</f>
        <v>22.515571756</v>
      </c>
      <c r="O151" s="186"/>
      <c r="P151" s="187">
        <f ca="1">[1]!s_val_pe_ttm(E151,[1]!td($B$2-1))</f>
        <v>9.0246620178222656</v>
      </c>
      <c r="Q151" s="187">
        <f ca="1">[1]!i_val_pe_percentile(E151,[1]!td($B$2-1),$B$2-365*5,[1]!td($B$2-1))</f>
        <v>0.59171597633136097</v>
      </c>
      <c r="R151" s="187">
        <f ca="1">[1]!pb_mrq(E151,[1]!td($B$2-1))</f>
        <v>0.93389257185520702</v>
      </c>
      <c r="S151" s="187">
        <f ca="1">[1]!i_val_pb_percentile(E151,[1]!td($B$2-1),$B$2-365*5,[1]!td($B$2-1))</f>
        <v>28.032544378698226</v>
      </c>
      <c r="T151" s="187">
        <f ca="1">[1]!s_val_pe_ttm([1]!to_windcode_index(H151&amp;"(申万)"),[1]!td($B$2-1))</f>
        <v>8.6000003814697266</v>
      </c>
      <c r="U151" s="187"/>
      <c r="V151" s="187">
        <f ca="1">[1]!s_fa_roe(E151,$C$3)</f>
        <v>2.4712999999999998</v>
      </c>
      <c r="W151" s="187">
        <f ca="1">[1]!s_fa_grossprofitmargin(E151,$C$3)</f>
        <v>33.721400000000003</v>
      </c>
      <c r="X151" s="187">
        <f ca="1">[1]!s_fa_netprofitmargin(E151,$C$3)</f>
        <v>32.635399999999997</v>
      </c>
      <c r="Y151" s="187">
        <f ca="1">[1]!s_fa_roic(E151,$C$3)</f>
        <v>2.5436000000000001</v>
      </c>
      <c r="Z151" s="187">
        <f ca="1">[1]!s_fa_operateincometoebt_ttm2(E151,$C$3)</f>
        <v>25.713000000000001</v>
      </c>
      <c r="AA151" s="186"/>
      <c r="AB151" s="342"/>
      <c r="AC151" s="186">
        <f ca="1">[1]!s_fa_cagr_tr($E151,AC$6,3)</f>
        <v>0</v>
      </c>
      <c r="AD151" s="186">
        <f ca="1">[1]!s_fa_cagr_tr($E151,AD$6,3)</f>
        <v>9.7958442329940443</v>
      </c>
      <c r="AE151" s="187">
        <f ca="1">[1]!s_fa_cagr_tr($E151,AE$6,3)</f>
        <v>17.440423369287195</v>
      </c>
      <c r="AF151" s="187">
        <f ca="1">[1]!s_fa_cagr_tr($E151,AF$6,3)</f>
        <v>34.786116173110585</v>
      </c>
      <c r="AG151" s="187">
        <f ca="1">[1]!s_fa_cagr_tr($E151,AG$6,3)</f>
        <v>30.620916564523213</v>
      </c>
      <c r="AH151" s="187">
        <f ca="1">[1]!s_fa_cagr_tr($E151,AH$6,3)</f>
        <v>41.069271850434184</v>
      </c>
      <c r="AI151" s="194"/>
      <c r="AJ151" s="187">
        <f ca="1">[1]!s_fa_cagr_netprofit($E151,AJ$6,3)</f>
        <v>0</v>
      </c>
      <c r="AK151" s="187">
        <f ca="1">[1]!s_fa_cagr_netprofit($E151,AK$6,3)</f>
        <v>-12.939435342532946</v>
      </c>
      <c r="AL151" s="187">
        <f ca="1">[1]!s_fa_cagr_netprofit($E151,AL$6,3)</f>
        <v>13.76289544366951</v>
      </c>
      <c r="AM151" s="187">
        <f ca="1">[1]!s_fa_cagr_netprofit($E151,AM$6,3)</f>
        <v>8.0742143086615759</v>
      </c>
      <c r="AN151" s="187">
        <f ca="1">[1]!s_fa_cagr_netprofit($E151,AN$6,3)</f>
        <v>11.001301924811834</v>
      </c>
      <c r="AO151" s="187">
        <f ca="1">[1]!s_fa_cagr_netprofit($E151,AO$6,3)</f>
        <v>8.0893954608818106</v>
      </c>
      <c r="AP151" s="189"/>
      <c r="AQ151" s="202">
        <f ca="1">[1]!s_fa_dupont_roe(E151,$C$3)</f>
        <v>2.4712999999999998</v>
      </c>
      <c r="AR151" s="202">
        <f ca="1">[1]!s_fa_dupont_nptosales(B151,$C$3)</f>
        <v>32.635399999999997</v>
      </c>
      <c r="AS151" s="237">
        <f ca="1">[1]!s_fa_dupont_faturnover(E151,$C$3)</f>
        <v>4.7500000000000001E-2</v>
      </c>
      <c r="AT151" s="202">
        <f ca="1">[1]!s_fa_dupont_assetstoequity(E151,$C$3)</f>
        <v>1.8349</v>
      </c>
      <c r="AU151" s="189"/>
      <c r="AV151" s="201"/>
      <c r="AW151" s="189"/>
      <c r="AX151" s="189"/>
      <c r="AY151" s="189"/>
      <c r="AZ151" s="189"/>
      <c r="BA151" s="189"/>
      <c r="BB151" s="189"/>
      <c r="BC151" s="189"/>
      <c r="BD151" s="189"/>
      <c r="BE151" s="189"/>
    </row>
    <row r="152" spans="1:57" s="130" customFormat="1" ht="12" customHeight="1" x14ac:dyDescent="0.35">
      <c r="A152" s="121" t="s">
        <v>396</v>
      </c>
      <c r="B152" s="121" t="s">
        <v>517</v>
      </c>
      <c r="C152" s="121" t="s">
        <v>518</v>
      </c>
      <c r="D152" s="121" t="str">
        <f ca="1">[1]!cb_info_underlyingname(B152)</f>
        <v>山东高速</v>
      </c>
      <c r="E152" s="122" t="str">
        <f ca="1">[1]!cb_info_underlyingcode(B152)</f>
        <v>600350.SH</v>
      </c>
      <c r="F152" s="123" t="str">
        <f ca="1">[1]!s_info_industry_sw(B152,1)</f>
        <v>交通运输</v>
      </c>
      <c r="G152" s="123" t="str">
        <f ca="1">[1]!s_info_industry_sw(E152,2)</f>
        <v>高速公路Ⅱ</v>
      </c>
      <c r="H152" s="123" t="str">
        <f ca="1">[1]!s_info_industry_sw(E152,3)</f>
        <v>高速公路Ⅲ</v>
      </c>
      <c r="I152" s="156" t="str">
        <f ca="1">[1]!s_info_majorproducttype(E152)</f>
        <v>成品油、高速公路收费、普通公路收费、桥梁收费</v>
      </c>
      <c r="J152" s="129">
        <f ca="1">[1]!s_val_ev(E152,$B$2,100000000)</f>
        <v>279.04761970599998</v>
      </c>
      <c r="K152" s="157">
        <f ca="1">[1]!s_share_total(E152,$B$2,100000000)</f>
        <v>48.111658570000003</v>
      </c>
      <c r="L152" s="157">
        <f ca="1">[1]!s_share_liqa(E152,$B$2,100000000)</f>
        <v>48.111658570000003</v>
      </c>
      <c r="M152" s="125">
        <f ca="1">[1]!s_fa_gr_ttm2(E152,$C$3,100000000)</f>
        <v>95.838673360100003</v>
      </c>
      <c r="N152" s="126">
        <f ca="1">[1]!s_fa_netprofit_ttm2(E152,$C$3,100000000)</f>
        <v>22.572662315700001</v>
      </c>
      <c r="O152" s="125"/>
      <c r="P152" s="126">
        <f ca="1">[1]!s_val_pe_ttm(E152,[1]!td($B$2-1))</f>
        <v>8.9557113647460938</v>
      </c>
      <c r="Q152" s="126">
        <f ca="1">[1]!i_val_pe_percentile(E152,[1]!td($B$2-1),$B$2-365*5,[1]!td($B$2-1))</f>
        <v>36.787280701754391</v>
      </c>
      <c r="R152" s="126">
        <f ca="1">[1]!pb_mrq(E152,[1]!td($B$2-1))</f>
        <v>1.0081962038918655</v>
      </c>
      <c r="S152" s="126">
        <f ca="1">[1]!i_val_pb_percentile(E152,[1]!td($B$2-1),$B$2-365*5,[1]!td($B$2-1))</f>
        <v>48.629385964912281</v>
      </c>
      <c r="T152" s="126">
        <f ca="1">[1]!s_val_pe_ttm([1]!to_windcode_index(H152&amp;"(申万)"),[1]!td($B$2-1))</f>
        <v>8.6000003814697266</v>
      </c>
      <c r="U152" s="125"/>
      <c r="V152" s="125">
        <f ca="1">[1]!s_fa_roe(E152,$C$3)</f>
        <v>4.2679999999999998</v>
      </c>
      <c r="W152" s="125">
        <f ca="1">[1]!s_fa_grossprofitmargin(E152,$C$3)</f>
        <v>34.873399999999997</v>
      </c>
      <c r="X152" s="125">
        <f ca="1">[1]!s_fa_netprofitmargin(E152,$C$3)</f>
        <v>20.2698</v>
      </c>
      <c r="Y152" s="125">
        <f ca="1">[1]!s_fa_roic(E152,$C$3)</f>
        <v>3.069</v>
      </c>
      <c r="Z152" s="125">
        <f ca="1">[1]!s_fa_operateincometoebt_ttm2(E152,$C$3)</f>
        <v>56.503</v>
      </c>
      <c r="AA152" s="125"/>
      <c r="AB152" s="343"/>
      <c r="AC152" s="125">
        <f ca="1">[1]!s_fa_cagr_tr($E152,AC$6,3)</f>
        <v>0</v>
      </c>
      <c r="AD152" s="125">
        <f ca="1">[1]!s_fa_cagr_tr($E152,AD$6,3)</f>
        <v>15.482360125033278</v>
      </c>
      <c r="AE152" s="126">
        <f ca="1">[1]!s_fa_cagr_tr($E152,AE$6,3)</f>
        <v>-4.1738601877806092</v>
      </c>
      <c r="AF152" s="126">
        <f ca="1">[1]!s_fa_cagr_tr($E152,AF$6,3)</f>
        <v>-0.60667692167255538</v>
      </c>
      <c r="AG152" s="126">
        <f ca="1">[1]!s_fa_cagr_tr($E152,AG$6,3)</f>
        <v>5.109918723819673</v>
      </c>
      <c r="AH152" s="126">
        <f ca="1">[1]!s_fa_cagr_tr($E152,AH$6,3)</f>
        <v>13.207158266864273</v>
      </c>
      <c r="AI152" s="169"/>
      <c r="AJ152" s="126">
        <f ca="1">[1]!s_fa_cagr_netprofit($E152,AJ$6,3)</f>
        <v>0</v>
      </c>
      <c r="AK152" s="126">
        <f ca="1">[1]!s_fa_cagr_netprofit($E152,AK$6,3)</f>
        <v>-8.29875719888995</v>
      </c>
      <c r="AL152" s="126">
        <f ca="1">[1]!s_fa_cagr_netprofit($E152,AL$6,3)</f>
        <v>-0.49626139923946155</v>
      </c>
      <c r="AM152" s="126">
        <f ca="1">[1]!s_fa_cagr_netprofit($E152,AM$6,3)</f>
        <v>2.1995681911280318</v>
      </c>
      <c r="AN152" s="126">
        <f ca="1">[1]!s_fa_cagr_netprofit($E152,AN$6,3)</f>
        <v>0.89761289397876087</v>
      </c>
      <c r="AO152" s="126">
        <f ca="1">[1]!s_fa_cagr_netprofit($E152,AO$6,3)</f>
        <v>9.9831384010829147</v>
      </c>
      <c r="AP152" s="129"/>
      <c r="AQ152" s="203">
        <f ca="1">[1]!s_fa_dupont_roe(E152,$C$3)</f>
        <v>4.2679999999999998</v>
      </c>
      <c r="AR152" s="203">
        <f ca="1">[1]!s_fa_dupont_nptosales(B152,$C$3)</f>
        <v>1.0668</v>
      </c>
      <c r="AS152" s="238">
        <f ca="1">[1]!s_fa_dupont_faturnover(E152,$C$3)</f>
        <v>8.7999999999999995E-2</v>
      </c>
      <c r="AT152" s="203">
        <f ca="1">[1]!s_fa_dupont_assetstoequity(E152,$C$3)</f>
        <v>2.7532000000000001</v>
      </c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129"/>
      <c r="BE152" s="129"/>
    </row>
    <row r="153" spans="1:57" s="191" customFormat="1" ht="12" customHeight="1" x14ac:dyDescent="0.35">
      <c r="A153" s="182" t="s">
        <v>5</v>
      </c>
      <c r="B153" s="182" t="s">
        <v>84</v>
      </c>
      <c r="C153" s="182" t="s">
        <v>85</v>
      </c>
      <c r="D153" s="182" t="str">
        <f ca="1">[1]!cb_info_underlyingname(B153)</f>
        <v>宏川智慧</v>
      </c>
      <c r="E153" s="183" t="str">
        <f ca="1">[1]!cb_info_underlyingcode(B153)</f>
        <v>002930.SZ</v>
      </c>
      <c r="F153" s="184" t="str">
        <f ca="1">[1]!s_info_industry_sw(B153,1)</f>
        <v>交通运输</v>
      </c>
      <c r="G153" s="184" t="str">
        <f ca="1">[1]!s_info_industry_sw(E153,2)</f>
        <v>物流Ⅱ</v>
      </c>
      <c r="H153" s="184" t="str">
        <f ca="1">[1]!s_info_industry_sw(E153,3)</f>
        <v>物流Ⅲ</v>
      </c>
      <c r="I153" s="192" t="str">
        <f ca="1">[1]!s_info_majorproducttype(E153)</f>
        <v>其他物流、专业咨询服务</v>
      </c>
      <c r="J153" s="189">
        <f ca="1">[1]!s_val_ev(E153,$B$2,100000000)</f>
        <v>75.846018492400006</v>
      </c>
      <c r="K153" s="193">
        <f ca="1">[1]!s_share_total(E153,$B$2,100000000)</f>
        <v>4.4536710800000003</v>
      </c>
      <c r="L153" s="193">
        <f ca="1">[1]!s_share_liqa(E153,$B$2,100000000)</f>
        <v>4.2894531699999998</v>
      </c>
      <c r="M153" s="186">
        <f ca="1">[1]!s_fa_gr_ttm2(E153,$C$3,100000000)</f>
        <v>7.2334490125000004</v>
      </c>
      <c r="N153" s="187">
        <f ca="1">[1]!s_fa_netprofit_ttm2(E153,$C$3,100000000)</f>
        <v>1.8953017549000002</v>
      </c>
      <c r="O153" s="186"/>
      <c r="P153" s="187">
        <f ca="1">[1]!s_val_pe_ttm(E153,[1]!td($B$2-1))</f>
        <v>26.592512130737305</v>
      </c>
      <c r="Q153" s="187">
        <f ca="1">[1]!i_val_pe_percentile(E153,[1]!td($B$2-1),$B$2-365*5,[1]!td($B$2-1))</f>
        <v>2.3034154090548054</v>
      </c>
      <c r="R153" s="187">
        <f ca="1">[1]!pb_mrq(E153,[1]!td($B$2-1))</f>
        <v>3.734221194006182</v>
      </c>
      <c r="S153" s="187">
        <f ca="1">[1]!i_val_pb_percentile(E153,[1]!td($B$2-1),$B$2-365*5,[1]!td($B$2-1))</f>
        <v>53.375694996028585</v>
      </c>
      <c r="T153" s="187">
        <f ca="1">[1]!s_val_pe_ttm([1]!to_windcode_index(H153&amp;"(申万)"),[1]!td($B$2-1))</f>
        <v>15.069999694824219</v>
      </c>
      <c r="U153" s="187"/>
      <c r="V153" s="187">
        <f ca="1">[1]!s_fa_roe(E153,$C$3)</f>
        <v>8.1702999999999992</v>
      </c>
      <c r="W153" s="187">
        <f ca="1">[1]!s_fa_grossprofitmargin(E153,$C$3)</f>
        <v>65.4833</v>
      </c>
      <c r="X153" s="187">
        <f ca="1">[1]!s_fa_netprofitmargin(E153,$C$3)</f>
        <v>29.148</v>
      </c>
      <c r="Y153" s="187">
        <f ca="1">[1]!s_fa_roic(E153,$C$3)</f>
        <v>5.4111000000000002</v>
      </c>
      <c r="Z153" s="187">
        <f ca="1">[1]!s_fa_operateincometoebt_ttm2(E153,$C$3)</f>
        <v>99.098299999999995</v>
      </c>
      <c r="AA153" s="186"/>
      <c r="AB153" s="342"/>
      <c r="AC153" s="186">
        <f ca="1">[1]!s_fa_cagr_tr($E153,AC$6,3)</f>
        <v>0</v>
      </c>
      <c r="AD153" s="186">
        <f ca="1">[1]!s_fa_cagr_tr($E153,AD$6,3)</f>
        <v>32.515108243088122</v>
      </c>
      <c r="AE153" s="187">
        <f ca="1">[1]!s_fa_cagr_tr($E153,AE$6,3)</f>
        <v>9.7826054667845774</v>
      </c>
      <c r="AF153" s="187">
        <f ca="1">[1]!s_fa_cagr_tr($E153,AF$6,3)</f>
        <v>6.2129236196299953</v>
      </c>
      <c r="AG153" s="187">
        <f ca="1">[1]!s_fa_cagr_tr($E153,AG$6,3)</f>
        <v>8.2667487981809895</v>
      </c>
      <c r="AH153" s="187">
        <f ca="1">[1]!s_fa_cagr_tr($E153,AH$6,3)</f>
        <v>15.018619301998836</v>
      </c>
      <c r="AI153" s="194"/>
      <c r="AJ153" s="187">
        <f ca="1">[1]!s_fa_cagr_netprofit($E153,AJ$6,3)</f>
        <v>0</v>
      </c>
      <c r="AK153" s="187">
        <f ca="1">[1]!s_fa_cagr_netprofit($E153,AK$6,3)</f>
        <v>34.960766795909848</v>
      </c>
      <c r="AL153" s="187">
        <f ca="1">[1]!s_fa_cagr_netprofit($E153,AL$6,3)</f>
        <v>20.194666076288435</v>
      </c>
      <c r="AM153" s="187">
        <f ca="1">[1]!s_fa_cagr_netprofit($E153,AM$6,3)</f>
        <v>8.6274695912963892</v>
      </c>
      <c r="AN153" s="187">
        <f ca="1">[1]!s_fa_cagr_netprofit($E153,AN$6,3)</f>
        <v>13.021862305219756</v>
      </c>
      <c r="AO153" s="187">
        <f ca="1">[1]!s_fa_cagr_netprofit($E153,AO$6,3)</f>
        <v>21.70666182353105</v>
      </c>
      <c r="AP153" s="189"/>
      <c r="AQ153" s="202">
        <f ca="1">[1]!s_fa_dupont_roe(E153,$C$3)</f>
        <v>8.1702999999999992</v>
      </c>
      <c r="AR153" s="202">
        <f ca="1">[1]!s_fa_dupont_nptosales(B153,$C$3)</f>
        <v>29.148</v>
      </c>
      <c r="AS153" s="237">
        <f ca="1">[1]!s_fa_dupont_faturnover(E153,$C$3)</f>
        <v>0.1215</v>
      </c>
      <c r="AT153" s="202">
        <f ca="1">[1]!s_fa_dupont_assetstoequity(E153,$C$3)</f>
        <v>2.4923000000000002</v>
      </c>
      <c r="AU153" s="189"/>
      <c r="AV153" s="189"/>
      <c r="AW153" s="189"/>
      <c r="AX153" s="189"/>
      <c r="AY153" s="189"/>
      <c r="AZ153" s="189"/>
      <c r="BA153" s="189"/>
      <c r="BB153" s="189"/>
      <c r="BC153" s="189"/>
      <c r="BD153" s="189"/>
      <c r="BE153" s="189"/>
    </row>
    <row r="154" spans="1:57" s="130" customFormat="1" ht="12" customHeight="1" x14ac:dyDescent="0.35">
      <c r="A154" s="121" t="s">
        <v>0</v>
      </c>
      <c r="B154" s="121" t="s">
        <v>48</v>
      </c>
      <c r="C154" s="121" t="s">
        <v>49</v>
      </c>
      <c r="D154" s="121" t="str">
        <f ca="1">[1]!cb_info_underlyingname(B154)</f>
        <v>嘉友国际</v>
      </c>
      <c r="E154" s="122" t="str">
        <f ca="1">[1]!cb_info_underlyingcode(B154)</f>
        <v>603871.SH</v>
      </c>
      <c r="F154" s="123" t="str">
        <f ca="1">[1]!s_info_industry_sw(B154,1)</f>
        <v>交通运输</v>
      </c>
      <c r="G154" s="123" t="str">
        <f ca="1">[1]!s_info_industry_sw(E154,2)</f>
        <v>物流Ⅱ</v>
      </c>
      <c r="H154" s="123" t="str">
        <f ca="1">[1]!s_info_industry_sw(E154,3)</f>
        <v>物流Ⅲ</v>
      </c>
      <c r="I154" s="156" t="str">
        <f ca="1">[1]!s_info_majorproducttype(E154)</f>
        <v>其他物流</v>
      </c>
      <c r="J154" s="129">
        <f ca="1">[1]!s_val_ev(E154,$B$2,100000000)</f>
        <v>51.511586916500008</v>
      </c>
      <c r="K154" s="157">
        <f ca="1">[1]!s_share_total(E154,$B$2,100000000)</f>
        <v>2.8538275299999998</v>
      </c>
      <c r="L154" s="157">
        <f ca="1">[1]!s_share_liqa(E154,$B$2,100000000)</f>
        <v>2.8538275299999998</v>
      </c>
      <c r="M154" s="125">
        <f ca="1">[1]!s_fa_gr_ttm2(E154,$C$3,100000000)</f>
        <v>34.755846821200002</v>
      </c>
      <c r="N154" s="126">
        <f ca="1">[1]!s_fa_netprofit_ttm2(E154,$C$3,100000000)</f>
        <v>3.4620490191000002</v>
      </c>
      <c r="O154" s="125"/>
      <c r="P154" s="126">
        <f ca="1">[1]!s_val_pe_ttm(E154,[1]!td($B$2-1))</f>
        <v>14.190309524536133</v>
      </c>
      <c r="Q154" s="126">
        <f ca="1">[1]!i_val_pe_percentile(E154,[1]!td($B$2-1),$B$2-365*5,[1]!td($B$2-1))</f>
        <v>31.092436974789916</v>
      </c>
      <c r="R154" s="126">
        <f ca="1">[1]!pb_mrq(E154,[1]!td($B$2-1))</f>
        <v>2.5860483733168795</v>
      </c>
      <c r="S154" s="126">
        <f ca="1">[1]!i_val_pb_percentile(E154,[1]!td($B$2-1),$B$2-365*5,[1]!td($B$2-1))</f>
        <v>37.738731856378912</v>
      </c>
      <c r="T154" s="126">
        <f ca="1">[1]!s_val_pe_ttm([1]!to_windcode_index(H154&amp;"(申万)"),[1]!td($B$2-1))</f>
        <v>15.069999694824219</v>
      </c>
      <c r="U154" s="126"/>
      <c r="V154" s="126">
        <f ca="1">[1]!s_fa_roe(E154,$C$3)</f>
        <v>14.2712</v>
      </c>
      <c r="W154" s="126">
        <f ca="1">[1]!s_fa_grossprofitmargin(E154,$C$3)</f>
        <v>15.1791</v>
      </c>
      <c r="X154" s="126">
        <f ca="1">[1]!s_fa_netprofitmargin(E154,$C$3)</f>
        <v>11.6694</v>
      </c>
      <c r="Y154" s="126">
        <f ca="1">[1]!s_fa_roic(E154,$C$3)</f>
        <v>12.0609</v>
      </c>
      <c r="Z154" s="126">
        <f ca="1">[1]!s_fa_operateincometoebt_ttm2(E154,$C$3)</f>
        <v>93.509699999999995</v>
      </c>
      <c r="AA154" s="125"/>
      <c r="AB154" s="343"/>
      <c r="AC154" s="125">
        <f ca="1">[1]!s_fa_cagr_tr($E154,AC$6,3)</f>
        <v>0</v>
      </c>
      <c r="AD154" s="125">
        <f ca="1">[1]!s_fa_cagr_tr($E154,AD$6,3)</f>
        <v>0.37732957300060654</v>
      </c>
      <c r="AE154" s="126">
        <f ca="1">[1]!s_fa_cagr_tr($E154,AE$6,3)</f>
        <v>63.346076616311066</v>
      </c>
      <c r="AF154" s="126">
        <f ca="1">[1]!s_fa_cagr_tr($E154,AF$6,3)</f>
        <v>87.044933692413352</v>
      </c>
      <c r="AG154" s="126">
        <f ca="1">[1]!s_fa_cagr_tr($E154,AG$6,3)</f>
        <v>76.161592312670322</v>
      </c>
      <c r="AH154" s="126">
        <f ca="1">[1]!s_fa_cagr_tr($E154,AH$6,3)</f>
        <v>65.258419071574835</v>
      </c>
      <c r="AI154" s="169"/>
      <c r="AJ154" s="126">
        <f ca="1">[1]!s_fa_cagr_netprofit($E154,AJ$6,3)</f>
        <v>0</v>
      </c>
      <c r="AK154" s="126">
        <f ca="1">[1]!s_fa_cagr_netprofit($E154,AK$6,3)</f>
        <v>20.430480031070886</v>
      </c>
      <c r="AL154" s="126">
        <f ca="1">[1]!s_fa_cagr_netprofit($E154,AL$6,3)</f>
        <v>33.051058242318668</v>
      </c>
      <c r="AM154" s="126">
        <f ca="1">[1]!s_fa_cagr_netprofit($E154,AM$6,3)</f>
        <v>38.131512901622663</v>
      </c>
      <c r="AN154" s="126">
        <f ca="1">[1]!s_fa_cagr_netprofit($E154,AN$6,3)</f>
        <v>53.586771149657423</v>
      </c>
      <c r="AO154" s="126">
        <f ca="1">[1]!s_fa_cagr_netprofit($E154,AO$6,3)</f>
        <v>67.526541589703442</v>
      </c>
      <c r="AP154" s="129"/>
      <c r="AQ154" s="203">
        <f ca="1">[1]!s_fa_dupont_roe(E154,$C$3)</f>
        <v>14.2712</v>
      </c>
      <c r="AR154" s="203">
        <f ca="1">[1]!s_fa_dupont_nptosales(B154,$C$3)</f>
        <v>11.6694</v>
      </c>
      <c r="AS154" s="238">
        <f ca="1">[1]!s_fa_dupont_faturnover(E154,$C$3)</f>
        <v>0.85650000000000004</v>
      </c>
      <c r="AT154" s="203">
        <f ca="1">[1]!s_fa_dupont_assetstoequity(E154,$C$3)</f>
        <v>1.4333</v>
      </c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129"/>
      <c r="BE154" s="129"/>
    </row>
    <row r="155" spans="1:57" s="191" customFormat="1" ht="12" customHeight="1" x14ac:dyDescent="0.35">
      <c r="A155" s="182" t="s">
        <v>0</v>
      </c>
      <c r="B155" s="182" t="s">
        <v>394</v>
      </c>
      <c r="C155" s="182" t="s">
        <v>395</v>
      </c>
      <c r="D155" s="182" t="str">
        <f ca="1">[1]!cb_info_underlyingname(B155)</f>
        <v>长久物流</v>
      </c>
      <c r="E155" s="183" t="str">
        <f ca="1">[1]!cb_info_underlyingcode(B155)</f>
        <v>603569.SH</v>
      </c>
      <c r="F155" s="184" t="str">
        <f ca="1">[1]!s_info_industry_sw(B155,1)</f>
        <v>交通运输</v>
      </c>
      <c r="G155" s="184" t="str">
        <f ca="1">[1]!s_info_industry_sw(E155,2)</f>
        <v>物流Ⅱ</v>
      </c>
      <c r="H155" s="184" t="str">
        <f ca="1">[1]!s_info_industry_sw(E155,3)</f>
        <v>物流Ⅲ</v>
      </c>
      <c r="I155" s="192" t="str">
        <f ca="1">[1]!s_info_majorproducttype(E155)</f>
        <v>其他物流</v>
      </c>
      <c r="J155" s="189">
        <f ca="1">[1]!s_val_ev(E155,$B$2,100000000)</f>
        <v>38.995297574399999</v>
      </c>
      <c r="K155" s="193">
        <f ca="1">[1]!s_share_total(E155,$B$2,100000000)</f>
        <v>5.6027726400000004</v>
      </c>
      <c r="L155" s="193">
        <f ca="1">[1]!s_share_liqa(E155,$B$2,100000000)</f>
        <v>5.6027726400000004</v>
      </c>
      <c r="M155" s="186">
        <f ca="1">[1]!s_fa_gr_ttm2(E155,$C$3,100000000)</f>
        <v>41.598323929000003</v>
      </c>
      <c r="N155" s="187">
        <f ca="1">[1]!s_fa_netprofit_ttm2(E155,$C$3,100000000)</f>
        <v>1.2081654703</v>
      </c>
      <c r="O155" s="186"/>
      <c r="P155" s="187">
        <f ca="1">[1]!s_val_pe_ttm(E155,[1]!td($B$2-1))</f>
        <v>31.252647399902344</v>
      </c>
      <c r="Q155" s="187">
        <f ca="1">[1]!i_val_pe_percentile(E155,[1]!td($B$2-1),$B$2-365*5,[1]!td($B$2-1))</f>
        <v>56.798245614035089</v>
      </c>
      <c r="R155" s="187">
        <f ca="1">[1]!pb_mrq(E155,[1]!td($B$2-1))</f>
        <v>1.8300544769975557</v>
      </c>
      <c r="S155" s="187">
        <f ca="1">[1]!i_val_pb_percentile(E155,[1]!td($B$2-1),$B$2-365*5,[1]!td($B$2-1))</f>
        <v>4.6600877192982457</v>
      </c>
      <c r="T155" s="187">
        <f ca="1">[1]!s_val_pe_ttm([1]!to_windcode_index(H155&amp;"(申万)"),[1]!td($B$2-1))</f>
        <v>15.069999694824219</v>
      </c>
      <c r="U155" s="187"/>
      <c r="V155" s="187">
        <f ca="1">[1]!s_fa_roe(E155,$C$3)</f>
        <v>3.4388999999999998</v>
      </c>
      <c r="W155" s="187">
        <f ca="1">[1]!s_fa_grossprofitmargin(E155,$C$3)</f>
        <v>11.4521</v>
      </c>
      <c r="X155" s="187">
        <f ca="1">[1]!s_fa_netprofitmargin(E155,$C$3)</f>
        <v>2.9367999999999999</v>
      </c>
      <c r="Y155" s="187">
        <f ca="1">[1]!s_fa_roic(E155,$C$3)</f>
        <v>2.6143000000000001</v>
      </c>
      <c r="Z155" s="187">
        <f ca="1">[1]!s_fa_operateincometoebt_ttm2(E155,$C$3)</f>
        <v>11.0345</v>
      </c>
      <c r="AA155" s="186"/>
      <c r="AB155" s="342"/>
      <c r="AC155" s="186">
        <f ca="1">[1]!s_fa_cagr_tr($E155,AC$6,3)</f>
        <v>0</v>
      </c>
      <c r="AD155" s="186">
        <f ca="1">[1]!s_fa_cagr_tr($E155,AD$6,3)</f>
        <v>-6.3286299675802233</v>
      </c>
      <c r="AE155" s="187">
        <f ca="1">[1]!s_fa_cagr_tr($E155,AE$6,3)</f>
        <v>3.6597938039279354</v>
      </c>
      <c r="AF155" s="187">
        <f ca="1">[1]!s_fa_cagr_tr($E155,AF$6,3)</f>
        <v>17.324495015526619</v>
      </c>
      <c r="AG155" s="187">
        <f ca="1">[1]!s_fa_cagr_tr($E155,AG$6,3)</f>
        <v>17.693025271220474</v>
      </c>
      <c r="AH155" s="187">
        <f ca="1">[1]!s_fa_cagr_tr($E155,AH$6,3)</f>
        <v>17.690872955909676</v>
      </c>
      <c r="AI155" s="194"/>
      <c r="AJ155" s="187">
        <f ca="1">[1]!s_fa_cagr_netprofit($E155,AJ$6,3)</f>
        <v>0</v>
      </c>
      <c r="AK155" s="187">
        <f ca="1">[1]!s_fa_cagr_netprofit($E155,AK$6,3)</f>
        <v>-32.724361973503171</v>
      </c>
      <c r="AL155" s="187">
        <f ca="1">[1]!s_fa_cagr_netprofit($E155,AL$6,3)</f>
        <v>-34.625274414672667</v>
      </c>
      <c r="AM155" s="187">
        <f ca="1">[1]!s_fa_cagr_netprofit($E155,AM$6,3)</f>
        <v>9.6165369310379454</v>
      </c>
      <c r="AN155" s="187">
        <f ca="1">[1]!s_fa_cagr_netprofit($E155,AN$6,3)</f>
        <v>14.126598631122601</v>
      </c>
      <c r="AO155" s="187">
        <f ca="1">[1]!s_fa_cagr_netprofit($E155,AO$6,3)</f>
        <v>27.609067419063258</v>
      </c>
      <c r="AP155" s="189"/>
      <c r="AQ155" s="202">
        <f ca="1">[1]!s_fa_dupont_roe(E155,$C$3)</f>
        <v>3.4388999999999998</v>
      </c>
      <c r="AR155" s="202">
        <f ca="1">[1]!s_fa_dupont_nptosales(B155,$C$3)</f>
        <v>2.9367999999999999</v>
      </c>
      <c r="AS155" s="237">
        <f ca="1">[1]!s_fa_dupont_faturnover(E155,$C$3)</f>
        <v>0.48830000000000001</v>
      </c>
      <c r="AT155" s="202">
        <f ca="1">[1]!s_fa_dupont_assetstoequity(E155,$C$3)</f>
        <v>2.3129</v>
      </c>
      <c r="AU155" s="189"/>
      <c r="AV155" s="201"/>
      <c r="AW155" s="189"/>
      <c r="AX155" s="189"/>
      <c r="AY155" s="189"/>
      <c r="AZ155" s="189"/>
      <c r="BA155" s="189"/>
      <c r="BB155" s="189"/>
      <c r="BC155" s="189"/>
      <c r="BD155" s="189"/>
      <c r="BE155" s="189"/>
    </row>
    <row r="156" spans="1:57" s="130" customFormat="1" ht="12" customHeight="1" x14ac:dyDescent="0.35">
      <c r="A156" s="121" t="s">
        <v>396</v>
      </c>
      <c r="B156" s="121" t="s">
        <v>495</v>
      </c>
      <c r="C156" s="121" t="s">
        <v>496</v>
      </c>
      <c r="D156" s="121" t="str">
        <f ca="1">[1]!cb_info_underlyingname(B156)</f>
        <v>中国化学</v>
      </c>
      <c r="E156" s="122" t="str">
        <f ca="1">[1]!cb_info_underlyingcode(B156)</f>
        <v>601117.SH</v>
      </c>
      <c r="F156" s="123" t="str">
        <f ca="1">[1]!s_info_industry_sw(B156,1)</f>
        <v>建筑装饰</v>
      </c>
      <c r="G156" s="123" t="str">
        <f ca="1">[1]!s_info_industry_sw(E156,2)</f>
        <v>专业工程</v>
      </c>
      <c r="H156" s="123" t="str">
        <f ca="1">[1]!s_info_industry_sw(E156,3)</f>
        <v>化学工程</v>
      </c>
      <c r="I156" s="156" t="str">
        <f ca="1">[1]!s_info_majorproducttype(E156)</f>
        <v>工业建筑</v>
      </c>
      <c r="J156" s="129">
        <f ca="1">[1]!s_val_ev(E156,$B$2,100000000)</f>
        <v>854.71493526119991</v>
      </c>
      <c r="K156" s="157">
        <f ca="1">[1]!s_share_total(E156,$B$2,100000000)</f>
        <v>61.094705879999999</v>
      </c>
      <c r="L156" s="157">
        <f ca="1">[1]!s_share_liqa(E156,$B$2,100000000)</f>
        <v>49.33</v>
      </c>
      <c r="M156" s="125">
        <f ca="1">[1]!s_fa_gr_ttm2(E156,$C$3,100000000)</f>
        <v>1076.5762354044</v>
      </c>
      <c r="N156" s="126">
        <f ca="1">[1]!s_fa_netprofit_ttm2(E156,$C$3,100000000)</f>
        <v>33.902132583800004</v>
      </c>
      <c r="O156" s="125"/>
      <c r="P156" s="126">
        <f ca="1">[1]!s_val_pe_ttm(E156,[1]!td($B$2-1))</f>
        <v>16.645980834960938</v>
      </c>
      <c r="Q156" s="126">
        <f ca="1">[1]!i_val_pe_percentile(E156,[1]!td($B$2-1),$B$2-365*5,[1]!td($B$2-1))</f>
        <v>66.44736842105263</v>
      </c>
      <c r="R156" s="126">
        <f ca="1">[1]!pb_mrq(E156,[1]!td($B$2-1))</f>
        <v>1.9373346589797062</v>
      </c>
      <c r="S156" s="126">
        <f ca="1">[1]!i_val_pb_percentile(E156,[1]!td($B$2-1),$B$2-365*5,[1]!td($B$2-1))</f>
        <v>99.945175438596493</v>
      </c>
      <c r="T156" s="126">
        <f ca="1">[1]!s_val_pe_ttm([1]!to_windcode_index(H156&amp;"(申万)"),[1]!td($B$2-1))</f>
        <v>18.139999389648438</v>
      </c>
      <c r="U156" s="126"/>
      <c r="V156" s="126">
        <f ca="1">[1]!s_fa_roe(E156,$C$3)</f>
        <v>7.7046999999999999</v>
      </c>
      <c r="W156" s="126">
        <f ca="1">[1]!s_fa_grossprofitmargin(E156,$C$3)</f>
        <v>11.6403</v>
      </c>
      <c r="X156" s="126">
        <f ca="1">[1]!s_fa_netprofitmargin(E156,$C$3)</f>
        <v>4.1772999999999998</v>
      </c>
      <c r="Y156" s="126">
        <f ca="1">[1]!s_fa_roic(E156,$C$3)</f>
        <v>5.1243999999999996</v>
      </c>
      <c r="Z156" s="126">
        <f ca="1">[1]!s_fa_operateincometoebt_ttm2(E156,$C$3)</f>
        <v>93.628299999999996</v>
      </c>
      <c r="AA156" s="125"/>
      <c r="AB156" s="343"/>
      <c r="AC156" s="125">
        <f ca="1">[1]!s_fa_cagr_tr($E156,AC$6,3)</f>
        <v>0</v>
      </c>
      <c r="AD156" s="125">
        <f ca="1">[1]!s_fa_cagr_tr($E156,AD$6,3)</f>
        <v>23.375463265166196</v>
      </c>
      <c r="AE156" s="126">
        <f ca="1">[1]!s_fa_cagr_tr($E156,AE$6,3)</f>
        <v>25.186629470029921</v>
      </c>
      <c r="AF156" s="126">
        <f ca="1">[1]!s_fa_cagr_tr($E156,AF$6,3)</f>
        <v>8.631899605122296</v>
      </c>
      <c r="AG156" s="126">
        <f ca="1">[1]!s_fa_cagr_tr($E156,AG$6,3)</f>
        <v>-5.432162902630278</v>
      </c>
      <c r="AH156" s="126">
        <f ca="1">[1]!s_fa_cagr_tr($E156,AH$6,3)</f>
        <v>-4.9091520783652758</v>
      </c>
      <c r="AI156" s="169"/>
      <c r="AJ156" s="126">
        <f ca="1">[1]!s_fa_cagr_netprofit($E156,AJ$6,3)</f>
        <v>0</v>
      </c>
      <c r="AK156" s="126">
        <f ca="1">[1]!s_fa_cagr_netprofit($E156,AK$6,3)</f>
        <v>32.942047993071697</v>
      </c>
      <c r="AL156" s="126">
        <f ca="1">[1]!s_fa_cagr_netprofit($E156,AL$6,3)</f>
        <v>20.028540671056639</v>
      </c>
      <c r="AM156" s="126">
        <f ca="1">[1]!s_fa_cagr_netprofit($E156,AM$6,3)</f>
        <v>-12.073154850970102</v>
      </c>
      <c r="AN156" s="126">
        <f ca="1">[1]!s_fa_cagr_netprofit($E156,AN$6,3)</f>
        <v>-21.063197101543796</v>
      </c>
      <c r="AO156" s="126">
        <f ca="1">[1]!s_fa_cagr_netprofit($E156,AO$6,3)</f>
        <v>-19.218485231422623</v>
      </c>
      <c r="AP156" s="129"/>
      <c r="AQ156" s="203">
        <f ca="1">[1]!s_fa_dupont_roe(E156,$C$3)</f>
        <v>7.7046999999999999</v>
      </c>
      <c r="AR156" s="203">
        <f ca="1">[1]!s_fa_dupont_nptosales(B156,$C$3)</f>
        <v>0</v>
      </c>
      <c r="AS156" s="238">
        <f ca="1">[1]!s_fa_dupont_faturnover(E156,$C$3)</f>
        <v>0.54830000000000001</v>
      </c>
      <c r="AT156" s="203">
        <f ca="1">[1]!s_fa_dupont_assetstoequity(E156,$C$3)</f>
        <v>3.3656999999999999</v>
      </c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129"/>
      <c r="BE156" s="129"/>
    </row>
    <row r="157" spans="1:57" s="191" customFormat="1" ht="12" customHeight="1" x14ac:dyDescent="0.35">
      <c r="A157" s="182" t="s">
        <v>5</v>
      </c>
      <c r="B157" s="182" t="s">
        <v>642</v>
      </c>
      <c r="C157" s="182" t="s">
        <v>643</v>
      </c>
      <c r="D157" s="182" t="str">
        <f ca="1">[1]!cb_info_underlyingname(B157)</f>
        <v>鸿路钢构</v>
      </c>
      <c r="E157" s="183" t="str">
        <f ca="1">[1]!cb_info_underlyingcode(B157)</f>
        <v>002541.SZ</v>
      </c>
      <c r="F157" s="184" t="str">
        <f ca="1">[1]!s_info_industry_sw(B157,1)</f>
        <v>建筑装饰</v>
      </c>
      <c r="G157" s="184" t="str">
        <f ca="1">[1]!s_info_industry_sw(E157,2)</f>
        <v>专业工程</v>
      </c>
      <c r="H157" s="184" t="str">
        <f ca="1">[1]!s_info_industry_sw(E157,3)</f>
        <v>钢结构</v>
      </c>
      <c r="I157" s="192" t="str">
        <f ca="1">[1]!s_info_majorproducttype(E157)</f>
        <v>建筑钢结构</v>
      </c>
      <c r="J157" s="189">
        <f ca="1">[1]!s_val_ev(E157,$B$2,100000000)</f>
        <v>274.94249843199998</v>
      </c>
      <c r="K157" s="193">
        <f ca="1">[1]!s_share_total(E157,$B$2,100000000)</f>
        <v>5.30777024</v>
      </c>
      <c r="L157" s="193">
        <f ca="1">[1]!s_share_liqa(E157,$B$2,100000000)</f>
        <v>3.7834942699999998</v>
      </c>
      <c r="M157" s="186">
        <f ca="1">[1]!s_fa_gr_ttm2(E157,$C$3,100000000)</f>
        <v>126.2387886826</v>
      </c>
      <c r="N157" s="187">
        <f ca="1">[1]!s_fa_netprofit_ttm2(E157,$C$3,100000000)</f>
        <v>7.2314096741</v>
      </c>
      <c r="O157" s="186"/>
      <c r="P157" s="187">
        <f ca="1">[1]!s_val_pe_ttm(E157,[1]!td($B$2-1))</f>
        <v>24.745172500610352</v>
      </c>
      <c r="Q157" s="187">
        <f ca="1">[1]!i_val_pe_percentile(E157,[1]!td($B$2-1),$B$2-365*5,[1]!td($B$2-1))</f>
        <v>51.041666666666664</v>
      </c>
      <c r="R157" s="187">
        <f ca="1">[1]!pb_mrq(E157,[1]!td($B$2-1))</f>
        <v>4.5268214752653728</v>
      </c>
      <c r="S157" s="187">
        <f ca="1">[1]!i_val_pb_percentile(E157,[1]!td($B$2-1),$B$2-365*5,[1]!td($B$2-1))</f>
        <v>83.662280701754383</v>
      </c>
      <c r="T157" s="187">
        <f ca="1">[1]!s_val_pe_ttm([1]!to_windcode_index(H157&amp;"(申万)"),[1]!td($B$2-1))</f>
        <v>25.520000457763672</v>
      </c>
      <c r="U157" s="187"/>
      <c r="V157" s="187">
        <f ca="1">[1]!s_fa_roe(E157,$C$3)</f>
        <v>9.7545999999999999</v>
      </c>
      <c r="W157" s="187">
        <f ca="1">[1]!s_fa_grossprofitmargin(E157,$C$3)</f>
        <v>13.3279</v>
      </c>
      <c r="X157" s="187">
        <f ca="1">[1]!s_fa_netprofitmargin(E157,$C$3)</f>
        <v>5.2796000000000003</v>
      </c>
      <c r="Y157" s="187">
        <f ca="1">[1]!s_fa_roic(E157,$C$3)</f>
        <v>7.4036</v>
      </c>
      <c r="Z157" s="187">
        <f ca="1">[1]!s_fa_operateincometoebt_ttm2(E157,$C$3)</f>
        <v>87.532799999999995</v>
      </c>
      <c r="AA157" s="186"/>
      <c r="AB157" s="342"/>
      <c r="AC157" s="186">
        <f ca="1">[1]!s_fa_cagr_tr($E157,AC$6,3)</f>
        <v>0</v>
      </c>
      <c r="AD157" s="186">
        <f ca="1">[1]!s_fa_cagr_tr($E157,AD$6,3)</f>
        <v>38.775429990067046</v>
      </c>
      <c r="AE157" s="187">
        <f ca="1">[1]!s_fa_cagr_tr($E157,AE$6,3)</f>
        <v>43.739706840301707</v>
      </c>
      <c r="AF157" s="187">
        <f ca="1">[1]!s_fa_cagr_tr($E157,AF$6,3)</f>
        <v>35.111166798806877</v>
      </c>
      <c r="AG157" s="187">
        <f ca="1">[1]!s_fa_cagr_tr($E157,AG$6,3)</f>
        <v>6.004443127052439</v>
      </c>
      <c r="AH157" s="187">
        <f ca="1">[1]!s_fa_cagr_tr($E157,AH$6,3)</f>
        <v>-9.7722400575943169</v>
      </c>
      <c r="AI157" s="194"/>
      <c r="AJ157" s="187">
        <f ca="1">[1]!s_fa_cagr_netprofit($E157,AJ$6,3)</f>
        <v>0</v>
      </c>
      <c r="AK157" s="187">
        <f ca="1">[1]!s_fa_cagr_netprofit($E157,AK$6,3)</f>
        <v>56.240721950329586</v>
      </c>
      <c r="AL157" s="187">
        <f ca="1">[1]!s_fa_cagr_netprofit($E157,AL$6,3)</f>
        <v>56.537904395770241</v>
      </c>
      <c r="AM157" s="187">
        <f ca="1">[1]!s_fa_cagr_netprofit($E157,AM$6,3)</f>
        <v>33.027869957069854</v>
      </c>
      <c r="AN157" s="187">
        <f ca="1">[1]!s_fa_cagr_netprofit($E157,AN$6,3)</f>
        <v>14.943047826318212</v>
      </c>
      <c r="AO157" s="187">
        <f ca="1">[1]!s_fa_cagr_netprofit($E157,AO$6,3)</f>
        <v>-4.1486161282433649</v>
      </c>
      <c r="AP157" s="189"/>
      <c r="AQ157" s="202">
        <f ca="1">[1]!s_fa_dupont_roe(E157,$C$3)</f>
        <v>9.7545999999999999</v>
      </c>
      <c r="AR157" s="202">
        <f ca="1">[1]!s_fa_dupont_nptosales(B157,$C$3)</f>
        <v>5.2796000000000003</v>
      </c>
      <c r="AS157" s="237">
        <f ca="1">[1]!s_fa_dupont_faturnover(E157,$C$3)</f>
        <v>0.70250000000000001</v>
      </c>
      <c r="AT157" s="202">
        <f ca="1">[1]!s_fa_dupont_assetstoequity(E157,$C$3)</f>
        <v>2.6299000000000001</v>
      </c>
      <c r="AU157" s="189"/>
      <c r="AV157" s="189"/>
      <c r="AW157" s="189"/>
      <c r="AX157" s="189"/>
      <c r="AY157" s="189"/>
      <c r="AZ157" s="189"/>
      <c r="BA157" s="189"/>
      <c r="BB157" s="189"/>
      <c r="BC157" s="189"/>
      <c r="BD157" s="189"/>
      <c r="BE157" s="189"/>
    </row>
    <row r="158" spans="1:57" s="130" customFormat="1" ht="12" customHeight="1" x14ac:dyDescent="0.35">
      <c r="A158" s="121" t="s">
        <v>0</v>
      </c>
      <c r="B158" s="121" t="s">
        <v>328</v>
      </c>
      <c r="C158" s="121" t="s">
        <v>329</v>
      </c>
      <c r="D158" s="121" t="str">
        <f ca="1">[1]!cb_info_underlyingname(B158)</f>
        <v>中国核建</v>
      </c>
      <c r="E158" s="122" t="str">
        <f ca="1">[1]!cb_info_underlyingcode(B158)</f>
        <v>601611.SH</v>
      </c>
      <c r="F158" s="123" t="str">
        <f ca="1">[1]!s_info_industry_sw(B158,1)</f>
        <v>建筑装饰</v>
      </c>
      <c r="G158" s="123" t="str">
        <f ca="1">[1]!s_info_industry_sw(E158,2)</f>
        <v>基础建设</v>
      </c>
      <c r="H158" s="123" t="str">
        <f ca="1">[1]!s_info_industry_sw(E158,3)</f>
        <v>其他基础建设</v>
      </c>
      <c r="I158" s="156" t="str">
        <f ca="1">[1]!s_info_majorproducttype(E158)</f>
        <v>民用建筑</v>
      </c>
      <c r="J158" s="129">
        <f ca="1">[1]!s_val_ev(E158,$B$2,100000000)</f>
        <v>239.99290760400001</v>
      </c>
      <c r="K158" s="157">
        <f ca="1">[1]!s_share_total(E158,$B$2,100000000)</f>
        <v>26.489283399999994</v>
      </c>
      <c r="L158" s="157">
        <f ca="1">[1]!s_share_liqa(E158,$B$2,100000000)</f>
        <v>26.250220400000003</v>
      </c>
      <c r="M158" s="125">
        <f ca="1">[1]!s_fa_gr_ttm2(E158,$C$3,100000000)</f>
        <v>720.8523351755</v>
      </c>
      <c r="N158" s="126">
        <f ca="1">[1]!s_fa_netprofit_ttm2(E158,$C$3,100000000)</f>
        <v>12.6587696301</v>
      </c>
      <c r="O158" s="125"/>
      <c r="P158" s="126">
        <f ca="1">[1]!s_val_pe_ttm(E158,[1]!td($B$2-1))</f>
        <v>16.018604278564453</v>
      </c>
      <c r="Q158" s="126">
        <f ca="1">[1]!i_val_pe_percentile(E158,[1]!td($B$2-1),$B$2-365*5,[1]!td($B$2-1))</f>
        <v>27.028508771929825</v>
      </c>
      <c r="R158" s="126">
        <f ca="1">[1]!pb_mrq(E158,[1]!td($B$2-1))</f>
        <v>2.0168733785945085</v>
      </c>
      <c r="S158" s="126">
        <f ca="1">[1]!i_val_pb_percentile(E158,[1]!td($B$2-1),$B$2-365*5,[1]!td($B$2-1))</f>
        <v>40.350877192982452</v>
      </c>
      <c r="T158" s="126">
        <f ca="1">[1]!s_val_pe_ttm([1]!to_windcode_index(H158&amp;"(申万)"),[1]!td($B$2-1))</f>
        <v>18.309999465942383</v>
      </c>
      <c r="U158" s="126"/>
      <c r="V158" s="126">
        <f ca="1">[1]!s_fa_roe(E158,$C$3)</f>
        <v>5.9546999999999999</v>
      </c>
      <c r="W158" s="126">
        <f ca="1">[1]!s_fa_grossprofitmargin(E158,$C$3)</f>
        <v>9.1309000000000005</v>
      </c>
      <c r="X158" s="126">
        <f ca="1">[1]!s_fa_netprofitmargin(E158,$C$3)</f>
        <v>2.2867999999999999</v>
      </c>
      <c r="Y158" s="126">
        <f ca="1">[1]!s_fa_roic(E158,$C$3)</f>
        <v>2.8466</v>
      </c>
      <c r="Z158" s="126">
        <f ca="1">[1]!s_fa_operateincometoebt_ttm2(E158,$C$3)</f>
        <v>82.614099999999993</v>
      </c>
      <c r="AA158" s="125"/>
      <c r="AB158" s="343"/>
      <c r="AC158" s="125">
        <f ca="1">[1]!s_fa_cagr_tr($E158,AC$6,3)</f>
        <v>0</v>
      </c>
      <c r="AD158" s="125">
        <f ca="1">[1]!s_fa_cagr_tr($E158,AD$6,3)</f>
        <v>16.980239346371139</v>
      </c>
      <c r="AE158" s="126">
        <f ca="1">[1]!s_fa_cagr_tr($E158,AE$6,3)</f>
        <v>15.370129693556557</v>
      </c>
      <c r="AF158" s="126">
        <f ca="1">[1]!s_fa_cagr_tr($E158,AF$6,3)</f>
        <v>7.8994744184762267</v>
      </c>
      <c r="AG158" s="126">
        <f ca="1">[1]!s_fa_cagr_tr($E158,AG$6,3)</f>
        <v>0.50745774791827181</v>
      </c>
      <c r="AH158" s="126">
        <f ca="1">[1]!s_fa_cagr_tr($E158,AH$6,3)</f>
        <v>3.501996716284328</v>
      </c>
      <c r="AI158" s="169"/>
      <c r="AJ158" s="126">
        <f ca="1">[1]!s_fa_cagr_netprofit($E158,AJ$6,3)</f>
        <v>0</v>
      </c>
      <c r="AK158" s="126">
        <f ca="1">[1]!s_fa_cagr_netprofit($E158,AK$6,3)</f>
        <v>16.819532722207732</v>
      </c>
      <c r="AL158" s="126">
        <f ca="1">[1]!s_fa_cagr_netprofit($E158,AL$6,3)</f>
        <v>14.759616179728008</v>
      </c>
      <c r="AM158" s="126">
        <f ca="1">[1]!s_fa_cagr_netprofit($E158,AM$6,3)</f>
        <v>6.4058659552078012</v>
      </c>
      <c r="AN158" s="126">
        <f ca="1">[1]!s_fa_cagr_netprofit($E158,AN$6,3)</f>
        <v>8.5840109843377412</v>
      </c>
      <c r="AO158" s="126">
        <f ca="1">[1]!s_fa_cagr_netprofit($E158,AO$6,3)</f>
        <v>9.9755331128305933</v>
      </c>
      <c r="AP158" s="129"/>
      <c r="AQ158" s="203">
        <f ca="1">[1]!s_fa_dupont_roe(E158,$C$3)</f>
        <v>5.9546999999999999</v>
      </c>
      <c r="AR158" s="203">
        <f ca="1">[1]!s_fa_dupont_nptosales(B158,$C$3)</f>
        <v>2.2862</v>
      </c>
      <c r="AS158" s="238">
        <f ca="1">[1]!s_fa_dupont_faturnover(E158,$C$3)</f>
        <v>0.39589999999999997</v>
      </c>
      <c r="AT158" s="203">
        <f ca="1">[1]!s_fa_dupont_assetstoequity(E158,$C$3)</f>
        <v>8.4266000000000005</v>
      </c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129"/>
      <c r="BE158" s="129"/>
    </row>
    <row r="159" spans="1:57" s="191" customFormat="1" ht="12" customHeight="1" x14ac:dyDescent="0.35">
      <c r="A159" s="182" t="s">
        <v>5</v>
      </c>
      <c r="B159" s="182" t="s">
        <v>465</v>
      </c>
      <c r="C159" s="182" t="s">
        <v>466</v>
      </c>
      <c r="D159" s="182" t="str">
        <f ca="1">[1]!cb_info_underlyingname(B159)</f>
        <v>节能铁汉</v>
      </c>
      <c r="E159" s="183" t="str">
        <f ca="1">[1]!cb_info_underlyingcode(B159)</f>
        <v>300197.SZ</v>
      </c>
      <c r="F159" s="184" t="str">
        <f ca="1">[1]!s_info_industry_sw(B159,1)</f>
        <v>建筑装饰</v>
      </c>
      <c r="G159" s="184" t="str">
        <f ca="1">[1]!s_info_industry_sw(E159,2)</f>
        <v>园林工程Ⅱ</v>
      </c>
      <c r="H159" s="184" t="str">
        <f ca="1">[1]!s_info_industry_sw(E159,3)</f>
        <v>园林工程Ⅲ</v>
      </c>
      <c r="I159" s="192" t="str">
        <f ca="1">[1]!s_info_majorproducttype(E159)</f>
        <v>工业建筑</v>
      </c>
      <c r="J159" s="189">
        <f ca="1">[1]!s_val_ev(E159,$B$2,100000000)</f>
        <v>83.274705297000011</v>
      </c>
      <c r="K159" s="193">
        <f ca="1">[1]!s_share_total(E159,$B$2,100000000)</f>
        <v>28.228713660000004</v>
      </c>
      <c r="L159" s="193">
        <f ca="1">[1]!s_share_liqa(E159,$B$2,100000000)</f>
        <v>17.76374826</v>
      </c>
      <c r="M159" s="186">
        <f ca="1">[1]!s_fa_gr_ttm2(E159,$C$3,100000000)</f>
        <v>27.9972583604</v>
      </c>
      <c r="N159" s="187">
        <f ca="1">[1]!s_fa_netprofit_ttm2(E159,$C$3,100000000)</f>
        <v>-11.835743224200002</v>
      </c>
      <c r="O159" s="186"/>
      <c r="P159" s="187">
        <f ca="1">[1]!s_val_pe_ttm(E159,[1]!td($B$2-1))</f>
        <v>-269.96258544921875</v>
      </c>
      <c r="Q159" s="187">
        <f ca="1">[1]!i_val_pe_percentile(E159,[1]!td($B$2-1),$B$2-365*5,[1]!td($B$2-1))</f>
        <v>0</v>
      </c>
      <c r="R159" s="187">
        <f ca="1">[1]!pb_mrq(E159,[1]!td($B$2-1))</f>
        <v>1.2998071160804847</v>
      </c>
      <c r="S159" s="187">
        <f ca="1">[1]!i_val_pb_percentile(E159,[1]!td($B$2-1),$B$2-365*5,[1]!td($B$2-1))</f>
        <v>27.631578947368425</v>
      </c>
      <c r="T159" s="187">
        <f ca="1">[1]!s_val_pe_ttm([1]!to_windcode_index(H159&amp;"(申万)"),[1]!td($B$2-1))</f>
        <v>72.900001525878906</v>
      </c>
      <c r="U159" s="187"/>
      <c r="V159" s="187">
        <f ca="1">[1]!s_fa_roe(E159,$C$3)</f>
        <v>-4.0419</v>
      </c>
      <c r="W159" s="187">
        <f ca="1">[1]!s_fa_grossprofitmargin(E159,$C$3)</f>
        <v>21.842400000000001</v>
      </c>
      <c r="X159" s="187">
        <f ca="1">[1]!s_fa_netprofitmargin(E159,$C$3)</f>
        <v>-11.230600000000001</v>
      </c>
      <c r="Y159" s="187">
        <f ca="1">[1]!s_fa_roic(E159,$C$3)</f>
        <v>0.68389999999999995</v>
      </c>
      <c r="Z159" s="187">
        <f ca="1">[1]!s_fa_operateincometoebt_ttm2(E159,$C$3)</f>
        <v>0</v>
      </c>
      <c r="AA159" s="186"/>
      <c r="AB159" s="342"/>
      <c r="AC159" s="186">
        <f ca="1">[1]!s_fa_cagr_tr($E159,AC$6,3)</f>
        <v>0</v>
      </c>
      <c r="AD159" s="186">
        <f ca="1">[1]!s_fa_cagr_tr($E159,AD$6,3)</f>
        <v>-19.877113177289196</v>
      </c>
      <c r="AE159" s="187">
        <f ca="1">[1]!s_fa_cagr_tr($E159,AE$6,3)</f>
        <v>3.47135344948728</v>
      </c>
      <c r="AF159" s="187">
        <f ca="1">[1]!s_fa_cagr_tr($E159,AF$6,3)</f>
        <v>43.664822505201784</v>
      </c>
      <c r="AG159" s="187">
        <f ca="1">[1]!s_fa_cagr_tr($E159,AG$6,3)</f>
        <v>59.890214310436505</v>
      </c>
      <c r="AH159" s="187">
        <f ca="1">[1]!s_fa_cagr_tr($E159,AH$6,3)</f>
        <v>45.330408482986108</v>
      </c>
      <c r="AI159" s="194"/>
      <c r="AJ159" s="187">
        <f ca="1">[1]!s_fa_cagr_netprofit($E159,AJ$6,3)</f>
        <v>0</v>
      </c>
      <c r="AK159" s="187">
        <f ca="1">[1]!s_fa_cagr_netprofit($E159,AK$6,3)</f>
        <v>-57.3326669067201</v>
      </c>
      <c r="AL159" s="187">
        <f ca="1">[1]!s_fa_cagr_netprofit($E159,AL$6,3)</f>
        <v>-220.44134532079437</v>
      </c>
      <c r="AM159" s="187">
        <f ca="1">[1]!s_fa_cagr_netprofit($E159,AM$6,3)</f>
        <v>-0.19086417492762964</v>
      </c>
      <c r="AN159" s="187">
        <f ca="1">[1]!s_fa_cagr_netprofit($E159,AN$6,3)</f>
        <v>45.777087815766414</v>
      </c>
      <c r="AO159" s="187">
        <f ca="1">[1]!s_fa_cagr_netprofit($E159,AO$6,3)</f>
        <v>30.341100954288258</v>
      </c>
      <c r="AP159" s="189"/>
      <c r="AQ159" s="202">
        <f ca="1">[1]!s_fa_dupont_roe(E159,$C$3)</f>
        <v>-4.0419</v>
      </c>
      <c r="AR159" s="202">
        <f ca="1">[1]!s_fa_dupont_nptosales(B159,$C$3)</f>
        <v>-11.230600000000001</v>
      </c>
      <c r="AS159" s="237">
        <f ca="1">[1]!s_fa_dupont_faturnover(E159,$C$3)</f>
        <v>7.7299999999999994E-2</v>
      </c>
      <c r="AT159" s="202">
        <f ca="1">[1]!s_fa_dupont_assetstoequity(E159,$C$3)</f>
        <v>4.7141999999999999</v>
      </c>
      <c r="AU159" s="189"/>
      <c r="AV159" s="201"/>
      <c r="AW159" s="189"/>
      <c r="AX159" s="189"/>
      <c r="AY159" s="189"/>
      <c r="AZ159" s="189"/>
      <c r="BA159" s="189"/>
      <c r="BB159" s="189"/>
      <c r="BC159" s="189"/>
      <c r="BD159" s="189"/>
      <c r="BE159" s="189"/>
    </row>
    <row r="160" spans="1:57" s="130" customFormat="1" ht="12" customHeight="1" x14ac:dyDescent="0.35">
      <c r="A160" s="121" t="s">
        <v>5</v>
      </c>
      <c r="B160" s="121" t="s">
        <v>20</v>
      </c>
      <c r="C160" s="121" t="s">
        <v>21</v>
      </c>
      <c r="D160" s="121" t="str">
        <f ca="1">[1]!cb_info_underlyingname(B160)</f>
        <v>新疆交建</v>
      </c>
      <c r="E160" s="122" t="str">
        <f ca="1">[1]!cb_info_underlyingcode(B160)</f>
        <v>002941.SZ</v>
      </c>
      <c r="F160" s="123" t="str">
        <f ca="1">[1]!s_info_industry_sw(B160,1)</f>
        <v>建筑装饰</v>
      </c>
      <c r="G160" s="123" t="str">
        <f ca="1">[1]!s_info_industry_sw(E160,2)</f>
        <v>基础建设</v>
      </c>
      <c r="H160" s="123" t="str">
        <f ca="1">[1]!s_info_industry_sw(E160,3)</f>
        <v>路桥施工</v>
      </c>
      <c r="I160" s="156" t="str">
        <f ca="1">[1]!s_info_majorproducttype(E160)</f>
        <v>公路建设、国内贸易、专业咨询服务</v>
      </c>
      <c r="J160" s="129">
        <f ca="1">[1]!s_val_ev(E160,$B$2,100000000)</f>
        <v>88.303581618999999</v>
      </c>
      <c r="K160" s="157">
        <f ca="1">[1]!s_share_total(E160,$B$2,100000000)</f>
        <v>6.4502250999999999</v>
      </c>
      <c r="L160" s="157">
        <f ca="1">[1]!s_share_liqa(E160,$B$2,100000000)</f>
        <v>1.9267651000000003</v>
      </c>
      <c r="M160" s="125">
        <f ca="1">[1]!s_fa_gr_ttm2(E160,$C$3,100000000)</f>
        <v>60.327048511899996</v>
      </c>
      <c r="N160" s="126">
        <f ca="1">[1]!s_fa_netprofit_ttm2(E160,$C$3,100000000)</f>
        <v>2.1096522112999998</v>
      </c>
      <c r="O160" s="125"/>
      <c r="P160" s="126">
        <f ca="1">[1]!s_val_pe_ttm(E160,[1]!td($B$2-1))</f>
        <v>94.443862915039063</v>
      </c>
      <c r="Q160" s="126">
        <f ca="1">[1]!i_val_pe_percentile(E160,[1]!td($B$2-1),$B$2-365*5,[1]!td($B$2-1))</f>
        <v>74.654832347140044</v>
      </c>
      <c r="R160" s="126">
        <f ca="1">[1]!pb_mrq(E160,[1]!td($B$2-1))</f>
        <v>3.5009704739444962</v>
      </c>
      <c r="S160" s="126">
        <f ca="1">[1]!i_val_pb_percentile(E160,[1]!td($B$2-1),$B$2-365*5,[1]!td($B$2-1))</f>
        <v>28.007889546351084</v>
      </c>
      <c r="T160" s="126">
        <f ca="1">[1]!s_val_pe_ttm([1]!to_windcode_index(H160&amp;"(申万)"),[1]!td($B$2-1))</f>
        <v>9.6000003814697266</v>
      </c>
      <c r="U160" s="126"/>
      <c r="V160" s="126">
        <f ca="1">[1]!s_fa_roe(E160,$C$3)</f>
        <v>3.3576999999999999</v>
      </c>
      <c r="W160" s="126">
        <f ca="1">[1]!s_fa_grossprofitmargin(E160,$C$3)</f>
        <v>4.8316999999999997</v>
      </c>
      <c r="X160" s="126">
        <f ca="1">[1]!s_fa_netprofitmargin(E160,$C$3)</f>
        <v>2.0933999999999999</v>
      </c>
      <c r="Y160" s="126">
        <f ca="1">[1]!s_fa_roic(E160,$C$3)</f>
        <v>1.3667</v>
      </c>
      <c r="Z160" s="126">
        <f ca="1">[1]!s_fa_operateincometoebt_ttm2(E160,$C$3)</f>
        <v>89.601500000000001</v>
      </c>
      <c r="AA160" s="125"/>
      <c r="AB160" s="343"/>
      <c r="AC160" s="125">
        <f ca="1">[1]!s_fa_cagr_tr($E160,AC$6,3)</f>
        <v>0</v>
      </c>
      <c r="AD160" s="125">
        <f ca="1">[1]!s_fa_cagr_tr($E160,AD$6,3)</f>
        <v>7.2563347499476905E-2</v>
      </c>
      <c r="AE160" s="126">
        <f ca="1">[1]!s_fa_cagr_tr($E160,AE$6,3)</f>
        <v>37.604235765640141</v>
      </c>
      <c r="AF160" s="126">
        <f ca="1">[1]!s_fa_cagr_tr($E160,AF$6,3)</f>
        <v>34.044128383887085</v>
      </c>
      <c r="AG160" s="126">
        <f ca="1">[1]!s_fa_cagr_tr($E160,AG$6,3)</f>
        <v>33.297396521908482</v>
      </c>
      <c r="AH160" s="126">
        <f ca="1">[1]!s_fa_cagr_tr($E160,AH$6,3)</f>
        <v>-19.025083066619985</v>
      </c>
      <c r="AI160" s="169"/>
      <c r="AJ160" s="126">
        <f ca="1">[1]!s_fa_cagr_netprofit($E160,AJ$6,3)</f>
        <v>0</v>
      </c>
      <c r="AK160" s="126">
        <f ca="1">[1]!s_fa_cagr_netprofit($E160,AK$6,3)</f>
        <v>-22.44243054111331</v>
      </c>
      <c r="AL160" s="126">
        <f ca="1">[1]!s_fa_cagr_netprofit($E160,AL$6,3)</f>
        <v>8.0101191944061512</v>
      </c>
      <c r="AM160" s="126">
        <f ca="1">[1]!s_fa_cagr_netprofit($E160,AM$6,3)</f>
        <v>92.684143075019392</v>
      </c>
      <c r="AN160" s="126">
        <f ca="1">[1]!s_fa_cagr_netprofit($E160,AN$6,3)</f>
        <v>44.438236488655235</v>
      </c>
      <c r="AO160" s="126">
        <f ca="1">[1]!s_fa_cagr_netprofit($E160,AO$6,3)</f>
        <v>48.877153699683753</v>
      </c>
      <c r="AP160" s="129"/>
      <c r="AQ160" s="203">
        <f ca="1">[1]!s_fa_dupont_roe(E160,$C$3)</f>
        <v>3.3576999999999999</v>
      </c>
      <c r="AR160" s="203">
        <f ca="1">[1]!s_fa_dupont_nptosales(B160,$C$3)</f>
        <v>2.0933999999999999</v>
      </c>
      <c r="AS160" s="238">
        <f ca="1">[1]!s_fa_dupont_faturnover(E160,$C$3)</f>
        <v>0.31969999999999998</v>
      </c>
      <c r="AT160" s="203">
        <f ca="1">[1]!s_fa_dupont_assetstoequity(E160,$C$3)</f>
        <v>4.9767000000000001</v>
      </c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129"/>
      <c r="BE160" s="129"/>
    </row>
    <row r="161" spans="1:57" s="191" customFormat="1" ht="12" customHeight="1" x14ac:dyDescent="0.35">
      <c r="A161" s="182" t="s">
        <v>5</v>
      </c>
      <c r="B161" s="182" t="s">
        <v>927</v>
      </c>
      <c r="C161" s="182" t="s">
        <v>928</v>
      </c>
      <c r="D161" s="182" t="str">
        <f ca="1">[1]!cb_info_underlyingname(B161)</f>
        <v>中钢国际</v>
      </c>
      <c r="E161" s="183" t="str">
        <f ca="1">[1]!cb_info_underlyingcode(B161)</f>
        <v>000928.SZ</v>
      </c>
      <c r="F161" s="184" t="str">
        <f ca="1">[1]!s_info_industry_sw(B161,1)</f>
        <v>建筑装饰</v>
      </c>
      <c r="G161" s="184" t="str">
        <f ca="1">[1]!s_info_industry_sw(E161,2)</f>
        <v>专业工程</v>
      </c>
      <c r="H161" s="184" t="str">
        <f ca="1">[1]!s_info_industry_sw(E161,3)</f>
        <v>国际工程承包</v>
      </c>
      <c r="I161" s="192" t="str">
        <f ca="1">[1]!s_info_majorproducttype(E161)</f>
        <v>专业咨询服务</v>
      </c>
      <c r="J161" s="189">
        <f ca="1">[1]!s_val_ev(E161,$B$2,100000000)</f>
        <v>146.90389791979999</v>
      </c>
      <c r="K161" s="193">
        <f ca="1">[1]!s_share_total(E161,$B$2,100000000)</f>
        <v>12.56662942</v>
      </c>
      <c r="L161" s="193">
        <f ca="1">[1]!s_share_liqa(E161,$B$2,100000000)</f>
        <v>12.566317420000001</v>
      </c>
      <c r="M161" s="186">
        <f ca="1">[1]!s_fa_gr_ttm2(E161,$C$3,100000000)</f>
        <v>135.58264914599999</v>
      </c>
      <c r="N161" s="187">
        <f ca="1">[1]!s_fa_netprofit_ttm2(E161,$C$3,100000000)</f>
        <v>5.2937846193000002</v>
      </c>
      <c r="O161" s="186"/>
      <c r="P161" s="187">
        <f ca="1">[1]!s_val_pe_ttm(E161,[1]!td($B$2-1))</f>
        <v>19.611953735351563</v>
      </c>
      <c r="Q161" s="187">
        <f ca="1">[1]!i_val_pe_percentile(E161,[1]!td($B$2-1),$B$2-365*5,[1]!td($B$2-1))</f>
        <v>75.493421052631575</v>
      </c>
      <c r="R161" s="187">
        <f ca="1">[1]!pb_mrq(E161,[1]!td($B$2-1))</f>
        <v>2.5208461063742411</v>
      </c>
      <c r="S161" s="187">
        <f ca="1">[1]!i_val_pb_percentile(E161,[1]!td($B$2-1),$B$2-365*5,[1]!td($B$2-1))</f>
        <v>80.043859649122808</v>
      </c>
      <c r="T161" s="187">
        <f ca="1">[1]!s_val_pe_ttm([1]!to_windcode_index(H161&amp;"(申万)"),[1]!td($B$2-1))</f>
        <v>20.090000152587891</v>
      </c>
      <c r="U161" s="186"/>
      <c r="V161" s="186">
        <f ca="1">[1]!s_fa_roe(E161,$C$3)</f>
        <v>5.6921999999999997</v>
      </c>
      <c r="W161" s="186">
        <f ca="1">[1]!s_fa_grossprofitmargin(E161,$C$3)</f>
        <v>10.3565</v>
      </c>
      <c r="X161" s="186">
        <f ca="1">[1]!s_fa_netprofitmargin(E161,$C$3)</f>
        <v>3.3372000000000002</v>
      </c>
      <c r="Y161" s="186">
        <f ca="1">[1]!s_fa_roic(E161,$C$3)</f>
        <v>4.9809000000000001</v>
      </c>
      <c r="Z161" s="186">
        <f ca="1">[1]!s_fa_operateincometoebt_ttm2(E161,$C$3)</f>
        <v>87.771100000000004</v>
      </c>
      <c r="AA161" s="186"/>
      <c r="AB161" s="342"/>
      <c r="AC161" s="186">
        <f ca="1">[1]!s_fa_cagr_tr($E161,AC$6,3)</f>
        <v>0</v>
      </c>
      <c r="AD161" s="186">
        <f ca="1">[1]!s_fa_cagr_tr($E161,AD$6,3)</f>
        <v>23.565071180575448</v>
      </c>
      <c r="AE161" s="187">
        <f ca="1">[1]!s_fa_cagr_tr($E161,AE$6,3)</f>
        <v>12.41018792602282</v>
      </c>
      <c r="AF161" s="187">
        <f ca="1">[1]!s_fa_cagr_tr($E161,AF$6,3)</f>
        <v>-4.9760651195348</v>
      </c>
      <c r="AG161" s="187">
        <f ca="1">[1]!s_fa_cagr_tr($E161,AG$6,3)</f>
        <v>-9.6432432636470828</v>
      </c>
      <c r="AH161" s="187">
        <f ca="1">[1]!s_fa_cagr_tr($E161,AH$6,3)</f>
        <v>87.344071014541896</v>
      </c>
      <c r="AI161" s="194"/>
      <c r="AJ161" s="187">
        <f ca="1">[1]!s_fa_cagr_netprofit($E161,AJ$6,3)</f>
        <v>0</v>
      </c>
      <c r="AK161" s="187">
        <f ca="1">[1]!s_fa_cagr_netprofit($E161,AK$6,3)</f>
        <v>12.951200016421671</v>
      </c>
      <c r="AL161" s="187">
        <f ca="1">[1]!s_fa_cagr_netprofit($E161,AL$6,3)</f>
        <v>1.4297119556292648</v>
      </c>
      <c r="AM161" s="187">
        <f ca="1">[1]!s_fa_cagr_netprofit($E161,AM$6,3)</f>
        <v>-2.1164450594938655</v>
      </c>
      <c r="AN161" s="187">
        <f ca="1">[1]!s_fa_cagr_netprofit($E161,AN$6,3)</f>
        <v>37.101978650213454</v>
      </c>
      <c r="AO161" s="187">
        <f ca="1">[1]!s_fa_cagr_netprofit($E161,AO$6,3)</f>
        <v>48.699930170206393</v>
      </c>
      <c r="AP161" s="189"/>
      <c r="AQ161" s="202">
        <f ca="1">[1]!s_fa_dupont_roe(E161,$C$3)</f>
        <v>5.6921999999999997</v>
      </c>
      <c r="AR161" s="202">
        <f ca="1">[1]!s_fa_dupont_nptosales(B161,$C$3)</f>
        <v>3.3372000000000002</v>
      </c>
      <c r="AS161" s="237">
        <f ca="1">[1]!s_fa_dupont_faturnover(E161,$C$3)</f>
        <v>0.495</v>
      </c>
      <c r="AT161" s="202">
        <f ca="1">[1]!s_fa_dupont_assetstoequity(E161,$C$3)</f>
        <v>3.5238</v>
      </c>
      <c r="AU161" s="189"/>
      <c r="AV161" s="189"/>
      <c r="AW161" s="189"/>
      <c r="AX161" s="189"/>
      <c r="AY161" s="189"/>
      <c r="AZ161" s="189"/>
      <c r="BA161" s="189"/>
      <c r="BB161" s="189"/>
      <c r="BC161" s="189"/>
      <c r="BD161" s="189"/>
      <c r="BE161" s="189"/>
    </row>
    <row r="162" spans="1:57" s="130" customFormat="1" ht="12" customHeight="1" x14ac:dyDescent="0.35">
      <c r="A162" s="121" t="s">
        <v>0</v>
      </c>
      <c r="B162" s="121" t="s">
        <v>234</v>
      </c>
      <c r="C162" s="121" t="s">
        <v>235</v>
      </c>
      <c r="D162" s="121" t="str">
        <f ca="1">[1]!cb_info_underlyingname(B162)</f>
        <v>森特股份</v>
      </c>
      <c r="E162" s="122" t="str">
        <f ca="1">[1]!cb_info_underlyingcode(B162)</f>
        <v>603098.SH</v>
      </c>
      <c r="F162" s="123" t="str">
        <f ca="1">[1]!s_info_industry_sw(B162,1)</f>
        <v>建筑装饰</v>
      </c>
      <c r="G162" s="123" t="str">
        <f ca="1">[1]!s_info_industry_sw(E162,2)</f>
        <v>专业工程</v>
      </c>
      <c r="H162" s="123" t="str">
        <f ca="1">[1]!s_info_industry_sw(E162,3)</f>
        <v>钢结构</v>
      </c>
      <c r="I162" s="156" t="str">
        <f ca="1">[1]!s_info_majorproducttype(E162)</f>
        <v>工业建筑</v>
      </c>
      <c r="J162" s="129">
        <f ca="1">[1]!s_val_ev(E162,$B$2,100000000)</f>
        <v>236.20991035520001</v>
      </c>
      <c r="K162" s="157">
        <f ca="1">[1]!s_share_total(E162,$B$2,100000000)</f>
        <v>5.3879997800000003</v>
      </c>
      <c r="L162" s="157">
        <f ca="1">[1]!s_share_liqa(E162,$B$2,100000000)</f>
        <v>5.3879997800000003</v>
      </c>
      <c r="M162" s="125">
        <f ca="1">[1]!s_fa_gr_ttm2(E162,$C$3,100000000)</f>
        <v>31.095331196799997</v>
      </c>
      <c r="N162" s="126">
        <f ca="1">[1]!s_fa_netprofit_ttm2(E162,$C$3,100000000)</f>
        <v>1.5872088541999998</v>
      </c>
      <c r="O162" s="125"/>
      <c r="P162" s="126">
        <f ca="1">[1]!s_val_pe_ttm(E162,[1]!td($B$2-1))</f>
        <v>157.10838317871094</v>
      </c>
      <c r="Q162" s="126">
        <f ca="1">[1]!i_val_pe_percentile(E162,[1]!td($B$2-1),$B$2-365*5,[1]!td($B$2-1))</f>
        <v>99.710312862108921</v>
      </c>
      <c r="R162" s="126">
        <f ca="1">[1]!pb_mrq(E162,[1]!td($B$2-1))</f>
        <v>8.78841327605911</v>
      </c>
      <c r="S162" s="126">
        <f ca="1">[1]!i_val_pb_percentile(E162,[1]!td($B$2-1),$B$2-365*5,[1]!td($B$2-1))</f>
        <v>98.146002317497107</v>
      </c>
      <c r="T162" s="126">
        <f ca="1">[1]!s_val_pe_ttm([1]!to_windcode_index(H162&amp;"(申万)"),[1]!td($B$2-1))</f>
        <v>25.520000457763672</v>
      </c>
      <c r="U162" s="126"/>
      <c r="V162" s="126">
        <f ca="1">[1]!s_fa_roe(E162,$C$3)</f>
        <v>6.6478999999999999</v>
      </c>
      <c r="W162" s="126">
        <f ca="1">[1]!s_fa_grossprofitmargin(E162,$C$3)</f>
        <v>16.956700000000001</v>
      </c>
      <c r="X162" s="126">
        <f ca="1">[1]!s_fa_netprofitmargin(E162,$C$3)</f>
        <v>6.3525</v>
      </c>
      <c r="Y162" s="126">
        <f ca="1">[1]!s_fa_roic(E162,$C$3)</f>
        <v>5.0719000000000003</v>
      </c>
      <c r="Z162" s="126">
        <f ca="1">[1]!s_fa_operateincometoebt_ttm2(E162,$C$3)</f>
        <v>93.678200000000004</v>
      </c>
      <c r="AA162" s="125"/>
      <c r="AB162" s="343"/>
      <c r="AC162" s="125">
        <f ca="1">[1]!s_fa_cagr_tr($E162,AC$6,3)</f>
        <v>0</v>
      </c>
      <c r="AD162" s="125">
        <f ca="1">[1]!s_fa_cagr_tr($E162,AD$6,3)</f>
        <v>13.848921475626863</v>
      </c>
      <c r="AE162" s="126">
        <f ca="1">[1]!s_fa_cagr_tr($E162,AE$6,3)</f>
        <v>25.550261592524205</v>
      </c>
      <c r="AF162" s="126">
        <f ca="1">[1]!s_fa_cagr_tr($E162,AF$6,3)</f>
        <v>39.828514850951954</v>
      </c>
      <c r="AG162" s="126">
        <f ca="1">[1]!s_fa_cagr_tr($E162,AG$6,3)</f>
        <v>15.723603624280468</v>
      </c>
      <c r="AH162" s="126">
        <f ca="1">[1]!s_fa_cagr_tr($E162,AH$6,3)</f>
        <v>11.950415772680699</v>
      </c>
      <c r="AI162" s="169"/>
      <c r="AJ162" s="126">
        <f ca="1">[1]!s_fa_cagr_netprofit($E162,AJ$6,3)</f>
        <v>0</v>
      </c>
      <c r="AK162" s="126">
        <f ca="1">[1]!s_fa_cagr_netprofit($E162,AK$6,3)</f>
        <v>-3.0775714544312383</v>
      </c>
      <c r="AL162" s="126">
        <f ca="1">[1]!s_fa_cagr_netprofit($E162,AL$6,3)</f>
        <v>0.90200722330604499</v>
      </c>
      <c r="AM162" s="126">
        <f ca="1">[1]!s_fa_cagr_netprofit($E162,AM$6,3)</f>
        <v>8.3171753915835644</v>
      </c>
      <c r="AN162" s="126">
        <f ca="1">[1]!s_fa_cagr_netprofit($E162,AN$6,3)</f>
        <v>-8.0360205683822628</v>
      </c>
      <c r="AO162" s="126">
        <f ca="1">[1]!s_fa_cagr_netprofit($E162,AO$6,3)</f>
        <v>-4.3490097289271334</v>
      </c>
      <c r="AP162" s="129"/>
      <c r="AQ162" s="203">
        <f ca="1">[1]!s_fa_dupont_roe(E162,$C$3)</f>
        <v>6.6478999999999999</v>
      </c>
      <c r="AR162" s="203">
        <f ca="1">[1]!s_fa_dupont_nptosales(B162,$C$3)</f>
        <v>6.3525</v>
      </c>
      <c r="AS162" s="238">
        <f ca="1">[1]!s_fa_dupont_faturnover(E162,$C$3)</f>
        <v>0.4582</v>
      </c>
      <c r="AT162" s="203">
        <f ca="1">[1]!s_fa_dupont_assetstoequity(E162,$C$3)</f>
        <v>2.2839</v>
      </c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129"/>
      <c r="BE162" s="129"/>
    </row>
    <row r="163" spans="1:57" s="191" customFormat="1" ht="12" customHeight="1" x14ac:dyDescent="0.35">
      <c r="A163" s="182" t="s">
        <v>5</v>
      </c>
      <c r="B163" s="182" t="s">
        <v>6</v>
      </c>
      <c r="C163" s="182" t="s">
        <v>7</v>
      </c>
      <c r="D163" s="182" t="str">
        <f ca="1">[1]!cb_info_underlyingname(B163)</f>
        <v>浙江交科</v>
      </c>
      <c r="E163" s="183" t="str">
        <f ca="1">[1]!cb_info_underlyingcode(B163)</f>
        <v>002061.SZ</v>
      </c>
      <c r="F163" s="184" t="str">
        <f ca="1">[1]!s_info_industry_sw(B163,1)</f>
        <v>建筑装饰</v>
      </c>
      <c r="G163" s="184" t="str">
        <f ca="1">[1]!s_info_industry_sw(E163,2)</f>
        <v>基础建设</v>
      </c>
      <c r="H163" s="184" t="str">
        <f ca="1">[1]!s_info_industry_sw(E163,3)</f>
        <v>路桥施工</v>
      </c>
      <c r="I163" s="192" t="str">
        <f ca="1">[1]!s_info_majorproducttype(E163)</f>
        <v>高分子聚合物、有机化工原料</v>
      </c>
      <c r="J163" s="189">
        <f ca="1">[1]!s_val_ev(E163,$B$2,100000000)</f>
        <v>75.938488862399993</v>
      </c>
      <c r="K163" s="193">
        <f ca="1">[1]!s_share_total(E163,$B$2,100000000)</f>
        <v>13.756972620000001</v>
      </c>
      <c r="L163" s="193">
        <f ca="1">[1]!s_share_liqa(E163,$B$2,100000000)</f>
        <v>13.756972620000001</v>
      </c>
      <c r="M163" s="186">
        <f ca="1">[1]!s_fa_gr_ttm2(E163,$C$3,100000000)</f>
        <v>329.4175924429</v>
      </c>
      <c r="N163" s="187">
        <f ca="1">[1]!s_fa_netprofit_ttm2(E163,$C$3,100000000)</f>
        <v>6.9670133532000005</v>
      </c>
      <c r="O163" s="186"/>
      <c r="P163" s="187">
        <f ca="1">[1]!s_val_pe_ttm(E163,[1]!td($B$2-1))</f>
        <v>6.9454178810119629</v>
      </c>
      <c r="Q163" s="187">
        <f ca="1">[1]!i_val_pe_percentile(E163,[1]!td($B$2-1),$B$2-365*5,[1]!td($B$2-1))</f>
        <v>11.826981246218995</v>
      </c>
      <c r="R163" s="187">
        <f ca="1">[1]!pb_mrq(E163,[1]!td($B$2-1))</f>
        <v>0.85694564713049326</v>
      </c>
      <c r="S163" s="187">
        <f ca="1">[1]!i_val_pb_percentile(E163,[1]!td($B$2-1),$B$2-365*5,[1]!td($B$2-1))</f>
        <v>8.5800438596491233</v>
      </c>
      <c r="T163" s="187">
        <f ca="1">[1]!s_val_pe_ttm([1]!to_windcode_index(H163&amp;"(申万)"),[1]!td($B$2-1))</f>
        <v>9.6000003814697266</v>
      </c>
      <c r="U163" s="187"/>
      <c r="V163" s="187">
        <f ca="1">[1]!s_fa_roe(E163,$C$3)</f>
        <v>5.5500999999999996</v>
      </c>
      <c r="W163" s="187">
        <f ca="1">[1]!s_fa_grossprofitmargin(E163,$C$3)</f>
        <v>7.0216000000000003</v>
      </c>
      <c r="X163" s="187">
        <f ca="1">[1]!s_fa_netprofitmargin(E163,$C$3)</f>
        <v>2.0081000000000002</v>
      </c>
      <c r="Y163" s="187">
        <f ca="1">[1]!s_fa_roic(E163,$C$3)</f>
        <v>3.4752000000000001</v>
      </c>
      <c r="Z163" s="187">
        <f ca="1">[1]!s_fa_operateincometoebt_ttm2(E163,$C$3)</f>
        <v>78.383600000000001</v>
      </c>
      <c r="AA163" s="186"/>
      <c r="AB163" s="342"/>
      <c r="AC163" s="186">
        <f ca="1">[1]!s_fa_cagr_tr($E163,AC$6,3)</f>
        <v>0</v>
      </c>
      <c r="AD163" s="186">
        <f ca="1">[1]!s_fa_cagr_tr($E163,AD$6,3)</f>
        <v>20.939907332974062</v>
      </c>
      <c r="AE163" s="187">
        <f ca="1">[1]!s_fa_cagr_tr($E163,AE$6,3)</f>
        <v>99.37410694174234</v>
      </c>
      <c r="AF163" s="187">
        <f ca="1">[1]!s_fa_cagr_tr($E163,AF$6,3)</f>
        <v>119.91780092193297</v>
      </c>
      <c r="AG163" s="187">
        <f ca="1">[1]!s_fa_cagr_tr($E163,AG$6,3)</f>
        <v>105.91959712738532</v>
      </c>
      <c r="AH163" s="187">
        <f ca="1">[1]!s_fa_cagr_tr($E163,AH$6,3)</f>
        <v>33.807484886774205</v>
      </c>
      <c r="AI163" s="194"/>
      <c r="AJ163" s="187">
        <f ca="1">[1]!s_fa_cagr_netprofit($E163,AJ$6,3)</f>
        <v>0</v>
      </c>
      <c r="AK163" s="187">
        <f ca="1">[1]!s_fa_cagr_netprofit($E163,AK$6,3)</f>
        <v>-3.4300207466871013</v>
      </c>
      <c r="AL163" s="187">
        <f ca="1">[1]!s_fa_cagr_netprofit($E163,AL$6,3)</f>
        <v>121.72075617964762</v>
      </c>
      <c r="AM163" s="187">
        <f ca="1">[1]!s_fa_cagr_netprofit($E163,AM$6,3)</f>
        <v>105.0017805070039</v>
      </c>
      <c r="AN163" s="187">
        <f ca="1">[1]!s_fa_cagr_netprofit($E163,AN$6,3)</f>
        <v>107.96916293651648</v>
      </c>
      <c r="AO163" s="187">
        <f ca="1">[1]!s_fa_cagr_netprofit($E163,AO$6,3)</f>
        <v>31.406035488626593</v>
      </c>
      <c r="AP163" s="189"/>
      <c r="AQ163" s="202">
        <f ca="1">[1]!s_fa_dupont_roe(E163,$C$3)</f>
        <v>5.5500999999999996</v>
      </c>
      <c r="AR163" s="202">
        <f ca="1">[1]!s_fa_dupont_nptosales(B163,$C$3)</f>
        <v>2.0081000000000002</v>
      </c>
      <c r="AS163" s="237">
        <f ca="1">[1]!s_fa_dupont_faturnover(E163,$C$3)</f>
        <v>0.6542</v>
      </c>
      <c r="AT163" s="202">
        <f ca="1">[1]!s_fa_dupont_assetstoequity(E163,$C$3)</f>
        <v>4.4526000000000003</v>
      </c>
      <c r="AU163" s="189"/>
      <c r="AV163" s="201"/>
      <c r="AW163" s="189"/>
      <c r="AX163" s="189"/>
      <c r="AY163" s="189"/>
      <c r="AZ163" s="189"/>
      <c r="BA163" s="189"/>
      <c r="BB163" s="189"/>
      <c r="BC163" s="189"/>
      <c r="BD163" s="189"/>
      <c r="BE163" s="189"/>
    </row>
    <row r="164" spans="1:57" s="130" customFormat="1" ht="12" customHeight="1" x14ac:dyDescent="0.35">
      <c r="A164" s="121" t="s">
        <v>0</v>
      </c>
      <c r="B164" s="121" t="s">
        <v>232</v>
      </c>
      <c r="C164" s="121" t="s">
        <v>233</v>
      </c>
      <c r="D164" s="121" t="str">
        <f ca="1">[1]!cb_info_underlyingname(B164)</f>
        <v>重庆建工</v>
      </c>
      <c r="E164" s="122" t="str">
        <f ca="1">[1]!cb_info_underlyingcode(B164)</f>
        <v>600939.SH</v>
      </c>
      <c r="F164" s="123" t="str">
        <f ca="1">[1]!s_info_industry_sw(B164,1)</f>
        <v>建筑装饰</v>
      </c>
      <c r="G164" s="123" t="str">
        <f ca="1">[1]!s_info_industry_sw(E164,2)</f>
        <v>房屋建设Ⅱ</v>
      </c>
      <c r="H164" s="123" t="str">
        <f ca="1">[1]!s_info_industry_sw(E164,3)</f>
        <v>房屋建设Ⅲ</v>
      </c>
      <c r="I164" s="156" t="str">
        <f ca="1">[1]!s_info_majorproducttype(E164)</f>
        <v>工业建筑、公路建设、住宅建筑</v>
      </c>
      <c r="J164" s="129">
        <f ca="1">[1]!s_val_ev(E164,$B$2,100000000)</f>
        <v>65.504831041599999</v>
      </c>
      <c r="K164" s="157">
        <f ca="1">[1]!s_share_total(E164,$B$2,100000000)</f>
        <v>18.145382560000002</v>
      </c>
      <c r="L164" s="157">
        <f ca="1">[1]!s_share_liqa(E164,$B$2,100000000)</f>
        <v>18.145382560000002</v>
      </c>
      <c r="M164" s="125">
        <f ca="1">[1]!s_fa_gr_ttm2(E164,$C$3,100000000)</f>
        <v>548.85635691519997</v>
      </c>
      <c r="N164" s="126">
        <f ca="1">[1]!s_fa_netprofit_ttm2(E164,$C$3,100000000)</f>
        <v>2.3298992135000001</v>
      </c>
      <c r="O164" s="125"/>
      <c r="P164" s="126">
        <f ca="1">[1]!s_val_pe_ttm(E164,[1]!td($B$2-1))</f>
        <v>15.995466232299805</v>
      </c>
      <c r="Q164" s="126">
        <f ca="1">[1]!i_val_pe_percentile(E164,[1]!td($B$2-1),$B$2-365*5,[1]!td($B$2-1))</f>
        <v>14.707655213984328</v>
      </c>
      <c r="R164" s="126">
        <f ca="1">[1]!pb_mrq(E164,[1]!td($B$2-1))</f>
        <v>0.91110400655829171</v>
      </c>
      <c r="S164" s="126">
        <f ca="1">[1]!i_val_pb_percentile(E164,[1]!td($B$2-1),$B$2-365*5,[1]!td($B$2-1))</f>
        <v>8.4388185654008439</v>
      </c>
      <c r="T164" s="126">
        <f ca="1">[1]!s_val_pe_ttm([1]!to_windcode_index(H164&amp;"(申万)"),[1]!td($B$2-1))</f>
        <v>5.5100002288818359</v>
      </c>
      <c r="U164" s="126"/>
      <c r="V164" s="126">
        <f ca="1">[1]!s_fa_roe(E164,$C$3)</f>
        <v>1.8951</v>
      </c>
      <c r="W164" s="126">
        <f ca="1">[1]!s_fa_grossprofitmargin(E164,$C$3)</f>
        <v>4.2130000000000001</v>
      </c>
      <c r="X164" s="126">
        <f ca="1">[1]!s_fa_netprofitmargin(E164,$C$3)</f>
        <v>0.66090000000000004</v>
      </c>
      <c r="Y164" s="126">
        <f ca="1">[1]!s_fa_roic(E164,$C$3)</f>
        <v>1.8908</v>
      </c>
      <c r="Z164" s="126">
        <f ca="1">[1]!s_fa_operateincometoebt_ttm2(E164,$C$3)</f>
        <v>95.328900000000004</v>
      </c>
      <c r="AA164" s="125"/>
      <c r="AB164" s="343"/>
      <c r="AC164" s="125">
        <f ca="1">[1]!s_fa_cagr_tr($E164,AC$6,3)</f>
        <v>0</v>
      </c>
      <c r="AD164" s="125">
        <f ca="1">[1]!s_fa_cagr_tr($E164,AD$6,3)</f>
        <v>7.0726430470770874</v>
      </c>
      <c r="AE164" s="126">
        <f ca="1">[1]!s_fa_cagr_tr($E164,AE$6,3)</f>
        <v>6.4592759779735998</v>
      </c>
      <c r="AF164" s="126">
        <f ca="1">[1]!s_fa_cagr_tr($E164,AF$6,3)</f>
        <v>0.40936700735003662</v>
      </c>
      <c r="AG164" s="126">
        <f ca="1">[1]!s_fa_cagr_tr($E164,AG$6,3)</f>
        <v>0.9045038724068144</v>
      </c>
      <c r="AH164" s="126">
        <f ca="1">[1]!s_fa_cagr_tr($E164,AH$6,3)</f>
        <v>-4.4289156507788974</v>
      </c>
      <c r="AI164" s="169"/>
      <c r="AJ164" s="126">
        <f ca="1">[1]!s_fa_cagr_netprofit($E164,AJ$6,3)</f>
        <v>0</v>
      </c>
      <c r="AK164" s="126">
        <f ca="1">[1]!s_fa_cagr_netprofit($E164,AK$6,3)</f>
        <v>-9.7817838267276631</v>
      </c>
      <c r="AL164" s="126">
        <f ca="1">[1]!s_fa_cagr_netprofit($E164,AL$6,3)</f>
        <v>15.935263837375802</v>
      </c>
      <c r="AM164" s="126">
        <f ca="1">[1]!s_fa_cagr_netprofit($E164,AM$6,3)</f>
        <v>-20.363777738961875</v>
      </c>
      <c r="AN164" s="126">
        <f ca="1">[1]!s_fa_cagr_netprofit($E164,AN$6,3)</f>
        <v>83.78366852280385</v>
      </c>
      <c r="AO164" s="126">
        <f ca="1">[1]!s_fa_cagr_netprofit($E164,AO$6,3)</f>
        <v>-6.0995693250387113</v>
      </c>
      <c r="AP164" s="129"/>
      <c r="AQ164" s="203">
        <f ca="1">[1]!s_fa_dupont_roe(E164,$C$3)</f>
        <v>1.8951</v>
      </c>
      <c r="AR164" s="203">
        <f ca="1">[1]!s_fa_dupont_nptosales(B164,$C$3)</f>
        <v>0.66069999999999995</v>
      </c>
      <c r="AS164" s="238">
        <f ca="1">[1]!s_fa_dupont_faturnover(E164,$C$3)</f>
        <v>0.55579999999999996</v>
      </c>
      <c r="AT164" s="203">
        <f ca="1">[1]!s_fa_dupont_assetstoequity(E164,$C$3)</f>
        <v>8.4669000000000008</v>
      </c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129"/>
      <c r="BE164" s="129"/>
    </row>
    <row r="165" spans="1:57" s="191" customFormat="1" ht="12" customHeight="1" x14ac:dyDescent="0.35">
      <c r="A165" s="182" t="s">
        <v>5</v>
      </c>
      <c r="B165" s="182" t="s">
        <v>266</v>
      </c>
      <c r="C165" s="182" t="s">
        <v>267</v>
      </c>
      <c r="D165" s="182" t="str">
        <f ca="1">[1]!cb_info_underlyingname(B165)</f>
        <v>北方国际</v>
      </c>
      <c r="E165" s="183" t="str">
        <f ca="1">[1]!cb_info_underlyingcode(B165)</f>
        <v>000065.SZ</v>
      </c>
      <c r="F165" s="184" t="str">
        <f ca="1">[1]!s_info_industry_sw(B165,1)</f>
        <v>建筑装饰</v>
      </c>
      <c r="G165" s="184" t="str">
        <f ca="1">[1]!s_info_industry_sw(E165,2)</f>
        <v>专业工程</v>
      </c>
      <c r="H165" s="184" t="str">
        <f ca="1">[1]!s_info_industry_sw(E165,3)</f>
        <v>国际工程承包</v>
      </c>
      <c r="I165" s="192" t="str">
        <f ca="1">[1]!s_info_majorproducttype(E165)</f>
        <v>工业建筑、建筑型材、民用建筑、重型卡车与专用车、住宅楼盘、装修工程</v>
      </c>
      <c r="J165" s="189">
        <f ca="1">[1]!s_val_ev(E165,$B$2,100000000)</f>
        <v>65.442743561</v>
      </c>
      <c r="K165" s="193">
        <f ca="1">[1]!s_share_total(E165,$B$2,100000000)</f>
        <v>7.7447033799999998</v>
      </c>
      <c r="L165" s="193">
        <f ca="1">[1]!s_share_liqa(E165,$B$2,100000000)</f>
        <v>6.7804675200000002</v>
      </c>
      <c r="M165" s="186">
        <f ca="1">[1]!s_fa_gr_ttm2(E165,$C$3,100000000)</f>
        <v>114.95401517450001</v>
      </c>
      <c r="N165" s="187">
        <f ca="1">[1]!s_fa_netprofit_ttm2(E165,$C$3,100000000)</f>
        <v>7.2474435373999997</v>
      </c>
      <c r="O165" s="186"/>
      <c r="P165" s="187">
        <f ca="1">[1]!s_val_pe_ttm(E165,[1]!td($B$2-1))</f>
        <v>8.6559209823608398</v>
      </c>
      <c r="Q165" s="187">
        <f ca="1">[1]!i_val_pe_percentile(E165,[1]!td($B$2-1),$B$2-365*5,[1]!td($B$2-1))</f>
        <v>21.710526315789476</v>
      </c>
      <c r="R165" s="187">
        <f ca="1">[1]!pb_mrq(E165,[1]!td($B$2-1))</f>
        <v>1.135636809457893</v>
      </c>
      <c r="S165" s="187">
        <f ca="1">[1]!i_val_pb_percentile(E165,[1]!td($B$2-1),$B$2-365*5,[1]!td($B$2-1))</f>
        <v>14.364035087719298</v>
      </c>
      <c r="T165" s="187">
        <f ca="1">[1]!s_val_pe_ttm([1]!to_windcode_index(H165&amp;"(申万)"),[1]!td($B$2-1))</f>
        <v>20.090000152587891</v>
      </c>
      <c r="U165" s="187"/>
      <c r="V165" s="187">
        <f ca="1">[1]!s_fa_roe(E165,$C$3)</f>
        <v>9.8315000000000001</v>
      </c>
      <c r="W165" s="187">
        <f ca="1">[1]!s_fa_grossprofitmargin(E165,$C$3)</f>
        <v>14.992599999999999</v>
      </c>
      <c r="X165" s="187">
        <f ca="1">[1]!s_fa_netprofitmargin(E165,$C$3)</f>
        <v>7.2393999999999998</v>
      </c>
      <c r="Y165" s="187">
        <f ca="1">[1]!s_fa_roic(E165,$C$3)</f>
        <v>5.3220999999999998</v>
      </c>
      <c r="Z165" s="187">
        <f ca="1">[1]!s_fa_operateincometoebt_ttm2(E165,$C$3)</f>
        <v>94.239099999999993</v>
      </c>
      <c r="AA165" s="186"/>
      <c r="AB165" s="342"/>
      <c r="AC165" s="186">
        <f ca="1">[1]!s_fa_cagr_tr($E165,AC$6,3)</f>
        <v>0</v>
      </c>
      <c r="AD165" s="186">
        <f ca="1">[1]!s_fa_cagr_tr($E165,AD$6,3)</f>
        <v>9.7160972475964549</v>
      </c>
      <c r="AE165" s="187">
        <f ca="1">[1]!s_fa_cagr_tr($E165,AE$6,3)</f>
        <v>8.0738989257068248</v>
      </c>
      <c r="AF165" s="187">
        <f ca="1">[1]!s_fa_cagr_tr($E165,AF$6,3)</f>
        <v>32.554445578384204</v>
      </c>
      <c r="AG165" s="187">
        <f ca="1">[1]!s_fa_cagr_tr($E165,AG$6,3)</f>
        <v>47.629335584289919</v>
      </c>
      <c r="AH165" s="187">
        <f ca="1">[1]!s_fa_cagr_tr($E165,AH$6,3)</f>
        <v>43.61104884449847</v>
      </c>
      <c r="AI165" s="194"/>
      <c r="AJ165" s="187">
        <f ca="1">[1]!s_fa_cagr_netprofit($E165,AJ$6,3)</f>
        <v>0</v>
      </c>
      <c r="AK165" s="187">
        <f ca="1">[1]!s_fa_cagr_netprofit($E165,AK$6,3)</f>
        <v>14.598576096273774</v>
      </c>
      <c r="AL165" s="187">
        <f ca="1">[1]!s_fa_cagr_netprofit($E165,AL$6,3)</f>
        <v>15.274846051828629</v>
      </c>
      <c r="AM165" s="187">
        <f ca="1">[1]!s_fa_cagr_netprofit($E165,AM$6,3)</f>
        <v>39.112042202026267</v>
      </c>
      <c r="AN165" s="187">
        <f ca="1">[1]!s_fa_cagr_netprofit($E165,AN$6,3)</f>
        <v>39.32667365575233</v>
      </c>
      <c r="AO165" s="187">
        <f ca="1">[1]!s_fa_cagr_netprofit($E165,AO$6,3)</f>
        <v>43.47422504515832</v>
      </c>
      <c r="AP165" s="189"/>
      <c r="AQ165" s="202">
        <f ca="1">[1]!s_fa_dupont_roe(E165,$C$3)</f>
        <v>9.8315000000000001</v>
      </c>
      <c r="AR165" s="202">
        <f ca="1">[1]!s_fa_dupont_nptosales(B165,$C$3)</f>
        <v>7.2393999999999998</v>
      </c>
      <c r="AS165" s="237">
        <f ca="1">[1]!s_fa_dupont_faturnover(E165,$C$3)</f>
        <v>0.42449999999999999</v>
      </c>
      <c r="AT165" s="202">
        <f ca="1">[1]!s_fa_dupont_assetstoequity(E165,$C$3)</f>
        <v>3.1829000000000001</v>
      </c>
      <c r="AU165" s="189"/>
      <c r="AV165" s="189"/>
      <c r="AW165" s="189"/>
      <c r="AX165" s="189"/>
      <c r="AY165" s="189"/>
      <c r="AZ165" s="189"/>
      <c r="BA165" s="189"/>
      <c r="BB165" s="189"/>
      <c r="BC165" s="189"/>
      <c r="BD165" s="189"/>
      <c r="BE165" s="189"/>
    </row>
    <row r="166" spans="1:57" s="130" customFormat="1" ht="12" customHeight="1" x14ac:dyDescent="0.35">
      <c r="A166" s="121" t="s">
        <v>0</v>
      </c>
      <c r="B166" s="121" t="s">
        <v>58</v>
      </c>
      <c r="C166" s="121" t="s">
        <v>59</v>
      </c>
      <c r="D166" s="121" t="str">
        <f ca="1">[1]!cb_info_underlyingname(B166)</f>
        <v>城地香江</v>
      </c>
      <c r="E166" s="122" t="str">
        <f ca="1">[1]!cb_info_underlyingcode(B166)</f>
        <v>603887.SH</v>
      </c>
      <c r="F166" s="123" t="str">
        <f ca="1">[1]!s_info_industry_sw(B166,1)</f>
        <v>建筑装饰</v>
      </c>
      <c r="G166" s="123" t="str">
        <f ca="1">[1]!s_info_industry_sw(E166,2)</f>
        <v>房屋建设Ⅱ</v>
      </c>
      <c r="H166" s="123" t="str">
        <f ca="1">[1]!s_info_industry_sw(E166,3)</f>
        <v>房屋建设Ⅲ</v>
      </c>
      <c r="I166" s="156" t="str">
        <f ca="1">[1]!s_info_majorproducttype(E166)</f>
        <v>民用建筑、专业咨询服务</v>
      </c>
      <c r="J166" s="129">
        <f ca="1">[1]!s_val_ev(E166,$B$2,100000000)</f>
        <v>39.0761286153</v>
      </c>
      <c r="K166" s="157">
        <f ca="1">[1]!s_share_total(E166,$B$2,100000000)</f>
        <v>4.5070505899999995</v>
      </c>
      <c r="L166" s="157">
        <f ca="1">[1]!s_share_liqa(E166,$B$2,100000000)</f>
        <v>3.53947718</v>
      </c>
      <c r="M166" s="125">
        <f ca="1">[1]!s_fa_gr_ttm2(E166,$C$3,100000000)</f>
        <v>34.4016186152</v>
      </c>
      <c r="N166" s="126">
        <f ca="1">[1]!s_fa_netprofit_ttm2(E166,$C$3,100000000)</f>
        <v>3.6526769961999999</v>
      </c>
      <c r="O166" s="125"/>
      <c r="P166" s="126">
        <f ca="1">[1]!s_val_pe_ttm(E166,[1]!td($B$2-1))</f>
        <v>12.564420700073242</v>
      </c>
      <c r="Q166" s="126">
        <f ca="1">[1]!i_val_pe_percentile(E166,[1]!td($B$2-1),$B$2-365*5,[1]!td($B$2-1))</f>
        <v>7.1388733965421087</v>
      </c>
      <c r="R166" s="126">
        <f ca="1">[1]!pb_mrq(E166,[1]!td($B$2-1))</f>
        <v>1.0285070656496822</v>
      </c>
      <c r="S166" s="126">
        <f ca="1">[1]!i_val_pb_percentile(E166,[1]!td($B$2-1),$B$2-365*5,[1]!td($B$2-1))</f>
        <v>0.5577244841048522</v>
      </c>
      <c r="T166" s="126">
        <f ca="1">[1]!s_val_pe_ttm([1]!to_windcode_index(H166&amp;"(申万)"),[1]!td($B$2-1))</f>
        <v>5.5100002288818359</v>
      </c>
      <c r="U166" s="125"/>
      <c r="V166" s="125">
        <f ca="1">[1]!s_fa_roe(E166,$C$3)</f>
        <v>7.8102999999999998</v>
      </c>
      <c r="W166" s="125">
        <f ca="1">[1]!s_fa_grossprofitmargin(E166,$C$3)</f>
        <v>24.950299999999999</v>
      </c>
      <c r="X166" s="125">
        <f ca="1">[1]!s_fa_netprofitmargin(E166,$C$3)</f>
        <v>11.1691</v>
      </c>
      <c r="Y166" s="125">
        <f ca="1">[1]!s_fa_roic(E166,$C$3)</f>
        <v>6.3312999999999997</v>
      </c>
      <c r="Z166" s="125">
        <f ca="1">[1]!s_fa_operateincometoebt_ttm2(E166,$C$3)</f>
        <v>89.183899999999994</v>
      </c>
      <c r="AA166" s="125"/>
      <c r="AB166" s="343"/>
      <c r="AC166" s="125">
        <f ca="1">[1]!s_fa_cagr_tr($E166,AC$6,3)</f>
        <v>0</v>
      </c>
      <c r="AD166" s="125">
        <f ca="1">[1]!s_fa_cagr_tr($E166,AD$6,3)</f>
        <v>69.138542202036263</v>
      </c>
      <c r="AE166" s="126">
        <f ca="1">[1]!s_fa_cagr_tr($E166,AE$6,3)</f>
        <v>72.913288005674687</v>
      </c>
      <c r="AF166" s="126">
        <f ca="1">[1]!s_fa_cagr_tr($E166,AF$6,3)</f>
        <v>31.397164782882435</v>
      </c>
      <c r="AG166" s="126">
        <f ca="1">[1]!s_fa_cagr_tr($E166,AG$6,3)</f>
        <v>13.340562982171257</v>
      </c>
      <c r="AH166" s="126">
        <f ca="1">[1]!s_fa_cagr_tr($E166,AH$6,3)</f>
        <v>3.6292757359582373</v>
      </c>
      <c r="AI166" s="169"/>
      <c r="AJ166" s="126">
        <f ca="1">[1]!s_fa_cagr_netprofit($E166,AJ$6,3)</f>
        <v>0</v>
      </c>
      <c r="AK166" s="126">
        <f ca="1">[1]!s_fa_cagr_netprofit($E166,AK$6,3)</f>
        <v>80.843949279488342</v>
      </c>
      <c r="AL166" s="126">
        <f ca="1">[1]!s_fa_cagr_netprofit($E166,AL$6,3)</f>
        <v>81.587304424277704</v>
      </c>
      <c r="AM166" s="126">
        <f ca="1">[1]!s_fa_cagr_netprofit($E166,AM$6,3)</f>
        <v>8.8538601204005474</v>
      </c>
      <c r="AN166" s="126">
        <f ca="1">[1]!s_fa_cagr_netprofit($E166,AN$6,3)</f>
        <v>10.257390465585114</v>
      </c>
      <c r="AO166" s="126">
        <f ca="1">[1]!s_fa_cagr_netprofit($E166,AO$6,3)</f>
        <v>6.9761659603746251</v>
      </c>
      <c r="AP166" s="129"/>
      <c r="AQ166" s="203">
        <f ca="1">[1]!s_fa_dupont_roe(E166,$C$3)</f>
        <v>7.8102999999999998</v>
      </c>
      <c r="AR166" s="203">
        <f ca="1">[1]!s_fa_dupont_nptosales(B166,$C$3)</f>
        <v>11.1691</v>
      </c>
      <c r="AS166" s="238">
        <f ca="1">[1]!s_fa_dupont_faturnover(E166,$C$3)</f>
        <v>0.35060000000000002</v>
      </c>
      <c r="AT166" s="203">
        <f ca="1">[1]!s_fa_dupont_assetstoequity(E166,$C$3)</f>
        <v>1.9939</v>
      </c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129"/>
      <c r="BE166" s="129"/>
    </row>
    <row r="167" spans="1:57" s="191" customFormat="1" ht="12" customHeight="1" x14ac:dyDescent="0.35">
      <c r="A167" s="182" t="s">
        <v>5</v>
      </c>
      <c r="B167" s="182" t="s">
        <v>439</v>
      </c>
      <c r="C167" s="182" t="s">
        <v>440</v>
      </c>
      <c r="D167" s="182" t="str">
        <f ca="1">[1]!cb_info_underlyingname(B167)</f>
        <v>中化岩土</v>
      </c>
      <c r="E167" s="183" t="str">
        <f ca="1">[1]!cb_info_underlyingcode(B167)</f>
        <v>002542.SZ</v>
      </c>
      <c r="F167" s="184" t="str">
        <f ca="1">[1]!s_info_industry_sw(B167,1)</f>
        <v>建筑装饰</v>
      </c>
      <c r="G167" s="184" t="str">
        <f ca="1">[1]!s_info_industry_sw(E167,2)</f>
        <v>专业工程</v>
      </c>
      <c r="H167" s="184" t="str">
        <f ca="1">[1]!s_info_industry_sw(E167,3)</f>
        <v>其他专业工程</v>
      </c>
      <c r="I167" s="192" t="str">
        <f ca="1">[1]!s_info_majorproducttype(E167)</f>
        <v>工业建筑、重型建筑工程机械</v>
      </c>
      <c r="J167" s="189">
        <f ca="1">[1]!s_val_ev(E167,$B$2,100000000)</f>
        <v>54.701688041700002</v>
      </c>
      <c r="K167" s="193">
        <f ca="1">[1]!s_share_total(E167,$B$2,100000000)</f>
        <v>18.05336239</v>
      </c>
      <c r="L167" s="193">
        <f ca="1">[1]!s_share_liqa(E167,$B$2,100000000)</f>
        <v>14.509333399999999</v>
      </c>
      <c r="M167" s="186">
        <f ca="1">[1]!s_fa_gr_ttm2(E167,$C$3,100000000)</f>
        <v>48.736468504300007</v>
      </c>
      <c r="N167" s="187">
        <f ca="1">[1]!s_fa_netprofit_ttm2(E167,$C$3,100000000)</f>
        <v>2.5457929477999999</v>
      </c>
      <c r="O167" s="186"/>
      <c r="P167" s="187">
        <f ca="1">[1]!s_val_pe_ttm(E167,[1]!td($B$2-1))</f>
        <v>31.21232795715332</v>
      </c>
      <c r="Q167" s="187">
        <f ca="1">[1]!i_val_pe_percentile(E167,[1]!td($B$2-1),$B$2-365*5,[1]!td($B$2-1))</f>
        <v>42.379385964912281</v>
      </c>
      <c r="R167" s="187">
        <f ca="1">[1]!pb_mrq(E167,[1]!td($B$2-1))</f>
        <v>1.3815272619673264</v>
      </c>
      <c r="S167" s="187">
        <f ca="1">[1]!i_val_pb_percentile(E167,[1]!td($B$2-1),$B$2-365*5,[1]!td($B$2-1))</f>
        <v>12.390350877192983</v>
      </c>
      <c r="T167" s="187">
        <f ca="1">[1]!s_val_pe_ttm([1]!to_windcode_index(H167&amp;"(申万)"),[1]!td($B$2-1))</f>
        <v>15.710000038146973</v>
      </c>
      <c r="U167" s="187"/>
      <c r="V167" s="187">
        <f ca="1">[1]!s_fa_roe(E167,$C$3)</f>
        <v>4.1059000000000001</v>
      </c>
      <c r="W167" s="187">
        <f ca="1">[1]!s_fa_grossprofitmargin(E167,$C$3)</f>
        <v>19.2773</v>
      </c>
      <c r="X167" s="187">
        <f ca="1">[1]!s_fa_netprofitmargin(E167,$C$3)</f>
        <v>4.9813999999999998</v>
      </c>
      <c r="Y167" s="187">
        <f ca="1">[1]!s_fa_roic(E167,$C$3)</f>
        <v>3.5026000000000002</v>
      </c>
      <c r="Z167" s="187">
        <f ca="1">[1]!s_fa_operateincometoebt_ttm2(E167,$C$3)</f>
        <v>88.010900000000007</v>
      </c>
      <c r="AA167" s="186"/>
      <c r="AB167" s="342"/>
      <c r="AC167" s="186">
        <f ca="1">[1]!s_fa_cagr_tr($E167,AC$6,3)</f>
        <v>0</v>
      </c>
      <c r="AD167" s="186">
        <f ca="1">[1]!s_fa_cagr_tr($E167,AD$6,3)</f>
        <v>26.572228967079049</v>
      </c>
      <c r="AE167" s="187">
        <f ca="1">[1]!s_fa_cagr_tr($E167,AE$6,3)</f>
        <v>21.131321347706855</v>
      </c>
      <c r="AF167" s="187">
        <f ca="1">[1]!s_fa_cagr_tr($E167,AF$6,3)</f>
        <v>22.666624288739644</v>
      </c>
      <c r="AG167" s="187">
        <f ca="1">[1]!s_fa_cagr_tr($E167,AG$6,3)</f>
        <v>32.376135987866462</v>
      </c>
      <c r="AH167" s="187">
        <f ca="1">[1]!s_fa_cagr_tr($E167,AH$6,3)</f>
        <v>65.958241512582049</v>
      </c>
      <c r="AI167" s="194"/>
      <c r="AJ167" s="187">
        <f ca="1">[1]!s_fa_cagr_netprofit($E167,AJ$6,3)</f>
        <v>0</v>
      </c>
      <c r="AK167" s="187">
        <f ca="1">[1]!s_fa_cagr_netprofit($E167,AK$6,3)</f>
        <v>-7.8762587584827459</v>
      </c>
      <c r="AL167" s="187">
        <f ca="1">[1]!s_fa_cagr_netprofit($E167,AL$6,3)</f>
        <v>0.39596372504009381</v>
      </c>
      <c r="AM167" s="187">
        <f ca="1">[1]!s_fa_cagr_netprofit($E167,AM$6,3)</f>
        <v>-0.59966552765144954</v>
      </c>
      <c r="AN167" s="187">
        <f ca="1">[1]!s_fa_cagr_netprofit($E167,AN$6,3)</f>
        <v>21.998256146174278</v>
      </c>
      <c r="AO167" s="187">
        <f ca="1">[1]!s_fa_cagr_netprofit($E167,AO$6,3)</f>
        <v>52.051420599616094</v>
      </c>
      <c r="AP167" s="189"/>
      <c r="AQ167" s="202">
        <f ca="1">[1]!s_fa_dupont_roe(E167,$C$3)</f>
        <v>4.1059000000000001</v>
      </c>
      <c r="AR167" s="202">
        <f ca="1">[1]!s_fa_dupont_nptosales(B167,$C$3)</f>
        <v>4.9813999999999998</v>
      </c>
      <c r="AS167" s="237">
        <f ca="1">[1]!s_fa_dupont_faturnover(E167,$C$3)</f>
        <v>0.35189999999999999</v>
      </c>
      <c r="AT167" s="202">
        <f ca="1">[1]!s_fa_dupont_assetstoequity(E167,$C$3)</f>
        <v>2.3007</v>
      </c>
      <c r="AU167" s="189"/>
      <c r="AV167" s="201"/>
      <c r="AW167" s="189"/>
      <c r="AX167" s="189"/>
      <c r="AY167" s="189"/>
      <c r="AZ167" s="189"/>
      <c r="BA167" s="189"/>
      <c r="BB167" s="189"/>
      <c r="BC167" s="189"/>
      <c r="BD167" s="189"/>
      <c r="BE167" s="189"/>
    </row>
    <row r="168" spans="1:57" s="130" customFormat="1" ht="12" customHeight="1" x14ac:dyDescent="0.35">
      <c r="A168" s="121" t="s">
        <v>5</v>
      </c>
      <c r="B168" s="121" t="s">
        <v>403</v>
      </c>
      <c r="C168" s="121" t="s">
        <v>404</v>
      </c>
      <c r="D168" s="121" t="str">
        <f ca="1">[1]!cb_info_underlyingname(B168)</f>
        <v>岭南股份</v>
      </c>
      <c r="E168" s="122" t="str">
        <f ca="1">[1]!cb_info_underlyingcode(B168)</f>
        <v>002717.SZ</v>
      </c>
      <c r="F168" s="123" t="str">
        <f ca="1">[1]!s_info_industry_sw(B168,1)</f>
        <v>建筑装饰</v>
      </c>
      <c r="G168" s="123" t="str">
        <f ca="1">[1]!s_info_industry_sw(E168,2)</f>
        <v>园林工程Ⅱ</v>
      </c>
      <c r="H168" s="123" t="str">
        <f ca="1">[1]!s_info_industry_sw(E168,3)</f>
        <v>园林工程Ⅲ</v>
      </c>
      <c r="I168" s="156" t="str">
        <f ca="1">[1]!s_info_majorproducttype(E168)</f>
        <v>广告设计、行业专用软件、苗木、影视制作发行、专业咨询服务、装修工程</v>
      </c>
      <c r="J168" s="129">
        <f ca="1">[1]!s_val_ev(E168,$B$2,100000000)</f>
        <v>47.697726648</v>
      </c>
      <c r="K168" s="157">
        <f ca="1">[1]!s_share_total(E168,$B$2,100000000)</f>
        <v>15.2877329</v>
      </c>
      <c r="L168" s="157">
        <f ca="1">[1]!s_share_liqa(E168,$B$2,100000000)</f>
        <v>11.25437179</v>
      </c>
      <c r="M168" s="125">
        <f ca="1">[1]!s_fa_gr_ttm2(E168,$C$3,100000000)</f>
        <v>72.099780462600009</v>
      </c>
      <c r="N168" s="126">
        <f ca="1">[1]!s_fa_netprofit_ttm2(E168,$C$3,100000000)</f>
        <v>0.99169785919999998</v>
      </c>
      <c r="O168" s="125"/>
      <c r="P168" s="126">
        <f ca="1">[1]!s_val_pe_ttm(E168,[1]!td($B$2-1))</f>
        <v>-10.973372459411621</v>
      </c>
      <c r="Q168" s="126">
        <f ca="1">[1]!i_val_pe_percentile(E168,[1]!td($B$2-1),$B$2-365*5,[1]!td($B$2-1))</f>
        <v>0</v>
      </c>
      <c r="R168" s="126">
        <f ca="1">[1]!pb_mrq(E168,[1]!td($B$2-1))</f>
        <v>1.0945664167559714</v>
      </c>
      <c r="S168" s="126">
        <f ca="1">[1]!i_val_pb_percentile(E168,[1]!td($B$2-1),$B$2-365*5,[1]!td($B$2-1))</f>
        <v>12.171052631578947</v>
      </c>
      <c r="T168" s="126">
        <f ca="1">[1]!s_val_pe_ttm([1]!to_windcode_index(H168&amp;"(申万)"),[1]!td($B$2-1))</f>
        <v>72.900001525878906</v>
      </c>
      <c r="U168" s="126"/>
      <c r="V168" s="126">
        <f ca="1">[1]!s_fa_roe(E168,$C$3)</f>
        <v>1.5395000000000001</v>
      </c>
      <c r="W168" s="126">
        <f ca="1">[1]!s_fa_grossprofitmargin(E168,$C$3)</f>
        <v>19.135999999999999</v>
      </c>
      <c r="X168" s="126">
        <f ca="1">[1]!s_fa_netprofitmargin(E168,$C$3)</f>
        <v>1.7283999999999999</v>
      </c>
      <c r="Y168" s="126">
        <f ca="1">[1]!s_fa_roic(E168,$C$3)</f>
        <v>1.7144999999999999</v>
      </c>
      <c r="Z168" s="126">
        <f ca="1">[1]!s_fa_operateincometoebt_ttm2(E168,$C$3)</f>
        <v>69.805400000000006</v>
      </c>
      <c r="AA168" s="125"/>
      <c r="AB168" s="343"/>
      <c r="AC168" s="125">
        <f ca="1">[1]!s_fa_cagr_tr($E168,AC$6,3)</f>
        <v>0</v>
      </c>
      <c r="AD168" s="125">
        <f ca="1">[1]!s_fa_cagr_tr($E168,AD$6,3)</f>
        <v>11.651360094424867</v>
      </c>
      <c r="AE168" s="126">
        <f ca="1">[1]!s_fa_cagr_tr($E168,AE$6,3)</f>
        <v>45.790317629336961</v>
      </c>
      <c r="AF168" s="126">
        <f ca="1">[1]!s_fa_cagr_tr($E168,AF$6,3)</f>
        <v>67.288052694092855</v>
      </c>
      <c r="AG168" s="126">
        <f ca="1">[1]!s_fa_cagr_tr($E168,AG$6,3)</f>
        <v>63.758004213088704</v>
      </c>
      <c r="AH168" s="126">
        <f ca="1">[1]!s_fa_cagr_tr($E168,AH$6,3)</f>
        <v>47.178914181285904</v>
      </c>
      <c r="AI168" s="169"/>
      <c r="AJ168" s="126">
        <f ca="1">[1]!s_fa_cagr_netprofit($E168,AJ$6,3)</f>
        <v>0</v>
      </c>
      <c r="AK168" s="126">
        <f ca="1">[1]!s_fa_cagr_netprofit($E168,AK$6,3)</f>
        <v>-196.67259896203748</v>
      </c>
      <c r="AL168" s="126">
        <f ca="1">[1]!s_fa_cagr_netprofit($E168,AL$6,3)</f>
        <v>7.9051536747390516</v>
      </c>
      <c r="AM168" s="126">
        <f ca="1">[1]!s_fa_cagr_netprofit($E168,AM$6,3)</f>
        <v>66.748732758434784</v>
      </c>
      <c r="AN168" s="126">
        <f ca="1">[1]!s_fa_cagr_netprofit($E168,AN$6,3)</f>
        <v>63.271301278718475</v>
      </c>
      <c r="AO168" s="126">
        <f ca="1">[1]!s_fa_cagr_netprofit($E168,AO$6,3)</f>
        <v>39.230395851810229</v>
      </c>
      <c r="AP168" s="129"/>
      <c r="AQ168" s="203">
        <f ca="1">[1]!s_fa_dupont_roe(E168,$C$3)</f>
        <v>1.5395000000000001</v>
      </c>
      <c r="AR168" s="203">
        <f ca="1">[1]!s_fa_dupont_nptosales(B168,$C$3)</f>
        <v>1.7283999999999999</v>
      </c>
      <c r="AS168" s="238">
        <f ca="1">[1]!s_fa_dupont_faturnover(E168,$C$3)</f>
        <v>0.22850000000000001</v>
      </c>
      <c r="AT168" s="203">
        <f ca="1">[1]!s_fa_dupont_assetstoequity(E168,$C$3)</f>
        <v>3.9893999999999998</v>
      </c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129"/>
      <c r="BE168" s="129"/>
    </row>
    <row r="169" spans="1:57" s="191" customFormat="1" ht="12" customHeight="1" x14ac:dyDescent="0.35">
      <c r="A169" s="182" t="s">
        <v>0</v>
      </c>
      <c r="B169" s="182" t="s">
        <v>342</v>
      </c>
      <c r="C169" s="182" t="s">
        <v>343</v>
      </c>
      <c r="D169" s="182" t="str">
        <f ca="1">[1]!cb_info_underlyingname(B169)</f>
        <v>大丰实业</v>
      </c>
      <c r="E169" s="183" t="str">
        <f ca="1">[1]!cb_info_underlyingcode(B169)</f>
        <v>603081.SH</v>
      </c>
      <c r="F169" s="184" t="str">
        <f ca="1">[1]!s_info_industry_sw(B169,1)</f>
        <v>建筑装饰</v>
      </c>
      <c r="G169" s="184" t="str">
        <f ca="1">[1]!s_info_industry_sw(E169,2)</f>
        <v>装修装饰Ⅱ</v>
      </c>
      <c r="H169" s="184" t="str">
        <f ca="1">[1]!s_info_industry_sw(E169,3)</f>
        <v>装修装饰Ⅲ</v>
      </c>
      <c r="I169" s="192" t="str">
        <f ca="1">[1]!s_info_majorproducttype(E169)</f>
        <v>专用设备与零部件</v>
      </c>
      <c r="J169" s="189">
        <f ca="1">[1]!s_val_ev(E169,$B$2,100000000)</f>
        <v>51.191026777799998</v>
      </c>
      <c r="K169" s="193">
        <f ca="1">[1]!s_share_total(E169,$B$2,100000000)</f>
        <v>4.0181339699999992</v>
      </c>
      <c r="L169" s="193">
        <f ca="1">[1]!s_share_liqa(E169,$B$2,100000000)</f>
        <v>4.0181339699999992</v>
      </c>
      <c r="M169" s="186">
        <f ca="1">[1]!s_fa_gr_ttm2(E169,$C$3,100000000)</f>
        <v>22.637519803499998</v>
      </c>
      <c r="N169" s="187">
        <f ca="1">[1]!s_fa_netprofit_ttm2(E169,$C$3,100000000)</f>
        <v>2.6234075542999999</v>
      </c>
      <c r="O169" s="186"/>
      <c r="P169" s="187">
        <f ca="1">[1]!s_val_pe_ttm(E169,[1]!td($B$2-1))</f>
        <v>14.248215675354004</v>
      </c>
      <c r="Q169" s="187">
        <f ca="1">[1]!i_val_pe_percentile(E169,[1]!td($B$2-1),$B$2-365*5,[1]!td($B$2-1))</f>
        <v>7.6202373516552155</v>
      </c>
      <c r="R169" s="187">
        <f ca="1">[1]!pb_mrq(E169,[1]!td($B$2-1))</f>
        <v>2.2575677062363657</v>
      </c>
      <c r="S169" s="187">
        <f ca="1">[1]!i_val_pb_percentile(E169,[1]!td($B$2-1),$B$2-365*5,[1]!td($B$2-1))</f>
        <v>15.427857589006871</v>
      </c>
      <c r="T169" s="187">
        <f ca="1">[1]!s_val_pe_ttm([1]!to_windcode_index(H169&amp;"(申万)"),[1]!td($B$2-1))</f>
        <v>20.219999313354492</v>
      </c>
      <c r="U169" s="187"/>
      <c r="V169" s="187">
        <f ca="1">[1]!s_fa_roe(E169,$C$3)</f>
        <v>10.0101</v>
      </c>
      <c r="W169" s="187">
        <f ca="1">[1]!s_fa_grossprofitmargin(E169,$C$3)</f>
        <v>33.501600000000003</v>
      </c>
      <c r="X169" s="187">
        <f ca="1">[1]!s_fa_netprofitmargin(E169,$C$3)</f>
        <v>13.6715</v>
      </c>
      <c r="Y169" s="187">
        <f ca="1">[1]!s_fa_roic(E169,$C$3)</f>
        <v>7.6292999999999997</v>
      </c>
      <c r="Z169" s="187">
        <f ca="1">[1]!s_fa_operateincometoebt_ttm2(E169,$C$3)</f>
        <v>89.812600000000003</v>
      </c>
      <c r="AA169" s="186"/>
      <c r="AB169" s="342"/>
      <c r="AC169" s="186">
        <f ca="1">[1]!s_fa_cagr_tr($E169,AC$6,3)</f>
        <v>0</v>
      </c>
      <c r="AD169" s="186">
        <f ca="1">[1]!s_fa_cagr_tr($E169,AD$6,3)</f>
        <v>13.701343547335831</v>
      </c>
      <c r="AE169" s="187">
        <f ca="1">[1]!s_fa_cagr_tr($E169,AE$6,3)</f>
        <v>9.8081775195299379</v>
      </c>
      <c r="AF169" s="187">
        <f ca="1">[1]!s_fa_cagr_tr($E169,AF$6,3)</f>
        <v>8.7470562073526317</v>
      </c>
      <c r="AG169" s="187">
        <f ca="1">[1]!s_fa_cagr_tr($E169,AG$6,3)</f>
        <v>9.9133981273911829</v>
      </c>
      <c r="AH169" s="187">
        <f ca="1">[1]!s_fa_cagr_tr($E169,AH$6,3)</f>
        <v>9.8484497969222762</v>
      </c>
      <c r="AI169" s="194"/>
      <c r="AJ169" s="187">
        <f ca="1">[1]!s_fa_cagr_netprofit($E169,AJ$6,3)</f>
        <v>0</v>
      </c>
      <c r="AK169" s="187">
        <f ca="1">[1]!s_fa_cagr_netprofit($E169,AK$6,3)</f>
        <v>11.039513631291076</v>
      </c>
      <c r="AL169" s="187">
        <f ca="1">[1]!s_fa_cagr_netprofit($E169,AL$6,3)</f>
        <v>5.5709331882237256</v>
      </c>
      <c r="AM169" s="187">
        <f ca="1">[1]!s_fa_cagr_netprofit($E169,AM$6,3)</f>
        <v>12.775959928302672</v>
      </c>
      <c r="AN169" s="187">
        <f ca="1">[1]!s_fa_cagr_netprofit($E169,AN$6,3)</f>
        <v>18.750145126379181</v>
      </c>
      <c r="AO169" s="187">
        <f ca="1">[1]!s_fa_cagr_netprofit($E169,AO$6,3)</f>
        <v>16.565028175718034</v>
      </c>
      <c r="AP169" s="189"/>
      <c r="AQ169" s="202">
        <f ca="1">[1]!s_fa_dupont_roe(E169,$C$3)</f>
        <v>10.0101</v>
      </c>
      <c r="AR169" s="202">
        <f ca="1">[1]!s_fa_dupont_nptosales(B169,$C$3)</f>
        <v>13.6715</v>
      </c>
      <c r="AS169" s="237">
        <f ca="1">[1]!s_fa_dupont_faturnover(E169,$C$3)</f>
        <v>0.33479999999999999</v>
      </c>
      <c r="AT169" s="202">
        <f ca="1">[1]!s_fa_dupont_assetstoequity(E169,$C$3)</f>
        <v>2.1779000000000002</v>
      </c>
      <c r="AU169" s="189"/>
      <c r="AV169" s="189"/>
      <c r="AW169" s="189"/>
      <c r="AX169" s="189"/>
      <c r="AY169" s="189"/>
      <c r="AZ169" s="189"/>
      <c r="BA169" s="189"/>
      <c r="BB169" s="189"/>
      <c r="BC169" s="189"/>
      <c r="BD169" s="189"/>
      <c r="BE169" s="189"/>
    </row>
    <row r="170" spans="1:57" s="130" customFormat="1" ht="12" customHeight="1" x14ac:dyDescent="0.35">
      <c r="A170" s="121" t="s">
        <v>5</v>
      </c>
      <c r="B170" s="121" t="s">
        <v>56</v>
      </c>
      <c r="C170" s="121" t="s">
        <v>57</v>
      </c>
      <c r="D170" s="121" t="str">
        <f ca="1">[1]!cb_info_underlyingname(B170)</f>
        <v>华阳国际</v>
      </c>
      <c r="E170" s="122" t="str">
        <f ca="1">[1]!cb_info_underlyingcode(B170)</f>
        <v>002949.SZ</v>
      </c>
      <c r="F170" s="123" t="str">
        <f ca="1">[1]!s_info_industry_sw(B170,1)</f>
        <v>建筑装饰</v>
      </c>
      <c r="G170" s="123" t="str">
        <f ca="1">[1]!s_info_industry_sw(E170,2)</f>
        <v>房屋建设Ⅱ</v>
      </c>
      <c r="H170" s="123" t="str">
        <f ca="1">[1]!s_info_industry_sw(E170,3)</f>
        <v>房屋建设Ⅲ</v>
      </c>
      <c r="I170" s="156" t="str">
        <f ca="1">[1]!s_info_majorproducttype(E170)</f>
        <v>专业咨询服务</v>
      </c>
      <c r="J170" s="129">
        <f ca="1">[1]!s_val_ev(E170,$B$2,100000000)</f>
        <v>33.031874078500003</v>
      </c>
      <c r="K170" s="157">
        <f ca="1">[1]!s_share_total(E170,$B$2,100000000)</f>
        <v>1.9603486099999996</v>
      </c>
      <c r="L170" s="157">
        <f ca="1">[1]!s_share_liqa(E170,$B$2,100000000)</f>
        <v>0.93501861000000019</v>
      </c>
      <c r="M170" s="125">
        <f ca="1">[1]!s_fa_gr_ttm2(E170,$C$3,100000000)</f>
        <v>15.3289738377</v>
      </c>
      <c r="N170" s="126">
        <f ca="1">[1]!s_fa_netprofit_ttm2(E170,$C$3,100000000)</f>
        <v>1.5653831763999999</v>
      </c>
      <c r="O170" s="125"/>
      <c r="P170" s="126">
        <f ca="1">[1]!s_val_pe_ttm(E170,[1]!td($B$2-1))</f>
        <v>16.608573913574219</v>
      </c>
      <c r="Q170" s="126">
        <f ca="1">[1]!i_val_pe_percentile(E170,[1]!td($B$2-1),$B$2-365*5,[1]!td($B$2-1))</f>
        <v>3.5714285714285712</v>
      </c>
      <c r="R170" s="126">
        <f ca="1">[1]!pb_mrq(E170,[1]!td($B$2-1))</f>
        <v>2.5987258338715145</v>
      </c>
      <c r="S170" s="126">
        <f ca="1">[1]!i_val_pb_percentile(E170,[1]!td($B$2-1),$B$2-365*5,[1]!td($B$2-1))</f>
        <v>6.0606060606060606</v>
      </c>
      <c r="T170" s="126">
        <f ca="1">[1]!s_val_pe_ttm([1]!to_windcode_index(H170&amp;"(申万)"),[1]!td($B$2-1))</f>
        <v>5.5100002288818359</v>
      </c>
      <c r="U170" s="126"/>
      <c r="V170" s="126">
        <f ca="1">[1]!s_fa_roe(E170,$C$3)</f>
        <v>9.1196999999999999</v>
      </c>
      <c r="W170" s="126">
        <f ca="1">[1]!s_fa_grossprofitmargin(E170,$C$3)</f>
        <v>27.555199999999999</v>
      </c>
      <c r="X170" s="126">
        <f ca="1">[1]!s_fa_netprofitmargin(E170,$C$3)</f>
        <v>10.3247</v>
      </c>
      <c r="Y170" s="126">
        <f ca="1">[1]!s_fa_roic(E170,$C$3)</f>
        <v>7.9321000000000002</v>
      </c>
      <c r="Z170" s="126">
        <f ca="1">[1]!s_fa_operateincometoebt_ttm2(E170,$C$3)</f>
        <v>88.843199999999996</v>
      </c>
      <c r="AA170" s="125"/>
      <c r="AB170" s="343"/>
      <c r="AC170" s="125">
        <f ca="1">[1]!s_fa_cagr_tr($E170,AC$6,3)</f>
        <v>0</v>
      </c>
      <c r="AD170" s="125">
        <f ca="1">[1]!s_fa_cagr_tr($E170,AD$6,3)</f>
        <v>47.296900056027184</v>
      </c>
      <c r="AE170" s="126">
        <f ca="1">[1]!s_fa_cagr_tr($E170,AE$6,3)</f>
        <v>35.945858259657392</v>
      </c>
      <c r="AF170" s="126">
        <f ca="1">[1]!s_fa_cagr_tr($E170,AF$6,3)</f>
        <v>26.651709950486403</v>
      </c>
      <c r="AG170" s="126">
        <f ca="1">[1]!s_fa_cagr_tr($E170,AG$6,3)</f>
        <v>9.8604490831217806</v>
      </c>
      <c r="AH170" s="126">
        <f ca="1">[1]!s_fa_cagr_tr($E170,AH$6,3)</f>
        <v>10.850232899961387</v>
      </c>
      <c r="AI170" s="169"/>
      <c r="AJ170" s="126">
        <f ca="1">[1]!s_fa_cagr_netprofit($E170,AJ$6,3)</f>
        <v>0</v>
      </c>
      <c r="AK170" s="126">
        <f ca="1">[1]!s_fa_cagr_netprofit($E170,AK$6,3)</f>
        <v>19.654587505443022</v>
      </c>
      <c r="AL170" s="126">
        <f ca="1">[1]!s_fa_cagr_netprofit($E170,AL$6,3)</f>
        <v>13.701040461436321</v>
      </c>
      <c r="AM170" s="126">
        <f ca="1">[1]!s_fa_cagr_netprofit($E170,AM$6,3)</f>
        <v>53.2482015312737</v>
      </c>
      <c r="AN170" s="126">
        <f ca="1">[1]!s_fa_cagr_netprofit($E170,AN$6,3)</f>
        <v>31.552621403746063</v>
      </c>
      <c r="AO170" s="126">
        <f ca="1">[1]!s_fa_cagr_netprofit($E170,AO$6,3)</f>
        <v>45.258760844808911</v>
      </c>
      <c r="AP170" s="129"/>
      <c r="AQ170" s="203">
        <f ca="1">[1]!s_fa_dupont_roe(E170,$C$3)</f>
        <v>9.1196999999999999</v>
      </c>
      <c r="AR170" s="203">
        <f ca="1">[1]!s_fa_dupont_nptosales(B170,$C$3)</f>
        <v>10.3247</v>
      </c>
      <c r="AS170" s="238">
        <f ca="1">[1]!s_fa_dupont_faturnover(E170,$C$3)</f>
        <v>0.51019999999999999</v>
      </c>
      <c r="AT170" s="203">
        <f ca="1">[1]!s_fa_dupont_assetstoequity(E170,$C$3)</f>
        <v>1.8315999999999999</v>
      </c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129"/>
      <c r="BE170" s="129"/>
    </row>
    <row r="171" spans="1:57" s="191" customFormat="1" ht="12" customHeight="1" x14ac:dyDescent="0.35">
      <c r="A171" s="182" t="s">
        <v>0</v>
      </c>
      <c r="B171" s="182" t="s">
        <v>96</v>
      </c>
      <c r="C171" s="182" t="s">
        <v>97</v>
      </c>
      <c r="D171" s="182" t="str">
        <f ca="1">[1]!cb_info_underlyingname(B171)</f>
        <v>宁波建工</v>
      </c>
      <c r="E171" s="183" t="str">
        <f ca="1">[1]!cb_info_underlyingcode(B171)</f>
        <v>601789.SH</v>
      </c>
      <c r="F171" s="184" t="str">
        <f ca="1">[1]!s_info_industry_sw(B171,1)</f>
        <v>建筑装饰</v>
      </c>
      <c r="G171" s="184" t="str">
        <f ca="1">[1]!s_info_industry_sw(E171,2)</f>
        <v>房屋建设Ⅱ</v>
      </c>
      <c r="H171" s="184" t="str">
        <f ca="1">[1]!s_info_industry_sw(E171,3)</f>
        <v>房屋建设Ⅲ</v>
      </c>
      <c r="I171" s="192" t="str">
        <f ca="1">[1]!s_info_majorproducttype(E171)</f>
        <v>工业建筑、建筑钢结构、民用建筑、住宅建筑、装修工程</v>
      </c>
      <c r="J171" s="189">
        <f ca="1">[1]!s_val_ev(E171,$B$2,100000000)</f>
        <v>38.653166970000001</v>
      </c>
      <c r="K171" s="193">
        <f ca="1">[1]!s_share_total(E171,$B$2,100000000)</f>
        <v>9.7609007500000011</v>
      </c>
      <c r="L171" s="193">
        <f ca="1">[1]!s_share_liqa(E171,$B$2,100000000)</f>
        <v>9.7609007500000011</v>
      </c>
      <c r="M171" s="186">
        <f ca="1">[1]!s_fa_gr_ttm2(E171,$C$3,100000000)</f>
        <v>200.3170357875</v>
      </c>
      <c r="N171" s="187">
        <f ca="1">[1]!s_fa_netprofit_ttm2(E171,$C$3,100000000)</f>
        <v>2.5465421419999998</v>
      </c>
      <c r="O171" s="186"/>
      <c r="P171" s="187">
        <f ca="1">[1]!s_val_pe_ttm(E171,[1]!td($B$2-1))</f>
        <v>9.9328536987304688</v>
      </c>
      <c r="Q171" s="187">
        <f ca="1">[1]!i_val_pe_percentile(E171,[1]!td($B$2-1),$B$2-365*5,[1]!td($B$2-1))</f>
        <v>0.76754385964912275</v>
      </c>
      <c r="R171" s="187">
        <f ca="1">[1]!pb_mrq(E171,[1]!td($B$2-1))</f>
        <v>1.2156586493961465</v>
      </c>
      <c r="S171" s="187">
        <f ca="1">[1]!i_val_pb_percentile(E171,[1]!td($B$2-1),$B$2-365*5,[1]!td($B$2-1))</f>
        <v>13.706140350877194</v>
      </c>
      <c r="T171" s="187">
        <f ca="1">[1]!s_val_pe_ttm([1]!to_windcode_index(H171&amp;"(申万)"),[1]!td($B$2-1))</f>
        <v>5.5100002288818359</v>
      </c>
      <c r="U171" s="187"/>
      <c r="V171" s="187">
        <f ca="1">[1]!s_fa_roe(E171,$C$3)</f>
        <v>5.3738000000000001</v>
      </c>
      <c r="W171" s="187">
        <f ca="1">[1]!s_fa_grossprofitmargin(E171,$C$3)</f>
        <v>7.7370999999999999</v>
      </c>
      <c r="X171" s="187">
        <f ca="1">[1]!s_fa_netprofitmargin(E171,$C$3)</f>
        <v>1.3127</v>
      </c>
      <c r="Y171" s="187">
        <f ca="1">[1]!s_fa_roic(E171,$C$3)</f>
        <v>3.7732999999999999</v>
      </c>
      <c r="Z171" s="187">
        <f ca="1">[1]!s_fa_operateincometoebt_ttm2(E171,$C$3)</f>
        <v>107.8117</v>
      </c>
      <c r="AA171" s="186"/>
      <c r="AB171" s="342"/>
      <c r="AC171" s="186">
        <f ca="1">[1]!s_fa_cagr_tr($E171,AC$6,3)</f>
        <v>0</v>
      </c>
      <c r="AD171" s="186">
        <f ca="1">[1]!s_fa_cagr_tr($E171,AD$6,3)</f>
        <v>10.31586884166642</v>
      </c>
      <c r="AE171" s="187">
        <f ca="1">[1]!s_fa_cagr_tr($E171,AE$6,3)</f>
        <v>10.652507940320199</v>
      </c>
      <c r="AF171" s="187">
        <f ca="1">[1]!s_fa_cagr_tr($E171,AF$6,3)</f>
        <v>5.3924352486830696</v>
      </c>
      <c r="AG171" s="187">
        <f ca="1">[1]!s_fa_cagr_tr($E171,AG$6,3)</f>
        <v>2.6224453626792155</v>
      </c>
      <c r="AH171" s="187">
        <f ca="1">[1]!s_fa_cagr_tr($E171,AH$6,3)</f>
        <v>0.48280400256650591</v>
      </c>
      <c r="AI171" s="194"/>
      <c r="AJ171" s="187">
        <f ca="1">[1]!s_fa_cagr_netprofit($E171,AJ$6,3)</f>
        <v>0</v>
      </c>
      <c r="AK171" s="187">
        <f ca="1">[1]!s_fa_cagr_netprofit($E171,AK$6,3)</f>
        <v>9.3327310520145534</v>
      </c>
      <c r="AL171" s="187">
        <f ca="1">[1]!s_fa_cagr_netprofit($E171,AL$6,3)</f>
        <v>7.1367585231010056</v>
      </c>
      <c r="AM171" s="187">
        <f ca="1">[1]!s_fa_cagr_netprofit($E171,AM$6,3)</f>
        <v>4.7521396718952724</v>
      </c>
      <c r="AN171" s="187">
        <f ca="1">[1]!s_fa_cagr_netprofit($E171,AN$6,3)</f>
        <v>5.1696309253399741</v>
      </c>
      <c r="AO171" s="187">
        <f ca="1">[1]!s_fa_cagr_netprofit($E171,AO$6,3)</f>
        <v>-4.8289437288599135</v>
      </c>
      <c r="AP171" s="189"/>
      <c r="AQ171" s="202">
        <f ca="1">[1]!s_fa_dupont_roe(E171,$C$3)</f>
        <v>5.3738000000000001</v>
      </c>
      <c r="AR171" s="202">
        <f ca="1">[1]!s_fa_dupont_nptosales(B171,$C$3)</f>
        <v>1.3127</v>
      </c>
      <c r="AS171" s="237">
        <f ca="1">[1]!s_fa_dupont_faturnover(E171,$C$3)</f>
        <v>0.81559999999999999</v>
      </c>
      <c r="AT171" s="202">
        <f ca="1">[1]!s_fa_dupont_assetstoequity(E171,$C$3)</f>
        <v>5.3971999999999998</v>
      </c>
      <c r="AU171" s="189"/>
      <c r="AV171" s="201"/>
      <c r="AW171" s="189"/>
      <c r="AX171" s="189"/>
      <c r="AY171" s="189"/>
      <c r="AZ171" s="189"/>
      <c r="BA171" s="189"/>
      <c r="BB171" s="189"/>
      <c r="BC171" s="189"/>
      <c r="BD171" s="189"/>
      <c r="BE171" s="189"/>
    </row>
    <row r="172" spans="1:57" s="130" customFormat="1" ht="12" customHeight="1" x14ac:dyDescent="0.35">
      <c r="A172" s="121" t="s">
        <v>5</v>
      </c>
      <c r="B172" s="121" t="s">
        <v>511</v>
      </c>
      <c r="C172" s="121" t="s">
        <v>512</v>
      </c>
      <c r="D172" s="121" t="str">
        <f ca="1">[1]!cb_info_underlyingname(B172)</f>
        <v>洪涛股份</v>
      </c>
      <c r="E172" s="122" t="str">
        <f ca="1">[1]!cb_info_underlyingcode(B172)</f>
        <v>002325.SZ</v>
      </c>
      <c r="F172" s="123" t="str">
        <f ca="1">[1]!s_info_industry_sw(B172,1)</f>
        <v>建筑装饰</v>
      </c>
      <c r="G172" s="123" t="str">
        <f ca="1">[1]!s_info_industry_sw(E172,2)</f>
        <v>装修装饰Ⅱ</v>
      </c>
      <c r="H172" s="123" t="str">
        <f ca="1">[1]!s_info_industry_sw(E172,3)</f>
        <v>装修装饰Ⅲ</v>
      </c>
      <c r="I172" s="156" t="str">
        <f ca="1">[1]!s_info_majorproducttype(E172)</f>
        <v>装修工程</v>
      </c>
      <c r="J172" s="129">
        <f ca="1">[1]!s_val_ev(E172,$B$2,100000000)</f>
        <v>32.115531149900001</v>
      </c>
      <c r="K172" s="157">
        <f ca="1">[1]!s_share_total(E172,$B$2,100000000)</f>
        <v>12.693885829999999</v>
      </c>
      <c r="L172" s="157">
        <f ca="1">[1]!s_share_liqa(E172,$B$2,100000000)</f>
        <v>9.6320664399999991</v>
      </c>
      <c r="M172" s="125">
        <f ca="1">[1]!s_fa_gr_ttm2(E172,$C$3,100000000)</f>
        <v>36.821241070100001</v>
      </c>
      <c r="N172" s="126">
        <f ca="1">[1]!s_fa_netprofit_ttm2(E172,$C$3,100000000)</f>
        <v>-1.2541564741</v>
      </c>
      <c r="O172" s="125"/>
      <c r="P172" s="126">
        <f ca="1">[1]!s_val_pe_ttm(E172,[1]!td($B$2-1))</f>
        <v>-10.90431022644043</v>
      </c>
      <c r="Q172" s="126">
        <f ca="1">[1]!i_val_pe_percentile(E172,[1]!td($B$2-1),$B$2-365*5,[1]!td($B$2-1))</f>
        <v>0</v>
      </c>
      <c r="R172" s="126">
        <f ca="1">[1]!pb_mrq(E172,[1]!td($B$2-1))</f>
        <v>1.1453318285711334</v>
      </c>
      <c r="S172" s="126">
        <f ca="1">[1]!i_val_pb_percentile(E172,[1]!td($B$2-1),$B$2-365*5,[1]!td($B$2-1))</f>
        <v>20.833333333333336</v>
      </c>
      <c r="T172" s="126">
        <f ca="1">[1]!s_val_pe_ttm([1]!to_windcode_index(H172&amp;"(申万)"),[1]!td($B$2-1))</f>
        <v>20.219999313354492</v>
      </c>
      <c r="U172" s="126"/>
      <c r="V172" s="126">
        <f ca="1">[1]!s_fa_roe(E172,$C$3)</f>
        <v>-1.7407999999999999</v>
      </c>
      <c r="W172" s="126">
        <f ca="1">[1]!s_fa_grossprofitmargin(E172,$C$3)</f>
        <v>16.927299999999999</v>
      </c>
      <c r="X172" s="126">
        <f ca="1">[1]!s_fa_netprofitmargin(E172,$C$3)</f>
        <v>-1.2574000000000001</v>
      </c>
      <c r="Y172" s="126">
        <f ca="1">[1]!s_fa_roic(E172,$C$3)</f>
        <v>1.0726</v>
      </c>
      <c r="Z172" s="126">
        <f ca="1">[1]!s_fa_operateincometoebt_ttm2(E172,$C$3)</f>
        <v>0</v>
      </c>
      <c r="AA172" s="125"/>
      <c r="AB172" s="343"/>
      <c r="AC172" s="125">
        <f ca="1">[1]!s_fa_cagr_tr($E172,AC$6,3)</f>
        <v>0</v>
      </c>
      <c r="AD172" s="125">
        <f ca="1">[1]!s_fa_cagr_tr($E172,AD$6,3)</f>
        <v>2.3243283240587553</v>
      </c>
      <c r="AE172" s="126">
        <f ca="1">[1]!s_fa_cagr_tr($E172,AE$6,3)</f>
        <v>11.893645927896678</v>
      </c>
      <c r="AF172" s="126">
        <f ca="1">[1]!s_fa_cagr_tr($E172,AF$6,3)</f>
        <v>9.3021709467539182</v>
      </c>
      <c r="AG172" s="126">
        <f ca="1">[1]!s_fa_cagr_tr($E172,AG$6,3)</f>
        <v>-0.61057661288748122</v>
      </c>
      <c r="AH172" s="126">
        <f ca="1">[1]!s_fa_cagr_tr($E172,AH$6,3)</f>
        <v>-6.7273727461141908</v>
      </c>
      <c r="AI172" s="169"/>
      <c r="AJ172" s="126">
        <f ca="1">[1]!s_fa_cagr_netprofit($E172,AJ$6,3)</f>
        <v>0</v>
      </c>
      <c r="AK172" s="126">
        <f ca="1">[1]!s_fa_cagr_netprofit($E172,AK$6,3)</f>
        <v>-236.57852100325232</v>
      </c>
      <c r="AL172" s="126">
        <f ca="1">[1]!s_fa_cagr_netprofit($E172,AL$6,3)</f>
        <v>-34.642935628474625</v>
      </c>
      <c r="AM172" s="126">
        <f ca="1">[1]!s_fa_cagr_netprofit($E172,AM$6,3)</f>
        <v>-205.68075806158265</v>
      </c>
      <c r="AN172" s="126">
        <f ca="1">[1]!s_fa_cagr_netprofit($E172,AN$6,3)</f>
        <v>-22.56330900950848</v>
      </c>
      <c r="AO172" s="126">
        <f ca="1">[1]!s_fa_cagr_netprofit($E172,AO$6,3)</f>
        <v>-22.362752640459473</v>
      </c>
      <c r="AP172" s="129"/>
      <c r="AQ172" s="203">
        <f ca="1">[1]!s_fa_dupont_roe(E172,$C$3)</f>
        <v>-1.7407999999999999</v>
      </c>
      <c r="AR172" s="203">
        <f ca="1">[1]!s_fa_dupont_nptosales(B172,$C$3)</f>
        <v>-1.2574000000000001</v>
      </c>
      <c r="AS172" s="238">
        <f ca="1">[1]!s_fa_dupont_faturnover(E172,$C$3)</f>
        <v>0.2112</v>
      </c>
      <c r="AT172" s="203">
        <f ca="1">[1]!s_fa_dupont_assetstoequity(E172,$C$3)</f>
        <v>3.9125999999999999</v>
      </c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129"/>
      <c r="BE172" s="129"/>
    </row>
    <row r="173" spans="1:57" s="191" customFormat="1" ht="12" customHeight="1" x14ac:dyDescent="0.35">
      <c r="A173" s="182" t="s">
        <v>5</v>
      </c>
      <c r="B173" s="182" t="s">
        <v>36</v>
      </c>
      <c r="C173" s="182" t="s">
        <v>37</v>
      </c>
      <c r="D173" s="182" t="str">
        <f ca="1">[1]!cb_info_underlyingname(B173)</f>
        <v>文科园林</v>
      </c>
      <c r="E173" s="183" t="str">
        <f ca="1">[1]!cb_info_underlyingcode(B173)</f>
        <v>002775.SZ</v>
      </c>
      <c r="F173" s="184" t="str">
        <f ca="1">[1]!s_info_industry_sw(B173,1)</f>
        <v>建筑装饰</v>
      </c>
      <c r="G173" s="184" t="str">
        <f ca="1">[1]!s_info_industry_sw(E173,2)</f>
        <v>园林工程Ⅱ</v>
      </c>
      <c r="H173" s="184" t="str">
        <f ca="1">[1]!s_info_industry_sw(E173,3)</f>
        <v>园林工程Ⅲ</v>
      </c>
      <c r="I173" s="192" t="str">
        <f ca="1">[1]!s_info_majorproducttype(E173)</f>
        <v>环卫服务</v>
      </c>
      <c r="J173" s="189">
        <f ca="1">[1]!s_val_ev(E173,$B$2,100000000)</f>
        <v>21.536216226000001</v>
      </c>
      <c r="K173" s="193">
        <f ca="1">[1]!s_share_total(E173,$B$2,100000000)</f>
        <v>5.1276705299999996</v>
      </c>
      <c r="L173" s="193">
        <f ca="1">[1]!s_share_liqa(E173,$B$2,100000000)</f>
        <v>4.4611177800000004</v>
      </c>
      <c r="M173" s="186">
        <f ca="1">[1]!s_fa_gr_ttm2(E173,$C$3,100000000)</f>
        <v>27.1657443456</v>
      </c>
      <c r="N173" s="187">
        <f ca="1">[1]!s_fa_netprofit_ttm2(E173,$C$3,100000000)</f>
        <v>1.8714680190000001</v>
      </c>
      <c r="O173" s="186"/>
      <c r="P173" s="187">
        <f ca="1">[1]!s_val_pe_ttm(E173,[1]!td($B$2-1))</f>
        <v>17.00169563293457</v>
      </c>
      <c r="Q173" s="187">
        <f ca="1">[1]!i_val_pe_percentile(E173,[1]!td($B$2-1),$B$2-365*5,[1]!td($B$2-1))</f>
        <v>63.651315789473685</v>
      </c>
      <c r="R173" s="187">
        <f ca="1">[1]!pb_mrq(E173,[1]!td($B$2-1))</f>
        <v>0.99311477968581519</v>
      </c>
      <c r="S173" s="187">
        <f ca="1">[1]!i_val_pb_percentile(E173,[1]!td($B$2-1),$B$2-365*5,[1]!td($B$2-1))</f>
        <v>5.9758771929824563</v>
      </c>
      <c r="T173" s="187">
        <f ca="1">[1]!s_val_pe_ttm([1]!to_windcode_index(H173&amp;"(申万)"),[1]!td($B$2-1))</f>
        <v>72.900001525878906</v>
      </c>
      <c r="U173" s="187"/>
      <c r="V173" s="187">
        <f ca="1">[1]!s_fa_roe(E173,$C$3)</f>
        <v>5.3216999999999999</v>
      </c>
      <c r="W173" s="187">
        <f ca="1">[1]!s_fa_grossprofitmargin(E173,$C$3)</f>
        <v>19.968699999999998</v>
      </c>
      <c r="X173" s="187">
        <f ca="1">[1]!s_fa_netprofitmargin(E173,$C$3)</f>
        <v>6.7594000000000003</v>
      </c>
      <c r="Y173" s="187">
        <f ca="1">[1]!s_fa_roic(E173,$C$3)</f>
        <v>3.9918999999999998</v>
      </c>
      <c r="Z173" s="187">
        <f ca="1">[1]!s_fa_operateincometoebt_ttm2(E173,$C$3)</f>
        <v>98.250699999999995</v>
      </c>
      <c r="AA173" s="186"/>
      <c r="AB173" s="342"/>
      <c r="AC173" s="186">
        <f ca="1">[1]!s_fa_cagr_tr($E173,AC$6,3)</f>
        <v>0</v>
      </c>
      <c r="AD173" s="186">
        <f ca="1">[1]!s_fa_cagr_tr($E173,AD$6,3)</f>
        <v>-0.59126134985812984</v>
      </c>
      <c r="AE173" s="187">
        <f ca="1">[1]!s_fa_cagr_tr($E173,AE$6,3)</f>
        <v>24.086221536038167</v>
      </c>
      <c r="AF173" s="187">
        <f ca="1">[1]!s_fa_cagr_tr($E173,AF$6,3)</f>
        <v>39.65991552968169</v>
      </c>
      <c r="AG173" s="187">
        <f ca="1">[1]!s_fa_cagr_tr($E173,AG$6,3)</f>
        <v>39.515370368313761</v>
      </c>
      <c r="AH173" s="187">
        <f ca="1">[1]!s_fa_cagr_tr($E173,AH$6,3)</f>
        <v>21.340988062263698</v>
      </c>
      <c r="AI173" s="194"/>
      <c r="AJ173" s="187">
        <f ca="1">[1]!s_fa_cagr_netprofit($E173,AJ$6,3)</f>
        <v>0</v>
      </c>
      <c r="AK173" s="187">
        <f ca="1">[1]!s_fa_cagr_netprofit($E173,AK$6,3)</f>
        <v>-12.858030765094973</v>
      </c>
      <c r="AL173" s="187">
        <f ca="1">[1]!s_fa_cagr_netprofit($E173,AL$6,3)</f>
        <v>22.075103607377343</v>
      </c>
      <c r="AM173" s="187">
        <f ca="1">[1]!s_fa_cagr_netprofit($E173,AM$6,3)</f>
        <v>37.060588561319065</v>
      </c>
      <c r="AN173" s="187">
        <f ca="1">[1]!s_fa_cagr_netprofit($E173,AN$6,3)</f>
        <v>38.910560676229707</v>
      </c>
      <c r="AO173" s="187">
        <f ca="1">[1]!s_fa_cagr_netprofit($E173,AO$6,3)</f>
        <v>11.33528154808603</v>
      </c>
      <c r="AP173" s="189"/>
      <c r="AQ173" s="202">
        <f ca="1">[1]!s_fa_dupont_roe(E173,$C$3)</f>
        <v>5.3216999999999999</v>
      </c>
      <c r="AR173" s="202">
        <f ca="1">[1]!s_fa_dupont_nptosales(B173,$C$3)</f>
        <v>6.7594000000000003</v>
      </c>
      <c r="AS173" s="237">
        <f ca="1">[1]!s_fa_dupont_faturnover(E173,$C$3)</f>
        <v>0.40179999999999999</v>
      </c>
      <c r="AT173" s="202">
        <f ca="1">[1]!s_fa_dupont_assetstoequity(E173,$C$3)</f>
        <v>1.9237</v>
      </c>
      <c r="AU173" s="189"/>
      <c r="AV173" s="189"/>
      <c r="AW173" s="189"/>
      <c r="AX173" s="189"/>
      <c r="AY173" s="189"/>
      <c r="AZ173" s="189"/>
      <c r="BA173" s="189"/>
      <c r="BB173" s="189"/>
      <c r="BC173" s="189"/>
      <c r="BD173" s="189"/>
      <c r="BE173" s="189"/>
    </row>
    <row r="174" spans="1:57" s="130" customFormat="1" ht="12" customHeight="1" x14ac:dyDescent="0.35">
      <c r="A174" s="121" t="s">
        <v>0</v>
      </c>
      <c r="B174" s="121" t="s">
        <v>8</v>
      </c>
      <c r="C174" s="121" t="s">
        <v>9</v>
      </c>
      <c r="D174" s="121" t="str">
        <f ca="1">[1]!cb_info_underlyingname(B174)</f>
        <v>全筑股份</v>
      </c>
      <c r="E174" s="122" t="str">
        <f ca="1">[1]!cb_info_underlyingcode(B174)</f>
        <v>603030.SH</v>
      </c>
      <c r="F174" s="123" t="str">
        <f ca="1">[1]!s_info_industry_sw(B174,1)</f>
        <v>建筑装饰</v>
      </c>
      <c r="G174" s="123" t="str">
        <f ca="1">[1]!s_info_industry_sw(E174,2)</f>
        <v>装修装饰Ⅱ</v>
      </c>
      <c r="H174" s="123" t="str">
        <f ca="1">[1]!s_info_industry_sw(E174,3)</f>
        <v>装修装饰Ⅲ</v>
      </c>
      <c r="I174" s="156" t="str">
        <f ca="1">[1]!s_info_majorproducttype(E174)</f>
        <v>家具、装修工程</v>
      </c>
      <c r="J174" s="129">
        <f ca="1">[1]!s_val_ev(E174,$B$2,100000000)</f>
        <v>21.983801538600002</v>
      </c>
      <c r="K174" s="157">
        <f ca="1">[1]!s_share_total(E174,$B$2,100000000)</f>
        <v>5.8004753400000002</v>
      </c>
      <c r="L174" s="157">
        <f ca="1">[1]!s_share_liqa(E174,$B$2,100000000)</f>
        <v>5.3813136999999998</v>
      </c>
      <c r="M174" s="125">
        <f ca="1">[1]!s_fa_gr_ttm2(E174,$C$3,100000000)</f>
        <v>54.535060893199997</v>
      </c>
      <c r="N174" s="126">
        <f ca="1">[1]!s_fa_netprofit_ttm2(E174,$C$3,100000000)</f>
        <v>1.5401747968000001</v>
      </c>
      <c r="O174" s="125"/>
      <c r="P174" s="126">
        <f ca="1">[1]!s_val_pe_ttm(E174,[1]!td($B$2-1))</f>
        <v>-17.533279418945313</v>
      </c>
      <c r="Q174" s="126">
        <f ca="1">[1]!i_val_pe_percentile(E174,[1]!td($B$2-1),$B$2-365*5,[1]!td($B$2-1))</f>
        <v>0</v>
      </c>
      <c r="R174" s="126">
        <f ca="1">[1]!pb_mrq(E174,[1]!td($B$2-1))</f>
        <v>0.99221927772700114</v>
      </c>
      <c r="S174" s="126">
        <f ca="1">[1]!i_val_pb_percentile(E174,[1]!td($B$2-1),$B$2-365*5,[1]!td($B$2-1))</f>
        <v>2.0010964912280702</v>
      </c>
      <c r="T174" s="126">
        <f ca="1">[1]!s_val_pe_ttm([1]!to_windcode_index(H174&amp;"(申万)"),[1]!td($B$2-1))</f>
        <v>20.219999313354492</v>
      </c>
      <c r="U174" s="126"/>
      <c r="V174" s="126">
        <f ca="1">[1]!s_fa_roe(E174,$C$3)</f>
        <v>4.7413999999999996</v>
      </c>
      <c r="W174" s="126">
        <f ca="1">[1]!s_fa_grossprofitmargin(E174,$C$3)</f>
        <v>14.2097</v>
      </c>
      <c r="X174" s="126">
        <f ca="1">[1]!s_fa_netprofitmargin(E174,$C$3)</f>
        <v>3.4276</v>
      </c>
      <c r="Y174" s="126">
        <f ca="1">[1]!s_fa_roic(E174,$C$3)</f>
        <v>4.8122999999999996</v>
      </c>
      <c r="Z174" s="126">
        <f ca="1">[1]!s_fa_operateincometoebt_ttm2(E174,$C$3)</f>
        <v>89.862799999999993</v>
      </c>
      <c r="AA174" s="125"/>
      <c r="AB174" s="343"/>
      <c r="AC174" s="125">
        <f ca="1">[1]!s_fa_cagr_tr($E174,AC$6,3)</f>
        <v>0</v>
      </c>
      <c r="AD174" s="125">
        <f ca="1">[1]!s_fa_cagr_tr($E174,AD$6,3)</f>
        <v>5.4537558021160004</v>
      </c>
      <c r="AE174" s="126">
        <f ca="1">[1]!s_fa_cagr_tr($E174,AE$6,3)</f>
        <v>27.634552681464886</v>
      </c>
      <c r="AF174" s="126">
        <f ca="1">[1]!s_fa_cagr_tr($E174,AF$6,3)</f>
        <v>43.976874461667734</v>
      </c>
      <c r="AG174" s="126">
        <f ca="1">[1]!s_fa_cagr_tr($E174,AG$6,3)</f>
        <v>36.671720270953422</v>
      </c>
      <c r="AH174" s="126">
        <f ca="1">[1]!s_fa_cagr_tr($E174,AH$6,3)</f>
        <v>25.795210596253181</v>
      </c>
      <c r="AI174" s="169"/>
      <c r="AJ174" s="126">
        <f ca="1">[1]!s_fa_cagr_netprofit($E174,AJ$6,3)</f>
        <v>0</v>
      </c>
      <c r="AK174" s="126">
        <f ca="1">[1]!s_fa_cagr_netprofit($E174,AK$6,3)</f>
        <v>-6.8237296750954801</v>
      </c>
      <c r="AL174" s="126">
        <f ca="1">[1]!s_fa_cagr_netprofit($E174,AL$6,3)</f>
        <v>27.610659753884438</v>
      </c>
      <c r="AM174" s="126">
        <f ca="1">[1]!s_fa_cagr_netprofit($E174,AM$6,3)</f>
        <v>46.684470940764577</v>
      </c>
      <c r="AN174" s="126">
        <f ca="1">[1]!s_fa_cagr_netprofit($E174,AN$6,3)</f>
        <v>29.991236749178405</v>
      </c>
      <c r="AO174" s="126">
        <f ca="1">[1]!s_fa_cagr_netprofit($E174,AO$6,3)</f>
        <v>14.454996219642723</v>
      </c>
      <c r="AP174" s="129"/>
      <c r="AQ174" s="203">
        <f ca="1">[1]!s_fa_dupont_roe(E174,$C$3)</f>
        <v>4.7413999999999996</v>
      </c>
      <c r="AR174" s="203">
        <f ca="1">[1]!s_fa_dupont_nptosales(B174,$C$3)</f>
        <v>3.4276</v>
      </c>
      <c r="AS174" s="238">
        <f ca="1">[1]!s_fa_dupont_faturnover(E174,$C$3)</f>
        <v>0.39660000000000001</v>
      </c>
      <c r="AT174" s="203">
        <f ca="1">[1]!s_fa_dupont_assetstoequity(E174,$C$3)</f>
        <v>4.5247000000000002</v>
      </c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129"/>
      <c r="BE174" s="129"/>
    </row>
    <row r="175" spans="1:57" s="191" customFormat="1" ht="12" customHeight="1" x14ac:dyDescent="0.35">
      <c r="A175" s="182" t="s">
        <v>5</v>
      </c>
      <c r="B175" s="182" t="s">
        <v>316</v>
      </c>
      <c r="C175" s="182" t="s">
        <v>317</v>
      </c>
      <c r="D175" s="182" t="str">
        <f ca="1">[1]!cb_info_underlyingname(B175)</f>
        <v>郑中设计</v>
      </c>
      <c r="E175" s="183" t="str">
        <f ca="1">[1]!cb_info_underlyingcode(B175)</f>
        <v>002811.SZ</v>
      </c>
      <c r="F175" s="184" t="str">
        <f ca="1">[1]!s_info_industry_sw(B175,1)</f>
        <v>建筑装饰</v>
      </c>
      <c r="G175" s="184" t="str">
        <f ca="1">[1]!s_info_industry_sw(E175,2)</f>
        <v>装修装饰Ⅱ</v>
      </c>
      <c r="H175" s="184" t="str">
        <f ca="1">[1]!s_info_industry_sw(E175,3)</f>
        <v>装修装饰Ⅲ</v>
      </c>
      <c r="I175" s="192" t="str">
        <f ca="1">[1]!s_info_majorproducttype(E175)</f>
        <v>装修工程</v>
      </c>
      <c r="J175" s="189">
        <f ca="1">[1]!s_val_ev(E175,$B$2,100000000)</f>
        <v>22.087902667999998</v>
      </c>
      <c r="K175" s="193">
        <f ca="1">[1]!s_share_total(E175,$B$2,100000000)</f>
        <v>2.7002326000000001</v>
      </c>
      <c r="L175" s="193">
        <f ca="1">[1]!s_share_liqa(E175,$B$2,100000000)</f>
        <v>2.4354385399999998</v>
      </c>
      <c r="M175" s="186">
        <f ca="1">[1]!s_fa_gr_ttm2(E175,$C$3,100000000)</f>
        <v>21.705390552399997</v>
      </c>
      <c r="N175" s="187">
        <f ca="1">[1]!s_fa_netprofit_ttm2(E175,$C$3,100000000)</f>
        <v>0.72779504169999998</v>
      </c>
      <c r="O175" s="186"/>
      <c r="P175" s="187">
        <f ca="1">[1]!s_val_pe_ttm(E175,[1]!td($B$2-1))</f>
        <v>73.113502502441406</v>
      </c>
      <c r="Q175" s="187">
        <f ca="1">[1]!i_val_pe_percentile(E175,[1]!td($B$2-1),$B$2-365*5,[1]!td($B$2-1))</f>
        <v>93.229166666666657</v>
      </c>
      <c r="R175" s="187">
        <f ca="1">[1]!pb_mrq(E175,[1]!td($B$2-1))</f>
        <v>1.6074605705031688</v>
      </c>
      <c r="S175" s="187">
        <f ca="1">[1]!i_val_pb_percentile(E175,[1]!td($B$2-1),$B$2-365*5,[1]!td($B$2-1))</f>
        <v>13.130482456140353</v>
      </c>
      <c r="T175" s="187">
        <f ca="1">[1]!s_val_pe_ttm([1]!to_windcode_index(H175&amp;"(申万)"),[1]!td($B$2-1))</f>
        <v>20.219999313354492</v>
      </c>
      <c r="U175" s="186"/>
      <c r="V175" s="186">
        <f ca="1">[1]!s_fa_roe(E175,$C$3)</f>
        <v>2.2412000000000001</v>
      </c>
      <c r="W175" s="186">
        <f ca="1">[1]!s_fa_grossprofitmargin(E175,$C$3)</f>
        <v>23.480599999999999</v>
      </c>
      <c r="X175" s="186">
        <f ca="1">[1]!s_fa_netprofitmargin(E175,$C$3)</f>
        <v>2.6873</v>
      </c>
      <c r="Y175" s="186">
        <f ca="1">[1]!s_fa_roic(E175,$C$3)</f>
        <v>2.4603000000000002</v>
      </c>
      <c r="Z175" s="186">
        <f ca="1">[1]!s_fa_operateincometoebt_ttm2(E175,$C$3)</f>
        <v>80.954899999999995</v>
      </c>
      <c r="AA175" s="186"/>
      <c r="AB175" s="342"/>
      <c r="AC175" s="186">
        <f ca="1">[1]!s_fa_cagr_tr($E175,AC$6,3)</f>
        <v>0</v>
      </c>
      <c r="AD175" s="186">
        <f ca="1">[1]!s_fa_cagr_tr($E175,AD$6,3)</f>
        <v>1.2290283466164897</v>
      </c>
      <c r="AE175" s="187">
        <f ca="1">[1]!s_fa_cagr_tr($E175,AE$6,3)</f>
        <v>14.710055111285069</v>
      </c>
      <c r="AF175" s="187">
        <f ca="1">[1]!s_fa_cagr_tr($E175,AF$6,3)</f>
        <v>8.4087668233602475</v>
      </c>
      <c r="AG175" s="187">
        <f ca="1">[1]!s_fa_cagr_tr($E175,AG$6,3)</f>
        <v>0.64812016059718758</v>
      </c>
      <c r="AH175" s="187">
        <f ca="1">[1]!s_fa_cagr_tr($E175,AH$6,3)</f>
        <v>2.0511873153579607</v>
      </c>
      <c r="AI175" s="194"/>
      <c r="AJ175" s="187">
        <f ca="1">[1]!s_fa_cagr_netprofit($E175,AJ$6,3)</f>
        <v>0</v>
      </c>
      <c r="AK175" s="187">
        <f ca="1">[1]!s_fa_cagr_netprofit($E175,AK$6,3)</f>
        <v>-36.626609193339021</v>
      </c>
      <c r="AL175" s="187">
        <f ca="1">[1]!s_fa_cagr_netprofit($E175,AL$6,3)</f>
        <v>18.094459441359945</v>
      </c>
      <c r="AM175" s="187">
        <f ca="1">[1]!s_fa_cagr_netprofit($E175,AM$6,3)</f>
        <v>1.3990501220097817</v>
      </c>
      <c r="AN175" s="187">
        <f ca="1">[1]!s_fa_cagr_netprofit($E175,AN$6,3)</f>
        <v>-1.3177331384106927</v>
      </c>
      <c r="AO175" s="187">
        <f ca="1">[1]!s_fa_cagr_netprofit($E175,AO$6,3)</f>
        <v>-8.0728651936084805</v>
      </c>
      <c r="AP175" s="189"/>
      <c r="AQ175" s="202">
        <f ca="1">[1]!s_fa_dupont_roe(E175,$C$3)</f>
        <v>2.2412000000000001</v>
      </c>
      <c r="AR175" s="202">
        <f ca="1">[1]!s_fa_dupont_nptosales(B175,$C$3)</f>
        <v>2.6873</v>
      </c>
      <c r="AS175" s="237">
        <f ca="1">[1]!s_fa_dupont_faturnover(E175,$C$3)</f>
        <v>0.40400000000000003</v>
      </c>
      <c r="AT175" s="202">
        <f ca="1">[1]!s_fa_dupont_assetstoequity(E175,$C$3)</f>
        <v>2.0242</v>
      </c>
      <c r="AU175" s="189"/>
      <c r="AV175" s="201"/>
      <c r="AW175" s="189"/>
      <c r="AX175" s="189"/>
      <c r="AY175" s="189"/>
      <c r="AZ175" s="189"/>
      <c r="BA175" s="189"/>
      <c r="BB175" s="189"/>
      <c r="BC175" s="189"/>
      <c r="BD175" s="189"/>
      <c r="BE175" s="189"/>
    </row>
    <row r="176" spans="1:57" s="130" customFormat="1" ht="12" customHeight="1" x14ac:dyDescent="0.35">
      <c r="A176" s="121" t="s">
        <v>5</v>
      </c>
      <c r="B176" s="121" t="s">
        <v>601</v>
      </c>
      <c r="C176" s="121" t="s">
        <v>602</v>
      </c>
      <c r="D176" s="121" t="str">
        <f ca="1">[1]!cb_info_underlyingname(B176)</f>
        <v>海波重科</v>
      </c>
      <c r="E176" s="122" t="str">
        <f ca="1">[1]!cb_info_underlyingcode(B176)</f>
        <v>300517.SZ</v>
      </c>
      <c r="F176" s="123" t="str">
        <f ca="1">[1]!s_info_industry_sw(B176,1)</f>
        <v>建筑装饰</v>
      </c>
      <c r="G176" s="123" t="str">
        <f ca="1">[1]!s_info_industry_sw(E176,2)</f>
        <v>专业工程</v>
      </c>
      <c r="H176" s="123" t="str">
        <f ca="1">[1]!s_info_industry_sw(E176,3)</f>
        <v>钢结构</v>
      </c>
      <c r="I176" s="156" t="str">
        <f ca="1">[1]!s_info_majorproducttype(E176)</f>
        <v>建筑钢结构</v>
      </c>
      <c r="J176" s="129">
        <f ca="1">[1]!s_val_ev(E176,$B$2,100000000)</f>
        <v>25.2384249455</v>
      </c>
      <c r="K176" s="157">
        <f ca="1">[1]!s_share_total(E176,$B$2,100000000)</f>
        <v>1.92219535</v>
      </c>
      <c r="L176" s="157">
        <f ca="1">[1]!s_share_liqa(E176,$B$2,100000000)</f>
        <v>1.1261232999999999</v>
      </c>
      <c r="M176" s="125">
        <f ca="1">[1]!s_fa_gr_ttm2(E176,$C$3,100000000)</f>
        <v>6.9569821790999997</v>
      </c>
      <c r="N176" s="126">
        <f ca="1">[1]!s_fa_netprofit_ttm2(E176,$C$3,100000000)</f>
        <v>0.245072453</v>
      </c>
      <c r="O176" s="125"/>
      <c r="P176" s="126">
        <f ca="1">[1]!s_val_pe_ttm(E176,[1]!td($B$2-1))</f>
        <v>26.422468185424805</v>
      </c>
      <c r="Q176" s="126">
        <f ca="1">[1]!i_val_pe_percentile(E176,[1]!td($B$2-1),$B$2-365*5,[1]!td($B$2-1))</f>
        <v>1.8640350877192982</v>
      </c>
      <c r="R176" s="126">
        <f ca="1">[1]!pb_mrq(E176,[1]!td($B$2-1))</f>
        <v>2.9636711979034747</v>
      </c>
      <c r="S176" s="126">
        <f ca="1">[1]!i_val_pb_percentile(E176,[1]!td($B$2-1),$B$2-365*5,[1]!td($B$2-1))</f>
        <v>59.265350877192979</v>
      </c>
      <c r="T176" s="126">
        <f ca="1">[1]!s_val_pe_ttm([1]!to_windcode_index(H176&amp;"(申万)"),[1]!td($B$2-1))</f>
        <v>25.520000457763672</v>
      </c>
      <c r="U176" s="126"/>
      <c r="V176" s="126">
        <f ca="1">[1]!s_fa_roe(E176,$C$3)</f>
        <v>4.6044</v>
      </c>
      <c r="W176" s="126">
        <f ca="1">[1]!s_fa_grossprofitmargin(E176,$C$3)</f>
        <v>17.536300000000001</v>
      </c>
      <c r="X176" s="126">
        <f ca="1">[1]!s_fa_netprofitmargin(E176,$C$3)</f>
        <v>7.4520999999999997</v>
      </c>
      <c r="Y176" s="126">
        <f ca="1">[1]!s_fa_roic(E176,$C$3)</f>
        <v>4.4077000000000002</v>
      </c>
      <c r="Z176" s="126">
        <f ca="1">[1]!s_fa_operateincometoebt_ttm2(E176,$C$3)</f>
        <v>93.452600000000004</v>
      </c>
      <c r="AA176" s="125"/>
      <c r="AB176" s="343"/>
      <c r="AC176" s="125">
        <f ca="1">[1]!s_fa_cagr_tr($E176,AC$6,3)</f>
        <v>0</v>
      </c>
      <c r="AD176" s="125">
        <f ca="1">[1]!s_fa_cagr_tr($E176,AD$6,3)</f>
        <v>28.514548980499722</v>
      </c>
      <c r="AE176" s="126">
        <f ca="1">[1]!s_fa_cagr_tr($E176,AE$6,3)</f>
        <v>24.394739536985675</v>
      </c>
      <c r="AF176" s="126">
        <f ca="1">[1]!s_fa_cagr_tr($E176,AF$6,3)</f>
        <v>10.318073567411346</v>
      </c>
      <c r="AG176" s="126">
        <f ca="1">[1]!s_fa_cagr_tr($E176,AG$6,3)</f>
        <v>5.6817858946023314E-2</v>
      </c>
      <c r="AH176" s="126">
        <f ca="1">[1]!s_fa_cagr_tr($E176,AH$6,3)</f>
        <v>-2.2942013261844751</v>
      </c>
      <c r="AI176" s="169"/>
      <c r="AJ176" s="126">
        <f ca="1">[1]!s_fa_cagr_netprofit($E176,AJ$6,3)</f>
        <v>0</v>
      </c>
      <c r="AK176" s="126">
        <f ca="1">[1]!s_fa_cagr_netprofit($E176,AK$6,3)</f>
        <v>14.125515062101734</v>
      </c>
      <c r="AL176" s="126">
        <f ca="1">[1]!s_fa_cagr_netprofit($E176,AL$6,3)</f>
        <v>-16.146929355151819</v>
      </c>
      <c r="AM176" s="126">
        <f ca="1">[1]!s_fa_cagr_netprofit($E176,AM$6,3)</f>
        <v>-18.804726991777432</v>
      </c>
      <c r="AN176" s="126">
        <f ca="1">[1]!s_fa_cagr_netprofit($E176,AN$6,3)</f>
        <v>-3.0355713321684963</v>
      </c>
      <c r="AO176" s="126">
        <f ca="1">[1]!s_fa_cagr_netprofit($E176,AO$6,3)</f>
        <v>6.5616597567947244</v>
      </c>
      <c r="AP176" s="129"/>
      <c r="AQ176" s="203">
        <f ca="1">[1]!s_fa_dupont_roe(E176,$C$3)</f>
        <v>4.6044</v>
      </c>
      <c r="AR176" s="203">
        <f ca="1">[1]!s_fa_dupont_nptosales(B176,$C$3)</f>
        <v>7.4520999999999997</v>
      </c>
      <c r="AS176" s="238">
        <f ca="1">[1]!s_fa_dupont_faturnover(E176,$C$3)</f>
        <v>0.30730000000000002</v>
      </c>
      <c r="AT176" s="203">
        <f ca="1">[1]!s_fa_dupont_assetstoequity(E176,$C$3)</f>
        <v>2.0108999999999999</v>
      </c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129"/>
      <c r="BE176" s="129"/>
    </row>
    <row r="177" spans="1:57" s="191" customFormat="1" ht="12" customHeight="1" x14ac:dyDescent="0.35">
      <c r="A177" s="182" t="s">
        <v>0</v>
      </c>
      <c r="B177" s="182" t="s">
        <v>74</v>
      </c>
      <c r="C177" s="182" t="s">
        <v>75</v>
      </c>
      <c r="D177" s="182" t="str">
        <f ca="1">[1]!cb_info_underlyingname(B177)</f>
        <v>ST花王</v>
      </c>
      <c r="E177" s="183" t="str">
        <f ca="1">[1]!cb_info_underlyingcode(B177)</f>
        <v>603007.SH</v>
      </c>
      <c r="F177" s="184" t="str">
        <f ca="1">[1]!s_info_industry_sw(B177,1)</f>
        <v>建筑装饰</v>
      </c>
      <c r="G177" s="184" t="str">
        <f ca="1">[1]!s_info_industry_sw(E177,2)</f>
        <v>园林工程Ⅱ</v>
      </c>
      <c r="H177" s="184" t="str">
        <f ca="1">[1]!s_info_industry_sw(E177,3)</f>
        <v>园林工程Ⅲ</v>
      </c>
      <c r="I177" s="192" t="str">
        <f ca="1">[1]!s_info_majorproducttype(E177)</f>
        <v>苗木、装修工程</v>
      </c>
      <c r="J177" s="189">
        <f ca="1">[1]!s_val_ev(E177,$B$2,100000000)</f>
        <v>11.045522461400001</v>
      </c>
      <c r="K177" s="193">
        <f ca="1">[1]!s_share_total(E177,$B$2,100000000)</f>
        <v>3.3573016600000001</v>
      </c>
      <c r="L177" s="193">
        <f ca="1">[1]!s_share_liqa(E177,$B$2,100000000)</f>
        <v>3.33386966</v>
      </c>
      <c r="M177" s="186">
        <f ca="1">[1]!s_fa_gr_ttm2(E177,$C$3,100000000)</f>
        <v>8.3538324060000004</v>
      </c>
      <c r="N177" s="187">
        <f ca="1">[1]!s_fa_netprofit_ttm2(E177,$C$3,100000000)</f>
        <v>0.26466107160000002</v>
      </c>
      <c r="O177" s="186"/>
      <c r="P177" s="187">
        <f ca="1">[1]!s_val_pe_ttm(E177,[1]!td($B$2-1))</f>
        <v>-32.658603668212891</v>
      </c>
      <c r="Q177" s="187">
        <f ca="1">[1]!i_val_pe_percentile(E177,[1]!td($B$2-1),$B$2-365*5,[1]!td($B$2-1))</f>
        <v>0</v>
      </c>
      <c r="R177" s="187">
        <f ca="1">[1]!pb_mrq(E177,[1]!td($B$2-1))</f>
        <v>0.99804213603526326</v>
      </c>
      <c r="S177" s="187">
        <f ca="1">[1]!i_val_pb_percentile(E177,[1]!td($B$2-1),$B$2-365*5,[1]!td($B$2-1))</f>
        <v>5.2083333333333339</v>
      </c>
      <c r="T177" s="187">
        <f ca="1">[1]!s_val_pe_ttm([1]!to_windcode_index(H177&amp;"(申万)"),[1]!td($B$2-1))</f>
        <v>72.900001525878906</v>
      </c>
      <c r="U177" s="187"/>
      <c r="V177" s="187">
        <f ca="1">[1]!s_fa_roe(E177,$C$3)</f>
        <v>0.52600000000000002</v>
      </c>
      <c r="W177" s="187">
        <f ca="1">[1]!s_fa_grossprofitmargin(E177,$C$3)</f>
        <v>35.4818</v>
      </c>
      <c r="X177" s="187">
        <f ca="1">[1]!s_fa_netprofitmargin(E177,$C$3)</f>
        <v>9.2200000000000004E-2</v>
      </c>
      <c r="Y177" s="187">
        <f ca="1">[1]!s_fa_roic(E177,$C$3)</f>
        <v>9.06E-2</v>
      </c>
      <c r="Z177" s="187">
        <f ca="1">[1]!s_fa_operateincometoebt_ttm2(E177,$C$3)</f>
        <v>-211.1361</v>
      </c>
      <c r="AA177" s="186"/>
      <c r="AB177" s="342"/>
      <c r="AC177" s="186">
        <f ca="1">[1]!s_fa_cagr_tr($E177,AC$6,3)</f>
        <v>0</v>
      </c>
      <c r="AD177" s="186">
        <f ca="1">[1]!s_fa_cagr_tr($E177,AD$6,3)</f>
        <v>-17.98177470864356</v>
      </c>
      <c r="AE177" s="187">
        <f ca="1">[1]!s_fa_cagr_tr($E177,AE$6,3)</f>
        <v>34.197254712857131</v>
      </c>
      <c r="AF177" s="187">
        <f ca="1">[1]!s_fa_cagr_tr($E177,AF$6,3)</f>
        <v>32.886473264824012</v>
      </c>
      <c r="AG177" s="187">
        <f ca="1">[1]!s_fa_cagr_tr($E177,AG$6,3)</f>
        <v>26.644248374258673</v>
      </c>
      <c r="AH177" s="187">
        <f ca="1">[1]!s_fa_cagr_tr($E177,AH$6,3)</f>
        <v>-3.7491001545331248</v>
      </c>
      <c r="AI177" s="194"/>
      <c r="AJ177" s="187">
        <f ca="1">[1]!s_fa_cagr_netprofit($E177,AJ$6,3)</f>
        <v>0</v>
      </c>
      <c r="AK177" s="187">
        <f ca="1">[1]!s_fa_cagr_netprofit($E177,AK$6,3)</f>
        <v>-49.837811831115587</v>
      </c>
      <c r="AL177" s="187">
        <f ca="1">[1]!s_fa_cagr_netprofit($E177,AL$6,3)</f>
        <v>10.620641322205371</v>
      </c>
      <c r="AM177" s="187">
        <f ca="1">[1]!s_fa_cagr_netprofit($E177,AM$6,3)</f>
        <v>13.800309066777871</v>
      </c>
      <c r="AN177" s="187">
        <f ca="1">[1]!s_fa_cagr_netprofit($E177,AN$6,3)</f>
        <v>45.31165029456934</v>
      </c>
      <c r="AO177" s="187">
        <f ca="1">[1]!s_fa_cagr_netprofit($E177,AO$6,3)</f>
        <v>8.0355603385617194</v>
      </c>
      <c r="AP177" s="189"/>
      <c r="AQ177" s="202">
        <f ca="1">[1]!s_fa_dupont_roe(E177,$C$3)</f>
        <v>0.52600000000000002</v>
      </c>
      <c r="AR177" s="202">
        <f ca="1">[1]!s_fa_dupont_nptosales(B177,$C$3)</f>
        <v>9.2200000000000004E-2</v>
      </c>
      <c r="AS177" s="237">
        <f ca="1">[1]!s_fa_dupont_faturnover(E177,$C$3)</f>
        <v>0.1045</v>
      </c>
      <c r="AT177" s="202">
        <f ca="1">[1]!s_fa_dupont_assetstoequity(E177,$C$3)</f>
        <v>3.3050000000000002</v>
      </c>
      <c r="AU177" s="189"/>
      <c r="AV177" s="189"/>
      <c r="AW177" s="189"/>
      <c r="AX177" s="189"/>
      <c r="AY177" s="189"/>
      <c r="AZ177" s="189"/>
      <c r="BA177" s="189"/>
      <c r="BB177" s="189"/>
      <c r="BC177" s="189"/>
      <c r="BD177" s="189"/>
      <c r="BE177" s="189"/>
    </row>
    <row r="178" spans="1:57" s="130" customFormat="1" ht="12" customHeight="1" x14ac:dyDescent="0.35">
      <c r="A178" s="121" t="s">
        <v>5</v>
      </c>
      <c r="B178" s="121" t="s">
        <v>632</v>
      </c>
      <c r="C178" s="121" t="s">
        <v>633</v>
      </c>
      <c r="D178" s="121" t="str">
        <f ca="1">[1]!cb_info_underlyingname(B178)</f>
        <v>冀东水泥</v>
      </c>
      <c r="E178" s="122" t="str">
        <f ca="1">[1]!cb_info_underlyingcode(B178)</f>
        <v>000401.SZ</v>
      </c>
      <c r="F178" s="123" t="str">
        <f ca="1">[1]!s_info_industry_sw(B178,1)</f>
        <v>建筑材料</v>
      </c>
      <c r="G178" s="123" t="str">
        <f ca="1">[1]!s_info_industry_sw(E178,2)</f>
        <v>水泥制造Ⅱ</v>
      </c>
      <c r="H178" s="123" t="str">
        <f ca="1">[1]!s_info_industry_sw(E178,3)</f>
        <v>水泥制造Ⅲ</v>
      </c>
      <c r="I178" s="156" t="str">
        <f ca="1">[1]!s_info_majorproducttype(E178)</f>
        <v>催化剂及化学助剂、水泥</v>
      </c>
      <c r="J178" s="129">
        <f ca="1">[1]!s_val_ev(E178,$B$2,100000000)</f>
        <v>191.2668969552</v>
      </c>
      <c r="K178" s="157">
        <f ca="1">[1]!s_share_total(E178,$B$2,100000000)</f>
        <v>14.13650384</v>
      </c>
      <c r="L178" s="157">
        <f ca="1">[1]!s_share_liqa(E178,$B$2,100000000)</f>
        <v>14.133677840000001</v>
      </c>
      <c r="M178" s="125">
        <f ca="1">[1]!s_fa_gr_ttm2(E178,$C$3,100000000)</f>
        <v>334.07905319729997</v>
      </c>
      <c r="N178" s="126">
        <f ca="1">[1]!s_fa_netprofit_ttm2(E178,$C$3,100000000)</f>
        <v>23.2494396152</v>
      </c>
      <c r="O178" s="125"/>
      <c r="P178" s="126">
        <f ca="1">[1]!s_val_pe_ttm(E178,[1]!td($B$2-1))</f>
        <v>6.2156543731689453</v>
      </c>
      <c r="Q178" s="126">
        <f ca="1">[1]!i_val_pe_percentile(E178,[1]!td($B$2-1),$B$2-365*5,[1]!td($B$2-1))</f>
        <v>7.0533948582729069</v>
      </c>
      <c r="R178" s="126">
        <f ca="1">[1]!pb_mrq(E178,[1]!td($B$2-1))</f>
        <v>1.2155475235603075</v>
      </c>
      <c r="S178" s="126">
        <f ca="1">[1]!i_val_pb_percentile(E178,[1]!td($B$2-1),$B$2-365*5,[1]!td($B$2-1))</f>
        <v>3.6732456140350882</v>
      </c>
      <c r="T178" s="126">
        <f ca="1">[1]!s_val_pe_ttm([1]!to_windcode_index(H178&amp;"(申万)"),[1]!td($B$2-1))</f>
        <v>8.1700000762939453</v>
      </c>
      <c r="U178" s="125"/>
      <c r="V178" s="125">
        <f ca="1">[1]!s_fa_roe(E178,$C$3)</f>
        <v>13.1172</v>
      </c>
      <c r="W178" s="125">
        <f ca="1">[1]!s_fa_grossprofitmargin(E178,$C$3)</f>
        <v>34.768900000000002</v>
      </c>
      <c r="X178" s="125">
        <f ca="1">[1]!s_fa_netprofitmargin(E178,$C$3)</f>
        <v>14.9186</v>
      </c>
      <c r="Y178" s="125">
        <f ca="1">[1]!s_fa_roic(E178,$C$3)</f>
        <v>9.5704999999999991</v>
      </c>
      <c r="Z178" s="125">
        <f ca="1">[1]!s_fa_operateincometoebt_ttm2(E178,$C$3)</f>
        <v>80.770600000000002</v>
      </c>
      <c r="AA178" s="125"/>
      <c r="AB178" s="343"/>
      <c r="AC178" s="125">
        <f ca="1">[1]!s_fa_cagr_tr($E178,AC$6,3)</f>
        <v>0</v>
      </c>
      <c r="AD178" s="125">
        <f ca="1">[1]!s_fa_cagr_tr($E178,AD$6,3)</f>
        <v>32.39144154398339</v>
      </c>
      <c r="AE178" s="126">
        <f ca="1">[1]!s_fa_cagr_tr($E178,AE$6,3)</f>
        <v>40.903246595859869</v>
      </c>
      <c r="AF178" s="126">
        <f ca="1">[1]!s_fa_cagr_tr($E178,AF$6,3)</f>
        <v>40.560472110094878</v>
      </c>
      <c r="AG178" s="126">
        <f ca="1">[1]!s_fa_cagr_tr($E178,AG$6,3)</f>
        <v>-0.80447023529599537</v>
      </c>
      <c r="AH178" s="126">
        <f ca="1">[1]!s_fa_cagr_tr($E178,AH$6,3)</f>
        <v>-7.7465309994952936</v>
      </c>
      <c r="AI178" s="169"/>
      <c r="AJ178" s="126">
        <f ca="1">[1]!s_fa_cagr_netprofit($E178,AJ$6,3)</f>
        <v>0</v>
      </c>
      <c r="AK178" s="126">
        <f ca="1">[1]!s_fa_cagr_netprofit($E178,AK$6,3)</f>
        <v>195.56136842827101</v>
      </c>
      <c r="AL178" s="126">
        <f ca="1">[1]!s_fa_cagr_netprofit($E178,AL$6,3)</f>
        <v>271.00002524831268</v>
      </c>
      <c r="AM178" s="126">
        <f ca="1">[1]!s_fa_cagr_netprofit($E178,AM$6,3)</f>
        <v>42.024094295856919</v>
      </c>
      <c r="AN178" s="126">
        <f ca="1">[1]!s_fa_cagr_netprofit($E178,AN$6,3)</f>
        <v>47.059511632057571</v>
      </c>
      <c r="AO178" s="126">
        <f ca="1">[1]!s_fa_cagr_netprofit($E178,AO$6,3)</f>
        <v>-46.452798166609774</v>
      </c>
      <c r="AP178" s="129"/>
      <c r="AQ178" s="203">
        <f ca="1">[1]!s_fa_dupont_roe(E178,$C$3)</f>
        <v>13.1172</v>
      </c>
      <c r="AR178" s="203">
        <f ca="1">[1]!s_fa_dupont_nptosales(B178,$C$3)</f>
        <v>14.9186</v>
      </c>
      <c r="AS178" s="238">
        <f ca="1">[1]!s_fa_dupont_faturnover(E178,$C$3)</f>
        <v>0.41139999999999999</v>
      </c>
      <c r="AT178" s="203">
        <f ca="1">[1]!s_fa_dupont_assetstoequity(E178,$C$3)</f>
        <v>3.8292000000000002</v>
      </c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129"/>
      <c r="BE178" s="129"/>
    </row>
    <row r="179" spans="1:57" s="191" customFormat="1" ht="12" customHeight="1" x14ac:dyDescent="0.35">
      <c r="A179" s="182" t="s">
        <v>5</v>
      </c>
      <c r="B179" s="182" t="s">
        <v>134</v>
      </c>
      <c r="C179" s="182" t="s">
        <v>135</v>
      </c>
      <c r="D179" s="182" t="str">
        <f ca="1">[1]!cb_info_underlyingname(B179)</f>
        <v>万年青</v>
      </c>
      <c r="E179" s="183" t="str">
        <f ca="1">[1]!cb_info_underlyingcode(B179)</f>
        <v>000789.SZ</v>
      </c>
      <c r="F179" s="184" t="str">
        <f ca="1">[1]!s_info_industry_sw(B179,1)</f>
        <v>建筑材料</v>
      </c>
      <c r="G179" s="184" t="str">
        <f ca="1">[1]!s_info_industry_sw(E179,2)</f>
        <v>水泥制造Ⅱ</v>
      </c>
      <c r="H179" s="184" t="str">
        <f ca="1">[1]!s_info_industry_sw(E179,3)</f>
        <v>水泥制造Ⅲ</v>
      </c>
      <c r="I179" s="192" t="str">
        <f ca="1">[1]!s_info_majorproducttype(E179)</f>
        <v>水泥</v>
      </c>
      <c r="J179" s="189">
        <f ca="1">[1]!s_val_ev(E179,$B$2,100000000)</f>
        <v>102.70497226640002</v>
      </c>
      <c r="K179" s="193">
        <f ca="1">[1]!s_share_total(E179,$B$2,100000000)</f>
        <v>7.9739885299999997</v>
      </c>
      <c r="L179" s="193">
        <f ca="1">[1]!s_share_liqa(E179,$B$2,100000000)</f>
        <v>7.9737994600000004</v>
      </c>
      <c r="M179" s="186">
        <f ca="1">[1]!s_fa_gr_ttm2(E179,$C$3,100000000)</f>
        <v>128.89136205700001</v>
      </c>
      <c r="N179" s="187">
        <f ca="1">[1]!s_fa_netprofit_ttm2(E179,$C$3,100000000)</f>
        <v>14.8339768823</v>
      </c>
      <c r="O179" s="186"/>
      <c r="P179" s="187">
        <f ca="1">[1]!s_val_pe_ttm(E179,[1]!td($B$2-1))</f>
        <v>6.3059277534484863</v>
      </c>
      <c r="Q179" s="187">
        <f ca="1">[1]!i_val_pe_percentile(E179,[1]!td($B$2-1),$B$2-365*5,[1]!td($B$2-1))</f>
        <v>10.635964912280702</v>
      </c>
      <c r="R179" s="187">
        <f ca="1">[1]!pb_mrq(E179,[1]!td($B$2-1))</f>
        <v>1.5757996182380405</v>
      </c>
      <c r="S179" s="187">
        <f ca="1">[1]!i_val_pb_percentile(E179,[1]!td($B$2-1),$B$2-365*5,[1]!td($B$2-1))</f>
        <v>6.9627192982456139</v>
      </c>
      <c r="T179" s="187">
        <f ca="1">[1]!s_val_pe_ttm([1]!to_windcode_index(H179&amp;"(申万)"),[1]!td($B$2-1))</f>
        <v>8.1700000762939453</v>
      </c>
      <c r="U179" s="187"/>
      <c r="V179" s="187">
        <f ca="1">[1]!s_fa_roe(E179,$C$3)</f>
        <v>19.0246</v>
      </c>
      <c r="W179" s="187">
        <f ca="1">[1]!s_fa_grossprofitmargin(E179,$C$3)</f>
        <v>28.345300000000002</v>
      </c>
      <c r="X179" s="187">
        <f ca="1">[1]!s_fa_netprofitmargin(E179,$C$3)</f>
        <v>17.454899999999999</v>
      </c>
      <c r="Y179" s="187">
        <f ca="1">[1]!s_fa_roic(E179,$C$3)</f>
        <v>15.999700000000001</v>
      </c>
      <c r="Z179" s="187">
        <f ca="1">[1]!s_fa_operateincometoebt_ttm2(E179,$C$3)</f>
        <v>96.164699999999996</v>
      </c>
      <c r="AA179" s="186"/>
      <c r="AB179" s="342"/>
      <c r="AC179" s="186">
        <f ca="1">[1]!s_fa_cagr_tr($E179,AC$6,3)</f>
        <v>0</v>
      </c>
      <c r="AD179" s="186">
        <f ca="1">[1]!s_fa_cagr_tr($E179,AD$6,3)</f>
        <v>20.877588902686849</v>
      </c>
      <c r="AE179" s="187">
        <f ca="1">[1]!s_fa_cagr_tr($E179,AE$6,3)</f>
        <v>26.269480927763979</v>
      </c>
      <c r="AF179" s="187">
        <f ca="1">[1]!s_fa_cagr_tr($E179,AF$6,3)</f>
        <v>22.278505637951351</v>
      </c>
      <c r="AG179" s="187">
        <f ca="1">[1]!s_fa_cagr_tr($E179,AG$6,3)</f>
        <v>2.0096560320285617</v>
      </c>
      <c r="AH179" s="187">
        <f ca="1">[1]!s_fa_cagr_tr($E179,AH$6,3)</f>
        <v>-2.8948633014316494</v>
      </c>
      <c r="AI179" s="194"/>
      <c r="AJ179" s="187">
        <f ca="1">[1]!s_fa_cagr_netprofit($E179,AJ$6,3)</f>
        <v>0</v>
      </c>
      <c r="AK179" s="187">
        <f ca="1">[1]!s_fa_cagr_netprofit($E179,AK$6,3)</f>
        <v>47.366779043258788</v>
      </c>
      <c r="AL179" s="187">
        <f ca="1">[1]!s_fa_cagr_netprofit($E179,AL$6,3)</f>
        <v>81.425385742834663</v>
      </c>
      <c r="AM179" s="187">
        <f ca="1">[1]!s_fa_cagr_netprofit($E179,AM$6,3)</f>
        <v>66.017912394855017</v>
      </c>
      <c r="AN179" s="187">
        <f ca="1">[1]!s_fa_cagr_netprofit($E179,AN$6,3)</f>
        <v>-5.599499097007099</v>
      </c>
      <c r="AO179" s="187">
        <f ca="1">[1]!s_fa_cagr_netprofit($E179,AO$6,3)</f>
        <v>-19.434667264730788</v>
      </c>
      <c r="AP179" s="189"/>
      <c r="AQ179" s="202">
        <f ca="1">[1]!s_fa_dupont_roe(E179,$C$3)</f>
        <v>19.0246</v>
      </c>
      <c r="AR179" s="202">
        <f ca="1">[1]!s_fa_dupont_nptosales(B179,$C$3)</f>
        <v>17.454899999999999</v>
      </c>
      <c r="AS179" s="237">
        <f ca="1">[1]!s_fa_dupont_faturnover(E179,$C$3)</f>
        <v>0.68140000000000001</v>
      </c>
      <c r="AT179" s="202">
        <f ca="1">[1]!s_fa_dupont_assetstoequity(E179,$C$3)</f>
        <v>2.4117999999999999</v>
      </c>
      <c r="AU179" s="189"/>
      <c r="AV179" s="201"/>
      <c r="AW179" s="189"/>
      <c r="AX179" s="189"/>
      <c r="AY179" s="189"/>
      <c r="AZ179" s="189"/>
      <c r="BA179" s="189"/>
      <c r="BB179" s="189"/>
      <c r="BC179" s="189"/>
      <c r="BD179" s="189"/>
      <c r="BE179" s="189"/>
    </row>
    <row r="180" spans="1:57" s="130" customFormat="1" ht="12" customHeight="1" x14ac:dyDescent="0.35">
      <c r="A180" s="121" t="s">
        <v>0</v>
      </c>
      <c r="B180" s="121" t="s">
        <v>262</v>
      </c>
      <c r="C180" s="121" t="s">
        <v>263</v>
      </c>
      <c r="D180" s="121" t="str">
        <f ca="1">[1]!cb_info_underlyingname(B180)</f>
        <v>西藏天路</v>
      </c>
      <c r="E180" s="122" t="str">
        <f ca="1">[1]!cb_info_underlyingcode(B180)</f>
        <v>600326.SH</v>
      </c>
      <c r="F180" s="123" t="str">
        <f ca="1">[1]!s_info_industry_sw(B180,1)</f>
        <v>建筑材料</v>
      </c>
      <c r="G180" s="123" t="str">
        <f ca="1">[1]!s_info_industry_sw(E180,2)</f>
        <v>水泥制造Ⅱ</v>
      </c>
      <c r="H180" s="123" t="str">
        <f ca="1">[1]!s_info_industry_sw(E180,3)</f>
        <v>水泥制造Ⅲ</v>
      </c>
      <c r="I180" s="156" t="str">
        <f ca="1">[1]!s_info_majorproducttype(E180)</f>
        <v>工业建筑、酒店、民用建筑、水泥、住宅楼盘</v>
      </c>
      <c r="J180" s="129">
        <f ca="1">[1]!s_val_ev(E180,$B$2,100000000)</f>
        <v>63.103540196099999</v>
      </c>
      <c r="K180" s="157">
        <f ca="1">[1]!s_share_total(E180,$B$2,100000000)</f>
        <v>9.1853770299999997</v>
      </c>
      <c r="L180" s="157">
        <f ca="1">[1]!s_share_liqa(E180,$B$2,100000000)</f>
        <v>9.1853770299999997</v>
      </c>
      <c r="M180" s="125">
        <f ca="1">[1]!s_fa_gr_ttm2(E180,$C$3,100000000)</f>
        <v>61.575787675600004</v>
      </c>
      <c r="N180" s="126">
        <f ca="1">[1]!s_fa_netprofit_ttm2(E180,$C$3,100000000)</f>
        <v>3.1525078524999999</v>
      </c>
      <c r="O180" s="125"/>
      <c r="P180" s="126">
        <f ca="1">[1]!s_val_pe_ttm(E180,[1]!td($B$2-1))</f>
        <v>17.104656219482422</v>
      </c>
      <c r="Q180" s="126">
        <f ca="1">[1]!i_val_pe_percentile(E180,[1]!td($B$2-1),$B$2-365*5,[1]!td($B$2-1))</f>
        <v>41.008771929824562</v>
      </c>
      <c r="R180" s="126">
        <f ca="1">[1]!pb_mrq(E180,[1]!td($B$2-1))</f>
        <v>1.4483852186770902</v>
      </c>
      <c r="S180" s="126">
        <f ca="1">[1]!i_val_pb_percentile(E180,[1]!td($B$2-1),$B$2-365*5,[1]!td($B$2-1))</f>
        <v>2.3574561403508771</v>
      </c>
      <c r="T180" s="126">
        <f ca="1">[1]!s_val_pe_ttm([1]!to_windcode_index(H180&amp;"(申万)"),[1]!td($B$2-1))</f>
        <v>8.1700000762939453</v>
      </c>
      <c r="U180" s="126"/>
      <c r="V180" s="126">
        <f ca="1">[1]!s_fa_roe(E180,$C$3)</f>
        <v>8.2294999999999998</v>
      </c>
      <c r="W180" s="126">
        <f ca="1">[1]!s_fa_grossprofitmargin(E180,$C$3)</f>
        <v>30.1921</v>
      </c>
      <c r="X180" s="126">
        <f ca="1">[1]!s_fa_netprofitmargin(E180,$C$3)</f>
        <v>12.7645</v>
      </c>
      <c r="Y180" s="126">
        <f ca="1">[1]!s_fa_roic(E180,$C$3)</f>
        <v>6.9462000000000002</v>
      </c>
      <c r="Z180" s="126">
        <f ca="1">[1]!s_fa_operateincometoebt_ttm2(E180,$C$3)</f>
        <v>89.590100000000007</v>
      </c>
      <c r="AA180" s="125"/>
      <c r="AB180" s="343"/>
      <c r="AC180" s="125">
        <f ca="1">[1]!s_fa_cagr_tr($E180,AC$6,3)</f>
        <v>0</v>
      </c>
      <c r="AD180" s="125">
        <f ca="1">[1]!s_fa_cagr_tr($E180,AD$6,3)</f>
        <v>25.374284333376785</v>
      </c>
      <c r="AE180" s="126">
        <f ca="1">[1]!s_fa_cagr_tr($E180,AE$6,3)</f>
        <v>30.986344376462082</v>
      </c>
      <c r="AF180" s="126">
        <f ca="1">[1]!s_fa_cagr_tr($E180,AF$6,3)</f>
        <v>33.999362462175739</v>
      </c>
      <c r="AG180" s="126">
        <f ca="1">[1]!s_fa_cagr_tr($E180,AG$6,3)</f>
        <v>36.374561314176226</v>
      </c>
      <c r="AH180" s="126">
        <f ca="1">[1]!s_fa_cagr_tr($E180,AH$6,3)</f>
        <v>12.743129125253816</v>
      </c>
      <c r="AI180" s="169"/>
      <c r="AJ180" s="126">
        <f ca="1">[1]!s_fa_cagr_netprofit($E180,AJ$6,3)</f>
        <v>0</v>
      </c>
      <c r="AK180" s="126">
        <f ca="1">[1]!s_fa_cagr_netprofit($E180,AK$6,3)</f>
        <v>9.7529799309796985</v>
      </c>
      <c r="AL180" s="126">
        <f ca="1">[1]!s_fa_cagr_netprofit($E180,AL$6,3)</f>
        <v>19.65542949800718</v>
      </c>
      <c r="AM180" s="126">
        <f ca="1">[1]!s_fa_cagr_netprofit($E180,AM$6,3)</f>
        <v>45.394492128659493</v>
      </c>
      <c r="AN180" s="126">
        <f ca="1">[1]!s_fa_cagr_netprofit($E180,AN$6,3)</f>
        <v>73.092574249351756</v>
      </c>
      <c r="AO180" s="126">
        <f ca="1">[1]!s_fa_cagr_netprofit($E180,AO$6,3)</f>
        <v>273.12676999409848</v>
      </c>
      <c r="AP180" s="129"/>
      <c r="AQ180" s="203">
        <f ca="1">[1]!s_fa_dupont_roe(E180,$C$3)</f>
        <v>8.2294999999999998</v>
      </c>
      <c r="AR180" s="203">
        <f ca="1">[1]!s_fa_dupont_nptosales(B180,$C$3)</f>
        <v>12.7645</v>
      </c>
      <c r="AS180" s="238">
        <f ca="1">[1]!s_fa_dupont_faturnover(E180,$C$3)</f>
        <v>0.37390000000000001</v>
      </c>
      <c r="AT180" s="203">
        <f ca="1">[1]!s_fa_dupont_assetstoequity(E180,$C$3)</f>
        <v>3.1846999999999999</v>
      </c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129"/>
      <c r="BE180" s="129"/>
    </row>
    <row r="181" spans="1:57" s="191" customFormat="1" ht="12" customHeight="1" x14ac:dyDescent="0.35">
      <c r="A181" s="182" t="s">
        <v>5</v>
      </c>
      <c r="B181" s="182" t="s">
        <v>200</v>
      </c>
      <c r="C181" s="182" t="s">
        <v>201</v>
      </c>
      <c r="D181" s="182" t="str">
        <f ca="1">[1]!cb_info_underlyingname(B181)</f>
        <v>奥佳华</v>
      </c>
      <c r="E181" s="183" t="str">
        <f ca="1">[1]!cb_info_underlyingcode(B181)</f>
        <v>002614.SZ</v>
      </c>
      <c r="F181" s="184" t="str">
        <f ca="1">[1]!s_info_industry_sw(B181,1)</f>
        <v>家用电器</v>
      </c>
      <c r="G181" s="184" t="str">
        <f ca="1">[1]!s_info_industry_sw(E181,2)</f>
        <v>白色家电</v>
      </c>
      <c r="H181" s="184" t="str">
        <f ca="1">[1]!s_info_industry_sw(E181,3)</f>
        <v>小家电</v>
      </c>
      <c r="I181" s="192" t="str">
        <f ca="1">[1]!s_info_majorproducttype(E181)</f>
        <v>其他休闲用品</v>
      </c>
      <c r="J181" s="189">
        <f ca="1">[1]!s_val_ev(E181,$B$2,100000000)</f>
        <v>95.281966169</v>
      </c>
      <c r="K181" s="193">
        <f ca="1">[1]!s_share_total(E181,$B$2,100000000)</f>
        <v>6.3058879000000001</v>
      </c>
      <c r="L181" s="193">
        <f ca="1">[1]!s_share_liqa(E181,$B$2,100000000)</f>
        <v>4.4797594700000003</v>
      </c>
      <c r="M181" s="186">
        <f ca="1">[1]!s_fa_gr_ttm2(E181,$C$3,100000000)</f>
        <v>62.125950472900001</v>
      </c>
      <c r="N181" s="187">
        <f ca="1">[1]!s_fa_netprofit_ttm2(E181,$C$3,100000000)</f>
        <v>4.0997444262</v>
      </c>
      <c r="O181" s="186"/>
      <c r="P181" s="187">
        <f ca="1">[1]!s_val_pe_ttm(E181,[1]!td($B$2-1))</f>
        <v>16.781929016113281</v>
      </c>
      <c r="Q181" s="187">
        <f ca="1">[1]!i_val_pe_percentile(E181,[1]!td($B$2-1),$B$2-365*5,[1]!td($B$2-1))</f>
        <v>6.0855263157894735</v>
      </c>
      <c r="R181" s="187">
        <f ca="1">[1]!pb_mrq(E181,[1]!td($B$2-1))</f>
        <v>2.0462743101789131</v>
      </c>
      <c r="S181" s="187">
        <f ca="1">[1]!i_val_pb_percentile(E181,[1]!td($B$2-1),$B$2-365*5,[1]!td($B$2-1))</f>
        <v>20.065789473684212</v>
      </c>
      <c r="T181" s="187">
        <f ca="1">[1]!s_val_pe_ttm([1]!to_windcode_index(H181&amp;"(申万)"),[1]!td($B$2-1))</f>
        <v>22.180000305175781</v>
      </c>
      <c r="U181" s="187"/>
      <c r="V181" s="187">
        <f ca="1">[1]!s_fa_roe(E181,$C$3)</f>
        <v>8.4908999999999999</v>
      </c>
      <c r="W181" s="187">
        <f ca="1">[1]!s_fa_grossprofitmargin(E181,$C$3)</f>
        <v>36.708100000000002</v>
      </c>
      <c r="X181" s="187">
        <f ca="1">[1]!s_fa_netprofitmargin(E181,$C$3)</f>
        <v>6.6451000000000002</v>
      </c>
      <c r="Y181" s="187">
        <f ca="1">[1]!s_fa_roic(E181,$C$3)</f>
        <v>6.5151000000000003</v>
      </c>
      <c r="Z181" s="187">
        <f ca="1">[1]!s_fa_operateincometoebt_ttm2(E181,$C$3)</f>
        <v>84.091499999999996</v>
      </c>
      <c r="AA181" s="186"/>
      <c r="AB181" s="342"/>
      <c r="AC181" s="186">
        <f ca="1">[1]!s_fa_cagr_tr($E181,AC$6,3)</f>
        <v>0</v>
      </c>
      <c r="AD181" s="186">
        <f ca="1">[1]!s_fa_cagr_tr($E181,AD$6,3)</f>
        <v>17.968174758204647</v>
      </c>
      <c r="AE181" s="187">
        <f ca="1">[1]!s_fa_cagr_tr($E181,AE$6,3)</f>
        <v>15.197921928878166</v>
      </c>
      <c r="AF181" s="187">
        <f ca="1">[1]!s_fa_cagr_tr($E181,AF$6,3)</f>
        <v>24.380968984434205</v>
      </c>
      <c r="AG181" s="187">
        <f ca="1">[1]!s_fa_cagr_tr($E181,AG$6,3)</f>
        <v>15.163274392826608</v>
      </c>
      <c r="AH181" s="187">
        <f ca="1">[1]!s_fa_cagr_tr($E181,AH$6,3)</f>
        <v>15.672692540884148</v>
      </c>
      <c r="AI181" s="194"/>
      <c r="AJ181" s="187">
        <f ca="1">[1]!s_fa_cagr_netprofit($E181,AJ$6,3)</f>
        <v>0</v>
      </c>
      <c r="AK181" s="187">
        <f ca="1">[1]!s_fa_cagr_netprofit($E181,AK$6,3)</f>
        <v>9.2816849624783657</v>
      </c>
      <c r="AL181" s="187">
        <f ca="1">[1]!s_fa_cagr_netprofit($E181,AL$6,3)</f>
        <v>4.8043545811968791</v>
      </c>
      <c r="AM181" s="187">
        <f ca="1">[1]!s_fa_cagr_netprofit($E181,AM$6,3)</f>
        <v>34.480510775443207</v>
      </c>
      <c r="AN181" s="187">
        <f ca="1">[1]!s_fa_cagr_netprofit($E181,AN$6,3)</f>
        <v>35.024925246420025</v>
      </c>
      <c r="AO181" s="187">
        <f ca="1">[1]!s_fa_cagr_netprofit($E181,AO$6,3)</f>
        <v>33.992830233726188</v>
      </c>
      <c r="AP181" s="189"/>
      <c r="AQ181" s="202">
        <f ca="1">[1]!s_fa_dupont_roe(E181,$C$3)</f>
        <v>8.4908999999999999</v>
      </c>
      <c r="AR181" s="202">
        <f ca="1">[1]!s_fa_dupont_nptosales(B181,$C$3)</f>
        <v>6.6451000000000002</v>
      </c>
      <c r="AS181" s="237">
        <f ca="1">[1]!s_fa_dupont_faturnover(E181,$C$3)</f>
        <v>0.64119999999999999</v>
      </c>
      <c r="AT181" s="202">
        <f ca="1">[1]!s_fa_dupont_assetstoequity(E181,$C$3)</f>
        <v>1.921</v>
      </c>
      <c r="AU181" s="189"/>
      <c r="AV181" s="189"/>
      <c r="AW181" s="189"/>
      <c r="AX181" s="189"/>
      <c r="AY181" s="189"/>
      <c r="AZ181" s="189"/>
      <c r="BA181" s="189"/>
      <c r="BB181" s="189"/>
      <c r="BC181" s="189"/>
      <c r="BD181" s="189"/>
      <c r="BE181" s="189"/>
    </row>
    <row r="182" spans="1:57" s="130" customFormat="1" ht="12" customHeight="1" x14ac:dyDescent="0.35">
      <c r="A182" s="121" t="s">
        <v>5</v>
      </c>
      <c r="B182" s="121" t="s">
        <v>322</v>
      </c>
      <c r="C182" s="121" t="s">
        <v>323</v>
      </c>
      <c r="D182" s="121" t="str">
        <f ca="1">[1]!cb_info_underlyingname(B182)</f>
        <v>创维数字</v>
      </c>
      <c r="E182" s="122" t="str">
        <f ca="1">[1]!cb_info_underlyingcode(B182)</f>
        <v>000810.SZ</v>
      </c>
      <c r="F182" s="123" t="str">
        <f ca="1">[1]!s_info_industry_sw(B182,1)</f>
        <v>家用电器</v>
      </c>
      <c r="G182" s="123" t="str">
        <f ca="1">[1]!s_info_industry_sw(E182,2)</f>
        <v>视听器材</v>
      </c>
      <c r="H182" s="123" t="str">
        <f ca="1">[1]!s_info_industry_sw(E182,3)</f>
        <v>其它视听器材</v>
      </c>
      <c r="I182" s="156" t="str">
        <f ca="1">[1]!s_info_majorproducttype(E182)</f>
        <v>接入设备、通信终端设备、显示设备、运营平台系统</v>
      </c>
      <c r="J182" s="129">
        <f ca="1">[1]!s_val_ev(E182,$B$2,100000000)</f>
        <v>86.228457604200003</v>
      </c>
      <c r="K182" s="157">
        <f ca="1">[1]!s_share_total(E182,$B$2,100000000)</f>
        <v>10.632362219999999</v>
      </c>
      <c r="L182" s="157">
        <f ca="1">[1]!s_share_liqa(E182,$B$2,100000000)</f>
        <v>10.248680309999999</v>
      </c>
      <c r="M182" s="125">
        <f ca="1">[1]!s_fa_gr_ttm2(E182,$C$3,100000000)</f>
        <v>85.508006438999999</v>
      </c>
      <c r="N182" s="126">
        <f ca="1">[1]!s_fa_netprofit_ttm2(E182,$C$3,100000000)</f>
        <v>4.156073482</v>
      </c>
      <c r="O182" s="125"/>
      <c r="P182" s="126">
        <f ca="1">[1]!s_val_pe_ttm(E182,[1]!td($B$2-1))</f>
        <v>17.729106903076172</v>
      </c>
      <c r="Q182" s="126">
        <f ca="1">[1]!i_val_pe_percentile(E182,[1]!td($B$2-1),$B$2-365*5,[1]!td($B$2-1))</f>
        <v>1.0964912280701753</v>
      </c>
      <c r="R182" s="126">
        <f ca="1">[1]!pb_mrq(E182,[1]!td($B$2-1))</f>
        <v>2.027240010120873</v>
      </c>
      <c r="S182" s="126">
        <f ca="1">[1]!i_val_pb_percentile(E182,[1]!td($B$2-1),$B$2-365*5,[1]!td($B$2-1))</f>
        <v>3.6184210526315792</v>
      </c>
      <c r="T182" s="126">
        <f ca="1">[1]!s_val_pe_ttm([1]!to_windcode_index(H182&amp;"(申万)"),[1]!td($B$2-1))</f>
        <v>38.560001373291016</v>
      </c>
      <c r="U182" s="126"/>
      <c r="V182" s="126">
        <f ca="1">[1]!s_fa_roe(E182,$C$3)</f>
        <v>7.2264999999999997</v>
      </c>
      <c r="W182" s="126">
        <f ca="1">[1]!s_fa_grossprofitmargin(E182,$C$3)</f>
        <v>18.6479</v>
      </c>
      <c r="X182" s="126">
        <f ca="1">[1]!s_fa_netprofitmargin(E182,$C$3)</f>
        <v>4.6048999999999998</v>
      </c>
      <c r="Y182" s="126">
        <f ca="1">[1]!s_fa_roic(E182,$C$3)</f>
        <v>4.5629999999999997</v>
      </c>
      <c r="Z182" s="126">
        <f ca="1">[1]!s_fa_operateincometoebt_ttm2(E182,$C$3)</f>
        <v>73.385599999999997</v>
      </c>
      <c r="AA182" s="125"/>
      <c r="AB182" s="343"/>
      <c r="AC182" s="125">
        <f ca="1">[1]!s_fa_cagr_tr($E182,AC$6,3)</f>
        <v>0</v>
      </c>
      <c r="AD182" s="125">
        <f ca="1">[1]!s_fa_cagr_tr($E182,AD$6,3)</f>
        <v>5.4542156077774795</v>
      </c>
      <c r="AE182" s="126">
        <f ca="1">[1]!s_fa_cagr_tr($E182,AE$6,3)</f>
        <v>14.492823205022077</v>
      </c>
      <c r="AF182" s="126">
        <f ca="1">[1]!s_fa_cagr_tr($E182,AF$6,3)</f>
        <v>23.632283992356285</v>
      </c>
      <c r="AG182" s="126">
        <f ca="1">[1]!s_fa_cagr_tr($E182,AG$6,3)</f>
        <v>27.482815580498567</v>
      </c>
      <c r="AH182" s="126">
        <f ca="1">[1]!s_fa_cagr_tr($E182,AH$6,3)</f>
        <v>74.173149245763085</v>
      </c>
      <c r="AI182" s="169"/>
      <c r="AJ182" s="126">
        <f ca="1">[1]!s_fa_cagr_netprofit($E182,AJ$6,3)</f>
        <v>0</v>
      </c>
      <c r="AK182" s="126">
        <f ca="1">[1]!s_fa_cagr_netprofit($E182,AK$6,3)</f>
        <v>59.625890307941319</v>
      </c>
      <c r="AL182" s="126">
        <f ca="1">[1]!s_fa_cagr_netprofit($E182,AL$6,3)</f>
        <v>9.1208434742244826</v>
      </c>
      <c r="AM182" s="126">
        <f ca="1">[1]!s_fa_cagr_netprofit($E182,AM$6,3)</f>
        <v>-7.5843840386798034</v>
      </c>
      <c r="AN182" s="126">
        <f ca="1">[1]!s_fa_cagr_netprofit($E182,AN$6,3)</f>
        <v>-37.524966945020289</v>
      </c>
      <c r="AO182" s="126">
        <f ca="1">[1]!s_fa_cagr_netprofit($E182,AO$6,3)</f>
        <v>407.51738230535619</v>
      </c>
      <c r="AP182" s="129"/>
      <c r="AQ182" s="203">
        <f ca="1">[1]!s_fa_dupont_roe(E182,$C$3)</f>
        <v>7.2264999999999997</v>
      </c>
      <c r="AR182" s="203">
        <f ca="1">[1]!s_fa_dupont_nptosales(B182,$C$3)</f>
        <v>4.6048999999999998</v>
      </c>
      <c r="AS182" s="238">
        <f ca="1">[1]!s_fa_dupont_faturnover(E182,$C$3)</f>
        <v>0.59060000000000001</v>
      </c>
      <c r="AT182" s="203">
        <f ca="1">[1]!s_fa_dupont_assetstoequity(E182,$C$3)</f>
        <v>2.5847000000000002</v>
      </c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129"/>
      <c r="BE182" s="129"/>
    </row>
    <row r="183" spans="1:57" s="191" customFormat="1" ht="12" customHeight="1" x14ac:dyDescent="0.35">
      <c r="A183" s="182" t="s">
        <v>0</v>
      </c>
      <c r="B183" s="182" t="s">
        <v>557</v>
      </c>
      <c r="C183" s="182" t="s">
        <v>558</v>
      </c>
      <c r="D183" s="182" t="str">
        <f ca="1">[1]!cb_info_underlyingname(B183)</f>
        <v>荣泰健康</v>
      </c>
      <c r="E183" s="183" t="str">
        <f ca="1">[1]!cb_info_underlyingcode(B183)</f>
        <v>603579.SH</v>
      </c>
      <c r="F183" s="184" t="str">
        <f ca="1">[1]!s_info_industry_sw(B183,1)</f>
        <v>家用电器</v>
      </c>
      <c r="G183" s="184" t="str">
        <f ca="1">[1]!s_info_industry_sw(E183,2)</f>
        <v>白色家电</v>
      </c>
      <c r="H183" s="184" t="str">
        <f ca="1">[1]!s_info_industry_sw(E183,3)</f>
        <v>小家电</v>
      </c>
      <c r="I183" s="192" t="str">
        <f ca="1">[1]!s_info_majorproducttype(E183)</f>
        <v>保健器具</v>
      </c>
      <c r="J183" s="189">
        <f ca="1">[1]!s_val_ev(E183,$B$2,100000000)</f>
        <v>42.546978557999999</v>
      </c>
      <c r="K183" s="193">
        <f ca="1">[1]!s_share_total(E183,$B$2,100000000)</f>
        <v>1.4000322000000001</v>
      </c>
      <c r="L183" s="193">
        <f ca="1">[1]!s_share_liqa(E183,$B$2,100000000)</f>
        <v>1.4000322000000001</v>
      </c>
      <c r="M183" s="186">
        <f ca="1">[1]!s_fa_gr_ttm2(E183,$C$3,100000000)</f>
        <v>20.900578084399999</v>
      </c>
      <c r="N183" s="187">
        <f ca="1">[1]!s_fa_netprofit_ttm2(E183,$C$3,100000000)</f>
        <v>2.4628896632999999</v>
      </c>
      <c r="O183" s="186"/>
      <c r="P183" s="187">
        <f ca="1">[1]!s_val_pe_ttm(E183,[1]!td($B$2-1))</f>
        <v>18.160709381103516</v>
      </c>
      <c r="Q183" s="187">
        <f ca="1">[1]!i_val_pe_percentile(E183,[1]!td($B$2-1),$B$2-365*5,[1]!td($B$2-1))</f>
        <v>41.764705882352942</v>
      </c>
      <c r="R183" s="187">
        <f ca="1">[1]!pb_mrq(E183,[1]!td($B$2-1))</f>
        <v>2.5392077208777866</v>
      </c>
      <c r="S183" s="187">
        <f ca="1">[1]!i_val_pb_percentile(E183,[1]!td($B$2-1),$B$2-365*5,[1]!td($B$2-1))</f>
        <v>12.058823529411764</v>
      </c>
      <c r="T183" s="187">
        <f ca="1">[1]!s_val_pe_ttm([1]!to_windcode_index(H183&amp;"(申万)"),[1]!td($B$2-1))</f>
        <v>22.180000305175781</v>
      </c>
      <c r="U183" s="186"/>
      <c r="V183" s="186">
        <f ca="1">[1]!s_fa_roe(E183,$C$3)</f>
        <v>9.9396000000000004</v>
      </c>
      <c r="W183" s="186">
        <f ca="1">[1]!s_fa_grossprofitmargin(E183,$C$3)</f>
        <v>32.3977</v>
      </c>
      <c r="X183" s="186">
        <f ca="1">[1]!s_fa_netprofitmargin(E183,$C$3)</f>
        <v>10.712300000000001</v>
      </c>
      <c r="Y183" s="186">
        <f ca="1">[1]!s_fa_roic(E183,$C$3)</f>
        <v>9.1329999999999991</v>
      </c>
      <c r="Z183" s="186">
        <f ca="1">[1]!s_fa_operateincometoebt_ttm2(E183,$C$3)</f>
        <v>98.7333</v>
      </c>
      <c r="AA183" s="186"/>
      <c r="AB183" s="342"/>
      <c r="AC183" s="186">
        <f ca="1">[1]!s_fa_cagr_tr($E183,AC$6,3)</f>
        <v>0</v>
      </c>
      <c r="AD183" s="186">
        <f ca="1">[1]!s_fa_cagr_tr($E183,AD$6,3)</f>
        <v>1.7506916552123108</v>
      </c>
      <c r="AE183" s="187">
        <f ca="1">[1]!s_fa_cagr_tr($E183,AE$6,3)</f>
        <v>21.65845262633972</v>
      </c>
      <c r="AF183" s="187">
        <f ca="1">[1]!s_fa_cagr_tr($E183,AF$6,3)</f>
        <v>30.879480426310437</v>
      </c>
      <c r="AG183" s="187">
        <f ca="1">[1]!s_fa_cagr_tr($E183,AG$6,3)</f>
        <v>38.42321213986606</v>
      </c>
      <c r="AH183" s="187">
        <f ca="1">[1]!s_fa_cagr_tr($E183,AH$6,3)</f>
        <v>46.17891088981834</v>
      </c>
      <c r="AI183" s="194"/>
      <c r="AJ183" s="187">
        <f ca="1">[1]!s_fa_cagr_netprofit($E183,AJ$6,3)</f>
        <v>0</v>
      </c>
      <c r="AK183" s="187">
        <f ca="1">[1]!s_fa_cagr_netprofit($E183,AK$6,3)</f>
        <v>-3.7092696079595644</v>
      </c>
      <c r="AL183" s="187">
        <f ca="1">[1]!s_fa_cagr_netprofit($E183,AL$6,3)</f>
        <v>12.673256344671536</v>
      </c>
      <c r="AM183" s="187">
        <f ca="1">[1]!s_fa_cagr_netprofit($E183,AM$6,3)</f>
        <v>20.423594379365472</v>
      </c>
      <c r="AN183" s="187">
        <f ca="1">[1]!s_fa_cagr_netprofit($E183,AN$6,3)</f>
        <v>51.98149040777713</v>
      </c>
      <c r="AO183" s="187">
        <f ca="1">[1]!s_fa_cagr_netprofit($E183,AO$6,3)</f>
        <v>100.01458596812816</v>
      </c>
      <c r="AP183" s="189"/>
      <c r="AQ183" s="202">
        <f ca="1">[1]!s_fa_dupont_roe(E183,$C$3)</f>
        <v>9.9396000000000004</v>
      </c>
      <c r="AR183" s="202">
        <f ca="1">[1]!s_fa_dupont_nptosales(B183,$C$3)</f>
        <v>10.712300000000001</v>
      </c>
      <c r="AS183" s="237">
        <f ca="1">[1]!s_fa_dupont_faturnover(E183,$C$3)</f>
        <v>0.59970000000000001</v>
      </c>
      <c r="AT183" s="202">
        <f ca="1">[1]!s_fa_dupont_assetstoequity(E183,$C$3)</f>
        <v>1.4590000000000001</v>
      </c>
      <c r="AU183" s="189"/>
      <c r="AV183" s="201"/>
      <c r="AW183" s="189"/>
      <c r="AX183" s="189"/>
      <c r="AY183" s="189"/>
      <c r="AZ183" s="189"/>
      <c r="BA183" s="189"/>
      <c r="BB183" s="189"/>
      <c r="BC183" s="189"/>
      <c r="BD183" s="189"/>
      <c r="BE183" s="189"/>
    </row>
    <row r="184" spans="1:57" s="130" customFormat="1" ht="12" customHeight="1" x14ac:dyDescent="0.35">
      <c r="A184" s="121" t="s">
        <v>5</v>
      </c>
      <c r="B184" s="121" t="s">
        <v>208</v>
      </c>
      <c r="C184" s="121" t="s">
        <v>209</v>
      </c>
      <c r="D184" s="121" t="str">
        <f ca="1">[1]!cb_info_underlyingname(B184)</f>
        <v>星帅尔</v>
      </c>
      <c r="E184" s="122" t="str">
        <f ca="1">[1]!cb_info_underlyingcode(B184)</f>
        <v>002860.SZ</v>
      </c>
      <c r="F184" s="123" t="str">
        <f ca="1">[1]!s_info_industry_sw(B184,1)</f>
        <v>家用电器</v>
      </c>
      <c r="G184" s="123" t="str">
        <f ca="1">[1]!s_info_industry_sw(E184,2)</f>
        <v>白色家电</v>
      </c>
      <c r="H184" s="123" t="str">
        <f ca="1">[1]!s_info_industry_sw(E184,3)</f>
        <v>家电零部件</v>
      </c>
      <c r="I184" s="156" t="str">
        <f ca="1">[1]!s_info_majorproducttype(E184)</f>
        <v>专用设备与零部件</v>
      </c>
      <c r="J184" s="129">
        <f ca="1">[1]!s_val_ev(E184,$B$2,100000000)</f>
        <v>39.052797562000002</v>
      </c>
      <c r="K184" s="157">
        <f ca="1">[1]!s_share_total(E184,$B$2,100000000)</f>
        <v>2.0350598000000004</v>
      </c>
      <c r="L184" s="157">
        <f ca="1">[1]!s_share_liqa(E184,$B$2,100000000)</f>
        <v>1.4719978199999999</v>
      </c>
      <c r="M184" s="125">
        <f ca="1">[1]!s_fa_gr_ttm2(E184,$C$3,100000000)</f>
        <v>8.6289891787999995</v>
      </c>
      <c r="N184" s="126">
        <f ca="1">[1]!s_fa_netprofit_ttm2(E184,$C$3,100000000)</f>
        <v>1.0657906621</v>
      </c>
      <c r="O184" s="125"/>
      <c r="P184" s="126">
        <f ca="1">[1]!s_val_pe_ttm(E184,[1]!td($B$2-1))</f>
        <v>27.884441375732422</v>
      </c>
      <c r="Q184" s="126">
        <f ca="1">[1]!i_val_pe_percentile(E184,[1]!td($B$2-1),$B$2-365*5,[1]!td($B$2-1))</f>
        <v>65.351149782473584</v>
      </c>
      <c r="R184" s="126">
        <f ca="1">[1]!pb_mrq(E184,[1]!td($B$2-1))</f>
        <v>3.7262800897075441</v>
      </c>
      <c r="S184" s="126">
        <f ca="1">[1]!i_val_pb_percentile(E184,[1]!td($B$2-1),$B$2-365*5,[1]!td($B$2-1))</f>
        <v>65.724052206339351</v>
      </c>
      <c r="T184" s="126">
        <f ca="1">[1]!s_val_pe_ttm([1]!to_windcode_index(H184&amp;"(申万)"),[1]!td($B$2-1))</f>
        <v>51.409999847412109</v>
      </c>
      <c r="U184" s="126"/>
      <c r="V184" s="126">
        <f ca="1">[1]!s_fa_roe(E184,$C$3)</f>
        <v>9.6509</v>
      </c>
      <c r="W184" s="126">
        <f ca="1">[1]!s_fa_grossprofitmargin(E184,$C$3)</f>
        <v>27.755600000000001</v>
      </c>
      <c r="X184" s="126">
        <f ca="1">[1]!s_fa_netprofitmargin(E184,$C$3)</f>
        <v>13.5259</v>
      </c>
      <c r="Y184" s="126">
        <f ca="1">[1]!s_fa_roic(E184,$C$3)</f>
        <v>8.4269999999999996</v>
      </c>
      <c r="Z184" s="126">
        <f ca="1">[1]!s_fa_operateincometoebt_ttm2(E184,$C$3)</f>
        <v>79.963099999999997</v>
      </c>
      <c r="AA184" s="125"/>
      <c r="AB184" s="343"/>
      <c r="AC184" s="125">
        <f ca="1">[1]!s_fa_cagr_tr($E184,AC$6,3)</f>
        <v>0</v>
      </c>
      <c r="AD184" s="125">
        <f ca="1">[1]!s_fa_cagr_tr($E184,AD$6,3)</f>
        <v>37.730300774796177</v>
      </c>
      <c r="AE184" s="126">
        <f ca="1">[1]!s_fa_cagr_tr($E184,AE$6,3)</f>
        <v>33.97709022337596</v>
      </c>
      <c r="AF184" s="126">
        <f ca="1">[1]!s_fa_cagr_tr($E184,AF$6,3)</f>
        <v>17.330298598779571</v>
      </c>
      <c r="AG184" s="126">
        <f ca="1">[1]!s_fa_cagr_tr($E184,AG$6,3)</f>
        <v>9.4247155394989068</v>
      </c>
      <c r="AH184" s="126">
        <f ca="1">[1]!s_fa_cagr_tr($E184,AH$6,3)</f>
        <v>10.718909918024755</v>
      </c>
      <c r="AI184" s="169"/>
      <c r="AJ184" s="126">
        <f ca="1">[1]!s_fa_cagr_netprofit($E184,AJ$6,3)</f>
        <v>0</v>
      </c>
      <c r="AK184" s="126">
        <f ca="1">[1]!s_fa_cagr_netprofit($E184,AK$6,3)</f>
        <v>6.4569725040229731</v>
      </c>
      <c r="AL184" s="126">
        <f ca="1">[1]!s_fa_cagr_netprofit($E184,AL$6,3)</f>
        <v>21.236269271463758</v>
      </c>
      <c r="AM184" s="126">
        <f ca="1">[1]!s_fa_cagr_netprofit($E184,AM$6,3)</f>
        <v>17.786070856071955</v>
      </c>
      <c r="AN184" s="126">
        <f ca="1">[1]!s_fa_cagr_netprofit($E184,AN$6,3)</f>
        <v>18.351113201609202</v>
      </c>
      <c r="AO184" s="126">
        <f ca="1">[1]!s_fa_cagr_netprofit($E184,AO$6,3)</f>
        <v>26.969089911137601</v>
      </c>
      <c r="AP184" s="129"/>
      <c r="AQ184" s="203">
        <f ca="1">[1]!s_fa_dupont_roe(E184,$C$3)</f>
        <v>9.6509</v>
      </c>
      <c r="AR184" s="203">
        <f ca="1">[1]!s_fa_dupont_nptosales(B184,$C$3)</f>
        <v>13.5259</v>
      </c>
      <c r="AS184" s="238">
        <f ca="1">[1]!s_fa_dupont_faturnover(E184,$C$3)</f>
        <v>0.45779999999999998</v>
      </c>
      <c r="AT184" s="203">
        <f ca="1">[1]!s_fa_dupont_assetstoequity(E184,$C$3)</f>
        <v>1.5896999999999999</v>
      </c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29"/>
      <c r="BE184" s="129"/>
    </row>
    <row r="185" spans="1:57" s="191" customFormat="1" ht="12" customHeight="1" x14ac:dyDescent="0.35">
      <c r="A185" s="182" t="s">
        <v>0</v>
      </c>
      <c r="B185" s="182" t="s">
        <v>380</v>
      </c>
      <c r="C185" s="182" t="s">
        <v>381</v>
      </c>
      <c r="D185" s="182" t="str">
        <f ca="1">[1]!cb_info_underlyingname(B185)</f>
        <v>奇精机械</v>
      </c>
      <c r="E185" s="183" t="str">
        <f ca="1">[1]!cb_info_underlyingcode(B185)</f>
        <v>603677.SH</v>
      </c>
      <c r="F185" s="184" t="str">
        <f ca="1">[1]!s_info_industry_sw(B185,1)</f>
        <v>家用电器</v>
      </c>
      <c r="G185" s="184" t="str">
        <f ca="1">[1]!s_info_industry_sw(E185,2)</f>
        <v>白色家电</v>
      </c>
      <c r="H185" s="184" t="str">
        <f ca="1">[1]!s_info_industry_sw(E185,3)</f>
        <v>家电零部件</v>
      </c>
      <c r="I185" s="192" t="str">
        <f ca="1">[1]!s_info_majorproducttype(E185)</f>
        <v>电子元器件</v>
      </c>
      <c r="J185" s="189">
        <f ca="1">[1]!s_val_ev(E185,$B$2,100000000)</f>
        <v>24.228680738599998</v>
      </c>
      <c r="K185" s="193">
        <f ca="1">[1]!s_share_total(E185,$B$2,100000000)</f>
        <v>1.92138626</v>
      </c>
      <c r="L185" s="193">
        <f ca="1">[1]!s_share_liqa(E185,$B$2,100000000)</f>
        <v>1.92138626</v>
      </c>
      <c r="M185" s="186">
        <f ca="1">[1]!s_fa_gr_ttm2(E185,$C$3,100000000)</f>
        <v>15.7621975707</v>
      </c>
      <c r="N185" s="187">
        <f ca="1">[1]!s_fa_netprofit_ttm2(E185,$C$3,100000000)</f>
        <v>0.71547537840000008</v>
      </c>
      <c r="O185" s="186"/>
      <c r="P185" s="187">
        <f ca="1">[1]!s_val_pe_ttm(E185,[1]!td($B$2-1))</f>
        <v>32.161334991455078</v>
      </c>
      <c r="Q185" s="187">
        <f ca="1">[1]!i_val_pe_percentile(E185,[1]!td($B$2-1),$B$2-365*5,[1]!td($B$2-1))</f>
        <v>39.84468339307049</v>
      </c>
      <c r="R185" s="187">
        <f ca="1">[1]!pb_mrq(E185,[1]!td($B$2-1))</f>
        <v>2.4433625520802718</v>
      </c>
      <c r="S185" s="187">
        <f ca="1">[1]!i_val_pb_percentile(E185,[1]!td($B$2-1),$B$2-365*5,[1]!td($B$2-1))</f>
        <v>33.87096774193548</v>
      </c>
      <c r="T185" s="187">
        <f ca="1">[1]!s_val_pe_ttm([1]!to_windcode_index(H185&amp;"(申万)"),[1]!td($B$2-1))</f>
        <v>51.409999847412109</v>
      </c>
      <c r="U185" s="187"/>
      <c r="V185" s="187">
        <f ca="1">[1]!s_fa_roe(E185,$C$3)</f>
        <v>4.8445</v>
      </c>
      <c r="W185" s="187">
        <f ca="1">[1]!s_fa_grossprofitmargin(E185,$C$3)</f>
        <v>15.264099999999999</v>
      </c>
      <c r="X185" s="187">
        <f ca="1">[1]!s_fa_netprofitmargin(E185,$C$3)</f>
        <v>4.7492999999999999</v>
      </c>
      <c r="Y185" s="187">
        <f ca="1">[1]!s_fa_roic(E185,$C$3)</f>
        <v>4.7652999999999999</v>
      </c>
      <c r="Z185" s="187">
        <f ca="1">[1]!s_fa_operateincometoebt_ttm2(E185,$C$3)</f>
        <v>84.802599999999998</v>
      </c>
      <c r="AA185" s="186"/>
      <c r="AB185" s="342"/>
      <c r="AC185" s="186">
        <f ca="1">[1]!s_fa_cagr_tr($E185,AC$6,3)</f>
        <v>0</v>
      </c>
      <c r="AD185" s="186">
        <f ca="1">[1]!s_fa_cagr_tr($E185,AD$6,3)</f>
        <v>6.46333888032391</v>
      </c>
      <c r="AE185" s="187">
        <f ca="1">[1]!s_fa_cagr_tr($E185,AE$6,3)</f>
        <v>14.243421804526712</v>
      </c>
      <c r="AF185" s="187">
        <f ca="1">[1]!s_fa_cagr_tr($E185,AF$6,3)</f>
        <v>3.1054540635672367</v>
      </c>
      <c r="AG185" s="187">
        <f ca="1">[1]!s_fa_cagr_tr($E185,AG$6,3)</f>
        <v>1.9718580641419514</v>
      </c>
      <c r="AH185" s="187">
        <f ca="1">[1]!s_fa_cagr_tr($E185,AH$6,3)</f>
        <v>-3.7188748507974489</v>
      </c>
      <c r="AI185" s="194"/>
      <c r="AJ185" s="187">
        <f ca="1">[1]!s_fa_cagr_netprofit($E185,AJ$6,3)</f>
        <v>0</v>
      </c>
      <c r="AK185" s="187">
        <f ca="1">[1]!s_fa_cagr_netprofit($E185,AK$6,3)</f>
        <v>-17.498922993859079</v>
      </c>
      <c r="AL185" s="187">
        <f ca="1">[1]!s_fa_cagr_netprofit($E185,AL$6,3)</f>
        <v>-4.7004428989921188</v>
      </c>
      <c r="AM185" s="187">
        <f ca="1">[1]!s_fa_cagr_netprofit($E185,AM$6,3)</f>
        <v>0.18774937809307168</v>
      </c>
      <c r="AN185" s="187">
        <f ca="1">[1]!s_fa_cagr_netprofit($E185,AN$6,3)</f>
        <v>17.458565141459246</v>
      </c>
      <c r="AO185" s="187">
        <f ca="1">[1]!s_fa_cagr_netprofit($E185,AO$6,3)</f>
        <v>11.711964866462555</v>
      </c>
      <c r="AP185" s="189"/>
      <c r="AQ185" s="202">
        <f ca="1">[1]!s_fa_dupont_roe(E185,$C$3)</f>
        <v>4.8445</v>
      </c>
      <c r="AR185" s="202">
        <f ca="1">[1]!s_fa_dupont_nptosales(B185,$C$3)</f>
        <v>4.7492999999999999</v>
      </c>
      <c r="AS185" s="237">
        <f ca="1">[1]!s_fa_dupont_faturnover(E185,$C$3)</f>
        <v>0.61939999999999995</v>
      </c>
      <c r="AT185" s="202">
        <f ca="1">[1]!s_fa_dupont_assetstoequity(E185,$C$3)</f>
        <v>1.6468</v>
      </c>
      <c r="AU185" s="189"/>
      <c r="AV185" s="189"/>
      <c r="AW185" s="189"/>
      <c r="AX185" s="189"/>
      <c r="AY185" s="189"/>
      <c r="AZ185" s="189"/>
      <c r="BA185" s="189"/>
      <c r="BB185" s="189"/>
      <c r="BC185" s="189"/>
      <c r="BD185" s="189"/>
      <c r="BE185" s="189"/>
    </row>
    <row r="186" spans="1:57" s="130" customFormat="1" ht="12" customHeight="1" x14ac:dyDescent="0.35">
      <c r="A186" s="121" t="s">
        <v>0</v>
      </c>
      <c r="B186" s="121" t="s">
        <v>314</v>
      </c>
      <c r="C186" s="121" t="s">
        <v>315</v>
      </c>
      <c r="D186" s="121" t="str">
        <f ca="1">[1]!cb_info_underlyingname(B186)</f>
        <v>三星新材</v>
      </c>
      <c r="E186" s="122" t="str">
        <f ca="1">[1]!cb_info_underlyingcode(B186)</f>
        <v>603578.SH</v>
      </c>
      <c r="F186" s="123" t="str">
        <f ca="1">[1]!s_info_industry_sw(B186,1)</f>
        <v>家用电器</v>
      </c>
      <c r="G186" s="123" t="str">
        <f ca="1">[1]!s_info_industry_sw(E186,2)</f>
        <v>白色家电</v>
      </c>
      <c r="H186" s="123" t="str">
        <f ca="1">[1]!s_info_industry_sw(E186,3)</f>
        <v>家电零部件</v>
      </c>
      <c r="I186" s="156" t="str">
        <f ca="1">[1]!s_info_majorproducttype(E186)</f>
        <v>玻璃制品</v>
      </c>
      <c r="J186" s="129">
        <f ca="1">[1]!s_val_ev(E186,$B$2,100000000)</f>
        <v>21.018248404000001</v>
      </c>
      <c r="K186" s="157">
        <f ca="1">[1]!s_share_total(E186,$B$2,100000000)</f>
        <v>1.2839491999999999</v>
      </c>
      <c r="L186" s="157">
        <f ca="1">[1]!s_share_liqa(E186,$B$2,100000000)</f>
        <v>1.2800012000000001</v>
      </c>
      <c r="M186" s="125">
        <f ca="1">[1]!s_fa_gr_ttm2(E186,$C$3,100000000)</f>
        <v>4.1070631146999999</v>
      </c>
      <c r="N186" s="126">
        <f ca="1">[1]!s_fa_netprofit_ttm2(E186,$C$3,100000000)</f>
        <v>0.84631293810000008</v>
      </c>
      <c r="O186" s="125"/>
      <c r="P186" s="126">
        <f ca="1">[1]!s_val_pe_ttm(E186,[1]!td($B$2-1))</f>
        <v>19.683046340942383</v>
      </c>
      <c r="Q186" s="126">
        <f ca="1">[1]!i_val_pe_percentile(E186,[1]!td($B$2-1),$B$2-365*5,[1]!td($B$2-1))</f>
        <v>3.5844471445929527</v>
      </c>
      <c r="R186" s="126">
        <f ca="1">[1]!pb_mrq(E186,[1]!td($B$2-1))</f>
        <v>2.7639409836920068</v>
      </c>
      <c r="S186" s="126">
        <f ca="1">[1]!i_val_pb_percentile(E186,[1]!td($B$2-1),$B$2-365*5,[1]!td($B$2-1))</f>
        <v>12.940461725394897</v>
      </c>
      <c r="T186" s="126">
        <f ca="1">[1]!s_val_pe_ttm([1]!to_windcode_index(H186&amp;"(申万)"),[1]!td($B$2-1))</f>
        <v>51.409999847412109</v>
      </c>
      <c r="U186" s="125"/>
      <c r="V186" s="125">
        <f ca="1">[1]!s_fa_roe(E186,$C$3)</f>
        <v>10.3208</v>
      </c>
      <c r="W186" s="125">
        <f ca="1">[1]!s_fa_grossprofitmargin(E186,$C$3)</f>
        <v>31.784300000000002</v>
      </c>
      <c r="X186" s="125">
        <f ca="1">[1]!s_fa_netprofitmargin(E186,$C$3)</f>
        <v>21.970199999999998</v>
      </c>
      <c r="Y186" s="125">
        <f ca="1">[1]!s_fa_roic(E186,$C$3)</f>
        <v>8.9966000000000008</v>
      </c>
      <c r="Z186" s="125">
        <f ca="1">[1]!s_fa_operateincometoebt_ttm2(E186,$C$3)</f>
        <v>64.886600000000001</v>
      </c>
      <c r="AA186" s="125"/>
      <c r="AB186" s="343"/>
      <c r="AC186" s="125">
        <f ca="1">[1]!s_fa_cagr_tr($E186,AC$6,3)</f>
        <v>0</v>
      </c>
      <c r="AD186" s="125">
        <f ca="1">[1]!s_fa_cagr_tr($E186,AD$6,3)</f>
        <v>12.625362802522444</v>
      </c>
      <c r="AE186" s="126">
        <f ca="1">[1]!s_fa_cagr_tr($E186,AE$6,3)</f>
        <v>7.5238546430444808</v>
      </c>
      <c r="AF186" s="126">
        <f ca="1">[1]!s_fa_cagr_tr($E186,AF$6,3)</f>
        <v>11.070936336417446</v>
      </c>
      <c r="AG186" s="126">
        <f ca="1">[1]!s_fa_cagr_tr($E186,AG$6,3)</f>
        <v>8.2736329114936336</v>
      </c>
      <c r="AH186" s="126">
        <f ca="1">[1]!s_fa_cagr_tr($E186,AH$6,3)</f>
        <v>7.1838449906378665</v>
      </c>
      <c r="AI186" s="169"/>
      <c r="AJ186" s="126">
        <f ca="1">[1]!s_fa_cagr_netprofit($E186,AJ$6,3)</f>
        <v>0</v>
      </c>
      <c r="AK186" s="126">
        <f ca="1">[1]!s_fa_cagr_netprofit($E186,AK$6,3)</f>
        <v>15.590173549400799</v>
      </c>
      <c r="AL186" s="126">
        <f ca="1">[1]!s_fa_cagr_netprofit($E186,AL$6,3)</f>
        <v>8.8931216368048247</v>
      </c>
      <c r="AM186" s="126">
        <f ca="1">[1]!s_fa_cagr_netprofit($E186,AM$6,3)</f>
        <v>16.762041535460437</v>
      </c>
      <c r="AN186" s="126">
        <f ca="1">[1]!s_fa_cagr_netprofit($E186,AN$6,3)</f>
        <v>17.143210006870781</v>
      </c>
      <c r="AO186" s="126">
        <f ca="1">[1]!s_fa_cagr_netprofit($E186,AO$6,3)</f>
        <v>11.822873229459319</v>
      </c>
      <c r="AP186" s="129"/>
      <c r="AQ186" s="203">
        <f ca="1">[1]!s_fa_dupont_roe(E186,$C$3)</f>
        <v>10.3208</v>
      </c>
      <c r="AR186" s="203">
        <f ca="1">[1]!s_fa_dupont_nptosales(B186,$C$3)</f>
        <v>21.970199999999998</v>
      </c>
      <c r="AS186" s="238">
        <f ca="1">[1]!s_fa_dupont_faturnover(E186,$C$3)</f>
        <v>0.32379999999999998</v>
      </c>
      <c r="AT186" s="203">
        <f ca="1">[1]!s_fa_dupont_assetstoequity(E186,$C$3)</f>
        <v>1.4508000000000001</v>
      </c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29"/>
      <c r="BE186" s="129"/>
    </row>
    <row r="187" spans="1:57" s="191" customFormat="1" ht="12" customHeight="1" x14ac:dyDescent="0.35">
      <c r="A187" s="182" t="s">
        <v>5</v>
      </c>
      <c r="B187" s="182" t="s">
        <v>908</v>
      </c>
      <c r="C187" s="182" t="s">
        <v>909</v>
      </c>
      <c r="D187" s="182" t="str">
        <f ca="1">[1]!cb_info_underlyingname(B187)</f>
        <v>卫宁健康</v>
      </c>
      <c r="E187" s="183" t="str">
        <f ca="1">[1]!cb_info_underlyingcode(B187)</f>
        <v>300253.SZ</v>
      </c>
      <c r="F187" s="184" t="str">
        <f ca="1">[1]!s_info_industry_sw(B187,1)</f>
        <v>计算机</v>
      </c>
      <c r="G187" s="184" t="str">
        <f ca="1">[1]!s_info_industry_sw(E187,2)</f>
        <v>计算机应用</v>
      </c>
      <c r="H187" s="184" t="str">
        <f ca="1">[1]!s_info_industry_sw(E187,3)</f>
        <v>软件开发</v>
      </c>
      <c r="I187" s="192" t="str">
        <f ca="1">[1]!s_info_majorproducttype(E187)</f>
        <v>行业专用软件</v>
      </c>
      <c r="J187" s="189">
        <f ca="1">[1]!s_val_ev(E187,$B$2,100000000)</f>
        <v>313.9539044238</v>
      </c>
      <c r="K187" s="193">
        <f ca="1">[1]!s_share_total(E187,$B$2,100000000)</f>
        <v>21.41568243</v>
      </c>
      <c r="L187" s="193">
        <f ca="1">[1]!s_share_liqa(E187,$B$2,100000000)</f>
        <v>17.962429329999999</v>
      </c>
      <c r="M187" s="186">
        <f ca="1">[1]!s_fa_gr_ttm2(E187,$C$3,100000000)</f>
        <v>20.815477168599998</v>
      </c>
      <c r="N187" s="187">
        <f ca="1">[1]!s_fa_netprofit_ttm2(E187,$C$3,100000000)</f>
        <v>3.288493195</v>
      </c>
      <c r="O187" s="186"/>
      <c r="P187" s="187">
        <f ca="1">[1]!s_val_pe_ttm(E187,[1]!td($B$2-1))</f>
        <v>59.449123382568359</v>
      </c>
      <c r="Q187" s="187">
        <f ca="1">[1]!i_val_pe_percentile(E187,[1]!td($B$2-1),$B$2-365*5,[1]!td($B$2-1))</f>
        <v>24.835526315789476</v>
      </c>
      <c r="R187" s="187">
        <f ca="1">[1]!pb_mrq(E187,[1]!td($B$2-1))</f>
        <v>6.839870203925317</v>
      </c>
      <c r="S187" s="187">
        <f ca="1">[1]!i_val_pb_percentile(E187,[1]!td($B$2-1),$B$2-365*5,[1]!td($B$2-1))</f>
        <v>35.800438596491233</v>
      </c>
      <c r="T187" s="187">
        <f ca="1">[1]!s_val_pe_ttm([1]!to_windcode_index(H187&amp;"(申万)"),[1]!td($B$2-1))</f>
        <v>64.720001220703125</v>
      </c>
      <c r="U187" s="187"/>
      <c r="V187" s="187">
        <f ca="1">[1]!s_fa_roe(E187,$C$3)</f>
        <v>5.2354000000000003</v>
      </c>
      <c r="W187" s="187">
        <f ca="1">[1]!s_fa_grossprofitmargin(E187,$C$3)</f>
        <v>53.179000000000002</v>
      </c>
      <c r="X187" s="187">
        <f ca="1">[1]!s_fa_netprofitmargin(E187,$C$3)</f>
        <v>14.387700000000001</v>
      </c>
      <c r="Y187" s="187">
        <f ca="1">[1]!s_fa_roic(E187,$C$3)</f>
        <v>4.6394000000000002</v>
      </c>
      <c r="Z187" s="187">
        <f ca="1">[1]!s_fa_operateincometoebt_ttm2(E187,$C$3)</f>
        <v>76.671700000000001</v>
      </c>
      <c r="AA187" s="186"/>
      <c r="AB187" s="342"/>
      <c r="AC187" s="186">
        <f ca="1">[1]!s_fa_cagr_tr($E187,AC$6,3)</f>
        <v>0</v>
      </c>
      <c r="AD187" s="186">
        <f ca="1">[1]!s_fa_cagr_tr($E187,AD$6,3)</f>
        <v>23.484036021429588</v>
      </c>
      <c r="AE187" s="187">
        <f ca="1">[1]!s_fa_cagr_tr($E187,AE$6,3)</f>
        <v>25.971449449944849</v>
      </c>
      <c r="AF187" s="187">
        <f ca="1">[1]!s_fa_cagr_tr($E187,AF$6,3)</f>
        <v>24.079762623949375</v>
      </c>
      <c r="AG187" s="187">
        <f ca="1">[1]!s_fa_cagr_tr($E187,AG$6,3)</f>
        <v>34.802432548758944</v>
      </c>
      <c r="AH187" s="187">
        <f ca="1">[1]!s_fa_cagr_tr($E187,AH$6,3)</f>
        <v>39.867735756269937</v>
      </c>
      <c r="AI187" s="194"/>
      <c r="AJ187" s="187">
        <f ca="1">[1]!s_fa_cagr_netprofit($E187,AJ$6,3)</f>
        <v>0</v>
      </c>
      <c r="AK187" s="187">
        <f ca="1">[1]!s_fa_cagr_netprofit($E187,AK$6,3)</f>
        <v>28.949309902949594</v>
      </c>
      <c r="AL187" s="187">
        <f ca="1">[1]!s_fa_cagr_netprofit($E187,AL$6,3)</f>
        <v>-8.4137874798895123</v>
      </c>
      <c r="AM187" s="187">
        <f ca="1">[1]!s_fa_cagr_netprofit($E187,AM$6,3)</f>
        <v>25.757283189773151</v>
      </c>
      <c r="AN187" s="187">
        <f ca="1">[1]!s_fa_cagr_netprofit($E187,AN$6,3)</f>
        <v>23.711261715795896</v>
      </c>
      <c r="AO187" s="187">
        <f ca="1">[1]!s_fa_cagr_netprofit($E187,AO$6,3)</f>
        <v>85.993725767491142</v>
      </c>
      <c r="AP187" s="189"/>
      <c r="AQ187" s="202">
        <f ca="1">[1]!s_fa_dupont_roe(E187,$C$3)</f>
        <v>5.2354000000000003</v>
      </c>
      <c r="AR187" s="202">
        <f ca="1">[1]!s_fa_dupont_nptosales(B187,$C$3)</f>
        <v>14.387700000000001</v>
      </c>
      <c r="AS187" s="237">
        <f ca="1">[1]!s_fa_dupont_faturnover(E187,$C$3)</f>
        <v>0.26179999999999998</v>
      </c>
      <c r="AT187" s="202">
        <f ca="1">[1]!s_fa_dupont_assetstoequity(E187,$C$3)</f>
        <v>1.3485</v>
      </c>
      <c r="AU187" s="189"/>
      <c r="AV187" s="201"/>
      <c r="AW187" s="189"/>
      <c r="AX187" s="189"/>
      <c r="AY187" s="189"/>
      <c r="AZ187" s="189"/>
      <c r="BA187" s="189"/>
      <c r="BB187" s="189"/>
      <c r="BC187" s="189"/>
      <c r="BD187" s="189"/>
      <c r="BE187" s="189"/>
    </row>
    <row r="188" spans="1:57" s="130" customFormat="1" ht="12" customHeight="1" x14ac:dyDescent="0.35">
      <c r="A188" s="121" t="s">
        <v>396</v>
      </c>
      <c r="B188" s="121" t="s">
        <v>505</v>
      </c>
      <c r="C188" s="121" t="s">
        <v>506</v>
      </c>
      <c r="D188" s="121" t="str">
        <f ca="1">[1]!cb_info_underlyingname(B188)</f>
        <v>中国软件</v>
      </c>
      <c r="E188" s="122" t="str">
        <f ca="1">[1]!cb_info_underlyingcode(B188)</f>
        <v>600536.SH</v>
      </c>
      <c r="F188" s="123" t="str">
        <f ca="1">[1]!s_info_industry_sw(B188,1)</f>
        <v>计算机</v>
      </c>
      <c r="G188" s="123" t="str">
        <f ca="1">[1]!s_info_industry_sw(E188,2)</f>
        <v>计算机应用</v>
      </c>
      <c r="H188" s="123" t="str">
        <f ca="1">[1]!s_info_industry_sw(E188,3)</f>
        <v>IT服务</v>
      </c>
      <c r="I188" s="156" t="str">
        <f ca="1">[1]!s_info_majorproducttype(E188)</f>
        <v>CRM软件、CTI语音软件、ERP软件、OA软件、SCM软件、操作系统软件、防火墙软件、行业专用软件、软件外包服务</v>
      </c>
      <c r="J188" s="129">
        <f ca="1">[1]!s_val_ev(E188,$B$2,100000000)</f>
        <v>249.75420491</v>
      </c>
      <c r="K188" s="157">
        <f ca="1">[1]!s_share_total(E188,$B$2,100000000)</f>
        <v>4.9456278200000003</v>
      </c>
      <c r="L188" s="157">
        <f ca="1">[1]!s_share_liqa(E188,$B$2,100000000)</f>
        <v>4.9456278200000003</v>
      </c>
      <c r="M188" s="125">
        <f ca="1">[1]!s_fa_gr_ttm2(E188,$C$3,100000000)</f>
        <v>49.113874641899997</v>
      </c>
      <c r="N188" s="126">
        <f ca="1">[1]!s_fa_netprofit_ttm2(E188,$C$3,100000000)</f>
        <v>-2.4251944455000003</v>
      </c>
      <c r="O188" s="125"/>
      <c r="P188" s="126">
        <f ca="1">[1]!s_val_pe_ttm(E188,[1]!td($B$2-1))</f>
        <v>213.42143249511719</v>
      </c>
      <c r="Q188" s="126">
        <f ca="1">[1]!i_val_pe_percentile(E188,[1]!td($B$2-1),$B$2-365*5,[1]!td($B$2-1))</f>
        <v>26.502908855850034</v>
      </c>
      <c r="R188" s="126">
        <f ca="1">[1]!pb_mrq(E188,[1]!td($B$2-1))</f>
        <v>12.914246128973845</v>
      </c>
      <c r="S188" s="126">
        <f ca="1">[1]!i_val_pb_percentile(E188,[1]!td($B$2-1),$B$2-365*5,[1]!td($B$2-1))</f>
        <v>60.36184210526315</v>
      </c>
      <c r="T188" s="126">
        <f ca="1">[1]!s_val_pe_ttm([1]!to_windcode_index(H188&amp;"(申万)"),[1]!td($B$2-1))</f>
        <v>47.130001068115234</v>
      </c>
      <c r="U188" s="126"/>
      <c r="V188" s="126">
        <f ca="1">[1]!s_fa_roe(E188,$C$3)</f>
        <v>-27.866299999999999</v>
      </c>
      <c r="W188" s="126">
        <f ca="1">[1]!s_fa_grossprofitmargin(E188,$C$3)</f>
        <v>35.798900000000003</v>
      </c>
      <c r="X188" s="126">
        <f ca="1">[1]!s_fa_netprofitmargin(E188,$C$3)</f>
        <v>-28.999600000000001</v>
      </c>
      <c r="Y188" s="126">
        <f ca="1">[1]!s_fa_roic(E188,$C$3)</f>
        <v>-21.169499999999999</v>
      </c>
      <c r="Z188" s="126">
        <f ca="1">[1]!s_fa_operateincometoebt_ttm2(E188,$C$3)</f>
        <v>0</v>
      </c>
      <c r="AA188" s="125"/>
      <c r="AB188" s="343"/>
      <c r="AC188" s="125">
        <f ca="1">[1]!s_fa_cagr_tr($E188,AC$6,3)</f>
        <v>0</v>
      </c>
      <c r="AD188" s="125">
        <f ca="1">[1]!s_fa_cagr_tr($E188,AD$6,3)</f>
        <v>14.438778643904593</v>
      </c>
      <c r="AE188" s="126">
        <f ca="1">[1]!s_fa_cagr_tr($E188,AE$6,3)</f>
        <v>8.710592192928047</v>
      </c>
      <c r="AF188" s="126">
        <f ca="1">[1]!s_fa_cagr_tr($E188,AF$6,3)</f>
        <v>8.3132791958306704</v>
      </c>
      <c r="AG188" s="126">
        <f ca="1">[1]!s_fa_cagr_tr($E188,AG$6,3)</f>
        <v>15.208313032497035</v>
      </c>
      <c r="AH188" s="126">
        <f ca="1">[1]!s_fa_cagr_tr($E188,AH$6,3)</f>
        <v>14.971185132379915</v>
      </c>
      <c r="AI188" s="169"/>
      <c r="AJ188" s="126">
        <f ca="1">[1]!s_fa_cagr_netprofit($E188,AJ$6,3)</f>
        <v>0</v>
      </c>
      <c r="AK188" s="126">
        <f ca="1">[1]!s_fa_cagr_netprofit($E188,AK$6,3)</f>
        <v>-3.0602577738352399</v>
      </c>
      <c r="AL188" s="126">
        <f ca="1">[1]!s_fa_cagr_netprofit($E188,AL$6,3)</f>
        <v>-15.450823256289492</v>
      </c>
      <c r="AM188" s="126">
        <f ca="1">[1]!s_fa_cagr_netprofit($E188,AM$6,3)</f>
        <v>23.318757848463889</v>
      </c>
      <c r="AN188" s="126">
        <f ca="1">[1]!s_fa_cagr_netprofit($E188,AN$6,3)</f>
        <v>30.706269722380487</v>
      </c>
      <c r="AO188" s="126">
        <f ca="1">[1]!s_fa_cagr_netprofit($E188,AO$6,3)</f>
        <v>17.089556551079866</v>
      </c>
      <c r="AP188" s="129"/>
      <c r="AQ188" s="203">
        <f ca="1">[1]!s_fa_dupont_roe(E188,$C$3)</f>
        <v>-27.866299999999999</v>
      </c>
      <c r="AR188" s="203">
        <f ca="1">[1]!s_fa_dupont_nptosales(B188,$C$3)</f>
        <v>0</v>
      </c>
      <c r="AS188" s="238">
        <f ca="1">[1]!s_fa_dupont_faturnover(E188,$C$3)</f>
        <v>0.34499999999999997</v>
      </c>
      <c r="AT188" s="203">
        <f ca="1">[1]!s_fa_dupont_assetstoequity(E188,$C$3)</f>
        <v>3.2877000000000001</v>
      </c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29"/>
      <c r="BE188" s="129"/>
    </row>
    <row r="189" spans="1:57" s="191" customFormat="1" ht="12" customHeight="1" x14ac:dyDescent="0.35">
      <c r="A189" s="182" t="s">
        <v>0</v>
      </c>
      <c r="B189" s="182" t="s">
        <v>537</v>
      </c>
      <c r="C189" s="182" t="s">
        <v>538</v>
      </c>
      <c r="D189" s="182" t="str">
        <f ca="1">[1]!cb_info_underlyingname(B189)</f>
        <v>航天信息</v>
      </c>
      <c r="E189" s="183" t="str">
        <f ca="1">[1]!cb_info_underlyingcode(B189)</f>
        <v>600271.SH</v>
      </c>
      <c r="F189" s="184" t="str">
        <f ca="1">[1]!s_info_industry_sw(B189,1)</f>
        <v>计算机</v>
      </c>
      <c r="G189" s="184" t="str">
        <f ca="1">[1]!s_info_industry_sw(E189,2)</f>
        <v>计算机应用</v>
      </c>
      <c r="H189" s="184" t="str">
        <f ca="1">[1]!s_info_industry_sw(E189,3)</f>
        <v>IT服务</v>
      </c>
      <c r="I189" s="192" t="str">
        <f ca="1">[1]!s_info_majorproducttype(E189)</f>
        <v>打印机、电脑整机、行业专用软件、集成电路、其他消费电子产品、智能商用设备、专业咨询服务</v>
      </c>
      <c r="J189" s="189">
        <f ca="1">[1]!s_val_ev(E189,$B$2,100000000)</f>
        <v>232.35173360519997</v>
      </c>
      <c r="K189" s="193">
        <f ca="1">[1]!s_share_total(E189,$B$2,100000000)</f>
        <v>18.528846380000001</v>
      </c>
      <c r="L189" s="193">
        <f ca="1">[1]!s_share_liqa(E189,$B$2,100000000)</f>
        <v>18.528846380000001</v>
      </c>
      <c r="M189" s="186">
        <f ca="1">[1]!s_fa_gr_ttm2(E189,$C$3,100000000)</f>
        <v>256.25913749540001</v>
      </c>
      <c r="N189" s="187">
        <f ca="1">[1]!s_fa_netprofit_ttm2(E189,$C$3,100000000)</f>
        <v>4.5627756605999998</v>
      </c>
      <c r="O189" s="186"/>
      <c r="P189" s="187">
        <f ca="1">[1]!s_val_pe_ttm(E189,[1]!td($B$2-1))</f>
        <v>17.685297012329102</v>
      </c>
      <c r="Q189" s="187">
        <f ca="1">[1]!i_val_pe_percentile(E189,[1]!td($B$2-1),$B$2-365*5,[1]!td($B$2-1))</f>
        <v>7.1271929824561404</v>
      </c>
      <c r="R189" s="187">
        <f ca="1">[1]!pb_mrq(E189,[1]!td($B$2-1))</f>
        <v>1.8352394425607141</v>
      </c>
      <c r="S189" s="187">
        <f ca="1">[1]!i_val_pb_percentile(E189,[1]!td($B$2-1),$B$2-365*5,[1]!td($B$2-1))</f>
        <v>3.5635964912280702</v>
      </c>
      <c r="T189" s="187">
        <f ca="1">[1]!s_val_pe_ttm([1]!to_windcode_index(H189&amp;"(申万)"),[1]!td($B$2-1))</f>
        <v>47.130001068115234</v>
      </c>
      <c r="U189" s="187"/>
      <c r="V189" s="187">
        <f ca="1">[1]!s_fa_roe(E189,$C$3)</f>
        <v>1.4750000000000001</v>
      </c>
      <c r="W189" s="187">
        <f ca="1">[1]!s_fa_grossprofitmargin(E189,$C$3)</f>
        <v>30.6934</v>
      </c>
      <c r="X189" s="187">
        <f ca="1">[1]!s_fa_netprofitmargin(E189,$C$3)</f>
        <v>6.9316000000000004</v>
      </c>
      <c r="Y189" s="187">
        <f ca="1">[1]!s_fa_roic(E189,$C$3)</f>
        <v>4.6399999999999997</v>
      </c>
      <c r="Z189" s="187">
        <f ca="1">[1]!s_fa_operateincometoebt_ttm2(E189,$C$3)</f>
        <v>99.191299999999998</v>
      </c>
      <c r="AA189" s="186"/>
      <c r="AB189" s="342"/>
      <c r="AC189" s="186">
        <f ca="1">[1]!s_fa_cagr_tr($E189,AC$6,3)</f>
        <v>0</v>
      </c>
      <c r="AD189" s="186">
        <f ca="1">[1]!s_fa_cagr_tr($E189,AD$6,3)</f>
        <v>-9.8320390312502504</v>
      </c>
      <c r="AE189" s="187">
        <f ca="1">[1]!s_fa_cagr_tr($E189,AE$6,3)</f>
        <v>9.7975815158182655</v>
      </c>
      <c r="AF189" s="187">
        <f ca="1">[1]!s_fa_cagr_tr($E189,AF$6,3)</f>
        <v>7.6714133960300135</v>
      </c>
      <c r="AG189" s="187">
        <f ca="1">[1]!s_fa_cagr_tr($E189,AG$6,3)</f>
        <v>14.236056143491261</v>
      </c>
      <c r="AH189" s="187">
        <f ca="1">[1]!s_fa_cagr_tr($E189,AH$6,3)</f>
        <v>15.595662702215352</v>
      </c>
      <c r="AI189" s="194"/>
      <c r="AJ189" s="187">
        <f ca="1">[1]!s_fa_cagr_netprofit($E189,AJ$6,3)</f>
        <v>0</v>
      </c>
      <c r="AK189" s="187">
        <f ca="1">[1]!s_fa_cagr_netprofit($E189,AK$6,3)</f>
        <v>-12.756677653873883</v>
      </c>
      <c r="AL189" s="187">
        <f ca="1">[1]!s_fa_cagr_netprofit($E189,AL$6,3)</f>
        <v>-2.4680977735728304</v>
      </c>
      <c r="AM189" s="187">
        <f ca="1">[1]!s_fa_cagr_netprofit($E189,AM$6,3)</f>
        <v>1.3394136740005447</v>
      </c>
      <c r="AN189" s="187">
        <f ca="1">[1]!s_fa_cagr_netprofit($E189,AN$6,3)</f>
        <v>10.693292453266135</v>
      </c>
      <c r="AO189" s="187">
        <f ca="1">[1]!s_fa_cagr_netprofit($E189,AO$6,3)</f>
        <v>12.024507293083332</v>
      </c>
      <c r="AP189" s="189"/>
      <c r="AQ189" s="202">
        <f ca="1">[1]!s_fa_dupont_roe(E189,$C$3)</f>
        <v>1.4750000000000001</v>
      </c>
      <c r="AR189" s="202">
        <f ca="1">[1]!s_fa_dupont_nptosales(B189,$C$3)</f>
        <v>6.9316000000000004</v>
      </c>
      <c r="AS189" s="237">
        <f ca="1">[1]!s_fa_dupont_faturnover(E189,$C$3)</f>
        <v>0.47060000000000002</v>
      </c>
      <c r="AT189" s="202">
        <f ca="1">[1]!s_fa_dupont_assetstoequity(E189,$C$3)</f>
        <v>1.9332</v>
      </c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</row>
    <row r="190" spans="1:57" s="130" customFormat="1" ht="12" customHeight="1" x14ac:dyDescent="0.35">
      <c r="A190" s="121" t="s">
        <v>5</v>
      </c>
      <c r="B190" s="121" t="s">
        <v>607</v>
      </c>
      <c r="C190" s="121" t="s">
        <v>608</v>
      </c>
      <c r="D190" s="121" t="str">
        <f ca="1">[1]!cb_info_underlyingname(B190)</f>
        <v>朗新科技</v>
      </c>
      <c r="E190" s="122" t="str">
        <f ca="1">[1]!cb_info_underlyingcode(B190)</f>
        <v>300682.SZ</v>
      </c>
      <c r="F190" s="123" t="str">
        <f ca="1">[1]!s_info_industry_sw(B190,1)</f>
        <v>计算机</v>
      </c>
      <c r="G190" s="123" t="str">
        <f ca="1">[1]!s_info_industry_sw(E190,2)</f>
        <v>计算机应用</v>
      </c>
      <c r="H190" s="123" t="str">
        <f ca="1">[1]!s_info_industry_sw(E190,3)</f>
        <v>IT服务</v>
      </c>
      <c r="I190" s="156" t="str">
        <f ca="1">[1]!s_info_majorproducttype(E190)</f>
        <v>行业专用软件、互联网服务</v>
      </c>
      <c r="J190" s="129">
        <f ca="1">[1]!s_val_ev(E190,$B$2,100000000)</f>
        <v>205.77840765899998</v>
      </c>
      <c r="K190" s="157">
        <f ca="1">[1]!s_share_total(E190,$B$2,100000000)</f>
        <v>10.2224743</v>
      </c>
      <c r="L190" s="157">
        <f ca="1">[1]!s_share_liqa(E190,$B$2,100000000)</f>
        <v>7.0822499700000003</v>
      </c>
      <c r="M190" s="125">
        <f ca="1">[1]!s_fa_gr_ttm2(E190,$C$3,100000000)</f>
        <v>31.195767546500001</v>
      </c>
      <c r="N190" s="126">
        <f ca="1">[1]!s_fa_netprofit_ttm2(E190,$C$3,100000000)</f>
        <v>6.3994104314999998</v>
      </c>
      <c r="O190" s="125"/>
      <c r="P190" s="126">
        <f ca="1">[1]!s_val_pe_ttm(E190,[1]!td($B$2-1))</f>
        <v>27.662925720214844</v>
      </c>
      <c r="Q190" s="126">
        <f ca="1">[1]!i_val_pe_percentile(E190,[1]!td($B$2-1),$B$2-365*5,[1]!td($B$2-1))</f>
        <v>44.192256341789054</v>
      </c>
      <c r="R190" s="126">
        <f ca="1">[1]!pb_mrq(E190,[1]!td($B$2-1))</f>
        <v>3.910130180027982</v>
      </c>
      <c r="S190" s="126">
        <f ca="1">[1]!i_val_pb_percentile(E190,[1]!td($B$2-1),$B$2-365*5,[1]!td($B$2-1))</f>
        <v>35.313751668891854</v>
      </c>
      <c r="T190" s="126">
        <f ca="1">[1]!s_val_pe_ttm([1]!to_windcode_index(H190&amp;"(申万)"),[1]!td($B$2-1))</f>
        <v>47.130001068115234</v>
      </c>
      <c r="U190" s="126"/>
      <c r="V190" s="126">
        <f ca="1">[1]!s_fa_roe(E190,$C$3)</f>
        <v>2.8851</v>
      </c>
      <c r="W190" s="126">
        <f ca="1">[1]!s_fa_grossprofitmargin(E190,$C$3)</f>
        <v>43.947800000000001</v>
      </c>
      <c r="X190" s="126">
        <f ca="1">[1]!s_fa_netprofitmargin(E190,$C$3)</f>
        <v>7.9985999999999997</v>
      </c>
      <c r="Y190" s="126">
        <f ca="1">[1]!s_fa_roic(E190,$C$3)</f>
        <v>1.7927999999999999</v>
      </c>
      <c r="Z190" s="126">
        <f ca="1">[1]!s_fa_operateincometoebt_ttm2(E190,$C$3)</f>
        <v>86.610600000000005</v>
      </c>
      <c r="AA190" s="125"/>
      <c r="AB190" s="343"/>
      <c r="AC190" s="125">
        <f ca="1">[1]!s_fa_cagr_tr($E190,AC$6,3)</f>
        <v>0</v>
      </c>
      <c r="AD190" s="125">
        <f ca="1">[1]!s_fa_cagr_tr($E190,AD$6,3)</f>
        <v>62.94046709276526</v>
      </c>
      <c r="AE190" s="126">
        <f ca="1">[1]!s_fa_cagr_tr($E190,AE$6,3)</f>
        <v>58.213986104016399</v>
      </c>
      <c r="AF190" s="126">
        <f ca="1">[1]!s_fa_cagr_tr($E190,AF$6,3)</f>
        <v>18.021144514824485</v>
      </c>
      <c r="AG190" s="126">
        <f ca="1">[1]!s_fa_cagr_tr($E190,AG$6,3)</f>
        <v>11.432816057148809</v>
      </c>
      <c r="AH190" s="126">
        <f ca="1">[1]!s_fa_cagr_tr($E190,AH$6,3)</f>
        <v>14.181562291284667</v>
      </c>
      <c r="AI190" s="169"/>
      <c r="AJ190" s="126">
        <f ca="1">[1]!s_fa_cagr_netprofit($E190,AJ$6,3)</f>
        <v>0</v>
      </c>
      <c r="AK190" s="126">
        <f ca="1">[1]!s_fa_cagr_netprofit($E190,AK$6,3)</f>
        <v>71.92767696136238</v>
      </c>
      <c r="AL190" s="126">
        <f ca="1">[1]!s_fa_cagr_netprofit($E190,AL$6,3)</f>
        <v>102.9243129990888</v>
      </c>
      <c r="AM190" s="126">
        <f ca="1">[1]!s_fa_cagr_netprofit($E190,AM$6,3)</f>
        <v>23.071669887387515</v>
      </c>
      <c r="AN190" s="126">
        <f ca="1">[1]!s_fa_cagr_netprofit($E190,AN$6,3)</f>
        <v>3.1403159351767629</v>
      </c>
      <c r="AO190" s="126">
        <f ca="1">[1]!s_fa_cagr_netprofit($E190,AO$6,3)</f>
        <v>68.836436537534624</v>
      </c>
      <c r="AP190" s="129"/>
      <c r="AQ190" s="203">
        <f ca="1">[1]!s_fa_dupont_roe(E190,$C$3)</f>
        <v>2.8851</v>
      </c>
      <c r="AR190" s="203">
        <f ca="1">[1]!s_fa_dupont_nptosales(B190,$C$3)</f>
        <v>7.9985999999999997</v>
      </c>
      <c r="AS190" s="238">
        <f ca="1">[1]!s_fa_dupont_faturnover(E190,$C$3)</f>
        <v>0.24529999999999999</v>
      </c>
      <c r="AT190" s="203">
        <f ca="1">[1]!s_fa_dupont_assetstoequity(E190,$C$3)</f>
        <v>1.2433000000000001</v>
      </c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</row>
    <row r="191" spans="1:57" s="191" customFormat="1" ht="12" customHeight="1" x14ac:dyDescent="0.35">
      <c r="A191" s="182" t="s">
        <v>5</v>
      </c>
      <c r="B191" s="182" t="s">
        <v>270</v>
      </c>
      <c r="C191" s="182" t="s">
        <v>271</v>
      </c>
      <c r="D191" s="182" t="str">
        <f ca="1">[1]!cb_info_underlyingname(B191)</f>
        <v>太极股份</v>
      </c>
      <c r="E191" s="183" t="str">
        <f ca="1">[1]!cb_info_underlyingcode(B191)</f>
        <v>002368.SZ</v>
      </c>
      <c r="F191" s="184" t="str">
        <f ca="1">[1]!s_info_industry_sw(B191,1)</f>
        <v>计算机</v>
      </c>
      <c r="G191" s="184" t="str">
        <f ca="1">[1]!s_info_industry_sw(E191,2)</f>
        <v>计算机应用</v>
      </c>
      <c r="H191" s="184" t="str">
        <f ca="1">[1]!s_info_industry_sw(E191,3)</f>
        <v>IT服务</v>
      </c>
      <c r="I191" s="192" t="str">
        <f ca="1">[1]!s_info_majorproducttype(E191)</f>
        <v>行业专用软件、专业咨询服务</v>
      </c>
      <c r="J191" s="189">
        <f ca="1">[1]!s_val_ev(E191,$B$2,100000000)</f>
        <v>147.69318826079999</v>
      </c>
      <c r="K191" s="193">
        <f ca="1">[1]!s_share_total(E191,$B$2,100000000)</f>
        <v>5.7964359600000002</v>
      </c>
      <c r="L191" s="193">
        <f ca="1">[1]!s_share_liqa(E191,$B$2,100000000)</f>
        <v>5.7615643800000003</v>
      </c>
      <c r="M191" s="186">
        <f ca="1">[1]!s_fa_gr_ttm2(E191,$C$3,100000000)</f>
        <v>72.030327740800004</v>
      </c>
      <c r="N191" s="187">
        <f ca="1">[1]!s_fa_netprofit_ttm2(E191,$C$3,100000000)</f>
        <v>3.3726238302999998</v>
      </c>
      <c r="O191" s="186"/>
      <c r="P191" s="187">
        <f ca="1">[1]!s_val_pe_ttm(E191,[1]!td($B$2-1))</f>
        <v>39.400142669677734</v>
      </c>
      <c r="Q191" s="187">
        <f ca="1">[1]!i_val_pe_percentile(E191,[1]!td($B$2-1),$B$2-365*5,[1]!td($B$2-1))</f>
        <v>40.515350877192986</v>
      </c>
      <c r="R191" s="187">
        <f ca="1">[1]!pb_mrq(E191,[1]!td($B$2-1))</f>
        <v>4.402241977509485</v>
      </c>
      <c r="S191" s="187">
        <f ca="1">[1]!i_val_pb_percentile(E191,[1]!td($B$2-1),$B$2-365*5,[1]!td($B$2-1))</f>
        <v>34.265350877192986</v>
      </c>
      <c r="T191" s="187">
        <f ca="1">[1]!s_val_pe_ttm([1]!to_windcode_index(H191&amp;"(申万)"),[1]!td($B$2-1))</f>
        <v>47.130001068115234</v>
      </c>
      <c r="U191" s="187"/>
      <c r="V191" s="187">
        <f ca="1">[1]!s_fa_roe(E191,$C$3)</f>
        <v>2.4018999999999999</v>
      </c>
      <c r="W191" s="187">
        <f ca="1">[1]!s_fa_grossprofitmargin(E191,$C$3)</f>
        <v>23.773499999999999</v>
      </c>
      <c r="X191" s="187">
        <f ca="1">[1]!s_fa_netprofitmargin(E191,$C$3)</f>
        <v>1.6488</v>
      </c>
      <c r="Y191" s="187">
        <f ca="1">[1]!s_fa_roic(E191,$C$3)</f>
        <v>1.7848999999999999</v>
      </c>
      <c r="Z191" s="187">
        <f ca="1">[1]!s_fa_operateincometoebt_ttm2(E191,$C$3)</f>
        <v>82.948400000000007</v>
      </c>
      <c r="AA191" s="186"/>
      <c r="AB191" s="342"/>
      <c r="AC191" s="186">
        <f ca="1">[1]!s_fa_cagr_tr($E191,AC$6,3)</f>
        <v>0</v>
      </c>
      <c r="AD191" s="186">
        <f ca="1">[1]!s_fa_cagr_tr($E191,AD$6,3)</f>
        <v>17.20511813365264</v>
      </c>
      <c r="AE191" s="187">
        <f ca="1">[1]!s_fa_cagr_tr($E191,AE$6,3)</f>
        <v>11.000970206071603</v>
      </c>
      <c r="AF191" s="187">
        <f ca="1">[1]!s_fa_cagr_tr($E191,AF$6,3)</f>
        <v>7.5981088437762967</v>
      </c>
      <c r="AG191" s="187">
        <f ca="1">[1]!s_fa_cagr_tr($E191,AG$6,3)</f>
        <v>7.5869746690129913</v>
      </c>
      <c r="AH191" s="187">
        <f ca="1">[1]!s_fa_cagr_tr($E191,AH$6,3)</f>
        <v>15.330272691084822</v>
      </c>
      <c r="AI191" s="194"/>
      <c r="AJ191" s="187">
        <f ca="1">[1]!s_fa_cagr_netprofit($E191,AJ$6,3)</f>
        <v>0</v>
      </c>
      <c r="AK191" s="187">
        <f ca="1">[1]!s_fa_cagr_netprofit($E191,AK$6,3)</f>
        <v>8.0914276536237182</v>
      </c>
      <c r="AL191" s="187">
        <f ca="1">[1]!s_fa_cagr_netprofit($E191,AL$6,3)</f>
        <v>3.6004556162297474</v>
      </c>
      <c r="AM191" s="187">
        <f ca="1">[1]!s_fa_cagr_netprofit($E191,AM$6,3)</f>
        <v>16.197889029399803</v>
      </c>
      <c r="AN191" s="187">
        <f ca="1">[1]!s_fa_cagr_netprofit($E191,AN$6,3)</f>
        <v>14.258830021827929</v>
      </c>
      <c r="AO191" s="187">
        <f ca="1">[1]!s_fa_cagr_netprofit($E191,AO$6,3)</f>
        <v>19.483003569637592</v>
      </c>
      <c r="AP191" s="189"/>
      <c r="AQ191" s="202">
        <f ca="1">[1]!s_fa_dupont_roe(E191,$C$3)</f>
        <v>2.4018999999999999</v>
      </c>
      <c r="AR191" s="202">
        <f ca="1">[1]!s_fa_dupont_nptosales(B191,$C$3)</f>
        <v>1.6488</v>
      </c>
      <c r="AS191" s="237">
        <f ca="1">[1]!s_fa_dupont_faturnover(E191,$C$3)</f>
        <v>0.45290000000000002</v>
      </c>
      <c r="AT191" s="202">
        <f ca="1">[1]!s_fa_dupont_assetstoequity(E191,$C$3)</f>
        <v>3.2088999999999999</v>
      </c>
      <c r="AU191" s="189"/>
      <c r="AV191" s="201"/>
      <c r="AW191" s="189"/>
      <c r="AX191" s="189"/>
      <c r="AY191" s="189"/>
      <c r="AZ191" s="189"/>
      <c r="BA191" s="189"/>
      <c r="BB191" s="189"/>
      <c r="BC191" s="189"/>
      <c r="BD191" s="189"/>
      <c r="BE191" s="189"/>
    </row>
    <row r="192" spans="1:57" s="130" customFormat="1" ht="12" customHeight="1" x14ac:dyDescent="0.35">
      <c r="A192" s="121" t="s">
        <v>5</v>
      </c>
      <c r="B192" s="121" t="s">
        <v>846</v>
      </c>
      <c r="C192" s="121" t="s">
        <v>847</v>
      </c>
      <c r="D192" s="121" t="str">
        <f ca="1">[1]!cb_info_underlyingname(B192)</f>
        <v>思创医惠</v>
      </c>
      <c r="E192" s="122" t="str">
        <f ca="1">[1]!cb_info_underlyingcode(B192)</f>
        <v>300078.SZ</v>
      </c>
      <c r="F192" s="123" t="str">
        <f ca="1">[1]!s_info_industry_sw(B192,1)</f>
        <v>计算机</v>
      </c>
      <c r="G192" s="123" t="str">
        <f ca="1">[1]!s_info_industry_sw(E192,2)</f>
        <v>计算机应用</v>
      </c>
      <c r="H192" s="123" t="str">
        <f ca="1">[1]!s_info_industry_sw(E192,3)</f>
        <v>IT服务</v>
      </c>
      <c r="I192" s="156" t="str">
        <f ca="1">[1]!s_info_majorproducttype(E192)</f>
        <v>电子测试和测量仪器</v>
      </c>
      <c r="J192" s="129">
        <f ca="1">[1]!s_val_ev(E192,$B$2,100000000)</f>
        <v>58.337509368599996</v>
      </c>
      <c r="K192" s="157">
        <f ca="1">[1]!s_share_total(E192,$B$2,100000000)</f>
        <v>8.6941146599999986</v>
      </c>
      <c r="L192" s="157">
        <f ca="1">[1]!s_share_liqa(E192,$B$2,100000000)</f>
        <v>8.3631895699999994</v>
      </c>
      <c r="M192" s="125">
        <f ca="1">[1]!s_fa_gr_ttm2(E192,$C$3,100000000)</f>
        <v>15.3411640055</v>
      </c>
      <c r="N192" s="126">
        <f ca="1">[1]!s_fa_netprofit_ttm2(E192,$C$3,100000000)</f>
        <v>1.0335221766</v>
      </c>
      <c r="O192" s="125"/>
      <c r="P192" s="126">
        <f ca="1">[1]!s_val_pe_ttm(E192,[1]!td($B$2-1))</f>
        <v>67.925186157226563</v>
      </c>
      <c r="Q192" s="126">
        <f ca="1">[1]!i_val_pe_percentile(E192,[1]!td($B$2-1),$B$2-365*5,[1]!td($B$2-1))</f>
        <v>70.88815789473685</v>
      </c>
      <c r="R192" s="126">
        <f ca="1">[1]!pb_mrq(E192,[1]!td($B$2-1))</f>
        <v>2.1434303167080211</v>
      </c>
      <c r="S192" s="126">
        <f ca="1">[1]!i_val_pb_percentile(E192,[1]!td($B$2-1),$B$2-365*5,[1]!td($B$2-1))</f>
        <v>7.2642543859649118</v>
      </c>
      <c r="T192" s="126">
        <f ca="1">[1]!s_val_pe_ttm([1]!to_windcode_index(H192&amp;"(申万)"),[1]!td($B$2-1))</f>
        <v>47.130001068115234</v>
      </c>
      <c r="U192" s="126"/>
      <c r="V192" s="126">
        <f ca="1">[1]!s_fa_roe(E192,$C$3)</f>
        <v>2.5939999999999999</v>
      </c>
      <c r="W192" s="126">
        <f ca="1">[1]!s_fa_grossprofitmargin(E192,$C$3)</f>
        <v>40.608199999999997</v>
      </c>
      <c r="X192" s="126">
        <f ca="1">[1]!s_fa_netprofitmargin(E192,$C$3)</f>
        <v>7.7145999999999999</v>
      </c>
      <c r="Y192" s="126">
        <f ca="1">[1]!s_fa_roic(E192,$C$3)</f>
        <v>2.7061000000000002</v>
      </c>
      <c r="Z192" s="126">
        <f ca="1">[1]!s_fa_operateincometoebt_ttm2(E192,$C$3)</f>
        <v>30.117100000000001</v>
      </c>
      <c r="AA192" s="125"/>
      <c r="AB192" s="343"/>
      <c r="AC192" s="125">
        <f ca="1">[1]!s_fa_cagr_tr($E192,AC$6,3)</f>
        <v>0</v>
      </c>
      <c r="AD192" s="125">
        <f ca="1">[1]!s_fa_cagr_tr($E192,AD$6,3)</f>
        <v>9.773096208380295</v>
      </c>
      <c r="AE192" s="126">
        <f ca="1">[1]!s_fa_cagr_tr($E192,AE$6,3)</f>
        <v>13.03076981487823</v>
      </c>
      <c r="AF192" s="126">
        <f ca="1">[1]!s_fa_cagr_tr($E192,AF$6,3)</f>
        <v>14.923348277250392</v>
      </c>
      <c r="AG192" s="126">
        <f ca="1">[1]!s_fa_cagr_tr($E192,AG$6,3)</f>
        <v>31.317420876234792</v>
      </c>
      <c r="AH192" s="126">
        <f ca="1">[1]!s_fa_cagr_tr($E192,AH$6,3)</f>
        <v>36.8847910822534</v>
      </c>
      <c r="AI192" s="169"/>
      <c r="AJ192" s="126">
        <f ca="1">[1]!s_fa_cagr_netprofit($E192,AJ$6,3)</f>
        <v>0</v>
      </c>
      <c r="AK192" s="126">
        <f ca="1">[1]!s_fa_cagr_netprofit($E192,AK$6,3)</f>
        <v>-6.9656529871324757</v>
      </c>
      <c r="AL192" s="126">
        <f ca="1">[1]!s_fa_cagr_netprofit($E192,AL$6,3)</f>
        <v>-7.7428228006613313</v>
      </c>
      <c r="AM192" s="126">
        <f ca="1">[1]!s_fa_cagr_netprofit($E192,AM$6,3)</f>
        <v>0.5887091176682846</v>
      </c>
      <c r="AN192" s="126">
        <f ca="1">[1]!s_fa_cagr_netprofit($E192,AN$6,3)</f>
        <v>18.658969868982989</v>
      </c>
      <c r="AO192" s="126">
        <f ca="1">[1]!s_fa_cagr_netprofit($E192,AO$6,3)</f>
        <v>29.88171560872399</v>
      </c>
      <c r="AP192" s="129"/>
      <c r="AQ192" s="203">
        <f ca="1">[1]!s_fa_dupont_roe(E192,$C$3)</f>
        <v>2.5939999999999999</v>
      </c>
      <c r="AR192" s="203">
        <f ca="1">[1]!s_fa_dupont_nptosales(B192,$C$3)</f>
        <v>7.7145999999999999</v>
      </c>
      <c r="AS192" s="238">
        <f ca="1">[1]!s_fa_dupont_faturnover(E192,$C$3)</f>
        <v>0.23</v>
      </c>
      <c r="AT192" s="203">
        <f ca="1">[1]!s_fa_dupont_assetstoequity(E192,$C$3)</f>
        <v>1.5055000000000001</v>
      </c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29"/>
      <c r="BE192" s="129"/>
    </row>
    <row r="193" spans="1:57" s="191" customFormat="1" ht="12" customHeight="1" x14ac:dyDescent="0.35">
      <c r="A193" s="182" t="s">
        <v>5</v>
      </c>
      <c r="B193" s="182" t="s">
        <v>923</v>
      </c>
      <c r="C193" s="182" t="s">
        <v>924</v>
      </c>
      <c r="D193" s="182" t="str">
        <f ca="1">[1]!cb_info_underlyingname(B193)</f>
        <v>拓尔思</v>
      </c>
      <c r="E193" s="183" t="str">
        <f ca="1">[1]!cb_info_underlyingcode(B193)</f>
        <v>300229.SZ</v>
      </c>
      <c r="F193" s="184" t="str">
        <f ca="1">[1]!s_info_industry_sw(B193,1)</f>
        <v>计算机</v>
      </c>
      <c r="G193" s="184" t="str">
        <f ca="1">[1]!s_info_industry_sw(E193,2)</f>
        <v>计算机应用</v>
      </c>
      <c r="H193" s="184" t="str">
        <f ca="1">[1]!s_info_industry_sw(E193,3)</f>
        <v>软件开发</v>
      </c>
      <c r="I193" s="192" t="str">
        <f ca="1">[1]!s_info_majorproducttype(E193)</f>
        <v>运营平台系统</v>
      </c>
      <c r="J193" s="189">
        <f ca="1">[1]!s_val_ev(E193,$B$2,100000000)</f>
        <v>79.980914076299996</v>
      </c>
      <c r="K193" s="193">
        <f ca="1">[1]!s_share_total(E193,$B$2,100000000)</f>
        <v>7.14753477</v>
      </c>
      <c r="L193" s="193">
        <f ca="1">[1]!s_share_liqa(E193,$B$2,100000000)</f>
        <v>7.0870276900000002</v>
      </c>
      <c r="M193" s="186">
        <f ca="1">[1]!s_fa_gr_ttm2(E193,$C$3,100000000)</f>
        <v>8.8784121887000005</v>
      </c>
      <c r="N193" s="187">
        <f ca="1">[1]!s_fa_netprofit_ttm2(E193,$C$3,100000000)</f>
        <v>1.8463953380000002</v>
      </c>
      <c r="O193" s="186"/>
      <c r="P193" s="187">
        <f ca="1">[1]!s_val_pe_ttm(E193,[1]!td($B$2-1))</f>
        <v>24.103725433349609</v>
      </c>
      <c r="Q193" s="187">
        <f ca="1">[1]!i_val_pe_percentile(E193,[1]!td($B$2-1),$B$2-365*5,[1]!td($B$2-1))</f>
        <v>7.8947368421052628</v>
      </c>
      <c r="R193" s="187">
        <f ca="1">[1]!pb_mrq(E193,[1]!td($B$2-1))</f>
        <v>3.6571939735936176</v>
      </c>
      <c r="S193" s="187">
        <f ca="1">[1]!i_val_pb_percentile(E193,[1]!td($B$2-1),$B$2-365*5,[1]!td($B$2-1))</f>
        <v>52.083333333333336</v>
      </c>
      <c r="T193" s="187">
        <f ca="1">[1]!s_val_pe_ttm([1]!to_windcode_index(H193&amp;"(申万)"),[1]!td($B$2-1))</f>
        <v>64.720001220703125</v>
      </c>
      <c r="U193" s="187"/>
      <c r="V193" s="187">
        <f ca="1">[1]!s_fa_roe(E193,$C$3)</f>
        <v>4.5057999999999998</v>
      </c>
      <c r="W193" s="187">
        <f ca="1">[1]!s_fa_grossprofitmargin(E193,$C$3)</f>
        <v>58.018999999999998</v>
      </c>
      <c r="X193" s="187">
        <f ca="1">[1]!s_fa_netprofitmargin(E193,$C$3)</f>
        <v>16.414300000000001</v>
      </c>
      <c r="Y193" s="187">
        <f ca="1">[1]!s_fa_roic(E193,$C$3)</f>
        <v>4.4424999999999999</v>
      </c>
      <c r="Z193" s="187">
        <f ca="1">[1]!s_fa_operateincometoebt_ttm2(E193,$C$3)</f>
        <v>93.395300000000006</v>
      </c>
      <c r="AA193" s="186"/>
      <c r="AB193" s="342"/>
      <c r="AC193" s="186">
        <f ca="1">[1]!s_fa_cagr_tr($E193,AC$6,3)</f>
        <v>0</v>
      </c>
      <c r="AD193" s="186">
        <f ca="1">[1]!s_fa_cagr_tr($E193,AD$6,3)</f>
        <v>16.821669271156313</v>
      </c>
      <c r="AE193" s="187">
        <f ca="1">[1]!s_fa_cagr_tr($E193,AE$6,3)</f>
        <v>12.458479647574894</v>
      </c>
      <c r="AF193" s="187">
        <f ca="1">[1]!s_fa_cagr_tr($E193,AF$6,3)</f>
        <v>29.640676982238155</v>
      </c>
      <c r="AG193" s="187">
        <f ca="1">[1]!s_fa_cagr_tr($E193,AG$6,3)</f>
        <v>41.470407376886634</v>
      </c>
      <c r="AH193" s="187">
        <f ca="1">[1]!s_fa_cagr_tr($E193,AH$6,3)</f>
        <v>51.87142337282711</v>
      </c>
      <c r="AI193" s="194"/>
      <c r="AJ193" s="187">
        <f ca="1">[1]!s_fa_cagr_netprofit($E193,AJ$6,3)</f>
        <v>0</v>
      </c>
      <c r="AK193" s="187">
        <f ca="1">[1]!s_fa_cagr_netprofit($E193,AK$6,3)</f>
        <v>26.374398039475299</v>
      </c>
      <c r="AL193" s="187">
        <f ca="1">[1]!s_fa_cagr_netprofit($E193,AL$6,3)</f>
        <v>4.690673456783645</v>
      </c>
      <c r="AM193" s="187">
        <f ca="1">[1]!s_fa_cagr_netprofit($E193,AM$6,3)</f>
        <v>-20.4473373174207</v>
      </c>
      <c r="AN193" s="187">
        <f ca="1">[1]!s_fa_cagr_netprofit($E193,AN$6,3)</f>
        <v>18.126138042751982</v>
      </c>
      <c r="AO193" s="187">
        <f ca="1">[1]!s_fa_cagr_netprofit($E193,AO$6,3)</f>
        <v>26.286006252723059</v>
      </c>
      <c r="AP193" s="189"/>
      <c r="AQ193" s="202">
        <f ca="1">[1]!s_fa_dupont_roe(E193,$C$3)</f>
        <v>4.5057999999999998</v>
      </c>
      <c r="AR193" s="202">
        <f ca="1">[1]!s_fa_dupont_nptosales(B193,$C$3)</f>
        <v>16.414300000000001</v>
      </c>
      <c r="AS193" s="237">
        <f ca="1">[1]!s_fa_dupont_faturnover(E193,$C$3)</f>
        <v>0.19339999999999999</v>
      </c>
      <c r="AT193" s="202">
        <f ca="1">[1]!s_fa_dupont_assetstoequity(E193,$C$3)</f>
        <v>1.4477</v>
      </c>
      <c r="AU193" s="189"/>
      <c r="AV193" s="189"/>
      <c r="AW193" s="189"/>
      <c r="AX193" s="189"/>
      <c r="AY193" s="189"/>
      <c r="AZ193" s="189"/>
      <c r="BA193" s="189"/>
      <c r="BB193" s="189"/>
      <c r="BC193" s="189"/>
      <c r="BD193" s="189"/>
      <c r="BE193" s="189"/>
    </row>
    <row r="194" spans="1:57" s="130" customFormat="1" ht="12" customHeight="1" x14ac:dyDescent="0.35">
      <c r="A194" s="121" t="s">
        <v>5</v>
      </c>
      <c r="B194" s="121" t="s">
        <v>595</v>
      </c>
      <c r="C194" s="121" t="s">
        <v>596</v>
      </c>
      <c r="D194" s="121" t="str">
        <f ca="1">[1]!cb_info_underlyingname(B194)</f>
        <v>汉得信息</v>
      </c>
      <c r="E194" s="122" t="str">
        <f ca="1">[1]!cb_info_underlyingcode(B194)</f>
        <v>300170.SZ</v>
      </c>
      <c r="F194" s="123" t="str">
        <f ca="1">[1]!s_info_industry_sw(B194,1)</f>
        <v>计算机</v>
      </c>
      <c r="G194" s="123" t="str">
        <f ca="1">[1]!s_info_industry_sw(E194,2)</f>
        <v>计算机应用</v>
      </c>
      <c r="H194" s="123" t="str">
        <f ca="1">[1]!s_info_industry_sw(E194,3)</f>
        <v>IT服务</v>
      </c>
      <c r="I194" s="156" t="str">
        <f ca="1">[1]!s_info_majorproducttype(E194)</f>
        <v>行业专用软件、系统集成服务</v>
      </c>
      <c r="J194" s="129">
        <f ca="1">[1]!s_val_ev(E194,$B$2,100000000)</f>
        <v>68.956310045999999</v>
      </c>
      <c r="K194" s="157">
        <f ca="1">[1]!s_share_total(E194,$B$2,100000000)</f>
        <v>8.8405525699999998</v>
      </c>
      <c r="L194" s="157">
        <f ca="1">[1]!s_share_liqa(E194,$B$2,100000000)</f>
        <v>8.0261962699999998</v>
      </c>
      <c r="M194" s="125">
        <f ca="1">[1]!s_fa_gr_ttm2(E194,$C$3,100000000)</f>
        <v>23.489107370799999</v>
      </c>
      <c r="N194" s="126">
        <f ca="1">[1]!s_fa_netprofit_ttm2(E194,$C$3,100000000)</f>
        <v>0.43190397689999999</v>
      </c>
      <c r="O194" s="125"/>
      <c r="P194" s="126">
        <f ca="1">[1]!s_val_pe_ttm(E194,[1]!td($B$2-1))</f>
        <v>95.95269775390625</v>
      </c>
      <c r="Q194" s="126">
        <f ca="1">[1]!i_val_pe_percentile(E194,[1]!td($B$2-1),$B$2-365*5,[1]!td($B$2-1))</f>
        <v>81.193181818181813</v>
      </c>
      <c r="R194" s="126">
        <f ca="1">[1]!pb_mrq(E194,[1]!td($B$2-1))</f>
        <v>2.1835674442838662</v>
      </c>
      <c r="S194" s="126">
        <f ca="1">[1]!i_val_pb_percentile(E194,[1]!td($B$2-1),$B$2-365*5,[1]!td($B$2-1))</f>
        <v>13.103070175438598</v>
      </c>
      <c r="T194" s="126">
        <f ca="1">[1]!s_val_pe_ttm([1]!to_windcode_index(H194&amp;"(申万)"),[1]!td($B$2-1))</f>
        <v>47.130001068115234</v>
      </c>
      <c r="U194" s="126"/>
      <c r="V194" s="126">
        <f ca="1">[1]!s_fa_roe(E194,$C$3)</f>
        <v>1.3098000000000001</v>
      </c>
      <c r="W194" s="126">
        <f ca="1">[1]!s_fa_grossprofitmargin(E194,$C$3)</f>
        <v>30.5336</v>
      </c>
      <c r="X194" s="126">
        <f ca="1">[1]!s_fa_netprofitmargin(E194,$C$3)</f>
        <v>2.3184999999999998</v>
      </c>
      <c r="Y194" s="126">
        <f ca="1">[1]!s_fa_roic(E194,$C$3)</f>
        <v>1.3597999999999999</v>
      </c>
      <c r="Z194" s="126">
        <f ca="1">[1]!s_fa_operateincometoebt_ttm2(E194,$C$3)</f>
        <v>118.7302</v>
      </c>
      <c r="AA194" s="125"/>
      <c r="AB194" s="343"/>
      <c r="AC194" s="125">
        <f ca="1">[1]!s_fa_cagr_tr($E194,AC$6,3)</f>
        <v>0</v>
      </c>
      <c r="AD194" s="125">
        <f ca="1">[1]!s_fa_cagr_tr($E194,AD$6,3)</f>
        <v>2.3532779171725027</v>
      </c>
      <c r="AE194" s="126">
        <f ca="1">[1]!s_fa_cagr_tr($E194,AE$6,3)</f>
        <v>16.776505367060746</v>
      </c>
      <c r="AF194" s="126">
        <f ca="1">[1]!s_fa_cagr_tr($E194,AF$6,3)</f>
        <v>32.968112061032784</v>
      </c>
      <c r="AG194" s="126">
        <f ca="1">[1]!s_fa_cagr_tr($E194,AG$6,3)</f>
        <v>32.081944012271713</v>
      </c>
      <c r="AH194" s="126">
        <f ca="1">[1]!s_fa_cagr_tr($E194,AH$6,3)</f>
        <v>26.39676978446608</v>
      </c>
      <c r="AI194" s="169"/>
      <c r="AJ194" s="126">
        <f ca="1">[1]!s_fa_cagr_netprofit($E194,AJ$6,3)</f>
        <v>0</v>
      </c>
      <c r="AK194" s="126">
        <f ca="1">[1]!s_fa_cagr_netprofit($E194,AK$6,3)</f>
        <v>-41.232255927895565</v>
      </c>
      <c r="AL194" s="126">
        <f ca="1">[1]!s_fa_cagr_netprofit($E194,AL$6,3)</f>
        <v>-29.076532888057105</v>
      </c>
      <c r="AM194" s="126">
        <f ca="1">[1]!s_fa_cagr_netprofit($E194,AM$6,3)</f>
        <v>21.774601310204432</v>
      </c>
      <c r="AN194" s="126">
        <f ca="1">[1]!s_fa_cagr_netprofit($E194,AN$6,3)</f>
        <v>22.226536962025236</v>
      </c>
      <c r="AO194" s="126">
        <f ca="1">[1]!s_fa_cagr_netprofit($E194,AO$6,3)</f>
        <v>18.228499794858678</v>
      </c>
      <c r="AP194" s="129"/>
      <c r="AQ194" s="203">
        <f ca="1">[1]!s_fa_dupont_roe(E194,$C$3)</f>
        <v>1.3098000000000001</v>
      </c>
      <c r="AR194" s="203">
        <f ca="1">[1]!s_fa_dupont_nptosales(B194,$C$3)</f>
        <v>2.3184999999999998</v>
      </c>
      <c r="AS194" s="238">
        <f ca="1">[1]!s_fa_dupont_faturnover(E194,$C$3)</f>
        <v>0.4476</v>
      </c>
      <c r="AT194" s="203">
        <f ca="1">[1]!s_fa_dupont_assetstoequity(E194,$C$3)</f>
        <v>1.3313999999999999</v>
      </c>
      <c r="AU194" s="129"/>
      <c r="AV194" s="129"/>
      <c r="AW194" s="129"/>
      <c r="AX194" s="129"/>
      <c r="AY194" s="129"/>
      <c r="AZ194" s="129"/>
      <c r="BA194" s="129"/>
      <c r="BB194" s="129"/>
      <c r="BC194" s="129"/>
      <c r="BD194" s="129"/>
      <c r="BE194" s="129"/>
    </row>
    <row r="195" spans="1:57" s="191" customFormat="1" ht="12" customHeight="1" x14ac:dyDescent="0.35">
      <c r="A195" s="182" t="s">
        <v>5</v>
      </c>
      <c r="B195" s="182" t="s">
        <v>16</v>
      </c>
      <c r="C195" s="182" t="s">
        <v>17</v>
      </c>
      <c r="D195" s="182" t="str">
        <f ca="1">[1]!cb_info_underlyingname(B195)</f>
        <v>赛意信息</v>
      </c>
      <c r="E195" s="183" t="str">
        <f ca="1">[1]!cb_info_underlyingcode(B195)</f>
        <v>300687.SZ</v>
      </c>
      <c r="F195" s="184" t="str">
        <f ca="1">[1]!s_info_industry_sw(B195,1)</f>
        <v>计算机</v>
      </c>
      <c r="G195" s="184" t="str">
        <f ca="1">[1]!s_info_industry_sw(E195,2)</f>
        <v>计算机应用</v>
      </c>
      <c r="H195" s="184" t="str">
        <f ca="1">[1]!s_info_industry_sw(E195,3)</f>
        <v>IT服务</v>
      </c>
      <c r="I195" s="192" t="str">
        <f ca="1">[1]!s_info_majorproducttype(E195)</f>
        <v>行业专用软件</v>
      </c>
      <c r="J195" s="189">
        <f ca="1">[1]!s_val_ev(E195,$B$2,100000000)</f>
        <v>95.671769140999999</v>
      </c>
      <c r="K195" s="193">
        <f ca="1">[1]!s_share_total(E195,$B$2,100000000)</f>
        <v>3.6981742999999998</v>
      </c>
      <c r="L195" s="193">
        <f ca="1">[1]!s_share_liqa(E195,$B$2,100000000)</f>
        <v>2.70923808</v>
      </c>
      <c r="M195" s="186">
        <f ca="1">[1]!s_fa_gr_ttm2(E195,$C$3,100000000)</f>
        <v>12.752219736800001</v>
      </c>
      <c r="N195" s="187">
        <f ca="1">[1]!s_fa_netprofit_ttm2(E195,$C$3,100000000)</f>
        <v>1.2417754855000001</v>
      </c>
      <c r="O195" s="186"/>
      <c r="P195" s="187">
        <f ca="1">[1]!s_val_pe_ttm(E195,[1]!td($B$2-1))</f>
        <v>51.712432861328125</v>
      </c>
      <c r="Q195" s="187">
        <f ca="1">[1]!i_val_pe_percentile(E195,[1]!td($B$2-1),$B$2-365*5,[1]!td($B$2-1))</f>
        <v>81.483957219251337</v>
      </c>
      <c r="R195" s="187">
        <f ca="1">[1]!pb_mrq(E195,[1]!td($B$2-1))</f>
        <v>8.9095267284328692</v>
      </c>
      <c r="S195" s="187">
        <f ca="1">[1]!i_val_pb_percentile(E195,[1]!td($B$2-1),$B$2-365*5,[1]!td($B$2-1))</f>
        <v>93.11497326203208</v>
      </c>
      <c r="T195" s="187">
        <f ca="1">[1]!s_val_pe_ttm([1]!to_windcode_index(H195&amp;"(申万)"),[1]!td($B$2-1))</f>
        <v>47.130001068115234</v>
      </c>
      <c r="U195" s="187"/>
      <c r="V195" s="187">
        <f ca="1">[1]!s_fa_roe(E195,$C$3)</f>
        <v>12.2841</v>
      </c>
      <c r="W195" s="187">
        <f ca="1">[1]!s_fa_grossprofitmargin(E195,$C$3)</f>
        <v>30.390999999999998</v>
      </c>
      <c r="X195" s="187">
        <f ca="1">[1]!s_fa_netprofitmargin(E195,$C$3)</f>
        <v>11.326700000000001</v>
      </c>
      <c r="Y195" s="187">
        <f ca="1">[1]!s_fa_roic(E195,$C$3)</f>
        <v>8.2975999999999992</v>
      </c>
      <c r="Z195" s="187">
        <f ca="1">[1]!s_fa_operateincometoebt_ttm2(E195,$C$3)</f>
        <v>85.887299999999996</v>
      </c>
      <c r="AA195" s="186"/>
      <c r="AB195" s="342"/>
      <c r="AC195" s="186">
        <f ca="1">[1]!s_fa_cagr_tr($E195,AC$6,3)</f>
        <v>0</v>
      </c>
      <c r="AD195" s="186">
        <f ca="1">[1]!s_fa_cagr_tr($E195,AD$6,3)</f>
        <v>25.022487629123802</v>
      </c>
      <c r="AE195" s="187">
        <f ca="1">[1]!s_fa_cagr_tr($E195,AE$6,3)</f>
        <v>20.688840397782336</v>
      </c>
      <c r="AF195" s="187">
        <f ca="1">[1]!s_fa_cagr_tr($E195,AF$6,3)</f>
        <v>30.583060426624019</v>
      </c>
      <c r="AG195" s="187">
        <f ca="1">[1]!s_fa_cagr_tr($E195,AG$6,3)</f>
        <v>43.227385891659132</v>
      </c>
      <c r="AH195" s="187">
        <f ca="1">[1]!s_fa_cagr_tr($E195,AH$6,3)</f>
        <v>60.32572092210475</v>
      </c>
      <c r="AI195" s="194"/>
      <c r="AJ195" s="187">
        <f ca="1">[1]!s_fa_cagr_netprofit($E195,AJ$6,3)</f>
        <v>0</v>
      </c>
      <c r="AK195" s="187">
        <f ca="1">[1]!s_fa_cagr_netprofit($E195,AK$6,3)</f>
        <v>20.346547845442498</v>
      </c>
      <c r="AL195" s="187">
        <f ca="1">[1]!s_fa_cagr_netprofit($E195,AL$6,3)</f>
        <v>-6.8175281161056862</v>
      </c>
      <c r="AM195" s="187">
        <f ca="1">[1]!s_fa_cagr_netprofit($E195,AM$6,3)</f>
        <v>38.115880324304015</v>
      </c>
      <c r="AN195" s="187">
        <f ca="1">[1]!s_fa_cagr_netprofit($E195,AN$6,3)</f>
        <v>57.290363923393947</v>
      </c>
      <c r="AO195" s="187">
        <f ca="1">[1]!s_fa_cagr_netprofit($E195,AO$6,3)</f>
        <v>66.016399543557824</v>
      </c>
      <c r="AP195" s="189"/>
      <c r="AQ195" s="202">
        <f ca="1">[1]!s_fa_dupont_roe(E195,$C$3)</f>
        <v>12.2841</v>
      </c>
      <c r="AR195" s="202">
        <f ca="1">[1]!s_fa_dupont_nptosales(B195,$C$3)</f>
        <v>11.326700000000001</v>
      </c>
      <c r="AS195" s="237">
        <f ca="1">[1]!s_fa_dupont_faturnover(E195,$C$3)</f>
        <v>0.58450000000000002</v>
      </c>
      <c r="AT195" s="202">
        <f ca="1">[1]!s_fa_dupont_assetstoequity(E195,$C$3)</f>
        <v>1.8393999999999999</v>
      </c>
      <c r="AU195" s="189"/>
      <c r="AV195" s="201"/>
      <c r="AW195" s="189"/>
      <c r="AX195" s="189"/>
      <c r="AY195" s="189"/>
      <c r="AZ195" s="189"/>
      <c r="BA195" s="189"/>
      <c r="BB195" s="189"/>
      <c r="BC195" s="189"/>
      <c r="BD195" s="189"/>
      <c r="BE195" s="189"/>
    </row>
    <row r="196" spans="1:57" s="130" customFormat="1" ht="12" customHeight="1" x14ac:dyDescent="0.35">
      <c r="A196" s="121" t="s">
        <v>5</v>
      </c>
      <c r="B196" s="121" t="s">
        <v>242</v>
      </c>
      <c r="C196" s="121" t="s">
        <v>243</v>
      </c>
      <c r="D196" s="121" t="str">
        <f ca="1">[1]!cb_info_underlyingname(B196)</f>
        <v>新北洋</v>
      </c>
      <c r="E196" s="122" t="str">
        <f ca="1">[1]!cb_info_underlyingcode(B196)</f>
        <v>002376.SZ</v>
      </c>
      <c r="F196" s="123" t="str">
        <f ca="1">[1]!s_info_industry_sw(B196,1)</f>
        <v>计算机</v>
      </c>
      <c r="G196" s="123" t="str">
        <f ca="1">[1]!s_info_industry_sw(E196,2)</f>
        <v>计算机设备Ⅱ</v>
      </c>
      <c r="H196" s="123" t="str">
        <f ca="1">[1]!s_info_industry_sw(E196,3)</f>
        <v>计算机设备Ⅲ</v>
      </c>
      <c r="I196" s="156" t="str">
        <f ca="1">[1]!s_info_majorproducttype(E196)</f>
        <v>打印机、扫描仪</v>
      </c>
      <c r="J196" s="129">
        <f ca="1">[1]!s_val_ev(E196,$B$2,100000000)</f>
        <v>56.719501449600003</v>
      </c>
      <c r="K196" s="157">
        <f ca="1">[1]!s_share_total(E196,$B$2,100000000)</f>
        <v>6.65721848</v>
      </c>
      <c r="L196" s="157">
        <f ca="1">[1]!s_share_liqa(E196,$B$2,100000000)</f>
        <v>6.4037566200000002</v>
      </c>
      <c r="M196" s="125">
        <f ca="1">[1]!s_fa_gr_ttm2(E196,$C$3,100000000)</f>
        <v>24.816658753500001</v>
      </c>
      <c r="N196" s="126">
        <f ca="1">[1]!s_fa_netprofit_ttm2(E196,$C$3,100000000)</f>
        <v>2.2498837131</v>
      </c>
      <c r="O196" s="125"/>
      <c r="P196" s="126">
        <f ca="1">[1]!s_val_pe_ttm(E196,[1]!td($B$2-1))</f>
        <v>33.35797119140625</v>
      </c>
      <c r="Q196" s="126">
        <f ca="1">[1]!i_val_pe_percentile(E196,[1]!td($B$2-1),$B$2-365*5,[1]!td($B$2-1))</f>
        <v>75.164473684210535</v>
      </c>
      <c r="R196" s="126">
        <f ca="1">[1]!pb_mrq(E196,[1]!td($B$2-1))</f>
        <v>1.7071049936189371</v>
      </c>
      <c r="S196" s="126">
        <f ca="1">[1]!i_val_pb_percentile(E196,[1]!td($B$2-1),$B$2-365*5,[1]!td($B$2-1))</f>
        <v>2.1929824561403506</v>
      </c>
      <c r="T196" s="126">
        <f ca="1">[1]!s_val_pe_ttm([1]!to_windcode_index(H196&amp;"(申万)"),[1]!td($B$2-1))</f>
        <v>52.770000457763672</v>
      </c>
      <c r="U196" s="125"/>
      <c r="V196" s="125">
        <f ca="1">[1]!s_fa_roe(E196,$C$3)</f>
        <v>3.4298999999999999</v>
      </c>
      <c r="W196" s="125">
        <f ca="1">[1]!s_fa_grossprofitmargin(E196,$C$3)</f>
        <v>35.494199999999999</v>
      </c>
      <c r="X196" s="125">
        <f ca="1">[1]!s_fa_netprofitmargin(E196,$C$3)</f>
        <v>10.573</v>
      </c>
      <c r="Y196" s="125">
        <f ca="1">[1]!s_fa_roic(E196,$C$3)</f>
        <v>3.7987000000000002</v>
      </c>
      <c r="Z196" s="125">
        <f ca="1">[1]!s_fa_operateincometoebt_ttm2(E196,$C$3)</f>
        <v>37.127600000000001</v>
      </c>
      <c r="AA196" s="125"/>
      <c r="AB196" s="343"/>
      <c r="AC196" s="125">
        <f ca="1">[1]!s_fa_cagr_tr($E196,AC$6,3)</f>
        <v>0</v>
      </c>
      <c r="AD196" s="125">
        <f ca="1">[1]!s_fa_cagr_tr($E196,AD$6,3)</f>
        <v>8.7978527198619538</v>
      </c>
      <c r="AE196" s="126">
        <f ca="1">[1]!s_fa_cagr_tr($E196,AE$6,3)</f>
        <v>14.445417399476224</v>
      </c>
      <c r="AF196" s="126">
        <f ca="1">[1]!s_fa_cagr_tr($E196,AF$6,3)</f>
        <v>29.5898562931987</v>
      </c>
      <c r="AG196" s="126">
        <f ca="1">[1]!s_fa_cagr_tr($E196,AG$6,3)</f>
        <v>23.301957374416936</v>
      </c>
      <c r="AH196" s="126">
        <f ca="1">[1]!s_fa_cagr_tr($E196,AH$6,3)</f>
        <v>24.081406277362195</v>
      </c>
      <c r="AI196" s="169"/>
      <c r="AJ196" s="126">
        <f ca="1">[1]!s_fa_cagr_netprofit($E196,AJ$6,3)</f>
        <v>0</v>
      </c>
      <c r="AK196" s="126">
        <f ca="1">[1]!s_fa_cagr_netprofit($E196,AK$6,3)</f>
        <v>-13.544995329505882</v>
      </c>
      <c r="AL196" s="126">
        <f ca="1">[1]!s_fa_cagr_netprofit($E196,AL$6,3)</f>
        <v>12.387803008579779</v>
      </c>
      <c r="AM196" s="126">
        <f ca="1">[1]!s_fa_cagr_netprofit($E196,AM$6,3)</f>
        <v>37.210212102571759</v>
      </c>
      <c r="AN196" s="126">
        <f ca="1">[1]!s_fa_cagr_netprofit($E196,AN$6,3)</f>
        <v>-2.2251108629635308</v>
      </c>
      <c r="AO196" s="126">
        <f ca="1">[1]!s_fa_cagr_netprofit($E196,AO$6,3)</f>
        <v>1.2275514844262148E-2</v>
      </c>
      <c r="AP196" s="129"/>
      <c r="AQ196" s="203">
        <f ca="1">[1]!s_fa_dupont_roe(E196,$C$3)</f>
        <v>3.4298999999999999</v>
      </c>
      <c r="AR196" s="203">
        <f ca="1">[1]!s_fa_dupont_nptosales(B196,$C$3)</f>
        <v>10.573</v>
      </c>
      <c r="AS196" s="238">
        <f ca="1">[1]!s_fa_dupont_faturnover(E196,$C$3)</f>
        <v>0.27489999999999998</v>
      </c>
      <c r="AT196" s="203">
        <f ca="1">[1]!s_fa_dupont_assetstoequity(E196,$C$3)</f>
        <v>1.6249</v>
      </c>
      <c r="AU196" s="129"/>
      <c r="AV196" s="129"/>
      <c r="AW196" s="129"/>
      <c r="AX196" s="129"/>
      <c r="AY196" s="129"/>
      <c r="AZ196" s="129"/>
      <c r="BA196" s="129"/>
      <c r="BB196" s="129"/>
      <c r="BC196" s="129"/>
      <c r="BD196" s="129"/>
      <c r="BE196" s="129"/>
    </row>
    <row r="197" spans="1:57" s="191" customFormat="1" ht="12" customHeight="1" x14ac:dyDescent="0.35">
      <c r="A197" s="182" t="s">
        <v>5</v>
      </c>
      <c r="B197" s="182" t="s">
        <v>358</v>
      </c>
      <c r="C197" s="182" t="s">
        <v>359</v>
      </c>
      <c r="D197" s="182" t="str">
        <f ca="1">[1]!cb_info_underlyingname(B197)</f>
        <v>博彦科技</v>
      </c>
      <c r="E197" s="183" t="str">
        <f ca="1">[1]!cb_info_underlyingcode(B197)</f>
        <v>002649.SZ</v>
      </c>
      <c r="F197" s="184" t="str">
        <f ca="1">[1]!s_info_industry_sw(B197,1)</f>
        <v>计算机</v>
      </c>
      <c r="G197" s="184" t="str">
        <f ca="1">[1]!s_info_industry_sw(E197,2)</f>
        <v>计算机应用</v>
      </c>
      <c r="H197" s="184" t="str">
        <f ca="1">[1]!s_info_industry_sw(E197,3)</f>
        <v>IT服务</v>
      </c>
      <c r="I197" s="192" t="str">
        <f ca="1">[1]!s_info_majorproducttype(E197)</f>
        <v>软件外包服务、专业咨询服务</v>
      </c>
      <c r="J197" s="189">
        <f ca="1">[1]!s_val_ev(E197,$B$2,100000000)</f>
        <v>56.001170696899997</v>
      </c>
      <c r="K197" s="193">
        <f ca="1">[1]!s_share_total(E197,$B$2,100000000)</f>
        <v>5.3283701900000002</v>
      </c>
      <c r="L197" s="193">
        <f ca="1">[1]!s_share_liqa(E197,$B$2,100000000)</f>
        <v>4.6926062499999999</v>
      </c>
      <c r="M197" s="186">
        <f ca="1">[1]!s_fa_gr_ttm2(E197,$C$3,100000000)</f>
        <v>41.121892699</v>
      </c>
      <c r="N197" s="187">
        <f ca="1">[1]!s_fa_netprofit_ttm2(E197,$C$3,100000000)</f>
        <v>2.6761358352000002</v>
      </c>
      <c r="O197" s="186"/>
      <c r="P197" s="187">
        <f ca="1">[1]!s_val_pe_ttm(E197,[1]!td($B$2-1))</f>
        <v>14.297785758972168</v>
      </c>
      <c r="Q197" s="187">
        <f ca="1">[1]!i_val_pe_percentile(E197,[1]!td($B$2-1),$B$2-365*5,[1]!td($B$2-1))</f>
        <v>6.25</v>
      </c>
      <c r="R197" s="187">
        <f ca="1">[1]!pb_mrq(E197,[1]!td($B$2-1))</f>
        <v>1.8491381063275163</v>
      </c>
      <c r="S197" s="187">
        <f ca="1">[1]!i_val_pb_percentile(E197,[1]!td($B$2-1),$B$2-365*5,[1]!td($B$2-1))</f>
        <v>30.263157894736842</v>
      </c>
      <c r="T197" s="187">
        <f ca="1">[1]!s_val_pe_ttm([1]!to_windcode_index(H197&amp;"(申万)"),[1]!td($B$2-1))</f>
        <v>47.130001068115234</v>
      </c>
      <c r="U197" s="186"/>
      <c r="V197" s="186">
        <f ca="1">[1]!s_fa_roe(E197,$C$3)</f>
        <v>7.9002999999999997</v>
      </c>
      <c r="W197" s="186">
        <f ca="1">[1]!s_fa_grossprofitmargin(E197,$C$3)</f>
        <v>22.593499999999999</v>
      </c>
      <c r="X197" s="186">
        <f ca="1">[1]!s_fa_netprofitmargin(E197,$C$3)</f>
        <v>7.1308999999999996</v>
      </c>
      <c r="Y197" s="186">
        <f ca="1">[1]!s_fa_roic(E197,$C$3)</f>
        <v>6.5715000000000003</v>
      </c>
      <c r="Z197" s="186">
        <f ca="1">[1]!s_fa_operateincometoebt_ttm2(E197,$C$3)</f>
        <v>79.730800000000002</v>
      </c>
      <c r="AA197" s="186"/>
      <c r="AB197" s="342"/>
      <c r="AC197" s="186">
        <f ca="1">[1]!s_fa_cagr_tr($E197,AC$6,3)</f>
        <v>0</v>
      </c>
      <c r="AD197" s="186">
        <f ca="1">[1]!s_fa_cagr_tr($E197,AD$6,3)</f>
        <v>24.183856292070228</v>
      </c>
      <c r="AE197" s="187">
        <f ca="1">[1]!s_fa_cagr_tr($E197,AE$6,3)</f>
        <v>24.002720228105634</v>
      </c>
      <c r="AF197" s="187">
        <f ca="1">[1]!s_fa_cagr_tr($E197,AF$6,3)</f>
        <v>18.831377746133882</v>
      </c>
      <c r="AG197" s="187">
        <f ca="1">[1]!s_fa_cagr_tr($E197,AG$6,3)</f>
        <v>12.957643756035342</v>
      </c>
      <c r="AH197" s="187">
        <f ca="1">[1]!s_fa_cagr_tr($E197,AH$6,3)</f>
        <v>13.325657730250761</v>
      </c>
      <c r="AI197" s="194"/>
      <c r="AJ197" s="187">
        <f ca="1">[1]!s_fa_cagr_netprofit($E197,AJ$6,3)</f>
        <v>0</v>
      </c>
      <c r="AK197" s="187">
        <f ca="1">[1]!s_fa_cagr_netprofit($E197,AK$6,3)</f>
        <v>14.981391577915492</v>
      </c>
      <c r="AL197" s="187">
        <f ca="1">[1]!s_fa_cagr_netprofit($E197,AL$6,3)</f>
        <v>28.118513416938828</v>
      </c>
      <c r="AM197" s="187">
        <f ca="1">[1]!s_fa_cagr_netprofit($E197,AM$6,3)</f>
        <v>7.0118092774777541</v>
      </c>
      <c r="AN197" s="187">
        <f ca="1">[1]!s_fa_cagr_netprofit($E197,AN$6,3)</f>
        <v>8.4887163123070764</v>
      </c>
      <c r="AO197" s="187">
        <f ca="1">[1]!s_fa_cagr_netprofit($E197,AO$6,3)</f>
        <v>-2.8776801366971472</v>
      </c>
      <c r="AP197" s="189"/>
      <c r="AQ197" s="202">
        <f ca="1">[1]!s_fa_dupont_roe(E197,$C$3)</f>
        <v>7.9002999999999997</v>
      </c>
      <c r="AR197" s="202">
        <f ca="1">[1]!s_fa_dupont_nptosales(B197,$C$3)</f>
        <v>7.1308999999999996</v>
      </c>
      <c r="AS197" s="237">
        <f ca="1">[1]!s_fa_dupont_faturnover(E197,$C$3)</f>
        <v>0.73019999999999996</v>
      </c>
      <c r="AT197" s="202">
        <f ca="1">[1]!s_fa_dupont_assetstoequity(E197,$C$3)</f>
        <v>1.5087999999999999</v>
      </c>
      <c r="AU197" s="189"/>
      <c r="AV197" s="189"/>
      <c r="AW197" s="189"/>
      <c r="AX197" s="189"/>
      <c r="AY197" s="189"/>
      <c r="AZ197" s="189"/>
      <c r="BA197" s="189"/>
      <c r="BB197" s="189"/>
      <c r="BC197" s="189"/>
      <c r="BD197" s="189"/>
      <c r="BE197" s="189"/>
    </row>
    <row r="198" spans="1:57" s="130" customFormat="1" ht="12" customHeight="1" x14ac:dyDescent="0.35">
      <c r="A198" s="121" t="s">
        <v>5</v>
      </c>
      <c r="B198" s="121" t="s">
        <v>405</v>
      </c>
      <c r="C198" s="121" t="s">
        <v>406</v>
      </c>
      <c r="D198" s="121" t="str">
        <f ca="1">[1]!cb_info_underlyingname(B198)</f>
        <v>蓝盾股份</v>
      </c>
      <c r="E198" s="122" t="str">
        <f ca="1">[1]!cb_info_underlyingcode(B198)</f>
        <v>300297.SZ</v>
      </c>
      <c r="F198" s="123" t="str">
        <f ca="1">[1]!s_info_industry_sw(B198,1)</f>
        <v>计算机</v>
      </c>
      <c r="G198" s="123" t="str">
        <f ca="1">[1]!s_info_industry_sw(E198,2)</f>
        <v>计算机应用</v>
      </c>
      <c r="H198" s="123" t="str">
        <f ca="1">[1]!s_info_industry_sw(E198,3)</f>
        <v>IT服务</v>
      </c>
      <c r="I198" s="156" t="str">
        <f ca="1">[1]!s_info_majorproducttype(E198)</f>
        <v>防火墙软件、行业专用软件、网管软件、专业咨询服务</v>
      </c>
      <c r="J198" s="129">
        <f ca="1">[1]!s_val_ev(E198,$B$2,100000000)</f>
        <v>42.494641090000002</v>
      </c>
      <c r="K198" s="157">
        <f ca="1">[1]!s_share_total(E198,$B$2,100000000)</f>
        <v>12.49842385</v>
      </c>
      <c r="L198" s="157">
        <f ca="1">[1]!s_share_liqa(E198,$B$2,100000000)</f>
        <v>10.23393568</v>
      </c>
      <c r="M198" s="125">
        <f ca="1">[1]!s_fa_gr_ttm2(E198,$C$3,100000000)</f>
        <v>13.327855646500002</v>
      </c>
      <c r="N198" s="126">
        <f ca="1">[1]!s_fa_netprofit_ttm2(E198,$C$3,100000000)</f>
        <v>-12.113363275799999</v>
      </c>
      <c r="O198" s="125"/>
      <c r="P198" s="126">
        <f ca="1">[1]!s_val_pe_ttm(E198,[1]!td($B$2-1))</f>
        <v>-2.5536272525787354</v>
      </c>
      <c r="Q198" s="126">
        <f ca="1">[1]!i_val_pe_percentile(E198,[1]!td($B$2-1),$B$2-365*5,[1]!td($B$2-1))</f>
        <v>0</v>
      </c>
      <c r="R198" s="126">
        <f ca="1">[1]!pb_mrq(E198,[1]!td($B$2-1))</f>
        <v>2.0290173419310102</v>
      </c>
      <c r="S198" s="126">
        <f ca="1">[1]!i_val_pb_percentile(E198,[1]!td($B$2-1),$B$2-365*5,[1]!td($B$2-1))</f>
        <v>53.125</v>
      </c>
      <c r="T198" s="126">
        <f ca="1">[1]!s_val_pe_ttm([1]!to_windcode_index(H198&amp;"(申万)"),[1]!td($B$2-1))</f>
        <v>47.130001068115234</v>
      </c>
      <c r="U198" s="126"/>
      <c r="V198" s="126">
        <f ca="1">[1]!s_fa_roe(E198,$C$3)</f>
        <v>-2.6120999999999999</v>
      </c>
      <c r="W198" s="126">
        <f ca="1">[1]!s_fa_grossprofitmargin(E198,$C$3)</f>
        <v>40.658099999999997</v>
      </c>
      <c r="X198" s="126">
        <f ca="1">[1]!s_fa_netprofitmargin(E198,$C$3)</f>
        <v>-14.0869</v>
      </c>
      <c r="Y198" s="126">
        <f ca="1">[1]!s_fa_roic(E198,$C$3)</f>
        <v>7.3700000000000002E-2</v>
      </c>
      <c r="Z198" s="126">
        <f ca="1">[1]!s_fa_operateincometoebt_ttm2(E198,$C$3)</f>
        <v>0</v>
      </c>
      <c r="AA198" s="125"/>
      <c r="AB198" s="343"/>
      <c r="AC198" s="125">
        <f ca="1">[1]!s_fa_cagr_tr($E198,AC$6,3)</f>
        <v>0</v>
      </c>
      <c r="AD198" s="125">
        <f ca="1">[1]!s_fa_cagr_tr($E198,AD$6,3)</f>
        <v>-22.155767176140639</v>
      </c>
      <c r="AE198" s="126">
        <f ca="1">[1]!s_fa_cagr_tr($E198,AE$6,3)</f>
        <v>6.8485993146270685</v>
      </c>
      <c r="AF198" s="126">
        <f ca="1">[1]!s_fa_cagr_tr($E198,AF$6,3)</f>
        <v>31.613544248845727</v>
      </c>
      <c r="AG198" s="126">
        <f ca="1">[1]!s_fa_cagr_tr($E198,AG$6,3)</f>
        <v>61.632096749834318</v>
      </c>
      <c r="AH198" s="126">
        <f ca="1">[1]!s_fa_cagr_tr($E198,AH$6,3)</f>
        <v>58.473299325324035</v>
      </c>
      <c r="AI198" s="169"/>
      <c r="AJ198" s="126">
        <f ca="1">[1]!s_fa_cagr_netprofit($E198,AJ$6,3)</f>
        <v>0</v>
      </c>
      <c r="AK198" s="126">
        <f ca="1">[1]!s_fa_cagr_netprofit($E198,AK$6,3)</f>
        <v>-238.21218630722046</v>
      </c>
      <c r="AL198" s="126">
        <f ca="1">[1]!s_fa_cagr_netprofit($E198,AL$6,3)</f>
        <v>-242.61054265988844</v>
      </c>
      <c r="AM198" s="126">
        <f ca="1">[1]!s_fa_cagr_netprofit($E198,AM$6,3)</f>
        <v>49.351140777874079</v>
      </c>
      <c r="AN198" s="126">
        <f ca="1">[1]!s_fa_cagr_netprofit($E198,AN$6,3)</f>
        <v>127.15928321477944</v>
      </c>
      <c r="AO198" s="126">
        <f ca="1">[1]!s_fa_cagr_netprofit($E198,AO$6,3)</f>
        <v>116.17389999589815</v>
      </c>
      <c r="AP198" s="129"/>
      <c r="AQ198" s="203">
        <f ca="1">[1]!s_fa_dupont_roe(E198,$C$3)</f>
        <v>-2.6120999999999999</v>
      </c>
      <c r="AR198" s="203">
        <f ca="1">[1]!s_fa_dupont_nptosales(B198,$C$3)</f>
        <v>-14.0869</v>
      </c>
      <c r="AS198" s="238">
        <f ca="1">[1]!s_fa_dupont_faturnover(E198,$C$3)</f>
        <v>8.4099999999999994E-2</v>
      </c>
      <c r="AT198" s="203">
        <f ca="1">[1]!s_fa_dupont_assetstoequity(E198,$C$3)</f>
        <v>2.2427000000000001</v>
      </c>
      <c r="AU198" s="129"/>
      <c r="AV198" s="129"/>
      <c r="AW198" s="129"/>
      <c r="AX198" s="129"/>
      <c r="AY198" s="129"/>
      <c r="AZ198" s="129"/>
      <c r="BA198" s="129"/>
      <c r="BB198" s="129"/>
      <c r="BC198" s="129"/>
      <c r="BD198" s="129"/>
      <c r="BE198" s="129"/>
    </row>
    <row r="199" spans="1:57" s="191" customFormat="1" ht="12" customHeight="1" x14ac:dyDescent="0.35">
      <c r="A199" s="182" t="s">
        <v>0</v>
      </c>
      <c r="B199" s="182" t="s">
        <v>553</v>
      </c>
      <c r="C199" s="182" t="s">
        <v>554</v>
      </c>
      <c r="D199" s="182" t="str">
        <f ca="1">[1]!cb_info_underlyingname(B199)</f>
        <v>多伦科技</v>
      </c>
      <c r="E199" s="183" t="str">
        <f ca="1">[1]!cb_info_underlyingcode(B199)</f>
        <v>603528.SH</v>
      </c>
      <c r="F199" s="184" t="str">
        <f ca="1">[1]!s_info_industry_sw(B199,1)</f>
        <v>计算机</v>
      </c>
      <c r="G199" s="184" t="str">
        <f ca="1">[1]!s_info_industry_sw(E199,2)</f>
        <v>计算机应用</v>
      </c>
      <c r="H199" s="184" t="str">
        <f ca="1">[1]!s_info_industry_sw(E199,3)</f>
        <v>软件开发</v>
      </c>
      <c r="I199" s="192" t="str">
        <f ca="1">[1]!s_info_majorproducttype(E199)</f>
        <v>行业专用软件</v>
      </c>
      <c r="J199" s="189">
        <f ca="1">[1]!s_val_ev(E199,$B$2,100000000)</f>
        <v>48.86929593</v>
      </c>
      <c r="K199" s="193">
        <f ca="1">[1]!s_share_total(E199,$B$2,100000000)</f>
        <v>6.2652943499999996</v>
      </c>
      <c r="L199" s="193">
        <f ca="1">[1]!s_share_liqa(E199,$B$2,100000000)</f>
        <v>6.2411143500000001</v>
      </c>
      <c r="M199" s="186">
        <f ca="1">[1]!s_fa_gr_ttm2(E199,$C$3,100000000)</f>
        <v>6.3574958334999998</v>
      </c>
      <c r="N199" s="187">
        <f ca="1">[1]!s_fa_netprofit_ttm2(E199,$C$3,100000000)</f>
        <v>1.0088452984</v>
      </c>
      <c r="O199" s="186"/>
      <c r="P199" s="187">
        <f ca="1">[1]!s_val_pe_ttm(E199,[1]!td($B$2-1))</f>
        <v>52.204315185546875</v>
      </c>
      <c r="Q199" s="187">
        <f ca="1">[1]!i_val_pe_percentile(E199,[1]!td($B$2-1),$B$2-365*5,[1]!td($B$2-1))</f>
        <v>81.304824561403507</v>
      </c>
      <c r="R199" s="187">
        <f ca="1">[1]!pb_mrq(E199,[1]!td($B$2-1))</f>
        <v>2.9651241569295852</v>
      </c>
      <c r="S199" s="187">
        <f ca="1">[1]!i_val_pb_percentile(E199,[1]!td($B$2-1),$B$2-365*5,[1]!td($B$2-1))</f>
        <v>21.052631578947366</v>
      </c>
      <c r="T199" s="187">
        <f ca="1">[1]!s_val_pe_ttm([1]!to_windcode_index(H199&amp;"(申万)"),[1]!td($B$2-1))</f>
        <v>64.720001220703125</v>
      </c>
      <c r="U199" s="187"/>
      <c r="V199" s="187">
        <f ca="1">[1]!s_fa_roe(E199,$C$3)</f>
        <v>3.4868999999999999</v>
      </c>
      <c r="W199" s="187">
        <f ca="1">[1]!s_fa_grossprofitmargin(E199,$C$3)</f>
        <v>50.502699999999997</v>
      </c>
      <c r="X199" s="187">
        <f ca="1">[1]!s_fa_netprofitmargin(E199,$C$3)</f>
        <v>15.364000000000001</v>
      </c>
      <c r="Y199" s="187">
        <f ca="1">[1]!s_fa_roic(E199,$C$3)</f>
        <v>3.1947999999999999</v>
      </c>
      <c r="Z199" s="187">
        <f ca="1">[1]!s_fa_operateincometoebt_ttm2(E199,$C$3)</f>
        <v>78.405900000000003</v>
      </c>
      <c r="AA199" s="186"/>
      <c r="AB199" s="342"/>
      <c r="AC199" s="186">
        <f ca="1">[1]!s_fa_cagr_tr($E199,AC$6,3)</f>
        <v>0</v>
      </c>
      <c r="AD199" s="186">
        <f ca="1">[1]!s_fa_cagr_tr($E199,AD$6,3)</f>
        <v>7.7036607355734921</v>
      </c>
      <c r="AE199" s="187">
        <f ca="1">[1]!s_fa_cagr_tr($E199,AE$6,3)</f>
        <v>-5.6972676476760746</v>
      </c>
      <c r="AF199" s="187">
        <f ca="1">[1]!s_fa_cagr_tr($E199,AF$6,3)</f>
        <v>-9.1261521591508572</v>
      </c>
      <c r="AG199" s="187">
        <f ca="1">[1]!s_fa_cagr_tr($E199,AG$6,3)</f>
        <v>-8.4271148198206465</v>
      </c>
      <c r="AH199" s="187">
        <f ca="1">[1]!s_fa_cagr_tr($E199,AH$6,3)</f>
        <v>22.57096923421944</v>
      </c>
      <c r="AI199" s="194"/>
      <c r="AJ199" s="187">
        <f ca="1">[1]!s_fa_cagr_netprofit($E199,AJ$6,3)</f>
        <v>0</v>
      </c>
      <c r="AK199" s="187">
        <f ca="1">[1]!s_fa_cagr_netprofit($E199,AK$6,3)</f>
        <v>-7.933483976787592</v>
      </c>
      <c r="AL199" s="187">
        <f ca="1">[1]!s_fa_cagr_netprofit($E199,AL$6,3)</f>
        <v>-20.799551721137945</v>
      </c>
      <c r="AM199" s="187">
        <f ca="1">[1]!s_fa_cagr_netprofit($E199,AM$6,3)</f>
        <v>-23.788605664586971</v>
      </c>
      <c r="AN199" s="187">
        <f ca="1">[1]!s_fa_cagr_netprofit($E199,AN$6,3)</f>
        <v>-27.044916056859737</v>
      </c>
      <c r="AO199" s="187">
        <f ca="1">[1]!s_fa_cagr_netprofit($E199,AO$6,3)</f>
        <v>29.924861679289915</v>
      </c>
      <c r="AP199" s="189"/>
      <c r="AQ199" s="202">
        <f ca="1">[1]!s_fa_dupont_roe(E199,$C$3)</f>
        <v>3.4868999999999999</v>
      </c>
      <c r="AR199" s="202">
        <f ca="1">[1]!s_fa_dupont_nptosales(B199,$C$3)</f>
        <v>15.364000000000001</v>
      </c>
      <c r="AS199" s="237">
        <f ca="1">[1]!s_fa_dupont_faturnover(E199,$C$3)</f>
        <v>0.17949999999999999</v>
      </c>
      <c r="AT199" s="202">
        <f ca="1">[1]!s_fa_dupont_assetstoequity(E199,$C$3)</f>
        <v>1.3320000000000001</v>
      </c>
      <c r="AU199" s="189"/>
      <c r="AV199" s="201"/>
      <c r="AW199" s="189"/>
      <c r="AX199" s="189"/>
      <c r="AY199" s="189"/>
      <c r="AZ199" s="189"/>
      <c r="BA199" s="189"/>
      <c r="BB199" s="189"/>
      <c r="BC199" s="189"/>
      <c r="BD199" s="189"/>
      <c r="BE199" s="189"/>
    </row>
    <row r="200" spans="1:57" s="130" customFormat="1" ht="12" customHeight="1" x14ac:dyDescent="0.35">
      <c r="A200" s="121" t="s">
        <v>0</v>
      </c>
      <c r="B200" s="121" t="s">
        <v>72</v>
      </c>
      <c r="C200" s="121" t="s">
        <v>73</v>
      </c>
      <c r="D200" s="121" t="str">
        <f ca="1">[1]!cb_info_underlyingname(B200)</f>
        <v>淳中科技</v>
      </c>
      <c r="E200" s="122" t="str">
        <f ca="1">[1]!cb_info_underlyingcode(B200)</f>
        <v>603516.SH</v>
      </c>
      <c r="F200" s="123" t="str">
        <f ca="1">[1]!s_info_industry_sw(B200,1)</f>
        <v>计算机</v>
      </c>
      <c r="G200" s="123" t="str">
        <f ca="1">[1]!s_info_industry_sw(E200,2)</f>
        <v>计算机设备Ⅱ</v>
      </c>
      <c r="H200" s="123" t="str">
        <f ca="1">[1]!s_info_industry_sw(E200,3)</f>
        <v>计算机设备Ⅲ</v>
      </c>
      <c r="I200" s="156" t="str">
        <f ca="1">[1]!s_info_majorproducttype(E200)</f>
        <v>电子设备及加工</v>
      </c>
      <c r="J200" s="129">
        <f ca="1">[1]!s_val_ev(E200,$B$2,100000000)</f>
        <v>35.296018692000004</v>
      </c>
      <c r="K200" s="157">
        <f ca="1">[1]!s_share_total(E200,$B$2,100000000)</f>
        <v>1.8655401000000003</v>
      </c>
      <c r="L200" s="157">
        <f ca="1">[1]!s_share_liqa(E200,$B$2,100000000)</f>
        <v>1.8431470999999999</v>
      </c>
      <c r="M200" s="125">
        <f ca="1">[1]!s_fa_gr_ttm2(E200,$C$3,100000000)</f>
        <v>4.0688218852999993</v>
      </c>
      <c r="N200" s="126">
        <f ca="1">[1]!s_fa_netprofit_ttm2(E200,$C$3,100000000)</f>
        <v>1.0167278753</v>
      </c>
      <c r="O200" s="125"/>
      <c r="P200" s="126">
        <f ca="1">[1]!s_val_pe_ttm(E200,[1]!td($B$2-1))</f>
        <v>30.524351119995117</v>
      </c>
      <c r="Q200" s="126">
        <f ca="1">[1]!i_val_pe_percentile(E200,[1]!td($B$2-1),$B$2-365*5,[1]!td($B$2-1))</f>
        <v>9.4440213252094445</v>
      </c>
      <c r="R200" s="126">
        <f ca="1">[1]!pb_mrq(E200,[1]!td($B$2-1))</f>
        <v>3.7400911406208226</v>
      </c>
      <c r="S200" s="126">
        <f ca="1">[1]!i_val_pb_percentile(E200,[1]!td($B$2-1),$B$2-365*5,[1]!td($B$2-1))</f>
        <v>4.5696877380045704</v>
      </c>
      <c r="T200" s="126">
        <f ca="1">[1]!s_val_pe_ttm([1]!to_windcode_index(H200&amp;"(申万)"),[1]!td($B$2-1))</f>
        <v>52.770000457763672</v>
      </c>
      <c r="U200" s="126"/>
      <c r="V200" s="126">
        <f ca="1">[1]!s_fa_roe(E200,$C$3)</f>
        <v>9.3216999999999999</v>
      </c>
      <c r="W200" s="126">
        <f ca="1">[1]!s_fa_grossprofitmargin(E200,$C$3)</f>
        <v>61.110399999999998</v>
      </c>
      <c r="X200" s="126">
        <f ca="1">[1]!s_fa_netprofitmargin(E200,$C$3)</f>
        <v>26.611000000000001</v>
      </c>
      <c r="Y200" s="126">
        <f ca="1">[1]!s_fa_roic(E200,$C$3)</f>
        <v>8.4458000000000002</v>
      </c>
      <c r="Z200" s="126">
        <f ca="1">[1]!s_fa_operateincometoebt_ttm2(E200,$C$3)</f>
        <v>75.413300000000007</v>
      </c>
      <c r="AA200" s="125"/>
      <c r="AB200" s="343"/>
      <c r="AC200" s="125">
        <f ca="1">[1]!s_fa_cagr_tr($E200,AC$6,3)</f>
        <v>0</v>
      </c>
      <c r="AD200" s="125">
        <f ca="1">[1]!s_fa_cagr_tr($E200,AD$6,3)</f>
        <v>24.459400075785489</v>
      </c>
      <c r="AE200" s="126">
        <f ca="1">[1]!s_fa_cagr_tr($E200,AE$6,3)</f>
        <v>19.213220690996135</v>
      </c>
      <c r="AF200" s="126">
        <f ca="1">[1]!s_fa_cagr_tr($E200,AF$6,3)</f>
        <v>17.632050716279824</v>
      </c>
      <c r="AG200" s="126">
        <f ca="1">[1]!s_fa_cagr_tr($E200,AG$6,3)</f>
        <v>18.727914032649306</v>
      </c>
      <c r="AH200" s="126">
        <f ca="1">[1]!s_fa_cagr_tr($E200,AH$6,3)</f>
        <v>26.141240911228071</v>
      </c>
      <c r="AI200" s="169"/>
      <c r="AJ200" s="126">
        <f ca="1">[1]!s_fa_cagr_netprofit($E200,AJ$6,3)</f>
        <v>0</v>
      </c>
      <c r="AK200" s="126">
        <f ca="1">[1]!s_fa_cagr_netprofit($E200,AK$6,3)</f>
        <v>12.158833794901325</v>
      </c>
      <c r="AL200" s="126">
        <f ca="1">[1]!s_fa_cagr_netprofit($E200,AL$6,3)</f>
        <v>11.980831443598294</v>
      </c>
      <c r="AM200" s="126">
        <f ca="1">[1]!s_fa_cagr_netprofit($E200,AM$6,3)</f>
        <v>20.810458962856735</v>
      </c>
      <c r="AN200" s="126">
        <f ca="1">[1]!s_fa_cagr_netprofit($E200,AN$6,3)</f>
        <v>26.837729117369413</v>
      </c>
      <c r="AO200" s="126">
        <f ca="1">[1]!s_fa_cagr_netprofit($E200,AO$6,3)</f>
        <v>27.28988354416515</v>
      </c>
      <c r="AP200" s="129"/>
      <c r="AQ200" s="203">
        <f ca="1">[1]!s_fa_dupont_roe(E200,$C$3)</f>
        <v>9.3216999999999999</v>
      </c>
      <c r="AR200" s="203">
        <f ca="1">[1]!s_fa_dupont_nptosales(B200,$C$3)</f>
        <v>26.611000000000001</v>
      </c>
      <c r="AS200" s="238">
        <f ca="1">[1]!s_fa_dupont_faturnover(E200,$C$3)</f>
        <v>0.28029999999999999</v>
      </c>
      <c r="AT200" s="203">
        <f ca="1">[1]!s_fa_dupont_assetstoequity(E200,$C$3)</f>
        <v>1.2484</v>
      </c>
      <c r="AU200" s="129"/>
      <c r="AV200" s="129"/>
      <c r="AW200" s="129"/>
      <c r="AX200" s="129"/>
      <c r="AY200" s="129"/>
      <c r="AZ200" s="129"/>
      <c r="BA200" s="129"/>
      <c r="BB200" s="129"/>
      <c r="BC200" s="129"/>
      <c r="BD200" s="129"/>
      <c r="BE200" s="129"/>
    </row>
    <row r="201" spans="1:57" s="191" customFormat="1" ht="12" customHeight="1" x14ac:dyDescent="0.35">
      <c r="A201" s="182" t="s">
        <v>0</v>
      </c>
      <c r="B201" s="182" t="s">
        <v>184</v>
      </c>
      <c r="C201" s="182" t="s">
        <v>185</v>
      </c>
      <c r="D201" s="182" t="str">
        <f ca="1">[1]!cb_info_underlyingname(B201)</f>
        <v>苏州科达</v>
      </c>
      <c r="E201" s="183" t="str">
        <f ca="1">[1]!cb_info_underlyingcode(B201)</f>
        <v>603660.SH</v>
      </c>
      <c r="F201" s="184" t="str">
        <f ca="1">[1]!s_info_industry_sw(B201,1)</f>
        <v>计算机</v>
      </c>
      <c r="G201" s="184" t="str">
        <f ca="1">[1]!s_info_industry_sw(E201,2)</f>
        <v>计算机设备Ⅱ</v>
      </c>
      <c r="H201" s="184" t="str">
        <f ca="1">[1]!s_info_industry_sw(E201,3)</f>
        <v>计算机设备Ⅲ</v>
      </c>
      <c r="I201" s="192" t="str">
        <f ca="1">[1]!s_info_majorproducttype(E201)</f>
        <v>通信终端设备</v>
      </c>
      <c r="J201" s="189">
        <f ca="1">[1]!s_val_ev(E201,$B$2,100000000)</f>
        <v>33.801532311599999</v>
      </c>
      <c r="K201" s="193">
        <f ca="1">[1]!s_share_total(E201,$B$2,100000000)</f>
        <v>4.9417444899999996</v>
      </c>
      <c r="L201" s="193">
        <f ca="1">[1]!s_share_liqa(E201,$B$2,100000000)</f>
        <v>4.9417444899999996</v>
      </c>
      <c r="M201" s="186">
        <f ca="1">[1]!s_fa_gr_ttm2(E201,$C$3,100000000)</f>
        <v>22.8134488707</v>
      </c>
      <c r="N201" s="187">
        <f ca="1">[1]!s_fa_netprofit_ttm2(E201,$C$3,100000000)</f>
        <v>-0.39928074490000004</v>
      </c>
      <c r="O201" s="186"/>
      <c r="P201" s="187">
        <f ca="1">[1]!s_val_pe_ttm(E201,[1]!td($B$2-1))</f>
        <v>22.084238052368164</v>
      </c>
      <c r="Q201" s="187">
        <f ca="1">[1]!i_val_pe_percentile(E201,[1]!td($B$2-1),$B$2-365*5,[1]!td($B$2-1))</f>
        <v>12.651030561478322</v>
      </c>
      <c r="R201" s="187">
        <f ca="1">[1]!pb_mrq(E201,[1]!td($B$2-1))</f>
        <v>1.9350282785424078</v>
      </c>
      <c r="S201" s="187">
        <f ca="1">[1]!i_val_pb_percentile(E201,[1]!td($B$2-1),$B$2-365*5,[1]!td($B$2-1))</f>
        <v>7.0074669730040204</v>
      </c>
      <c r="T201" s="187">
        <f ca="1">[1]!s_val_pe_ttm([1]!to_windcode_index(H201&amp;"(申万)"),[1]!td($B$2-1))</f>
        <v>52.770000457763672</v>
      </c>
      <c r="U201" s="187"/>
      <c r="V201" s="187">
        <f ca="1">[1]!s_fa_roe(E201,$C$3)</f>
        <v>-6.0431999999999997</v>
      </c>
      <c r="W201" s="187">
        <f ca="1">[1]!s_fa_grossprofitmargin(E201,$C$3)</f>
        <v>55.5259</v>
      </c>
      <c r="X201" s="187">
        <f ca="1">[1]!s_fa_netprofitmargin(E201,$C$3)</f>
        <v>-7.6337999999999999</v>
      </c>
      <c r="Y201" s="187">
        <f ca="1">[1]!s_fa_roic(E201,$C$3)</f>
        <v>-4.4861000000000004</v>
      </c>
      <c r="Z201" s="187">
        <f ca="1">[1]!s_fa_operateincometoebt_ttm2(E201,$C$3)</f>
        <v>0</v>
      </c>
      <c r="AA201" s="186"/>
      <c r="AB201" s="342"/>
      <c r="AC201" s="186">
        <f ca="1">[1]!s_fa_cagr_tr($E201,AC$6,3)</f>
        <v>0</v>
      </c>
      <c r="AD201" s="186">
        <f ca="1">[1]!s_fa_cagr_tr($E201,AD$6,3)</f>
        <v>8.8427478494539802</v>
      </c>
      <c r="AE201" s="187">
        <f ca="1">[1]!s_fa_cagr_tr($E201,AE$6,3)</f>
        <v>20.689030580110334</v>
      </c>
      <c r="AF201" s="187">
        <f ca="1">[1]!s_fa_cagr_tr($E201,AF$6,3)</f>
        <v>26.161716413370726</v>
      </c>
      <c r="AG201" s="187">
        <f ca="1">[1]!s_fa_cagr_tr($E201,AG$6,3)</f>
        <v>23.066226779288623</v>
      </c>
      <c r="AH201" s="187">
        <f ca="1">[1]!s_fa_cagr_tr($E201,AH$6,3)</f>
        <v>17.640418195174078</v>
      </c>
      <c r="AI201" s="194"/>
      <c r="AJ201" s="187">
        <f ca="1">[1]!s_fa_cagr_netprofit($E201,AJ$6,3)</f>
        <v>0</v>
      </c>
      <c r="AK201" s="187">
        <f ca="1">[1]!s_fa_cagr_netprofit($E201,AK$6,3)</f>
        <v>-32.041199335928425</v>
      </c>
      <c r="AL201" s="187">
        <f ca="1">[1]!s_fa_cagr_netprofit($E201,AL$6,3)</f>
        <v>-19.503240173239423</v>
      </c>
      <c r="AM201" s="187">
        <f ca="1">[1]!s_fa_cagr_netprofit($E201,AM$6,3)</f>
        <v>38.846483319158054</v>
      </c>
      <c r="AN201" s="187">
        <f ca="1">[1]!s_fa_cagr_netprofit($E201,AN$6,3)</f>
        <v>71.783842983522476</v>
      </c>
      <c r="AO201" s="187">
        <f ca="1">[1]!s_fa_cagr_netprofit($E201,AO$6,3)</f>
        <v>23.021175052332698</v>
      </c>
      <c r="AP201" s="189"/>
      <c r="AQ201" s="202">
        <f ca="1">[1]!s_fa_dupont_roe(E201,$C$3)</f>
        <v>-6.0431999999999997</v>
      </c>
      <c r="AR201" s="202">
        <f ca="1">[1]!s_fa_dupont_nptosales(B201,$C$3)</f>
        <v>-7.6337999999999999</v>
      </c>
      <c r="AS201" s="237">
        <f ca="1">[1]!s_fa_dupont_faturnover(E201,$C$3)</f>
        <v>0.48299999999999998</v>
      </c>
      <c r="AT201" s="202">
        <f ca="1">[1]!s_fa_dupont_assetstoequity(E201,$C$3)</f>
        <v>1.6890000000000001</v>
      </c>
      <c r="AU201" s="189"/>
      <c r="AV201" s="189"/>
      <c r="AW201" s="189"/>
      <c r="AX201" s="189"/>
      <c r="AY201" s="189"/>
      <c r="AZ201" s="189"/>
      <c r="BA201" s="189"/>
      <c r="BB201" s="189"/>
      <c r="BC201" s="189"/>
      <c r="BD201" s="189"/>
      <c r="BE201" s="189"/>
    </row>
    <row r="202" spans="1:57" s="130" customFormat="1" ht="12" customHeight="1" x14ac:dyDescent="0.35">
      <c r="A202" s="121" t="s">
        <v>5</v>
      </c>
      <c r="B202" s="121" t="s">
        <v>86</v>
      </c>
      <c r="C202" s="121" t="s">
        <v>87</v>
      </c>
      <c r="D202" s="121" t="str">
        <f ca="1">[1]!cb_info_underlyingname(B202)</f>
        <v>银信科技</v>
      </c>
      <c r="E202" s="122" t="str">
        <f ca="1">[1]!cb_info_underlyingcode(B202)</f>
        <v>300231.SZ</v>
      </c>
      <c r="F202" s="123" t="str">
        <f ca="1">[1]!s_info_industry_sw(B202,1)</f>
        <v>计算机</v>
      </c>
      <c r="G202" s="123" t="str">
        <f ca="1">[1]!s_info_industry_sw(E202,2)</f>
        <v>计算机应用</v>
      </c>
      <c r="H202" s="123" t="str">
        <f ca="1">[1]!s_info_industry_sw(E202,3)</f>
        <v>IT服务</v>
      </c>
      <c r="I202" s="156" t="str">
        <f ca="1">[1]!s_info_majorproducttype(E202)</f>
        <v>行业专用软件、系统集成服务</v>
      </c>
      <c r="J202" s="129">
        <f ca="1">[1]!s_val_ev(E202,$B$2,100000000)</f>
        <v>41.026900415999997</v>
      </c>
      <c r="K202" s="157">
        <f ca="1">[1]!s_share_total(E202,$B$2,100000000)</f>
        <v>4.4210022000000002</v>
      </c>
      <c r="L202" s="157">
        <f ca="1">[1]!s_share_liqa(E202,$B$2,100000000)</f>
        <v>3.6653320100000002</v>
      </c>
      <c r="M202" s="125">
        <f ca="1">[1]!s_fa_gr_ttm2(E202,$C$3,100000000)</f>
        <v>19.812135896699999</v>
      </c>
      <c r="N202" s="126">
        <f ca="1">[1]!s_fa_netprofit_ttm2(E202,$C$3,100000000)</f>
        <v>1.5710229372</v>
      </c>
      <c r="O202" s="125"/>
      <c r="P202" s="126">
        <f ca="1">[1]!s_val_pe_ttm(E202,[1]!td($B$2-1))</f>
        <v>24.057661056518555</v>
      </c>
      <c r="Q202" s="126">
        <f ca="1">[1]!i_val_pe_percentile(E202,[1]!td($B$2-1),$B$2-365*5,[1]!td($B$2-1))</f>
        <v>20.230263157894736</v>
      </c>
      <c r="R202" s="126">
        <f ca="1">[1]!pb_mrq(E202,[1]!td($B$2-1))</f>
        <v>3.0359682380190351</v>
      </c>
      <c r="S202" s="126">
        <f ca="1">[1]!i_val_pb_percentile(E202,[1]!td($B$2-1),$B$2-365*5,[1]!td($B$2-1))</f>
        <v>47.368421052631575</v>
      </c>
      <c r="T202" s="126">
        <f ca="1">[1]!s_val_pe_ttm([1]!to_windcode_index(H202&amp;"(申万)"),[1]!td($B$2-1))</f>
        <v>47.130001068115234</v>
      </c>
      <c r="U202" s="125"/>
      <c r="V202" s="125">
        <f ca="1">[1]!s_fa_roe(E202,$C$3)</f>
        <v>10.489599999999999</v>
      </c>
      <c r="W202" s="125">
        <f ca="1">[1]!s_fa_grossprofitmargin(E202,$C$3)</f>
        <v>23.3918</v>
      </c>
      <c r="X202" s="125">
        <f ca="1">[1]!s_fa_netprofitmargin(E202,$C$3)</f>
        <v>9.6305999999999994</v>
      </c>
      <c r="Y202" s="125">
        <f ca="1">[1]!s_fa_roic(E202,$C$3)</f>
        <v>7.6125999999999996</v>
      </c>
      <c r="Z202" s="125">
        <f ca="1">[1]!s_fa_operateincometoebt_ttm2(E202,$C$3)</f>
        <v>95.206699999999998</v>
      </c>
      <c r="AA202" s="125"/>
      <c r="AB202" s="343"/>
      <c r="AC202" s="125">
        <f ca="1">[1]!s_fa_cagr_tr($E202,AC$6,3)</f>
        <v>0</v>
      </c>
      <c r="AD202" s="125">
        <f ca="1">[1]!s_fa_cagr_tr($E202,AD$6,3)</f>
        <v>35.39517559718248</v>
      </c>
      <c r="AE202" s="126">
        <f ca="1">[1]!s_fa_cagr_tr($E202,AE$6,3)</f>
        <v>13.660834771943197</v>
      </c>
      <c r="AF202" s="126">
        <f ca="1">[1]!s_fa_cagr_tr($E202,AF$6,3)</f>
        <v>22.040794435547937</v>
      </c>
      <c r="AG202" s="126">
        <f ca="1">[1]!s_fa_cagr_tr($E202,AG$6,3)</f>
        <v>24.029046915553653</v>
      </c>
      <c r="AH202" s="126">
        <f ca="1">[1]!s_fa_cagr_tr($E202,AH$6,3)</f>
        <v>40.124485183232082</v>
      </c>
      <c r="AI202" s="169"/>
      <c r="AJ202" s="126">
        <f ca="1">[1]!s_fa_cagr_netprofit($E202,AJ$6,3)</f>
        <v>0</v>
      </c>
      <c r="AK202" s="126">
        <f ca="1">[1]!s_fa_cagr_netprofit($E202,AK$6,3)</f>
        <v>9.7516591177968515</v>
      </c>
      <c r="AL202" s="126">
        <f ca="1">[1]!s_fa_cagr_netprofit($E202,AL$6,3)</f>
        <v>5.2426056451624126</v>
      </c>
      <c r="AM202" s="126">
        <f ca="1">[1]!s_fa_cagr_netprofit($E202,AM$6,3)</f>
        <v>10.536313387244501</v>
      </c>
      <c r="AN202" s="126">
        <f ca="1">[1]!s_fa_cagr_netprofit($E202,AN$6,3)</f>
        <v>28.678619067888246</v>
      </c>
      <c r="AO202" s="126">
        <f ca="1">[1]!s_fa_cagr_netprofit($E202,AO$6,3)</f>
        <v>36.918325366188022</v>
      </c>
      <c r="AP202" s="129"/>
      <c r="AQ202" s="203">
        <f ca="1">[1]!s_fa_dupont_roe(E202,$C$3)</f>
        <v>10.489599999999999</v>
      </c>
      <c r="AR202" s="203">
        <f ca="1">[1]!s_fa_dupont_nptosales(B202,$C$3)</f>
        <v>9.6305999999999994</v>
      </c>
      <c r="AS202" s="238">
        <f ca="1">[1]!s_fa_dupont_faturnover(E202,$C$3)</f>
        <v>0.56830000000000003</v>
      </c>
      <c r="AT202" s="203">
        <f ca="1">[1]!s_fa_dupont_assetstoequity(E202,$C$3)</f>
        <v>1.9165000000000001</v>
      </c>
      <c r="AU202" s="129"/>
      <c r="AV202" s="129"/>
      <c r="AW202" s="129"/>
      <c r="AX202" s="129"/>
      <c r="AY202" s="129"/>
      <c r="AZ202" s="129"/>
      <c r="BA202" s="129"/>
      <c r="BB202" s="129"/>
      <c r="BC202" s="129"/>
      <c r="BD202" s="129"/>
      <c r="BE202" s="129"/>
    </row>
    <row r="203" spans="1:57" s="191" customFormat="1" ht="12" customHeight="1" x14ac:dyDescent="0.35">
      <c r="A203" s="182" t="s">
        <v>5</v>
      </c>
      <c r="B203" s="182" t="s">
        <v>491</v>
      </c>
      <c r="C203" s="182" t="s">
        <v>492</v>
      </c>
      <c r="D203" s="182" t="str">
        <f ca="1">[1]!cb_info_underlyingname(B203)</f>
        <v>久其软件</v>
      </c>
      <c r="E203" s="183" t="str">
        <f ca="1">[1]!cb_info_underlyingcode(B203)</f>
        <v>002279.SZ</v>
      </c>
      <c r="F203" s="184" t="str">
        <f ca="1">[1]!s_info_industry_sw(B203,1)</f>
        <v>计算机</v>
      </c>
      <c r="G203" s="184" t="str">
        <f ca="1">[1]!s_info_industry_sw(E203,2)</f>
        <v>计算机应用</v>
      </c>
      <c r="H203" s="184" t="str">
        <f ca="1">[1]!s_info_industry_sw(E203,3)</f>
        <v>软件开发</v>
      </c>
      <c r="I203" s="192" t="str">
        <f ca="1">[1]!s_info_majorproducttype(E203)</f>
        <v>ERP软件、行业专用软件</v>
      </c>
      <c r="J203" s="189">
        <f ca="1">[1]!s_val_ev(E203,$B$2,100000000)</f>
        <v>34.248366894200004</v>
      </c>
      <c r="K203" s="193">
        <f ca="1">[1]!s_share_total(E203,$B$2,100000000)</f>
        <v>7.1054703100000003</v>
      </c>
      <c r="L203" s="193">
        <f ca="1">[1]!s_share_liqa(E203,$B$2,100000000)</f>
        <v>6.4148628800000003</v>
      </c>
      <c r="M203" s="186">
        <f ca="1">[1]!s_fa_gr_ttm2(E203,$C$3,100000000)</f>
        <v>31.293002942899999</v>
      </c>
      <c r="N203" s="187">
        <f ca="1">[1]!s_fa_netprofit_ttm2(E203,$C$3,100000000)</f>
        <v>-0.82980302840000009</v>
      </c>
      <c r="O203" s="186"/>
      <c r="P203" s="187">
        <f ca="1">[1]!s_val_pe_ttm(E203,[1]!td($B$2-1))</f>
        <v>35.390216827392578</v>
      </c>
      <c r="Q203" s="187">
        <f ca="1">[1]!i_val_pe_percentile(E203,[1]!td($B$2-1),$B$2-365*5,[1]!td($B$2-1))</f>
        <v>48.319641523525021</v>
      </c>
      <c r="R203" s="187">
        <f ca="1">[1]!pb_mrq(E203,[1]!td($B$2-1))</f>
        <v>4.160358030771917</v>
      </c>
      <c r="S203" s="187">
        <f ca="1">[1]!i_val_pb_percentile(E203,[1]!td($B$2-1),$B$2-365*5,[1]!td($B$2-1))</f>
        <v>43.804824561403507</v>
      </c>
      <c r="T203" s="187">
        <f ca="1">[1]!s_val_pe_ttm([1]!to_windcode_index(H203&amp;"(申万)"),[1]!td($B$2-1))</f>
        <v>64.720001220703125</v>
      </c>
      <c r="U203" s="187"/>
      <c r="V203" s="187">
        <f ca="1">[1]!s_fa_roe(E203,$C$3)</f>
        <v>-12.7178</v>
      </c>
      <c r="W203" s="187">
        <f ca="1">[1]!s_fa_grossprofitmargin(E203,$C$3)</f>
        <v>17.697800000000001</v>
      </c>
      <c r="X203" s="187">
        <f ca="1">[1]!s_fa_netprofitmargin(E203,$C$3)</f>
        <v>-7.3653000000000004</v>
      </c>
      <c r="Y203" s="187">
        <f ca="1">[1]!s_fa_roic(E203,$C$3)</f>
        <v>-5.6509999999999998</v>
      </c>
      <c r="Z203" s="187">
        <f ca="1">[1]!s_fa_operateincometoebt_ttm2(E203,$C$3)</f>
        <v>0</v>
      </c>
      <c r="AA203" s="186"/>
      <c r="AB203" s="342"/>
      <c r="AC203" s="186">
        <f ca="1">[1]!s_fa_cagr_tr($E203,AC$6,3)</f>
        <v>0</v>
      </c>
      <c r="AD203" s="186">
        <f ca="1">[1]!s_fa_cagr_tr($E203,AD$6,3)</f>
        <v>12.299898094535422</v>
      </c>
      <c r="AE203" s="187">
        <f ca="1">[1]!s_fa_cagr_tr($E203,AE$6,3)</f>
        <v>32.918376930440331</v>
      </c>
      <c r="AF203" s="187">
        <f ca="1">[1]!s_fa_cagr_tr($E203,AF$6,3)</f>
        <v>55.988964658445873</v>
      </c>
      <c r="AG203" s="187">
        <f ca="1">[1]!s_fa_cagr_tr($E203,AG$6,3)</f>
        <v>82.69883047812867</v>
      </c>
      <c r="AH203" s="187">
        <f ca="1">[1]!s_fa_cagr_tr($E203,AH$6,3)</f>
        <v>65.846760946077836</v>
      </c>
      <c r="AI203" s="194"/>
      <c r="AJ203" s="187">
        <f ca="1">[1]!s_fa_cagr_netprofit($E203,AJ$6,3)</f>
        <v>0</v>
      </c>
      <c r="AK203" s="187">
        <f ca="1">[1]!s_fa_cagr_netprofit($E203,AK$6,3)</f>
        <v>-38.434326132577581</v>
      </c>
      <c r="AL203" s="187">
        <f ca="1">[1]!s_fa_cagr_netprofit($E203,AL$6,3)</f>
        <v>-37.934979271764078</v>
      </c>
      <c r="AM203" s="187">
        <f ca="1">[1]!s_fa_cagr_netprofit($E203,AM$6,3)</f>
        <v>-284.04446150864339</v>
      </c>
      <c r="AN203" s="187">
        <f ca="1">[1]!s_fa_cagr_netprofit($E203,AN$6,3)</f>
        <v>61.640191739919103</v>
      </c>
      <c r="AO203" s="187">
        <f ca="1">[1]!s_fa_cagr_netprofit($E203,AO$6,3)</f>
        <v>54.363660148739498</v>
      </c>
      <c r="AP203" s="189"/>
      <c r="AQ203" s="202">
        <f ca="1">[1]!s_fa_dupont_roe(E203,$C$3)</f>
        <v>-12.7178</v>
      </c>
      <c r="AR203" s="202">
        <f ca="1">[1]!s_fa_dupont_nptosales(B203,$C$3)</f>
        <v>-7.3653000000000004</v>
      </c>
      <c r="AS203" s="237">
        <f ca="1">[1]!s_fa_dupont_faturnover(E203,$C$3)</f>
        <v>0.68420000000000003</v>
      </c>
      <c r="AT203" s="202">
        <f ca="1">[1]!s_fa_dupont_assetstoequity(E203,$C$3)</f>
        <v>2.7214999999999998</v>
      </c>
      <c r="AU203" s="189"/>
      <c r="AV203" s="201"/>
      <c r="AW203" s="189"/>
      <c r="AX203" s="189"/>
      <c r="AY203" s="189"/>
      <c r="AZ203" s="189"/>
      <c r="BA203" s="189"/>
      <c r="BB203" s="189"/>
      <c r="BC203" s="189"/>
      <c r="BD203" s="189"/>
      <c r="BE203" s="189"/>
    </row>
    <row r="204" spans="1:57" s="130" customFormat="1" ht="12" customHeight="1" x14ac:dyDescent="0.35">
      <c r="A204" s="121" t="s">
        <v>5</v>
      </c>
      <c r="B204" s="121" t="s">
        <v>130</v>
      </c>
      <c r="C204" s="121" t="s">
        <v>131</v>
      </c>
      <c r="D204" s="121" t="str">
        <f ca="1">[1]!cb_info_underlyingname(B204)</f>
        <v>今天国际</v>
      </c>
      <c r="E204" s="122" t="str">
        <f ca="1">[1]!cb_info_underlyingcode(B204)</f>
        <v>300532.SZ</v>
      </c>
      <c r="F204" s="123" t="str">
        <f ca="1">[1]!s_info_industry_sw(B204,1)</f>
        <v>计算机</v>
      </c>
      <c r="G204" s="123" t="str">
        <f ca="1">[1]!s_info_industry_sw(E204,2)</f>
        <v>计算机应用</v>
      </c>
      <c r="H204" s="123" t="str">
        <f ca="1">[1]!s_info_industry_sw(E204,3)</f>
        <v>IT服务</v>
      </c>
      <c r="I204" s="156" t="str">
        <f ca="1">[1]!s_info_majorproducttype(E204)</f>
        <v>物流仓储机械、系统集成服务</v>
      </c>
      <c r="J204" s="129">
        <f ca="1">[1]!s_val_ev(E204,$B$2,100000000)</f>
        <v>31.776972081400004</v>
      </c>
      <c r="K204" s="157">
        <f ca="1">[1]!s_share_total(E204,$B$2,100000000)</f>
        <v>2.7323277799999999</v>
      </c>
      <c r="L204" s="157">
        <f ca="1">[1]!s_share_liqa(E204,$B$2,100000000)</f>
        <v>1.6359649999999999</v>
      </c>
      <c r="M204" s="125">
        <f ca="1">[1]!s_fa_gr_ttm2(E204,$C$3,100000000)</f>
        <v>6.5483343073000002</v>
      </c>
      <c r="N204" s="126">
        <f ca="1">[1]!s_fa_netprofit_ttm2(E204,$C$3,100000000)</f>
        <v>0.65662000700000001</v>
      </c>
      <c r="O204" s="125"/>
      <c r="P204" s="126">
        <f ca="1">[1]!s_val_pe_ttm(E204,[1]!td($B$2-1))</f>
        <v>62.465335845947266</v>
      </c>
      <c r="Q204" s="126">
        <f ca="1">[1]!i_val_pe_percentile(E204,[1]!td($B$2-1),$B$2-365*5,[1]!td($B$2-1))</f>
        <v>52.785923753665685</v>
      </c>
      <c r="R204" s="126">
        <f ca="1">[1]!pb_mrq(E204,[1]!td($B$2-1))</f>
        <v>3.8372741498185583</v>
      </c>
      <c r="S204" s="126">
        <f ca="1">[1]!i_val_pb_percentile(E204,[1]!td($B$2-1),$B$2-365*5,[1]!td($B$2-1))</f>
        <v>29.057017543859647</v>
      </c>
      <c r="T204" s="126">
        <f ca="1">[1]!s_val_pe_ttm([1]!to_windcode_index(H204&amp;"(申万)"),[1]!td($B$2-1))</f>
        <v>47.130001068115234</v>
      </c>
      <c r="U204" s="126"/>
      <c r="V204" s="126">
        <f ca="1">[1]!s_fa_roe(E204,$C$3)</f>
        <v>5.6178999999999997</v>
      </c>
      <c r="W204" s="126">
        <f ca="1">[1]!s_fa_grossprofitmargin(E204,$C$3)</f>
        <v>33.761499999999998</v>
      </c>
      <c r="X204" s="126">
        <f ca="1">[1]!s_fa_netprofitmargin(E204,$C$3)</f>
        <v>9.7245000000000008</v>
      </c>
      <c r="Y204" s="126">
        <f ca="1">[1]!s_fa_roic(E204,$C$3)</f>
        <v>4.7037000000000004</v>
      </c>
      <c r="Z204" s="126">
        <f ca="1">[1]!s_fa_operateincometoebt_ttm2(E204,$C$3)</f>
        <v>76.145799999999994</v>
      </c>
      <c r="AA204" s="125"/>
      <c r="AB204" s="343"/>
      <c r="AC204" s="125">
        <f ca="1">[1]!s_fa_cagr_tr($E204,AC$6,3)</f>
        <v>0</v>
      </c>
      <c r="AD204" s="125">
        <f ca="1">[1]!s_fa_cagr_tr($E204,AD$6,3)</f>
        <v>17.741614312380083</v>
      </c>
      <c r="AE204" s="126">
        <f ca="1">[1]!s_fa_cagr_tr($E204,AE$6,3)</f>
        <v>21.352970805508733</v>
      </c>
      <c r="AF204" s="126">
        <f ca="1">[1]!s_fa_cagr_tr($E204,AF$6,3)</f>
        <v>-6.3853480109394845</v>
      </c>
      <c r="AG204" s="126">
        <f ca="1">[1]!s_fa_cagr_tr($E204,AG$6,3)</f>
        <v>5.0101554000457238</v>
      </c>
      <c r="AH204" s="126">
        <f ca="1">[1]!s_fa_cagr_tr($E204,AH$6,3)</f>
        <v>6.6792192322749688</v>
      </c>
      <c r="AI204" s="169"/>
      <c r="AJ204" s="126">
        <f ca="1">[1]!s_fa_cagr_netprofit($E204,AJ$6,3)</f>
        <v>0</v>
      </c>
      <c r="AK204" s="126">
        <f ca="1">[1]!s_fa_cagr_netprofit($E204,AK$6,3)</f>
        <v>-13.418990926893793</v>
      </c>
      <c r="AL204" s="126">
        <f ca="1">[1]!s_fa_cagr_netprofit($E204,AL$6,3)</f>
        <v>-4.5508623538799586</v>
      </c>
      <c r="AM204" s="126">
        <f ca="1">[1]!s_fa_cagr_netprofit($E204,AM$6,3)</f>
        <v>-33.623781252719851</v>
      </c>
      <c r="AN204" s="126">
        <f ca="1">[1]!s_fa_cagr_netprofit($E204,AN$6,3)</f>
        <v>8.0793916147421818</v>
      </c>
      <c r="AO204" s="126">
        <f ca="1">[1]!s_fa_cagr_netprofit($E204,AO$6,3)</f>
        <v>-2.3835693727260465</v>
      </c>
      <c r="AP204" s="129"/>
      <c r="AQ204" s="203">
        <f ca="1">[1]!s_fa_dupont_roe(E204,$C$3)</f>
        <v>5.6178999999999997</v>
      </c>
      <c r="AR204" s="203">
        <f ca="1">[1]!s_fa_dupont_nptosales(B204,$C$3)</f>
        <v>9.7245000000000008</v>
      </c>
      <c r="AS204" s="238">
        <f ca="1">[1]!s_fa_dupont_faturnover(E204,$C$3)</f>
        <v>0.23810000000000001</v>
      </c>
      <c r="AT204" s="203">
        <f ca="1">[1]!s_fa_dupont_assetstoequity(E204,$C$3)</f>
        <v>2.4268000000000001</v>
      </c>
      <c r="AU204" s="129"/>
      <c r="AV204" s="129"/>
      <c r="AW204" s="129"/>
      <c r="AX204" s="129"/>
      <c r="AY204" s="129"/>
      <c r="AZ204" s="129"/>
      <c r="BA204" s="129"/>
      <c r="BB204" s="129"/>
      <c r="BC204" s="129"/>
      <c r="BD204" s="129"/>
      <c r="BE204" s="129"/>
    </row>
    <row r="205" spans="1:57" s="191" customFormat="1" ht="12" customHeight="1" x14ac:dyDescent="0.35">
      <c r="A205" s="182" t="s">
        <v>5</v>
      </c>
      <c r="B205" s="182" t="s">
        <v>188</v>
      </c>
      <c r="C205" s="182" t="s">
        <v>189</v>
      </c>
      <c r="D205" s="182" t="str">
        <f ca="1">[1]!cb_info_underlyingname(B205)</f>
        <v>正元智慧</v>
      </c>
      <c r="E205" s="183" t="str">
        <f ca="1">[1]!cb_info_underlyingcode(B205)</f>
        <v>300645.SZ</v>
      </c>
      <c r="F205" s="184" t="str">
        <f ca="1">[1]!s_info_industry_sw(B205,1)</f>
        <v>计算机</v>
      </c>
      <c r="G205" s="184" t="str">
        <f ca="1">[1]!s_info_industry_sw(E205,2)</f>
        <v>计算机应用</v>
      </c>
      <c r="H205" s="184" t="str">
        <f ca="1">[1]!s_info_industry_sw(E205,3)</f>
        <v>IT服务</v>
      </c>
      <c r="I205" s="192" t="str">
        <f ca="1">[1]!s_info_majorproducttype(E205)</f>
        <v>运营平台系统、专用设备与零部件</v>
      </c>
      <c r="J205" s="189">
        <f ca="1">[1]!s_val_ev(E205,$B$2,100000000)</f>
        <v>28.578167903200001</v>
      </c>
      <c r="K205" s="193">
        <f ca="1">[1]!s_share_total(E205,$B$2,100000000)</f>
        <v>1.2763808800000001</v>
      </c>
      <c r="L205" s="193">
        <f ca="1">[1]!s_share_liqa(E205,$B$2,100000000)</f>
        <v>1.2763808800000001</v>
      </c>
      <c r="M205" s="186">
        <f ca="1">[1]!s_fa_gr_ttm2(E205,$C$3,100000000)</f>
        <v>8.0793981872000007</v>
      </c>
      <c r="N205" s="187">
        <f ca="1">[1]!s_fa_netprofit_ttm2(E205,$C$3,100000000)</f>
        <v>0.37423389490000003</v>
      </c>
      <c r="O205" s="186"/>
      <c r="P205" s="187">
        <f ca="1">[1]!s_val_pe_ttm(E205,[1]!td($B$2-1))</f>
        <v>80.852035522460938</v>
      </c>
      <c r="Q205" s="187">
        <f ca="1">[1]!i_val_pe_percentile(E205,[1]!td($B$2-1),$B$2-365*5,[1]!td($B$2-1))</f>
        <v>93</v>
      </c>
      <c r="R205" s="187">
        <f ca="1">[1]!pb_mrq(E205,[1]!td($B$2-1))</f>
        <v>4.3968321738156977</v>
      </c>
      <c r="S205" s="187">
        <f ca="1">[1]!i_val_pb_percentile(E205,[1]!td($B$2-1),$B$2-365*5,[1]!td($B$2-1))</f>
        <v>75.5</v>
      </c>
      <c r="T205" s="187">
        <f ca="1">[1]!s_val_pe_ttm([1]!to_windcode_index(H205&amp;"(申万)"),[1]!td($B$2-1))</f>
        <v>47.130001068115234</v>
      </c>
      <c r="U205" s="187"/>
      <c r="V205" s="187">
        <f ca="1">[1]!s_fa_roe(E205,$C$3)</f>
        <v>-0.2457</v>
      </c>
      <c r="W205" s="187">
        <f ca="1">[1]!s_fa_grossprofitmargin(E205,$C$3)</f>
        <v>41.857100000000003</v>
      </c>
      <c r="X205" s="187">
        <f ca="1">[1]!s_fa_netprofitmargin(E205,$C$3)</f>
        <v>-2.2111000000000001</v>
      </c>
      <c r="Y205" s="187">
        <f ca="1">[1]!s_fa_roic(E205,$C$3)</f>
        <v>0.3574</v>
      </c>
      <c r="Z205" s="187">
        <f ca="1">[1]!s_fa_operateincometoebt_ttm2(E205,$C$3)</f>
        <v>-10.616400000000001</v>
      </c>
      <c r="AA205" s="186"/>
      <c r="AB205" s="342"/>
      <c r="AC205" s="186">
        <f ca="1">[1]!s_fa_cagr_tr($E205,AC$6,3)</f>
        <v>0</v>
      </c>
      <c r="AD205" s="186">
        <f ca="1">[1]!s_fa_cagr_tr($E205,AD$6,3)</f>
        <v>22.517632618901384</v>
      </c>
      <c r="AE205" s="187">
        <f ca="1">[1]!s_fa_cagr_tr($E205,AE$6,3)</f>
        <v>27.381615313871777</v>
      </c>
      <c r="AF205" s="187">
        <f ca="1">[1]!s_fa_cagr_tr($E205,AF$6,3)</f>
        <v>21.017527142678016</v>
      </c>
      <c r="AG205" s="187">
        <f ca="1">[1]!s_fa_cagr_tr($E205,AG$6,3)</f>
        <v>14.091357170442297</v>
      </c>
      <c r="AH205" s="187">
        <f ca="1">[1]!s_fa_cagr_tr($E205,AH$6,3)</f>
        <v>14.291551925642775</v>
      </c>
      <c r="AI205" s="194"/>
      <c r="AJ205" s="187">
        <f ca="1">[1]!s_fa_cagr_netprofit($E205,AJ$6,3)</f>
        <v>0</v>
      </c>
      <c r="AK205" s="187">
        <f ca="1">[1]!s_fa_cagr_netprofit($E205,AK$6,3)</f>
        <v>-12.998584200599328</v>
      </c>
      <c r="AL205" s="187">
        <f ca="1">[1]!s_fa_cagr_netprofit($E205,AL$6,3)</f>
        <v>-0.49893533514981936</v>
      </c>
      <c r="AM205" s="187">
        <f ca="1">[1]!s_fa_cagr_netprofit($E205,AM$6,3)</f>
        <v>14.607574925300494</v>
      </c>
      <c r="AN205" s="187">
        <f ca="1">[1]!s_fa_cagr_netprofit($E205,AN$6,3)</f>
        <v>5.0673672615430876</v>
      </c>
      <c r="AO205" s="187">
        <f ca="1">[1]!s_fa_cagr_netprofit($E205,AO$6,3)</f>
        <v>17.054373586641013</v>
      </c>
      <c r="AP205" s="189"/>
      <c r="AQ205" s="202">
        <f ca="1">[1]!s_fa_dupont_roe(E205,$C$3)</f>
        <v>-0.2457</v>
      </c>
      <c r="AR205" s="202">
        <f ca="1">[1]!s_fa_dupont_nptosales(B205,$C$3)</f>
        <v>-2.2111000000000001</v>
      </c>
      <c r="AS205" s="237">
        <f ca="1">[1]!s_fa_dupont_faturnover(E205,$C$3)</f>
        <v>0.29670000000000002</v>
      </c>
      <c r="AT205" s="202">
        <f ca="1">[1]!s_fa_dupont_assetstoequity(E205,$C$3)</f>
        <v>2.2435</v>
      </c>
      <c r="AU205" s="189"/>
      <c r="AV205" s="189"/>
      <c r="AW205" s="189"/>
      <c r="AX205" s="189"/>
      <c r="AY205" s="189"/>
      <c r="AZ205" s="189"/>
      <c r="BA205" s="189"/>
      <c r="BB205" s="189"/>
      <c r="BC205" s="189"/>
      <c r="BD205" s="189"/>
      <c r="BE205" s="189"/>
    </row>
    <row r="206" spans="1:57" s="130" customFormat="1" ht="12" customHeight="1" x14ac:dyDescent="0.35">
      <c r="A206" s="121" t="s">
        <v>5</v>
      </c>
      <c r="B206" s="121" t="s">
        <v>120</v>
      </c>
      <c r="C206" s="121" t="s">
        <v>121</v>
      </c>
      <c r="D206" s="121" t="str">
        <f ca="1">[1]!cb_info_underlyingname(B206)</f>
        <v>思特奇</v>
      </c>
      <c r="E206" s="122" t="str">
        <f ca="1">[1]!cb_info_underlyingcode(B206)</f>
        <v>300608.SZ</v>
      </c>
      <c r="F206" s="123" t="str">
        <f ca="1">[1]!s_info_industry_sw(B206,1)</f>
        <v>计算机</v>
      </c>
      <c r="G206" s="123" t="str">
        <f ca="1">[1]!s_info_industry_sw(E206,2)</f>
        <v>计算机应用</v>
      </c>
      <c r="H206" s="123" t="str">
        <f ca="1">[1]!s_info_industry_sw(E206,3)</f>
        <v>软件开发</v>
      </c>
      <c r="I206" s="156" t="str">
        <f ca="1">[1]!s_info_majorproducttype(E206)</f>
        <v>行业专用软件</v>
      </c>
      <c r="J206" s="129">
        <f ca="1">[1]!s_val_ev(E206,$B$2,100000000)</f>
        <v>29.216953871999998</v>
      </c>
      <c r="K206" s="157">
        <f ca="1">[1]!s_share_total(E206,$B$2,100000000)</f>
        <v>2.0989190999999998</v>
      </c>
      <c r="L206" s="157">
        <f ca="1">[1]!s_share_liqa(E206,$B$2,100000000)</f>
        <v>1.63152907</v>
      </c>
      <c r="M206" s="125">
        <f ca="1">[1]!s_fa_gr_ttm2(E206,$C$3,100000000)</f>
        <v>7.3935053501999999</v>
      </c>
      <c r="N206" s="126">
        <f ca="1">[1]!s_fa_netprofit_ttm2(E206,$C$3,100000000)</f>
        <v>0.65011650070000004</v>
      </c>
      <c r="O206" s="125"/>
      <c r="P206" s="126">
        <f ca="1">[1]!s_val_pe_ttm(E206,[1]!td($B$2-1))</f>
        <v>40.760135650634766</v>
      </c>
      <c r="Q206" s="126">
        <f ca="1">[1]!i_val_pe_percentile(E206,[1]!td($B$2-1),$B$2-365*5,[1]!td($B$2-1))</f>
        <v>75.5248950209958</v>
      </c>
      <c r="R206" s="126">
        <f ca="1">[1]!pb_mrq(E206,[1]!td($B$2-1))</f>
        <v>3.42708024554508</v>
      </c>
      <c r="S206" s="126">
        <f ca="1">[1]!i_val_pb_percentile(E206,[1]!td($B$2-1),$B$2-365*5,[1]!td($B$2-1))</f>
        <v>27.384523095380924</v>
      </c>
      <c r="T206" s="126">
        <f ca="1">[1]!s_val_pe_ttm([1]!to_windcode_index(H206&amp;"(申万)"),[1]!td($B$2-1))</f>
        <v>64.720001220703125</v>
      </c>
      <c r="U206" s="126"/>
      <c r="V206" s="126">
        <f ca="1">[1]!s_fa_roe(E206,$C$3)</f>
        <v>-2.8529</v>
      </c>
      <c r="W206" s="126">
        <f ca="1">[1]!s_fa_grossprofitmargin(E206,$C$3)</f>
        <v>39.814599999999999</v>
      </c>
      <c r="X206" s="126">
        <f ca="1">[1]!s_fa_netprofitmargin(E206,$C$3)</f>
        <v>-7.5122</v>
      </c>
      <c r="Y206" s="126">
        <f ca="1">[1]!s_fa_roic(E206,$C$3)</f>
        <v>-0.10150000000000001</v>
      </c>
      <c r="Z206" s="126">
        <f ca="1">[1]!s_fa_operateincometoebt_ttm2(E206,$C$3)</f>
        <v>88.415300000000002</v>
      </c>
      <c r="AA206" s="125"/>
      <c r="AB206" s="343"/>
      <c r="AC206" s="125">
        <f ca="1">[1]!s_fa_cagr_tr($E206,AC$6,3)</f>
        <v>0</v>
      </c>
      <c r="AD206" s="125">
        <f ca="1">[1]!s_fa_cagr_tr($E206,AD$6,3)</f>
        <v>-0.1248535633473935</v>
      </c>
      <c r="AE206" s="126">
        <f ca="1">[1]!s_fa_cagr_tr($E206,AE$6,3)</f>
        <v>7.8467761117174684</v>
      </c>
      <c r="AF206" s="126">
        <f ca="1">[1]!s_fa_cagr_tr($E206,AF$6,3)</f>
        <v>8.6396945794239279</v>
      </c>
      <c r="AG206" s="126">
        <f ca="1">[1]!s_fa_cagr_tr($E206,AG$6,3)</f>
        <v>7.4868541280523226</v>
      </c>
      <c r="AH206" s="126">
        <f ca="1">[1]!s_fa_cagr_tr($E206,AH$6,3)</f>
        <v>7.5594030255022426</v>
      </c>
      <c r="AI206" s="169"/>
      <c r="AJ206" s="126">
        <f ca="1">[1]!s_fa_cagr_netprofit($E206,AJ$6,3)</f>
        <v>0</v>
      </c>
      <c r="AK206" s="126">
        <f ca="1">[1]!s_fa_cagr_netprofit($E206,AK$6,3)</f>
        <v>2.5973841246353491</v>
      </c>
      <c r="AL206" s="126">
        <f ca="1">[1]!s_fa_cagr_netprofit($E206,AL$6,3)</f>
        <v>17.957382743116558</v>
      </c>
      <c r="AM206" s="126">
        <f ca="1">[1]!s_fa_cagr_netprofit($E206,AM$6,3)</f>
        <v>21.640230514239089</v>
      </c>
      <c r="AN206" s="126">
        <f ca="1">[1]!s_fa_cagr_netprofit($E206,AN$6,3)</f>
        <v>8.6641206818477414</v>
      </c>
      <c r="AO206" s="126">
        <f ca="1">[1]!s_fa_cagr_netprofit($E206,AO$6,3)</f>
        <v>12.244270854867922</v>
      </c>
      <c r="AP206" s="129"/>
      <c r="AQ206" s="203">
        <f ca="1">[1]!s_fa_dupont_roe(E206,$C$3)</f>
        <v>-2.8529</v>
      </c>
      <c r="AR206" s="203">
        <f ca="1">[1]!s_fa_dupont_nptosales(B206,$C$3)</f>
        <v>-7.5122</v>
      </c>
      <c r="AS206" s="238">
        <f ca="1">[1]!s_fa_dupont_faturnover(E206,$C$3)</f>
        <v>0.19409999999999999</v>
      </c>
      <c r="AT206" s="203">
        <f ca="1">[1]!s_fa_dupont_assetstoequity(E206,$C$3)</f>
        <v>2.1526000000000001</v>
      </c>
      <c r="AU206" s="129"/>
      <c r="AV206" s="129"/>
      <c r="AW206" s="129"/>
      <c r="AX206" s="129"/>
      <c r="AY206" s="129"/>
      <c r="AZ206" s="129"/>
      <c r="BA206" s="129"/>
      <c r="BB206" s="129"/>
      <c r="BC206" s="129"/>
      <c r="BD206" s="129"/>
      <c r="BE206" s="129"/>
    </row>
    <row r="207" spans="1:57" s="191" customFormat="1" ht="12" customHeight="1" x14ac:dyDescent="0.35">
      <c r="A207" s="182" t="s">
        <v>0</v>
      </c>
      <c r="B207" s="182" t="s">
        <v>921</v>
      </c>
      <c r="C207" s="182" t="s">
        <v>922</v>
      </c>
      <c r="D207" s="182" t="str">
        <f ca="1">[1]!cb_info_underlyingname(B207)</f>
        <v>杭叉集团</v>
      </c>
      <c r="E207" s="183" t="str">
        <f ca="1">[1]!cb_info_underlyingcode(B207)</f>
        <v>603298.SH</v>
      </c>
      <c r="F207" s="184" t="str">
        <f ca="1">[1]!s_info_industry_sw(B207,1)</f>
        <v>机械设备</v>
      </c>
      <c r="G207" s="184" t="str">
        <f ca="1">[1]!s_info_industry_sw(E207,2)</f>
        <v>专用设备</v>
      </c>
      <c r="H207" s="184" t="str">
        <f ca="1">[1]!s_info_industry_sw(E207,3)</f>
        <v>工程机械</v>
      </c>
      <c r="I207" s="192" t="str">
        <f ca="1">[1]!s_info_majorproducttype(E207)</f>
        <v>专用车</v>
      </c>
      <c r="J207" s="189">
        <f ca="1">[1]!s_val_ev(E207,$B$2,100000000)</f>
        <v>162.1026639092</v>
      </c>
      <c r="K207" s="193">
        <f ca="1">[1]!s_share_total(E207,$B$2,100000000)</f>
        <v>8.6639585199999996</v>
      </c>
      <c r="L207" s="193">
        <f ca="1">[1]!s_share_liqa(E207,$B$2,100000000)</f>
        <v>8.6639585199999996</v>
      </c>
      <c r="M207" s="186">
        <f ca="1">[1]!s_fa_gr_ttm2(E207,$C$3,100000000)</f>
        <v>103.1251029168</v>
      </c>
      <c r="N207" s="187">
        <f ca="1">[1]!s_fa_netprofit_ttm2(E207,$C$3,100000000)</f>
        <v>7.9310535985000001</v>
      </c>
      <c r="O207" s="186"/>
      <c r="P207" s="187">
        <f ca="1">[1]!s_val_pe_ttm(E207,[1]!td($B$2-1))</f>
        <v>17.386333465576172</v>
      </c>
      <c r="Q207" s="187">
        <f ca="1">[1]!i_val_pe_percentile(E207,[1]!td($B$2-1),$B$2-365*5,[1]!td($B$2-1))</f>
        <v>47.988338192419825</v>
      </c>
      <c r="R207" s="187">
        <f ca="1">[1]!pb_mrq(E207,[1]!td($B$2-1))</f>
        <v>3.2082789373883971</v>
      </c>
      <c r="S207" s="187">
        <f ca="1">[1]!i_val_pb_percentile(E207,[1]!td($B$2-1),$B$2-365*5,[1]!td($B$2-1))</f>
        <v>63.673469387755098</v>
      </c>
      <c r="T207" s="187">
        <f ca="1">[1]!s_val_pe_ttm([1]!to_windcode_index(H207&amp;"(申万)"),[1]!td($B$2-1))</f>
        <v>13.260000228881836</v>
      </c>
      <c r="U207" s="187"/>
      <c r="V207" s="187">
        <f ca="1">[1]!s_fa_roe(E207,$C$3)</f>
        <v>13.904</v>
      </c>
      <c r="W207" s="187">
        <f ca="1">[1]!s_fa_grossprofitmargin(E207,$C$3)</f>
        <v>20.658000000000001</v>
      </c>
      <c r="X207" s="187">
        <f ca="1">[1]!s_fa_netprofitmargin(E207,$C$3)</f>
        <v>8.3727</v>
      </c>
      <c r="Y207" s="187">
        <f ca="1">[1]!s_fa_roic(E207,$C$3)</f>
        <v>13.260999999999999</v>
      </c>
      <c r="Z207" s="187">
        <f ca="1">[1]!s_fa_operateincometoebt_ttm2(E207,$C$3)</f>
        <v>76.356200000000001</v>
      </c>
      <c r="AA207" s="186"/>
      <c r="AB207" s="342"/>
      <c r="AC207" s="186">
        <f ca="1">[1]!s_fa_cagr_tr($E207,AC$6,3)</f>
        <v>0</v>
      </c>
      <c r="AD207" s="186">
        <f ca="1">[1]!s_fa_cagr_tr($E207,AD$6,3)</f>
        <v>17.809341343956355</v>
      </c>
      <c r="AE207" s="187">
        <f ca="1">[1]!s_fa_cagr_tr($E207,AE$6,3)</f>
        <v>18.132351421843996</v>
      </c>
      <c r="AF207" s="187">
        <f ca="1">[1]!s_fa_cagr_tr($E207,AF$6,3)</f>
        <v>22.667072799912489</v>
      </c>
      <c r="AG207" s="187">
        <f ca="1">[1]!s_fa_cagr_tr($E207,AG$6,3)</f>
        <v>8.0035431244873223</v>
      </c>
      <c r="AH207" s="187">
        <f ca="1">[1]!s_fa_cagr_tr($E207,AH$6,3)</f>
        <v>-1.20906111602338</v>
      </c>
      <c r="AI207" s="194"/>
      <c r="AJ207" s="187">
        <f ca="1">[1]!s_fa_cagr_netprofit($E207,AJ$6,3)</f>
        <v>0</v>
      </c>
      <c r="AK207" s="187">
        <f ca="1">[1]!s_fa_cagr_netprofit($E207,AK$6,3)</f>
        <v>20.868365898563802</v>
      </c>
      <c r="AL207" s="187">
        <f ca="1">[1]!s_fa_cagr_netprofit($E207,AL$6,3)</f>
        <v>16.986267010708687</v>
      </c>
      <c r="AM207" s="187">
        <f ca="1">[1]!s_fa_cagr_netprofit($E207,AM$6,3)</f>
        <v>15.207653449280789</v>
      </c>
      <c r="AN207" s="187">
        <f ca="1">[1]!s_fa_cagr_netprofit($E207,AN$6,3)</f>
        <v>6.0571402820619014</v>
      </c>
      <c r="AO207" s="187">
        <f ca="1">[1]!s_fa_cagr_netprofit($E207,AO$6,3)</f>
        <v>9.8135273192643027</v>
      </c>
      <c r="AP207" s="189"/>
      <c r="AQ207" s="202">
        <f ca="1">[1]!s_fa_dupont_roe(E207,$C$3)</f>
        <v>13.904</v>
      </c>
      <c r="AR207" s="202">
        <f ca="1">[1]!s_fa_dupont_nptosales(B207,$C$3)</f>
        <v>8.3727</v>
      </c>
      <c r="AS207" s="237">
        <f ca="1">[1]!s_fa_dupont_faturnover(E207,$C$3)</f>
        <v>1.1443000000000001</v>
      </c>
      <c r="AT207" s="202">
        <f ca="1">[1]!s_fa_dupont_assetstoequity(E207,$C$3)</f>
        <v>1.5918000000000001</v>
      </c>
      <c r="AU207" s="189"/>
      <c r="AV207" s="201"/>
      <c r="AW207" s="189"/>
      <c r="AX207" s="189"/>
      <c r="AY207" s="189"/>
      <c r="AZ207" s="189"/>
      <c r="BA207" s="189"/>
      <c r="BB207" s="189"/>
      <c r="BC207" s="189"/>
      <c r="BD207" s="189"/>
      <c r="BE207" s="189"/>
    </row>
    <row r="208" spans="1:57" s="130" customFormat="1" ht="12" customHeight="1" x14ac:dyDescent="0.35">
      <c r="A208" s="121" t="s">
        <v>5</v>
      </c>
      <c r="B208" s="121" t="s">
        <v>340</v>
      </c>
      <c r="C208" s="121" t="s">
        <v>341</v>
      </c>
      <c r="D208" s="121" t="str">
        <f ca="1">[1]!cb_info_underlyingname(B208)</f>
        <v>精测电子</v>
      </c>
      <c r="E208" s="122" t="str">
        <f ca="1">[1]!cb_info_underlyingcode(B208)</f>
        <v>300567.SZ</v>
      </c>
      <c r="F208" s="123" t="str">
        <f ca="1">[1]!s_info_industry_sw(B208,1)</f>
        <v>机械设备</v>
      </c>
      <c r="G208" s="123" t="str">
        <f ca="1">[1]!s_info_industry_sw(E208,2)</f>
        <v>仪器仪表Ⅱ</v>
      </c>
      <c r="H208" s="123" t="str">
        <f ca="1">[1]!s_info_industry_sw(E208,3)</f>
        <v>仪器仪表Ⅲ</v>
      </c>
      <c r="I208" s="156" t="str">
        <f ca="1">[1]!s_info_majorproducttype(E208)</f>
        <v>电子测试和测量仪器</v>
      </c>
      <c r="J208" s="129">
        <f ca="1">[1]!s_val_ev(E208,$B$2,100000000)</f>
        <v>165.21703763400001</v>
      </c>
      <c r="K208" s="157">
        <f ca="1">[1]!s_share_total(E208,$B$2,100000000)</f>
        <v>2.7814316099999998</v>
      </c>
      <c r="L208" s="157">
        <f ca="1">[1]!s_share_liqa(E208,$B$2,100000000)</f>
        <v>1.7007381500000001</v>
      </c>
      <c r="M208" s="125">
        <f ca="1">[1]!s_fa_gr_ttm2(E208,$C$3,100000000)</f>
        <v>17.4919213539</v>
      </c>
      <c r="N208" s="126">
        <f ca="1">[1]!s_fa_netprofit_ttm2(E208,$C$3,100000000)</f>
        <v>2.0115425393000002</v>
      </c>
      <c r="O208" s="125"/>
      <c r="P208" s="126">
        <f ca="1">[1]!s_val_pe_ttm(E208,[1]!td($B$2-1))</f>
        <v>48.389842987060547</v>
      </c>
      <c r="Q208" s="126">
        <f ca="1">[1]!i_val_pe_percentile(E208,[1]!td($B$2-1),$B$2-365*5,[1]!td($B$2-1))</f>
        <v>30.685714285714287</v>
      </c>
      <c r="R208" s="126">
        <f ca="1">[1]!pb_mrq(E208,[1]!td($B$2-1))</f>
        <v>5.1734581001111017</v>
      </c>
      <c r="S208" s="126">
        <f ca="1">[1]!i_val_pb_percentile(E208,[1]!td($B$2-1),$B$2-365*5,[1]!td($B$2-1))</f>
        <v>1.0285714285714285</v>
      </c>
      <c r="T208" s="126">
        <f ca="1">[1]!s_val_pe_ttm([1]!to_windcode_index(H208&amp;"(申万)"),[1]!td($B$2-1))</f>
        <v>39.270000457763672</v>
      </c>
      <c r="U208" s="126"/>
      <c r="V208" s="126">
        <f ca="1">[1]!s_fa_roe(E208,$C$3)</f>
        <v>9.9189000000000007</v>
      </c>
      <c r="W208" s="126">
        <f ca="1">[1]!s_fa_grossprofitmargin(E208,$C$3)</f>
        <v>50.857100000000003</v>
      </c>
      <c r="X208" s="126">
        <f ca="1">[1]!s_fa_netprofitmargin(E208,$C$3)</f>
        <v>11.8459</v>
      </c>
      <c r="Y208" s="126">
        <f ca="1">[1]!s_fa_roic(E208,$C$3)</f>
        <v>5.5669000000000004</v>
      </c>
      <c r="Z208" s="126">
        <f ca="1">[1]!s_fa_operateincometoebt_ttm2(E208,$C$3)</f>
        <v>80.505700000000004</v>
      </c>
      <c r="AA208" s="125"/>
      <c r="AB208" s="343"/>
      <c r="AC208" s="125">
        <f ca="1">[1]!s_fa_cagr_tr($E208,AC$6,3)</f>
        <v>0</v>
      </c>
      <c r="AD208" s="125">
        <f ca="1">[1]!s_fa_cagr_tr($E208,AD$6,3)</f>
        <v>32.380753111444747</v>
      </c>
      <c r="AE208" s="126">
        <f ca="1">[1]!s_fa_cagr_tr($E208,AE$6,3)</f>
        <v>54.983493358811387</v>
      </c>
      <c r="AF208" s="126">
        <f ca="1">[1]!s_fa_cagr_tr($E208,AF$6,3)</f>
        <v>49.29781662362214</v>
      </c>
      <c r="AG208" s="126">
        <f ca="1">[1]!s_fa_cagr_tr($E208,AG$6,3)</f>
        <v>52.082170129556445</v>
      </c>
      <c r="AH208" s="126">
        <f ca="1">[1]!s_fa_cagr_tr($E208,AH$6,3)</f>
        <v>53.694057763632806</v>
      </c>
      <c r="AI208" s="169"/>
      <c r="AJ208" s="126">
        <f ca="1">[1]!s_fa_cagr_netprofit($E208,AJ$6,3)</f>
        <v>0</v>
      </c>
      <c r="AK208" s="126">
        <f ca="1">[1]!s_fa_cagr_netprofit($E208,AK$6,3)</f>
        <v>13.387094444551417</v>
      </c>
      <c r="AL208" s="126">
        <f ca="1">[1]!s_fa_cagr_netprofit($E208,AL$6,3)</f>
        <v>39.813825807328193</v>
      </c>
      <c r="AM208" s="126">
        <f ca="1">[1]!s_fa_cagr_netprofit($E208,AM$6,3)</f>
        <v>55.567527707631271</v>
      </c>
      <c r="AN208" s="126">
        <f ca="1">[1]!s_fa_cagr_netprofit($E208,AN$6,3)</f>
        <v>49.215700746168437</v>
      </c>
      <c r="AO208" s="126">
        <f ca="1">[1]!s_fa_cagr_netprofit($E208,AO$6,3)</f>
        <v>25.655747721700894</v>
      </c>
      <c r="AP208" s="129"/>
      <c r="AQ208" s="203">
        <f ca="1">[1]!s_fa_dupont_roe(E208,$C$3)</f>
        <v>9.9189000000000007</v>
      </c>
      <c r="AR208" s="203">
        <f ca="1">[1]!s_fa_dupont_nptosales(B208,$C$3)</f>
        <v>11.8459</v>
      </c>
      <c r="AS208" s="238">
        <f ca="1">[1]!s_fa_dupont_faturnover(E208,$C$3)</f>
        <v>0.28120000000000001</v>
      </c>
      <c r="AT208" s="203">
        <f ca="1">[1]!s_fa_dupont_assetstoequity(E208,$C$3)</f>
        <v>2.8776000000000002</v>
      </c>
      <c r="AU208" s="129"/>
      <c r="AV208" s="129"/>
      <c r="AW208" s="129"/>
      <c r="AX208" s="129"/>
      <c r="AY208" s="129"/>
      <c r="AZ208" s="129"/>
      <c r="BA208" s="129"/>
      <c r="BB208" s="129"/>
      <c r="BC208" s="129"/>
      <c r="BD208" s="129"/>
      <c r="BE208" s="129"/>
    </row>
    <row r="209" spans="1:57" s="191" customFormat="1" ht="12" customHeight="1" x14ac:dyDescent="0.35">
      <c r="A209" s="182" t="s">
        <v>0</v>
      </c>
      <c r="B209" s="182" t="s">
        <v>166</v>
      </c>
      <c r="C209" s="182" t="s">
        <v>167</v>
      </c>
      <c r="D209" s="182" t="str">
        <f ca="1">[1]!cb_info_underlyingname(B209)</f>
        <v>龙净环保</v>
      </c>
      <c r="E209" s="183" t="str">
        <f ca="1">[1]!cb_info_underlyingcode(B209)</f>
        <v>600388.SH</v>
      </c>
      <c r="F209" s="184" t="str">
        <f ca="1">[1]!s_info_industry_sw(B209,1)</f>
        <v>机械设备</v>
      </c>
      <c r="G209" s="184" t="str">
        <f ca="1">[1]!s_info_industry_sw(E209,2)</f>
        <v>专用设备</v>
      </c>
      <c r="H209" s="184" t="str">
        <f ca="1">[1]!s_info_industry_sw(E209,3)</f>
        <v>环保设备</v>
      </c>
      <c r="I209" s="192" t="str">
        <f ca="1">[1]!s_info_majorproducttype(E209)</f>
        <v>电子元器件、工控机械、水电、物业出租和管理、烟气脱硫系统</v>
      </c>
      <c r="J209" s="189">
        <f ca="1">[1]!s_val_ev(E209,$B$2,100000000)</f>
        <v>99.636708693599999</v>
      </c>
      <c r="K209" s="193">
        <f ca="1">[1]!s_share_total(E209,$B$2,100000000)</f>
        <v>10.690633979999999</v>
      </c>
      <c r="L209" s="193">
        <f ca="1">[1]!s_share_liqa(E209,$B$2,100000000)</f>
        <v>10.690633979999999</v>
      </c>
      <c r="M209" s="186">
        <f ca="1">[1]!s_fa_gr_ttm2(E209,$C$3,100000000)</f>
        <v>100.36019372850001</v>
      </c>
      <c r="N209" s="187">
        <f ca="1">[1]!s_fa_netprofit_ttm2(E209,$C$3,100000000)</f>
        <v>8.6618880149000006</v>
      </c>
      <c r="O209" s="186"/>
      <c r="P209" s="187">
        <f ca="1">[1]!s_val_pe_ttm(E209,[1]!td($B$2-1))</f>
        <v>11.021729469299316</v>
      </c>
      <c r="Q209" s="187">
        <f ca="1">[1]!i_val_pe_percentile(E209,[1]!td($B$2-1),$B$2-365*5,[1]!td($B$2-1))</f>
        <v>6.3048245614035086</v>
      </c>
      <c r="R209" s="187">
        <f ca="1">[1]!pb_mrq(E209,[1]!td($B$2-1))</f>
        <v>1.6228400753307843</v>
      </c>
      <c r="S209" s="187">
        <f ca="1">[1]!i_val_pb_percentile(E209,[1]!td($B$2-1),$B$2-365*5,[1]!td($B$2-1))</f>
        <v>9.5394736842105274</v>
      </c>
      <c r="T209" s="187">
        <f ca="1">[1]!s_val_pe_ttm([1]!to_windcode_index(H209&amp;"(申万)"),[1]!td($B$2-1))</f>
        <v>23.280000686645508</v>
      </c>
      <c r="U209" s="187"/>
      <c r="V209" s="187">
        <f ca="1">[1]!s_fa_roe(E209,$C$3)</f>
        <v>9.7493999999999996</v>
      </c>
      <c r="W209" s="187">
        <f ca="1">[1]!s_fa_grossprofitmargin(E209,$C$3)</f>
        <v>23.273399999999999</v>
      </c>
      <c r="X209" s="187">
        <f ca="1">[1]!s_fa_netprofitmargin(E209,$C$3)</f>
        <v>8.3229000000000006</v>
      </c>
      <c r="Y209" s="187">
        <f ca="1">[1]!s_fa_roic(E209,$C$3)</f>
        <v>6.4874000000000001</v>
      </c>
      <c r="Z209" s="187">
        <f ca="1">[1]!s_fa_operateincometoebt_ttm2(E209,$C$3)</f>
        <v>77.066299999999998</v>
      </c>
      <c r="AA209" s="186"/>
      <c r="AB209" s="342"/>
      <c r="AC209" s="186">
        <f ca="1">[1]!s_fa_cagr_tr($E209,AC$6,3)</f>
        <v>0</v>
      </c>
      <c r="AD209" s="186">
        <f ca="1">[1]!s_fa_cagr_tr($E209,AD$6,3)</f>
        <v>7.8628276355807269</v>
      </c>
      <c r="AE209" s="187">
        <f ca="1">[1]!s_fa_cagr_tr($E209,AE$6,3)</f>
        <v>10.870997459734744</v>
      </c>
      <c r="AF209" s="187">
        <f ca="1">[1]!s_fa_cagr_tr($E209,AF$6,3)</f>
        <v>8.3538588751028477</v>
      </c>
      <c r="AG209" s="187">
        <f ca="1">[1]!s_fa_cagr_tr($E209,AG$6,3)</f>
        <v>10.415322568545381</v>
      </c>
      <c r="AH209" s="187">
        <f ca="1">[1]!s_fa_cagr_tr($E209,AH$6,3)</f>
        <v>12.949268502047628</v>
      </c>
      <c r="AI209" s="194"/>
      <c r="AJ209" s="187">
        <f ca="1">[1]!s_fa_cagr_netprofit($E209,AJ$6,3)</f>
        <v>0</v>
      </c>
      <c r="AK209" s="187">
        <f ca="1">[1]!s_fa_cagr_netprofit($E209,AK$6,3)</f>
        <v>-1.0011609979451164</v>
      </c>
      <c r="AL209" s="187">
        <f ca="1">[1]!s_fa_cagr_netprofit($E209,AL$6,3)</f>
        <v>8.6289957440070175</v>
      </c>
      <c r="AM209" s="187">
        <f ca="1">[1]!s_fa_cagr_netprofit($E209,AM$6,3)</f>
        <v>12.671907333764064</v>
      </c>
      <c r="AN209" s="187">
        <f ca="1">[1]!s_fa_cagr_netprofit($E209,AN$6,3)</f>
        <v>16.052599799858449</v>
      </c>
      <c r="AO209" s="187">
        <f ca="1">[1]!s_fa_cagr_netprofit($E209,AO$6,3)</f>
        <v>13.280202433196187</v>
      </c>
      <c r="AP209" s="189"/>
      <c r="AQ209" s="202">
        <f ca="1">[1]!s_fa_dupont_roe(E209,$C$3)</f>
        <v>9.7493999999999996</v>
      </c>
      <c r="AR209" s="202">
        <f ca="1">[1]!s_fa_dupont_nptosales(B209,$C$3)</f>
        <v>8.3229000000000006</v>
      </c>
      <c r="AS209" s="237">
        <f ca="1">[1]!s_fa_dupont_faturnover(E209,$C$3)</f>
        <v>0.29920000000000002</v>
      </c>
      <c r="AT209" s="202">
        <f ca="1">[1]!s_fa_dupont_assetstoequity(E209,$C$3)</f>
        <v>3.9622000000000002</v>
      </c>
      <c r="AU209" s="189"/>
      <c r="AV209" s="189"/>
      <c r="AW209" s="189"/>
      <c r="AX209" s="189"/>
      <c r="AY209" s="189"/>
      <c r="AZ209" s="189"/>
      <c r="BA209" s="189"/>
      <c r="BB209" s="189"/>
      <c r="BC209" s="189"/>
      <c r="BD209" s="189"/>
      <c r="BE209" s="189"/>
    </row>
    <row r="210" spans="1:57" s="130" customFormat="1" ht="12" customHeight="1" x14ac:dyDescent="0.35">
      <c r="A210" s="121" t="s">
        <v>5</v>
      </c>
      <c r="B210" s="121" t="s">
        <v>902</v>
      </c>
      <c r="C210" s="121" t="s">
        <v>903</v>
      </c>
      <c r="D210" s="121" t="str">
        <f ca="1">[1]!cb_info_underlyingname(B210)</f>
        <v>拓斯达</v>
      </c>
      <c r="E210" s="122" t="str">
        <f ca="1">[1]!cb_info_underlyingcode(B210)</f>
        <v>300607.SZ</v>
      </c>
      <c r="F210" s="123" t="str">
        <f ca="1">[1]!s_info_industry_sw(B210,1)</f>
        <v>机械设备</v>
      </c>
      <c r="G210" s="123" t="str">
        <f ca="1">[1]!s_info_industry_sw(E210,2)</f>
        <v>通用机械</v>
      </c>
      <c r="H210" s="123" t="str">
        <f ca="1">[1]!s_info_industry_sw(E210,3)</f>
        <v>其它通用机械</v>
      </c>
      <c r="I210" s="156" t="str">
        <f ca="1">[1]!s_info_majorproducttype(E210)</f>
        <v>系统集成服务</v>
      </c>
      <c r="J210" s="129">
        <f ca="1">[1]!s_val_ev(E210,$B$2,100000000)</f>
        <v>92.428681123999993</v>
      </c>
      <c r="K210" s="157">
        <f ca="1">[1]!s_share_total(E210,$B$2,100000000)</f>
        <v>4.2633155499999997</v>
      </c>
      <c r="L210" s="157">
        <f ca="1">[1]!s_share_liqa(E210,$B$2,100000000)</f>
        <v>2.78006004</v>
      </c>
      <c r="M210" s="125">
        <f ca="1">[1]!s_fa_gr_ttm2(E210,$C$3,100000000)</f>
        <v>26.009663703499999</v>
      </c>
      <c r="N210" s="126">
        <f ca="1">[1]!s_fa_netprofit_ttm2(E210,$C$3,100000000)</f>
        <v>5.6120063670000002</v>
      </c>
      <c r="O210" s="125"/>
      <c r="P210" s="126">
        <f ca="1">[1]!s_val_pe_ttm(E210,[1]!td($B$2-1))</f>
        <v>37.375965118408203</v>
      </c>
      <c r="Q210" s="126">
        <f ca="1">[1]!i_val_pe_percentile(E210,[1]!td($B$2-1),$B$2-365*5,[1]!td($B$2-1))</f>
        <v>58.408138839018555</v>
      </c>
      <c r="R210" s="126">
        <f ca="1">[1]!pb_mrq(E210,[1]!td($B$2-1))</f>
        <v>4.2270024912077711</v>
      </c>
      <c r="S210" s="126">
        <f ca="1">[1]!i_val_pb_percentile(E210,[1]!td($B$2-1),$B$2-365*5,[1]!td($B$2-1))</f>
        <v>10.891681627767804</v>
      </c>
      <c r="T210" s="126">
        <f ca="1">[1]!s_val_pe_ttm([1]!to_windcode_index(H210&amp;"(申万)"),[1]!td($B$2-1))</f>
        <v>42.619998931884766</v>
      </c>
      <c r="U210" s="126"/>
      <c r="V210" s="126">
        <f ca="1">[1]!s_fa_roe(E210,$C$3)</f>
        <v>27.013000000000002</v>
      </c>
      <c r="W210" s="126">
        <f ca="1">[1]!s_fa_grossprofitmargin(E210,$C$3)</f>
        <v>53.538699999999999</v>
      </c>
      <c r="X210" s="126">
        <f ca="1">[1]!s_fa_netprofitmargin(E210,$C$3)</f>
        <v>25.5672</v>
      </c>
      <c r="Y210" s="126">
        <f ca="1">[1]!s_fa_roic(E210,$C$3)</f>
        <v>23.892299999999999</v>
      </c>
      <c r="Z210" s="126">
        <f ca="1">[1]!s_fa_operateincometoebt_ttm2(E210,$C$3)</f>
        <v>94.816900000000004</v>
      </c>
      <c r="AA210" s="125"/>
      <c r="AB210" s="343"/>
      <c r="AC210" s="125">
        <f ca="1">[1]!s_fa_cagr_tr($E210,AC$6,3)</f>
        <v>0</v>
      </c>
      <c r="AD210" s="125">
        <f ca="1">[1]!s_fa_cagr_tr($E210,AD$6,3)</f>
        <v>53.327148876108851</v>
      </c>
      <c r="AE210" s="126">
        <f ca="1">[1]!s_fa_cagr_tr($E210,AE$6,3)</f>
        <v>56.510410778083454</v>
      </c>
      <c r="AF210" s="126">
        <f ca="1">[1]!s_fa_cagr_tr($E210,AF$6,3)</f>
        <v>58.266722524466694</v>
      </c>
      <c r="AG210" s="126">
        <f ca="1">[1]!s_fa_cagr_tr($E210,AG$6,3)</f>
        <v>52.95708099570431</v>
      </c>
      <c r="AH210" s="126">
        <f ca="1">[1]!s_fa_cagr_tr($E210,AH$6,3)</f>
        <v>41.740592734525059</v>
      </c>
      <c r="AI210" s="169"/>
      <c r="AJ210" s="126">
        <f ca="1">[1]!s_fa_cagr_netprofit($E210,AJ$6,3)</f>
        <v>0</v>
      </c>
      <c r="AK210" s="126">
        <f ca="1">[1]!s_fa_cagr_netprofit($E210,AK$6,3)</f>
        <v>55.574421271974231</v>
      </c>
      <c r="AL210" s="126">
        <f ca="1">[1]!s_fa_cagr_netprofit($E210,AL$6,3)</f>
        <v>33.981442459267264</v>
      </c>
      <c r="AM210" s="126">
        <f ca="1">[1]!s_fa_cagr_netprofit($E210,AM$6,3)</f>
        <v>40.206959869307759</v>
      </c>
      <c r="AN210" s="126">
        <f ca="1">[1]!s_fa_cagr_netprofit($E210,AN$6,3)</f>
        <v>43.494953590781172</v>
      </c>
      <c r="AO210" s="126">
        <f ca="1">[1]!s_fa_cagr_netprofit($E210,AO$6,3)</f>
        <v>33.812804214236827</v>
      </c>
      <c r="AP210" s="129"/>
      <c r="AQ210" s="203">
        <f ca="1">[1]!s_fa_dupont_roe(E210,$C$3)</f>
        <v>27.013000000000002</v>
      </c>
      <c r="AR210" s="203">
        <f ca="1">[1]!s_fa_dupont_nptosales(B210,$C$3)</f>
        <v>25.5672</v>
      </c>
      <c r="AS210" s="238">
        <f ca="1">[1]!s_fa_dupont_faturnover(E210,$C$3)</f>
        <v>0.626</v>
      </c>
      <c r="AT210" s="203">
        <f ca="1">[1]!s_fa_dupont_assetstoequity(E210,$C$3)</f>
        <v>1.6917</v>
      </c>
      <c r="AU210" s="129"/>
      <c r="AV210" s="129"/>
      <c r="AW210" s="129"/>
      <c r="AX210" s="129"/>
      <c r="AY210" s="129"/>
      <c r="AZ210" s="129"/>
      <c r="BA210" s="129"/>
      <c r="BB210" s="129"/>
      <c r="BC210" s="129"/>
      <c r="BD210" s="129"/>
      <c r="BE210" s="129"/>
    </row>
    <row r="211" spans="1:57" s="191" customFormat="1" ht="12" customHeight="1" x14ac:dyDescent="0.35">
      <c r="A211" s="182" t="s">
        <v>0</v>
      </c>
      <c r="B211" s="182" t="s">
        <v>561</v>
      </c>
      <c r="C211" s="182" t="s">
        <v>562</v>
      </c>
      <c r="D211" s="182" t="str">
        <f ca="1">[1]!cb_info_underlyingname(B211)</f>
        <v>威派格</v>
      </c>
      <c r="E211" s="183" t="str">
        <f ca="1">[1]!cb_info_underlyingcode(B211)</f>
        <v>603956.SH</v>
      </c>
      <c r="F211" s="184" t="str">
        <f ca="1">[1]!s_info_industry_sw(B211,1)</f>
        <v>机械设备</v>
      </c>
      <c r="G211" s="184" t="str">
        <f ca="1">[1]!s_info_industry_sw(E211,2)</f>
        <v>专用设备</v>
      </c>
      <c r="H211" s="184" t="str">
        <f ca="1">[1]!s_info_industry_sw(E211,3)</f>
        <v>其它专用机械</v>
      </c>
      <c r="I211" s="192" t="str">
        <f ca="1">[1]!s_info_majorproducttype(E211)</f>
        <v>专用设备与零部件</v>
      </c>
      <c r="J211" s="189">
        <f ca="1">[1]!s_val_ev(E211,$B$2,100000000)</f>
        <v>80.208334846499994</v>
      </c>
      <c r="K211" s="193">
        <f ca="1">[1]!s_share_total(E211,$B$2,100000000)</f>
        <v>4.2596035499999996</v>
      </c>
      <c r="L211" s="193">
        <f ca="1">[1]!s_share_liqa(E211,$B$2,100000000)</f>
        <v>0.87860355000000001</v>
      </c>
      <c r="M211" s="186">
        <f ca="1">[1]!s_fa_gr_ttm2(E211,$C$3,100000000)</f>
        <v>9.1719271952000003</v>
      </c>
      <c r="N211" s="187">
        <f ca="1">[1]!s_fa_netprofit_ttm2(E211,$C$3,100000000)</f>
        <v>1.3197558970000001</v>
      </c>
      <c r="O211" s="186"/>
      <c r="P211" s="187">
        <f ca="1">[1]!s_val_pe_ttm(E211,[1]!td($B$2-1))</f>
        <v>37.325637817382813</v>
      </c>
      <c r="Q211" s="187">
        <f ca="1">[1]!i_val_pe_percentile(E211,[1]!td($B$2-1),$B$2-365*5,[1]!td($B$2-1))</f>
        <v>14.331896551724139</v>
      </c>
      <c r="R211" s="187">
        <f ca="1">[1]!pb_mrq(E211,[1]!td($B$2-1))</f>
        <v>7.212773641862916</v>
      </c>
      <c r="S211" s="187">
        <f ca="1">[1]!i_val_pb_percentile(E211,[1]!td($B$2-1),$B$2-365*5,[1]!td($B$2-1))</f>
        <v>67.133620689655174</v>
      </c>
      <c r="T211" s="187">
        <f ca="1">[1]!s_val_pe_ttm([1]!to_windcode_index(H211&amp;"(申万)"),[1]!td($B$2-1))</f>
        <v>64.029998779296875</v>
      </c>
      <c r="U211" s="187"/>
      <c r="V211" s="187">
        <f ca="1">[1]!s_fa_roe(E211,$C$3)</f>
        <v>7.4066999999999998</v>
      </c>
      <c r="W211" s="187">
        <f ca="1">[1]!s_fa_grossprofitmargin(E211,$C$3)</f>
        <v>66.026899999999998</v>
      </c>
      <c r="X211" s="187">
        <f ca="1">[1]!s_fa_netprofitmargin(E211,$C$3)</f>
        <v>14.1343</v>
      </c>
      <c r="Y211" s="187">
        <f ca="1">[1]!s_fa_roic(E211,$C$3)</f>
        <v>7.0124000000000004</v>
      </c>
      <c r="Z211" s="187">
        <f ca="1">[1]!s_fa_operateincometoebt_ttm2(E211,$C$3)</f>
        <v>82.645600000000002</v>
      </c>
      <c r="AA211" s="186"/>
      <c r="AB211" s="342"/>
      <c r="AC211" s="186">
        <f ca="1">[1]!s_fa_cagr_tr($E211,AC$6,3)</f>
        <v>0</v>
      </c>
      <c r="AD211" s="186">
        <f ca="1">[1]!s_fa_cagr_tr($E211,AD$6,3)</f>
        <v>19.103794278045537</v>
      </c>
      <c r="AE211" s="187">
        <f ca="1">[1]!s_fa_cagr_tr($E211,AE$6,3)</f>
        <v>17.86552052863124</v>
      </c>
      <c r="AF211" s="187">
        <f ca="1">[1]!s_fa_cagr_tr($E211,AF$6,3)</f>
        <v>11.067498880350168</v>
      </c>
      <c r="AG211" s="187">
        <f ca="1">[1]!s_fa_cagr_tr($E211,AG$6,3)</f>
        <v>11.779028808053415</v>
      </c>
      <c r="AH211" s="187">
        <f ca="1">[1]!s_fa_cagr_tr($E211,AH$6,3)</f>
        <v>16.541333892078036</v>
      </c>
      <c r="AI211" s="194"/>
      <c r="AJ211" s="187">
        <f ca="1">[1]!s_fa_cagr_netprofit($E211,AJ$6,3)</f>
        <v>0</v>
      </c>
      <c r="AK211" s="187">
        <f ca="1">[1]!s_fa_cagr_netprofit($E211,AK$6,3)</f>
        <v>16.186879064175198</v>
      </c>
      <c r="AL211" s="187">
        <f ca="1">[1]!s_fa_cagr_netprofit($E211,AL$6,3)</f>
        <v>4.168448041629591</v>
      </c>
      <c r="AM211" s="187">
        <f ca="1">[1]!s_fa_cagr_netprofit($E211,AM$6,3)</f>
        <v>7.8540720797898755</v>
      </c>
      <c r="AN211" s="187">
        <f ca="1">[1]!s_fa_cagr_netprofit($E211,AN$6,3)</f>
        <v>16.557306942035854</v>
      </c>
      <c r="AO211" s="187">
        <f ca="1">[1]!s_fa_cagr_netprofit($E211,AO$6,3)</f>
        <v>21.991340150361903</v>
      </c>
      <c r="AP211" s="189"/>
      <c r="AQ211" s="202">
        <f ca="1">[1]!s_fa_dupont_roe(E211,$C$3)</f>
        <v>7.4066999999999998</v>
      </c>
      <c r="AR211" s="202">
        <f ca="1">[1]!s_fa_dupont_nptosales(B211,$C$3)</f>
        <v>14.1343</v>
      </c>
      <c r="AS211" s="237">
        <f ca="1">[1]!s_fa_dupont_faturnover(E211,$C$3)</f>
        <v>0.3881</v>
      </c>
      <c r="AT211" s="202">
        <f ca="1">[1]!s_fa_dupont_assetstoequity(E211,$C$3)</f>
        <v>1.3501000000000001</v>
      </c>
      <c r="AU211" s="189"/>
      <c r="AV211" s="201"/>
      <c r="AW211" s="189"/>
      <c r="AX211" s="189"/>
      <c r="AY211" s="189"/>
      <c r="AZ211" s="189"/>
      <c r="BA211" s="189"/>
      <c r="BB211" s="189"/>
      <c r="BC211" s="189"/>
      <c r="BD211" s="189"/>
      <c r="BE211" s="189"/>
    </row>
    <row r="212" spans="1:57" s="130" customFormat="1" ht="12" customHeight="1" x14ac:dyDescent="0.35">
      <c r="A212" s="121" t="s">
        <v>0</v>
      </c>
      <c r="B212" s="121" t="s">
        <v>78</v>
      </c>
      <c r="C212" s="121" t="s">
        <v>79</v>
      </c>
      <c r="D212" s="121" t="str">
        <f ca="1">[1]!cb_info_underlyingname(B212)</f>
        <v>上海沪工</v>
      </c>
      <c r="E212" s="122" t="str">
        <f ca="1">[1]!cb_info_underlyingcode(B212)</f>
        <v>603131.SH</v>
      </c>
      <c r="F212" s="123" t="str">
        <f ca="1">[1]!s_info_industry_sw(B212,1)</f>
        <v>机械设备</v>
      </c>
      <c r="G212" s="123" t="str">
        <f ca="1">[1]!s_info_industry_sw(E212,2)</f>
        <v>通用机械</v>
      </c>
      <c r="H212" s="123" t="str">
        <f ca="1">[1]!s_info_industry_sw(E212,3)</f>
        <v>其它通用机械</v>
      </c>
      <c r="I212" s="156" t="str">
        <f ca="1">[1]!s_info_majorproducttype(E212)</f>
        <v>航空零部件、机床机械、专业咨询服务</v>
      </c>
      <c r="J212" s="129">
        <f ca="1">[1]!s_val_ev(E212,$B$2,100000000)</f>
        <v>73.135462790000005</v>
      </c>
      <c r="K212" s="157">
        <f ca="1">[1]!s_share_total(E212,$B$2,100000000)</f>
        <v>3.17980273</v>
      </c>
      <c r="L212" s="157">
        <f ca="1">[1]!s_share_liqa(E212,$B$2,100000000)</f>
        <v>2.9736677899999999</v>
      </c>
      <c r="M212" s="125">
        <f ca="1">[1]!s_fa_gr_ttm2(E212,$C$3,100000000)</f>
        <v>9.7281198796000012</v>
      </c>
      <c r="N212" s="126">
        <f ca="1">[1]!s_fa_netprofit_ttm2(E212,$C$3,100000000)</f>
        <v>1.0788597018000001</v>
      </c>
      <c r="O212" s="125"/>
      <c r="P212" s="126">
        <f ca="1">[1]!s_val_pe_ttm(E212,[1]!td($B$2-1))</f>
        <v>51.935173034667969</v>
      </c>
      <c r="Q212" s="126">
        <f ca="1">[1]!i_val_pe_percentile(E212,[1]!td($B$2-1),$B$2-365*5,[1]!td($B$2-1))</f>
        <v>12.335526315789473</v>
      </c>
      <c r="R212" s="126">
        <f ca="1">[1]!pb_mrq(E212,[1]!td($B$2-1))</f>
        <v>5.665897947404706</v>
      </c>
      <c r="S212" s="126">
        <f ca="1">[1]!i_val_pb_percentile(E212,[1]!td($B$2-1),$B$2-365*5,[1]!td($B$2-1))</f>
        <v>60.032894736842103</v>
      </c>
      <c r="T212" s="126">
        <f ca="1">[1]!s_val_pe_ttm([1]!to_windcode_index(H212&amp;"(申万)"),[1]!td($B$2-1))</f>
        <v>42.619998931884766</v>
      </c>
      <c r="U212" s="126"/>
      <c r="V212" s="126">
        <f ca="1">[1]!s_fa_roe(E212,$C$3)</f>
        <v>4.3715000000000002</v>
      </c>
      <c r="W212" s="126">
        <f ca="1">[1]!s_fa_grossprofitmargin(E212,$C$3)</f>
        <v>27.794</v>
      </c>
      <c r="X212" s="126">
        <f ca="1">[1]!s_fa_netprofitmargin(E212,$C$3)</f>
        <v>8.7045999999999992</v>
      </c>
      <c r="Y212" s="126">
        <f ca="1">[1]!s_fa_roic(E212,$C$3)</f>
        <v>3.4948999999999999</v>
      </c>
      <c r="Z212" s="126">
        <f ca="1">[1]!s_fa_operateincometoebt_ttm2(E212,$C$3)</f>
        <v>88.201300000000003</v>
      </c>
      <c r="AA212" s="125"/>
      <c r="AB212" s="343"/>
      <c r="AC212" s="125">
        <f ca="1">[1]!s_fa_cagr_tr($E212,AC$6,3)</f>
        <v>0</v>
      </c>
      <c r="AD212" s="125">
        <f ca="1">[1]!s_fa_cagr_tr($E212,AD$6,3)</f>
        <v>15.073731220409382</v>
      </c>
      <c r="AE212" s="126">
        <f ca="1">[1]!s_fa_cagr_tr($E212,AE$6,3)</f>
        <v>21.970794291896212</v>
      </c>
      <c r="AF212" s="126">
        <f ca="1">[1]!s_fa_cagr_tr($E212,AF$6,3)</f>
        <v>23.407317655345359</v>
      </c>
      <c r="AG212" s="126">
        <f ca="1">[1]!s_fa_cagr_tr($E212,AG$6,3)</f>
        <v>14.1481850786076</v>
      </c>
      <c r="AH212" s="126">
        <f ca="1">[1]!s_fa_cagr_tr($E212,AH$6,3)</f>
        <v>0.74156039925872275</v>
      </c>
      <c r="AI212" s="169"/>
      <c r="AJ212" s="126">
        <f ca="1">[1]!s_fa_cagr_netprofit($E212,AJ$6,3)</f>
        <v>0</v>
      </c>
      <c r="AK212" s="126">
        <f ca="1">[1]!s_fa_cagr_netprofit($E212,AK$6,3)</f>
        <v>21.086928752423685</v>
      </c>
      <c r="AL212" s="126">
        <f ca="1">[1]!s_fa_cagr_netprofit($E212,AL$6,3)</f>
        <v>11.198395184800303</v>
      </c>
      <c r="AM212" s="126">
        <f ca="1">[1]!s_fa_cagr_netprofit($E212,AM$6,3)</f>
        <v>15.257106205962678</v>
      </c>
      <c r="AN212" s="126">
        <f ca="1">[1]!s_fa_cagr_netprofit($E212,AN$6,3)</f>
        <v>10.49242766114553</v>
      </c>
      <c r="AO212" s="126">
        <f ca="1">[1]!s_fa_cagr_netprofit($E212,AO$6,3)</f>
        <v>11.078896717986897</v>
      </c>
      <c r="AP212" s="129"/>
      <c r="AQ212" s="203">
        <f ca="1">[1]!s_fa_dupont_roe(E212,$C$3)</f>
        <v>4.3715000000000002</v>
      </c>
      <c r="AR212" s="203">
        <f ca="1">[1]!s_fa_dupont_nptosales(B212,$C$3)</f>
        <v>8.7045999999999992</v>
      </c>
      <c r="AS212" s="238">
        <f ca="1">[1]!s_fa_dupont_faturnover(E212,$C$3)</f>
        <v>0.32550000000000001</v>
      </c>
      <c r="AT212" s="203">
        <f ca="1">[1]!s_fa_dupont_assetstoequity(E212,$C$3)</f>
        <v>1.5338000000000001</v>
      </c>
      <c r="AU212" s="129"/>
      <c r="AV212" s="129"/>
      <c r="AW212" s="129"/>
      <c r="AX212" s="129"/>
      <c r="AY212" s="129"/>
      <c r="AZ212" s="129"/>
      <c r="BA212" s="129"/>
      <c r="BB212" s="129"/>
      <c r="BC212" s="129"/>
      <c r="BD212" s="129"/>
      <c r="BE212" s="129"/>
    </row>
    <row r="213" spans="1:57" s="191" customFormat="1" ht="12" customHeight="1" x14ac:dyDescent="0.35">
      <c r="A213" s="182" t="s">
        <v>5</v>
      </c>
      <c r="B213" s="182" t="s">
        <v>652</v>
      </c>
      <c r="C213" s="182" t="s">
        <v>653</v>
      </c>
      <c r="D213" s="182" t="str">
        <f ca="1">[1]!cb_info_underlyingname(B213)</f>
        <v>祥鑫科技</v>
      </c>
      <c r="E213" s="183" t="str">
        <f ca="1">[1]!cb_info_underlyingcode(B213)</f>
        <v>002965.SZ</v>
      </c>
      <c r="F213" s="184" t="str">
        <f ca="1">[1]!s_info_industry_sw(B213,1)</f>
        <v>机械设备</v>
      </c>
      <c r="G213" s="184" t="str">
        <f ca="1">[1]!s_info_industry_sw(E213,2)</f>
        <v>金属制品Ⅱ</v>
      </c>
      <c r="H213" s="184" t="str">
        <f ca="1">[1]!s_info_industry_sw(E213,3)</f>
        <v>金属制品Ⅲ</v>
      </c>
      <c r="I213" s="192" t="str">
        <f ca="1">[1]!s_info_majorproducttype(E213)</f>
        <v>专用设备与零部件</v>
      </c>
      <c r="J213" s="189">
        <f ca="1">[1]!s_val_ev(E213,$B$2,100000000)</f>
        <v>35.324275724000003</v>
      </c>
      <c r="K213" s="193">
        <f ca="1">[1]!s_share_total(E213,$B$2,100000000)</f>
        <v>1.50700835</v>
      </c>
      <c r="L213" s="193">
        <f ca="1">[1]!s_share_liqa(E213,$B$2,100000000)</f>
        <v>0.74945735000000002</v>
      </c>
      <c r="M213" s="186">
        <f ca="1">[1]!s_fa_gr_ttm2(E213,$C$3,100000000)</f>
        <v>17.7115793012</v>
      </c>
      <c r="N213" s="187">
        <f ca="1">[1]!s_fa_netprofit_ttm2(E213,$C$3,100000000)</f>
        <v>1.5363066044999998</v>
      </c>
      <c r="O213" s="186"/>
      <c r="P213" s="187">
        <f ca="1">[1]!s_val_pe_ttm(E213,[1]!td($B$2-1))</f>
        <v>26.722917556762695</v>
      </c>
      <c r="Q213" s="187">
        <f ca="1">[1]!i_val_pe_percentile(E213,[1]!td($B$2-1),$B$2-365*5,[1]!td($B$2-1))</f>
        <v>16.398243045387993</v>
      </c>
      <c r="R213" s="187">
        <f ca="1">[1]!pb_mrq(E213,[1]!td($B$2-1))</f>
        <v>2.033954196312576</v>
      </c>
      <c r="S213" s="187">
        <f ca="1">[1]!i_val_pb_percentile(E213,[1]!td($B$2-1),$B$2-365*5,[1]!td($B$2-1))</f>
        <v>3.5139092240117131</v>
      </c>
      <c r="T213" s="187">
        <f ca="1">[1]!s_val_pe_ttm([1]!to_windcode_index(H213&amp;"(申万)"),[1]!td($B$2-1))</f>
        <v>15.890000343322754</v>
      </c>
      <c r="U213" s="186"/>
      <c r="V213" s="186">
        <f ca="1">[1]!s_fa_roe(E213,$C$3)</f>
        <v>7.2018000000000004</v>
      </c>
      <c r="W213" s="186">
        <f ca="1">[1]!s_fa_grossprofitmargin(E213,$C$3)</f>
        <v>22.5654</v>
      </c>
      <c r="X213" s="186">
        <f ca="1">[1]!s_fa_netprofitmargin(E213,$C$3)</f>
        <v>9.2315000000000005</v>
      </c>
      <c r="Y213" s="186">
        <f ca="1">[1]!s_fa_roic(E213,$C$3)</f>
        <v>7.0781999999999998</v>
      </c>
      <c r="Z213" s="186">
        <f ca="1">[1]!s_fa_operateincometoebt_ttm2(E213,$C$3)</f>
        <v>86.301299999999998</v>
      </c>
      <c r="AA213" s="186"/>
      <c r="AB213" s="342"/>
      <c r="AC213" s="186">
        <f ca="1">[1]!s_fa_cagr_tr($E213,AC$6,3)</f>
        <v>0</v>
      </c>
      <c r="AD213" s="186">
        <f ca="1">[1]!s_fa_cagr_tr($E213,AD$6,3)</f>
        <v>9.0915532704298094</v>
      </c>
      <c r="AE213" s="187">
        <f ca="1">[1]!s_fa_cagr_tr($E213,AE$6,3)</f>
        <v>11.315196857524491</v>
      </c>
      <c r="AF213" s="187">
        <f ca="1">[1]!s_fa_cagr_tr($E213,AF$6,3)</f>
        <v>19.535919044919314</v>
      </c>
      <c r="AG213" s="187">
        <f ca="1">[1]!s_fa_cagr_tr($E213,AG$6,3)</f>
        <v>24.768169047233268</v>
      </c>
      <c r="AH213" s="187">
        <f ca="1">[1]!s_fa_cagr_tr($E213,AH$6,3)</f>
        <v>27.320256461690427</v>
      </c>
      <c r="AI213" s="194"/>
      <c r="AJ213" s="187">
        <f ca="1">[1]!s_fa_cagr_netprofit($E213,AJ$6,3)</f>
        <v>0</v>
      </c>
      <c r="AK213" s="187">
        <f ca="1">[1]!s_fa_cagr_netprofit($E213,AK$6,3)</f>
        <v>5.1328723443081259</v>
      </c>
      <c r="AL213" s="187">
        <f ca="1">[1]!s_fa_cagr_netprofit($E213,AL$6,3)</f>
        <v>9.0626633600932038</v>
      </c>
      <c r="AM213" s="187">
        <f ca="1">[1]!s_fa_cagr_netprofit($E213,AM$6,3)</f>
        <v>19.296328653241268</v>
      </c>
      <c r="AN213" s="187">
        <f ca="1">[1]!s_fa_cagr_netprofit($E213,AN$6,3)</f>
        <v>25.255428125178113</v>
      </c>
      <c r="AO213" s="187">
        <f ca="1">[1]!s_fa_cagr_netprofit($E213,AO$6,3)</f>
        <v>26.582307704800211</v>
      </c>
      <c r="AP213" s="189"/>
      <c r="AQ213" s="202">
        <f ca="1">[1]!s_fa_dupont_roe(E213,$C$3)</f>
        <v>7.2018000000000004</v>
      </c>
      <c r="AR213" s="202">
        <f ca="1">[1]!s_fa_dupont_nptosales(B213,$C$3)</f>
        <v>9.2315000000000005</v>
      </c>
      <c r="AS213" s="237">
        <f ca="1">[1]!s_fa_dupont_faturnover(E213,$C$3)</f>
        <v>0.53280000000000005</v>
      </c>
      <c r="AT213" s="202">
        <f ca="1">[1]!s_fa_dupont_assetstoequity(E213,$C$3)</f>
        <v>1.4641999999999999</v>
      </c>
      <c r="AU213" s="189"/>
      <c r="AV213" s="189"/>
      <c r="AW213" s="189"/>
      <c r="AX213" s="189"/>
      <c r="AY213" s="189"/>
      <c r="AZ213" s="189"/>
      <c r="BA213" s="189"/>
      <c r="BB213" s="189"/>
      <c r="BC213" s="189"/>
      <c r="BD213" s="189"/>
      <c r="BE213" s="189"/>
    </row>
    <row r="214" spans="1:57" s="130" customFormat="1" ht="12" customHeight="1" x14ac:dyDescent="0.35">
      <c r="A214" s="121" t="s">
        <v>5</v>
      </c>
      <c r="B214" s="121" t="s">
        <v>18</v>
      </c>
      <c r="C214" s="121" t="s">
        <v>19</v>
      </c>
      <c r="D214" s="121" t="str">
        <f ca="1">[1]!cb_info_underlyingname(B214)</f>
        <v>斯莱克</v>
      </c>
      <c r="E214" s="122" t="str">
        <f ca="1">[1]!cb_info_underlyingcode(B214)</f>
        <v>300382.SZ</v>
      </c>
      <c r="F214" s="123" t="str">
        <f ca="1">[1]!s_info_industry_sw(B214,1)</f>
        <v>机械设备</v>
      </c>
      <c r="G214" s="123" t="str">
        <f ca="1">[1]!s_info_industry_sw(E214,2)</f>
        <v>专用设备</v>
      </c>
      <c r="H214" s="123" t="str">
        <f ca="1">[1]!s_info_industry_sw(E214,3)</f>
        <v>其它专用机械</v>
      </c>
      <c r="I214" s="156" t="str">
        <f ca="1">[1]!s_info_majorproducttype(E214)</f>
        <v>工控机械、专用设备与零部件</v>
      </c>
      <c r="J214" s="129">
        <f ca="1">[1]!s_val_ev(E214,$B$2,100000000)</f>
        <v>178.8009525386</v>
      </c>
      <c r="K214" s="157">
        <f ca="1">[1]!s_share_total(E214,$B$2,100000000)</f>
        <v>5.6457515799999998</v>
      </c>
      <c r="L214" s="157">
        <f ca="1">[1]!s_share_liqa(E214,$B$2,100000000)</f>
        <v>5.6451733300000004</v>
      </c>
      <c r="M214" s="125">
        <f ca="1">[1]!s_fa_gr_ttm2(E214,$C$3,100000000)</f>
        <v>8.2694982672999995</v>
      </c>
      <c r="N214" s="126">
        <f ca="1">[1]!s_fa_netprofit_ttm2(E214,$C$3,100000000)</f>
        <v>0.66805387520000004</v>
      </c>
      <c r="O214" s="125"/>
      <c r="P214" s="126">
        <f ca="1">[1]!s_val_pe_ttm(E214,[1]!td($B$2-1))</f>
        <v>303.2681884765625</v>
      </c>
      <c r="Q214" s="126">
        <f ca="1">[1]!i_val_pe_percentile(E214,[1]!td($B$2-1),$B$2-365*5,[1]!td($B$2-1))</f>
        <v>100</v>
      </c>
      <c r="R214" s="126">
        <f ca="1">[1]!pb_mrq(E214,[1]!td($B$2-1))</f>
        <v>17.137199708775206</v>
      </c>
      <c r="S214" s="126">
        <f ca="1">[1]!i_val_pb_percentile(E214,[1]!td($B$2-1),$B$2-365*5,[1]!td($B$2-1))</f>
        <v>100</v>
      </c>
      <c r="T214" s="126">
        <f ca="1">[1]!s_val_pe_ttm([1]!to_windcode_index(H214&amp;"(申万)"),[1]!td($B$2-1))</f>
        <v>64.029998779296875</v>
      </c>
      <c r="U214" s="126"/>
      <c r="V214" s="126">
        <f ca="1">[1]!s_fa_roe(E214,$C$3)</f>
        <v>5.6094999999999997</v>
      </c>
      <c r="W214" s="126">
        <f ca="1">[1]!s_fa_grossprofitmargin(E214,$C$3)</f>
        <v>36.209299999999999</v>
      </c>
      <c r="X214" s="126">
        <f ca="1">[1]!s_fa_netprofitmargin(E214,$C$3)</f>
        <v>9.2790999999999997</v>
      </c>
      <c r="Y214" s="126">
        <f ca="1">[1]!s_fa_roic(E214,$C$3)</f>
        <v>4.0038999999999998</v>
      </c>
      <c r="Z214" s="126">
        <f ca="1">[1]!s_fa_operateincometoebt_ttm2(E214,$C$3)</f>
        <v>80.245800000000003</v>
      </c>
      <c r="AA214" s="125"/>
      <c r="AB214" s="343"/>
      <c r="AC214" s="125">
        <f ca="1">[1]!s_fa_cagr_tr($E214,AC$6,3)</f>
        <v>0</v>
      </c>
      <c r="AD214" s="125">
        <f ca="1">[1]!s_fa_cagr_tr($E214,AD$6,3)</f>
        <v>17.188592580959174</v>
      </c>
      <c r="AE214" s="126">
        <f ca="1">[1]!s_fa_cagr_tr($E214,AE$6,3)</f>
        <v>26.79289355384784</v>
      </c>
      <c r="AF214" s="126">
        <f ca="1">[1]!s_fa_cagr_tr($E214,AF$6,3)</f>
        <v>28.515508725236582</v>
      </c>
      <c r="AG214" s="126">
        <f ca="1">[1]!s_fa_cagr_tr($E214,AG$6,3)</f>
        <v>23.381680758230907</v>
      </c>
      <c r="AH214" s="126">
        <f ca="1">[1]!s_fa_cagr_tr($E214,AH$6,3)</f>
        <v>6.4559087648507818</v>
      </c>
      <c r="AI214" s="169"/>
      <c r="AJ214" s="126">
        <f ca="1">[1]!s_fa_cagr_netprofit($E214,AJ$6,3)</f>
        <v>0</v>
      </c>
      <c r="AK214" s="126">
        <f ca="1">[1]!s_fa_cagr_netprofit($E214,AK$6,3)</f>
        <v>-21.969303513729919</v>
      </c>
      <c r="AL214" s="126">
        <f ca="1">[1]!s_fa_cagr_netprofit($E214,AL$6,3)</f>
        <v>-3.5302921082082661</v>
      </c>
      <c r="AM214" s="126">
        <f ca="1">[1]!s_fa_cagr_netprofit($E214,AM$6,3)</f>
        <v>11.904462655694893</v>
      </c>
      <c r="AN214" s="126">
        <f ca="1">[1]!s_fa_cagr_netprofit($E214,AN$6,3)</f>
        <v>16.754863487163306</v>
      </c>
      <c r="AO214" s="126">
        <f ca="1">[1]!s_fa_cagr_netprofit($E214,AO$6,3)</f>
        <v>4.0040778989665515</v>
      </c>
      <c r="AP214" s="129"/>
      <c r="AQ214" s="203">
        <f ca="1">[1]!s_fa_dupont_roe(E214,$C$3)</f>
        <v>5.6094999999999997</v>
      </c>
      <c r="AR214" s="203">
        <f ca="1">[1]!s_fa_dupont_nptosales(B214,$C$3)</f>
        <v>9.2790999999999997</v>
      </c>
      <c r="AS214" s="238">
        <f ca="1">[1]!s_fa_dupont_faturnover(E214,$C$3)</f>
        <v>0.28849999999999998</v>
      </c>
      <c r="AT214" s="203">
        <f ca="1">[1]!s_fa_dupont_assetstoequity(E214,$C$3)</f>
        <v>2.0472000000000001</v>
      </c>
      <c r="AU214" s="129"/>
      <c r="AV214" s="129"/>
      <c r="AW214" s="129"/>
      <c r="AX214" s="129"/>
      <c r="AY214" s="129"/>
      <c r="AZ214" s="129"/>
      <c r="BA214" s="129"/>
      <c r="BB214" s="129"/>
      <c r="BC214" s="129"/>
      <c r="BD214" s="129"/>
      <c r="BE214" s="129"/>
    </row>
    <row r="215" spans="1:57" s="191" customFormat="1" ht="12" customHeight="1" x14ac:dyDescent="0.35">
      <c r="A215" s="182" t="s">
        <v>0</v>
      </c>
      <c r="B215" s="182" t="s">
        <v>230</v>
      </c>
      <c r="C215" s="182" t="s">
        <v>231</v>
      </c>
      <c r="D215" s="182" t="str">
        <f ca="1">[1]!cb_info_underlyingname(B215)</f>
        <v>永创智能</v>
      </c>
      <c r="E215" s="183" t="str">
        <f ca="1">[1]!cb_info_underlyingcode(B215)</f>
        <v>603901.SH</v>
      </c>
      <c r="F215" s="184" t="str">
        <f ca="1">[1]!s_info_industry_sw(B215,1)</f>
        <v>机械设备</v>
      </c>
      <c r="G215" s="184" t="str">
        <f ca="1">[1]!s_info_industry_sw(E215,2)</f>
        <v>专用设备</v>
      </c>
      <c r="H215" s="184" t="str">
        <f ca="1">[1]!s_info_industry_sw(E215,3)</f>
        <v>印刷包装机械</v>
      </c>
      <c r="I215" s="192" t="str">
        <f ca="1">[1]!s_info_majorproducttype(E215)</f>
        <v>塑料包装制品、专用设备与零部件</v>
      </c>
      <c r="J215" s="189">
        <f ca="1">[1]!s_val_ev(E215,$B$2,100000000)</f>
        <v>80.602633815000004</v>
      </c>
      <c r="K215" s="193">
        <f ca="1">[1]!s_share_total(E215,$B$2,100000000)</f>
        <v>4.8850081100000002</v>
      </c>
      <c r="L215" s="193">
        <f ca="1">[1]!s_share_liqa(E215,$B$2,100000000)</f>
        <v>4.8212255700000002</v>
      </c>
      <c r="M215" s="186">
        <f ca="1">[1]!s_fa_gr_ttm2(E215,$C$3,100000000)</f>
        <v>18.756286212300001</v>
      </c>
      <c r="N215" s="187">
        <f ca="1">[1]!s_fa_netprofit_ttm2(E215,$C$3,100000000)</f>
        <v>1.4271149027000001</v>
      </c>
      <c r="O215" s="186"/>
      <c r="P215" s="187">
        <f ca="1">[1]!s_val_pe_ttm(E215,[1]!td($B$2-1))</f>
        <v>37.049915313720703</v>
      </c>
      <c r="Q215" s="187">
        <f ca="1">[1]!i_val_pe_percentile(E215,[1]!td($B$2-1),$B$2-365*5,[1]!td($B$2-1))</f>
        <v>22.56030701754386</v>
      </c>
      <c r="R215" s="187">
        <f ca="1">[1]!pb_mrq(E215,[1]!td($B$2-1))</f>
        <v>3.9815457089015829</v>
      </c>
      <c r="S215" s="187">
        <f ca="1">[1]!i_val_pb_percentile(E215,[1]!td($B$2-1),$B$2-365*5,[1]!td($B$2-1))</f>
        <v>67.132675438596493</v>
      </c>
      <c r="T215" s="187">
        <f ca="1">[1]!s_val_pe_ttm([1]!to_windcode_index(H215&amp;"(申万)"),[1]!td($B$2-1))</f>
        <v>47.270000457763672</v>
      </c>
      <c r="U215" s="186"/>
      <c r="V215" s="186">
        <f ca="1">[1]!s_fa_roe(E215,$C$3)</f>
        <v>9.2047000000000008</v>
      </c>
      <c r="W215" s="186">
        <f ca="1">[1]!s_fa_grossprofitmargin(E215,$C$3)</f>
        <v>33.2318</v>
      </c>
      <c r="X215" s="186">
        <f ca="1">[1]!s_fa_netprofitmargin(E215,$C$3)</f>
        <v>10.121700000000001</v>
      </c>
      <c r="Y215" s="186">
        <f ca="1">[1]!s_fa_roic(E215,$C$3)</f>
        <v>7.0735000000000001</v>
      </c>
      <c r="Z215" s="186">
        <f ca="1">[1]!s_fa_operateincometoebt_ttm2(E215,$C$3)</f>
        <v>76.282200000000003</v>
      </c>
      <c r="AA215" s="186"/>
      <c r="AB215" s="342"/>
      <c r="AC215" s="186">
        <f ca="1">[1]!s_fa_cagr_tr($E215,AC$6,3)</f>
        <v>0</v>
      </c>
      <c r="AD215" s="186">
        <f ca="1">[1]!s_fa_cagr_tr($E215,AD$6,3)</f>
        <v>13.635159295504451</v>
      </c>
      <c r="AE215" s="187">
        <f ca="1">[1]!s_fa_cagr_tr($E215,AE$6,3)</f>
        <v>23.007531337493937</v>
      </c>
      <c r="AF215" s="187">
        <f ca="1">[1]!s_fa_cagr_tr($E215,AF$6,3)</f>
        <v>22.391309938121708</v>
      </c>
      <c r="AG215" s="187">
        <f ca="1">[1]!s_fa_cagr_tr($E215,AG$6,3)</f>
        <v>15.742778324809503</v>
      </c>
      <c r="AH215" s="187">
        <f ca="1">[1]!s_fa_cagr_tr($E215,AH$6,3)</f>
        <v>10.948785462305711</v>
      </c>
      <c r="AI215" s="194"/>
      <c r="AJ215" s="187">
        <f ca="1">[1]!s_fa_cagr_netprofit($E215,AJ$6,3)</f>
        <v>0</v>
      </c>
      <c r="AK215" s="187">
        <f ca="1">[1]!s_fa_cagr_netprofit($E215,AK$6,3)</f>
        <v>37.352087312505702</v>
      </c>
      <c r="AL215" s="187">
        <f ca="1">[1]!s_fa_cagr_netprofit($E215,AL$6,3)</f>
        <v>3.5840045596732706</v>
      </c>
      <c r="AM215" s="187">
        <f ca="1">[1]!s_fa_cagr_netprofit($E215,AM$6,3)</f>
        <v>-0.89060999771656268</v>
      </c>
      <c r="AN215" s="187">
        <f ca="1">[1]!s_fa_cagr_netprofit($E215,AN$6,3)</f>
        <v>-3.8960874953778868</v>
      </c>
      <c r="AO215" s="187">
        <f ca="1">[1]!s_fa_cagr_netprofit($E215,AO$6,3)</f>
        <v>7.4435576328692798</v>
      </c>
      <c r="AP215" s="189"/>
      <c r="AQ215" s="202">
        <f ca="1">[1]!s_fa_dupont_roe(E215,$C$3)</f>
        <v>9.2047000000000008</v>
      </c>
      <c r="AR215" s="202">
        <f ca="1">[1]!s_fa_dupont_nptosales(B215,$C$3)</f>
        <v>10.121700000000001</v>
      </c>
      <c r="AS215" s="237">
        <f ca="1">[1]!s_fa_dupont_faturnover(E215,$C$3)</f>
        <v>0.38579999999999998</v>
      </c>
      <c r="AT215" s="202">
        <f ca="1">[1]!s_fa_dupont_assetstoequity(E215,$C$3)</f>
        <v>2.3973</v>
      </c>
      <c r="AU215" s="189"/>
      <c r="AV215" s="201"/>
      <c r="AW215" s="189"/>
      <c r="AX215" s="189"/>
      <c r="AY215" s="189"/>
      <c r="AZ215" s="189"/>
      <c r="BA215" s="189"/>
      <c r="BB215" s="189"/>
      <c r="BC215" s="189"/>
      <c r="BD215" s="189"/>
      <c r="BE215" s="189"/>
    </row>
    <row r="216" spans="1:57" s="130" customFormat="1" ht="12" customHeight="1" x14ac:dyDescent="0.35">
      <c r="A216" s="121" t="s">
        <v>5</v>
      </c>
      <c r="B216" s="121" t="s">
        <v>76</v>
      </c>
      <c r="C216" s="121" t="s">
        <v>77</v>
      </c>
      <c r="D216" s="121" t="str">
        <f ca="1">[1]!cb_info_underlyingname(B216)</f>
        <v>苏试试验</v>
      </c>
      <c r="E216" s="122" t="str">
        <f ca="1">[1]!cb_info_underlyingcode(B216)</f>
        <v>300416.SZ</v>
      </c>
      <c r="F216" s="123" t="str">
        <f ca="1">[1]!s_info_industry_sw(B216,1)</f>
        <v>机械设备</v>
      </c>
      <c r="G216" s="123" t="str">
        <f ca="1">[1]!s_info_industry_sw(E216,2)</f>
        <v>仪器仪表Ⅱ</v>
      </c>
      <c r="H216" s="123" t="str">
        <f ca="1">[1]!s_info_industry_sw(E216,3)</f>
        <v>仪器仪表Ⅲ</v>
      </c>
      <c r="I216" s="156" t="str">
        <f ca="1">[1]!s_info_majorproducttype(E216)</f>
        <v>专用设备与零部件</v>
      </c>
      <c r="J216" s="129">
        <f ca="1">[1]!s_val_ev(E216,$B$2,100000000)</f>
        <v>65.908376099999998</v>
      </c>
      <c r="K216" s="157">
        <f ca="1">[1]!s_share_total(E216,$B$2,100000000)</f>
        <v>2.6373899999999999</v>
      </c>
      <c r="L216" s="157">
        <f ca="1">[1]!s_share_liqa(E216,$B$2,100000000)</f>
        <v>2.6177925000000002</v>
      </c>
      <c r="M216" s="125">
        <f ca="1">[1]!s_fa_gr_ttm2(E216,$C$3,100000000)</f>
        <v>11.117670606600001</v>
      </c>
      <c r="N216" s="126">
        <f ca="1">[1]!s_fa_netprofit_ttm2(E216,$C$3,100000000)</f>
        <v>1.0995840862000001</v>
      </c>
      <c r="O216" s="125"/>
      <c r="P216" s="126">
        <f ca="1">[1]!s_val_pe_ttm(E216,[1]!td($B$2-1))</f>
        <v>42.319488525390625</v>
      </c>
      <c r="Q216" s="126">
        <f ca="1">[1]!i_val_pe_percentile(E216,[1]!td($B$2-1),$B$2-365*5,[1]!td($B$2-1))</f>
        <v>32.483552631578952</v>
      </c>
      <c r="R216" s="126">
        <f ca="1">[1]!pb_mrq(E216,[1]!td($B$2-1))</f>
        <v>6.8696236560145936</v>
      </c>
      <c r="S216" s="126">
        <f ca="1">[1]!i_val_pb_percentile(E216,[1]!td($B$2-1),$B$2-365*5,[1]!td($B$2-1))</f>
        <v>77.823464912280699</v>
      </c>
      <c r="T216" s="126">
        <f ca="1">[1]!s_val_pe_ttm([1]!to_windcode_index(H216&amp;"(申万)"),[1]!td($B$2-1))</f>
        <v>39.270000457763672</v>
      </c>
      <c r="U216" s="126"/>
      <c r="V216" s="126">
        <f ca="1">[1]!s_fa_roe(E216,$C$3)</f>
        <v>8.3927999999999994</v>
      </c>
      <c r="W216" s="126">
        <f ca="1">[1]!s_fa_grossprofitmargin(E216,$C$3)</f>
        <v>41.872500000000002</v>
      </c>
      <c r="X216" s="126">
        <f ca="1">[1]!s_fa_netprofitmargin(E216,$C$3)</f>
        <v>10.595599999999999</v>
      </c>
      <c r="Y216" s="126">
        <f ca="1">[1]!s_fa_roic(E216,$C$3)</f>
        <v>6.1162000000000001</v>
      </c>
      <c r="Z216" s="126">
        <f ca="1">[1]!s_fa_operateincometoebt_ttm2(E216,$C$3)</f>
        <v>81.548900000000003</v>
      </c>
      <c r="AA216" s="125"/>
      <c r="AB216" s="343"/>
      <c r="AC216" s="125">
        <f ca="1">[1]!s_fa_cagr_tr($E216,AC$6,3)</f>
        <v>0</v>
      </c>
      <c r="AD216" s="125">
        <f ca="1">[1]!s_fa_cagr_tr($E216,AD$6,3)</f>
        <v>34.137811100286044</v>
      </c>
      <c r="AE216" s="126">
        <f ca="1">[1]!s_fa_cagr_tr($E216,AE$6,3)</f>
        <v>25.972263211328372</v>
      </c>
      <c r="AF216" s="126">
        <f ca="1">[1]!s_fa_cagr_tr($E216,AF$6,3)</f>
        <v>26.195217691867235</v>
      </c>
      <c r="AG216" s="126">
        <f ca="1">[1]!s_fa_cagr_tr($E216,AG$6,3)</f>
        <v>24.567015239406121</v>
      </c>
      <c r="AH216" s="126">
        <f ca="1">[1]!s_fa_cagr_tr($E216,AH$6,3)</f>
        <v>20.671446528590032</v>
      </c>
      <c r="AI216" s="169"/>
      <c r="AJ216" s="126">
        <f ca="1">[1]!s_fa_cagr_netprofit($E216,AJ$6,3)</f>
        <v>0</v>
      </c>
      <c r="AK216" s="126">
        <f ca="1">[1]!s_fa_cagr_netprofit($E216,AK$6,3)</f>
        <v>26.282109764594775</v>
      </c>
      <c r="AL216" s="126">
        <f ca="1">[1]!s_fa_cagr_netprofit($E216,AL$6,3)</f>
        <v>17.383605870432394</v>
      </c>
      <c r="AM216" s="126">
        <f ca="1">[1]!s_fa_cagr_netprofit($E216,AM$6,3)</f>
        <v>14.117738054007312</v>
      </c>
      <c r="AN216" s="126">
        <f ca="1">[1]!s_fa_cagr_netprofit($E216,AN$6,3)</f>
        <v>15.481961366099895</v>
      </c>
      <c r="AO216" s="126">
        <f ca="1">[1]!s_fa_cagr_netprofit($E216,AO$6,3)</f>
        <v>13.775764381014843</v>
      </c>
      <c r="AP216" s="129"/>
      <c r="AQ216" s="203">
        <f ca="1">[1]!s_fa_dupont_roe(E216,$C$3)</f>
        <v>8.3927999999999994</v>
      </c>
      <c r="AR216" s="203">
        <f ca="1">[1]!s_fa_dupont_nptosales(B216,$C$3)</f>
        <v>10.595599999999999</v>
      </c>
      <c r="AS216" s="238">
        <f ca="1">[1]!s_fa_dupont_faturnover(E216,$C$3)</f>
        <v>0.35049999999999998</v>
      </c>
      <c r="AT216" s="203">
        <f ca="1">[1]!s_fa_dupont_assetstoequity(E216,$C$3)</f>
        <v>2.5356999999999998</v>
      </c>
      <c r="AU216" s="129"/>
      <c r="AV216" s="129"/>
      <c r="AW216" s="129"/>
      <c r="AX216" s="129"/>
      <c r="AY216" s="129"/>
      <c r="AZ216" s="129"/>
      <c r="BA216" s="129"/>
      <c r="BB216" s="129"/>
      <c r="BC216" s="129"/>
      <c r="BD216" s="129"/>
      <c r="BE216" s="129"/>
    </row>
    <row r="217" spans="1:57" s="191" customFormat="1" ht="12" customHeight="1" x14ac:dyDescent="0.35">
      <c r="A217" s="182" t="s">
        <v>0</v>
      </c>
      <c r="B217" s="182" t="s">
        <v>52</v>
      </c>
      <c r="C217" s="182" t="s">
        <v>53</v>
      </c>
      <c r="D217" s="182" t="str">
        <f ca="1">[1]!cb_info_underlyingname(B217)</f>
        <v>法兰泰克</v>
      </c>
      <c r="E217" s="183" t="str">
        <f ca="1">[1]!cb_info_underlyingcode(B217)</f>
        <v>603966.SH</v>
      </c>
      <c r="F217" s="184" t="str">
        <f ca="1">[1]!s_info_industry_sw(B217,1)</f>
        <v>机械设备</v>
      </c>
      <c r="G217" s="184" t="str">
        <f ca="1">[1]!s_info_industry_sw(E217,2)</f>
        <v>专用设备</v>
      </c>
      <c r="H217" s="184" t="str">
        <f ca="1">[1]!s_info_industry_sw(E217,3)</f>
        <v>重型机械</v>
      </c>
      <c r="I217" s="192" t="str">
        <f ca="1">[1]!s_info_majorproducttype(E217)</f>
        <v>专用设备与零部件</v>
      </c>
      <c r="J217" s="189">
        <f ca="1">[1]!s_val_ev(E217,$B$2,100000000)</f>
        <v>27.989771808</v>
      </c>
      <c r="K217" s="193">
        <f ca="1">[1]!s_share_total(E217,$B$2,100000000)</f>
        <v>3.0031943999999999</v>
      </c>
      <c r="L217" s="193">
        <f ca="1">[1]!s_share_liqa(E217,$B$2,100000000)</f>
        <v>2.9865086399999998</v>
      </c>
      <c r="M217" s="186">
        <f ca="1">[1]!s_fa_gr_ttm2(E217,$C$3,100000000)</f>
        <v>12.039656495199999</v>
      </c>
      <c r="N217" s="187">
        <f ca="1">[1]!s_fa_netprofit_ttm2(E217,$C$3,100000000)</f>
        <v>1.4277316906999999</v>
      </c>
      <c r="O217" s="186"/>
      <c r="P217" s="187">
        <f ca="1">[1]!s_val_pe_ttm(E217,[1]!td($B$2-1))</f>
        <v>15.927921295166016</v>
      </c>
      <c r="Q217" s="187">
        <f ca="1">[1]!i_val_pe_percentile(E217,[1]!td($B$2-1),$B$2-365*5,[1]!td($B$2-1))</f>
        <v>3.9739027283511268</v>
      </c>
      <c r="R217" s="187">
        <f ca="1">[1]!pb_mrq(E217,[1]!td($B$2-1))</f>
        <v>2.375628610126173</v>
      </c>
      <c r="S217" s="187">
        <f ca="1">[1]!i_val_pb_percentile(E217,[1]!td($B$2-1),$B$2-365*5,[1]!td($B$2-1))</f>
        <v>35.705812574139976</v>
      </c>
      <c r="T217" s="187">
        <f ca="1">[1]!s_val_pe_ttm([1]!to_windcode_index(H217&amp;"(申万)"),[1]!td($B$2-1))</f>
        <v>38.090000152587891</v>
      </c>
      <c r="U217" s="187"/>
      <c r="V217" s="187">
        <f ca="1">[1]!s_fa_roe(E217,$C$3)</f>
        <v>10.789</v>
      </c>
      <c r="W217" s="187">
        <f ca="1">[1]!s_fa_grossprofitmargin(E217,$C$3)</f>
        <v>27.726700000000001</v>
      </c>
      <c r="X217" s="187">
        <f ca="1">[1]!s_fa_netprofitmargin(E217,$C$3)</f>
        <v>13.359500000000001</v>
      </c>
      <c r="Y217" s="187">
        <f ca="1">[1]!s_fa_roic(E217,$C$3)</f>
        <v>6.9672999999999998</v>
      </c>
      <c r="Z217" s="187">
        <f ca="1">[1]!s_fa_operateincometoebt_ttm2(E217,$C$3)</f>
        <v>86.465000000000003</v>
      </c>
      <c r="AA217" s="186"/>
      <c r="AB217" s="342"/>
      <c r="AC217" s="186">
        <f ca="1">[1]!s_fa_cagr_tr($E217,AC$6,3)</f>
        <v>0</v>
      </c>
      <c r="AD217" s="186">
        <f ca="1">[1]!s_fa_cagr_tr($E217,AD$6,3)</f>
        <v>25.582694791760673</v>
      </c>
      <c r="AE217" s="187">
        <f ca="1">[1]!s_fa_cagr_tr($E217,AE$6,3)</f>
        <v>26.892876559726474</v>
      </c>
      <c r="AF217" s="187">
        <f ca="1">[1]!s_fa_cagr_tr($E217,AF$6,3)</f>
        <v>11.405165040822407</v>
      </c>
      <c r="AG217" s="187">
        <f ca="1">[1]!s_fa_cagr_tr($E217,AG$6,3)</f>
        <v>9.7084939795742962</v>
      </c>
      <c r="AH217" s="187">
        <f ca="1">[1]!s_fa_cagr_tr($E217,AH$6,3)</f>
        <v>4.6269114953223944</v>
      </c>
      <c r="AI217" s="194"/>
      <c r="AJ217" s="187">
        <f ca="1">[1]!s_fa_cagr_netprofit($E217,AJ$6,3)</f>
        <v>0</v>
      </c>
      <c r="AK217" s="187">
        <f ca="1">[1]!s_fa_cagr_netprofit($E217,AK$6,3)</f>
        <v>34.353250082093247</v>
      </c>
      <c r="AL217" s="187">
        <f ca="1">[1]!s_fa_cagr_netprofit($E217,AL$6,3)</f>
        <v>21.703374023930945</v>
      </c>
      <c r="AM217" s="187">
        <f ca="1">[1]!s_fa_cagr_netprofit($E217,AM$6,3)</f>
        <v>6.9726213652127722</v>
      </c>
      <c r="AN217" s="187">
        <f ca="1">[1]!s_fa_cagr_netprofit($E217,AN$6,3)</f>
        <v>2.3604534462918325</v>
      </c>
      <c r="AO217" s="187">
        <f ca="1">[1]!s_fa_cagr_netprofit($E217,AO$6,3)</f>
        <v>-2.3066339102653766</v>
      </c>
      <c r="AP217" s="189"/>
      <c r="AQ217" s="202">
        <f ca="1">[1]!s_fa_dupont_roe(E217,$C$3)</f>
        <v>10.789</v>
      </c>
      <c r="AR217" s="202">
        <f ca="1">[1]!s_fa_dupont_nptosales(B217,$C$3)</f>
        <v>13.359500000000001</v>
      </c>
      <c r="AS217" s="237">
        <f ca="1">[1]!s_fa_dupont_faturnover(E217,$C$3)</f>
        <v>0.33139999999999997</v>
      </c>
      <c r="AT217" s="202">
        <f ca="1">[1]!s_fa_dupont_assetstoequity(E217,$C$3)</f>
        <v>2.4447000000000001</v>
      </c>
      <c r="AU217" s="189"/>
      <c r="AV217" s="189"/>
      <c r="AW217" s="189"/>
      <c r="AX217" s="189"/>
      <c r="AY217" s="189"/>
      <c r="AZ217" s="189"/>
      <c r="BA217" s="189"/>
      <c r="BB217" s="189"/>
      <c r="BC217" s="189"/>
      <c r="BD217" s="189"/>
      <c r="BE217" s="189"/>
    </row>
    <row r="218" spans="1:57" s="130" customFormat="1" ht="12" customHeight="1" x14ac:dyDescent="0.35">
      <c r="A218" s="121" t="s">
        <v>0</v>
      </c>
      <c r="B218" s="121" t="s">
        <v>54</v>
      </c>
      <c r="C218" s="121" t="s">
        <v>55</v>
      </c>
      <c r="D218" s="121" t="str">
        <f ca="1">[1]!cb_info_underlyingname(B218)</f>
        <v>佳力图</v>
      </c>
      <c r="E218" s="122" t="str">
        <f ca="1">[1]!cb_info_underlyingcode(B218)</f>
        <v>603912.SH</v>
      </c>
      <c r="F218" s="123" t="str">
        <f ca="1">[1]!s_info_industry_sw(B218,1)</f>
        <v>机械设备</v>
      </c>
      <c r="G218" s="123" t="str">
        <f ca="1">[1]!s_info_industry_sw(E218,2)</f>
        <v>专用设备</v>
      </c>
      <c r="H218" s="123" t="str">
        <f ca="1">[1]!s_info_industry_sw(E218,3)</f>
        <v>其它专用机械</v>
      </c>
      <c r="I218" s="156" t="str">
        <f ca="1">[1]!s_info_majorproducttype(E218)</f>
        <v>空调器具、专用设备与零部件</v>
      </c>
      <c r="J218" s="129">
        <f ca="1">[1]!s_val_ev(E218,$B$2,100000000)</f>
        <v>39.240329077799998</v>
      </c>
      <c r="K218" s="157">
        <f ca="1">[1]!s_share_total(E218,$B$2,100000000)</f>
        <v>2.1691724200000002</v>
      </c>
      <c r="L218" s="157">
        <f ca="1">[1]!s_share_liqa(E218,$B$2,100000000)</f>
        <v>2.1688970200000002</v>
      </c>
      <c r="M218" s="125">
        <f ca="1">[1]!s_fa_gr_ttm2(E218,$C$3,100000000)</f>
        <v>5.8373143437000001</v>
      </c>
      <c r="N218" s="126">
        <f ca="1">[1]!s_fa_netprofit_ttm2(E218,$C$3,100000000)</f>
        <v>0.91661829810000006</v>
      </c>
      <c r="O218" s="125"/>
      <c r="P218" s="126">
        <f ca="1">[1]!s_val_pe_ttm(E218,[1]!td($B$2-1))</f>
        <v>29.97418212890625</v>
      </c>
      <c r="Q218" s="126">
        <f ca="1">[1]!i_val_pe_percentile(E218,[1]!td($B$2-1),$B$2-365*5,[1]!td($B$2-1))</f>
        <v>41.891891891891895</v>
      </c>
      <c r="R218" s="126">
        <f ca="1">[1]!pb_mrq(E218,[1]!td($B$2-1))</f>
        <v>4.1832668791983005</v>
      </c>
      <c r="S218" s="126">
        <f ca="1">[1]!i_val_pb_percentile(E218,[1]!td($B$2-1),$B$2-365*5,[1]!td($B$2-1))</f>
        <v>34.139402560455189</v>
      </c>
      <c r="T218" s="126">
        <f ca="1">[1]!s_val_pe_ttm([1]!to_windcode_index(H218&amp;"(申万)"),[1]!td($B$2-1))</f>
        <v>64.029998779296875</v>
      </c>
      <c r="U218" s="125"/>
      <c r="V218" s="125">
        <f ca="1">[1]!s_fa_roe(E218,$C$3)</f>
        <v>9.7306000000000008</v>
      </c>
      <c r="W218" s="125">
        <f ca="1">[1]!s_fa_grossprofitmargin(E218,$C$3)</f>
        <v>40.000999999999998</v>
      </c>
      <c r="X218" s="125">
        <f ca="1">[1]!s_fa_netprofitmargin(E218,$C$3)</f>
        <v>18.5032</v>
      </c>
      <c r="Y218" s="125">
        <f ca="1">[1]!s_fa_roic(E218,$C$3)</f>
        <v>7.6704999999999997</v>
      </c>
      <c r="Z218" s="125">
        <f ca="1">[1]!s_fa_operateincometoebt_ttm2(E218,$C$3)</f>
        <v>86.705399999999997</v>
      </c>
      <c r="AA218" s="125"/>
      <c r="AB218" s="343"/>
      <c r="AC218" s="125">
        <f ca="1">[1]!s_fa_cagr_tr($E218,AC$6,3)</f>
        <v>0</v>
      </c>
      <c r="AD218" s="125">
        <f ca="1">[1]!s_fa_cagr_tr($E218,AD$6,3)</f>
        <v>10.75966806232258</v>
      </c>
      <c r="AE218" s="126">
        <f ca="1">[1]!s_fa_cagr_tr($E218,AE$6,3)</f>
        <v>14.981068536185216</v>
      </c>
      <c r="AF218" s="126">
        <f ca="1">[1]!s_fa_cagr_tr($E218,AF$6,3)</f>
        <v>12.577219565180231</v>
      </c>
      <c r="AG218" s="126">
        <f ca="1">[1]!s_fa_cagr_tr($E218,AG$6,3)</f>
        <v>10.465220685335886</v>
      </c>
      <c r="AH218" s="126">
        <f ca="1">[1]!s_fa_cagr_tr($E218,AH$6,3)</f>
        <v>10.689264077804793</v>
      </c>
      <c r="AI218" s="169"/>
      <c r="AJ218" s="126">
        <f ca="1">[1]!s_fa_cagr_netprofit($E218,AJ$6,3)</f>
        <v>0</v>
      </c>
      <c r="AK218" s="126">
        <f ca="1">[1]!s_fa_cagr_netprofit($E218,AK$6,3)</f>
        <v>12.012590386161403</v>
      </c>
      <c r="AL218" s="126">
        <f ca="1">[1]!s_fa_cagr_netprofit($E218,AL$6,3)</f>
        <v>13.106350872196536</v>
      </c>
      <c r="AM218" s="126">
        <f ca="1">[1]!s_fa_cagr_netprofit($E218,AM$6,3)</f>
        <v>27.862468485391112</v>
      </c>
      <c r="AN218" s="126">
        <f ca="1">[1]!s_fa_cagr_netprofit($E218,AN$6,3)</f>
        <v>24.718125511767177</v>
      </c>
      <c r="AO218" s="126">
        <f ca="1">[1]!s_fa_cagr_netprofit($E218,AO$6,3)</f>
        <v>14.959813497113394</v>
      </c>
      <c r="AP218" s="129"/>
      <c r="AQ218" s="203">
        <f ca="1">[1]!s_fa_dupont_roe(E218,$C$3)</f>
        <v>9.7306000000000008</v>
      </c>
      <c r="AR218" s="203">
        <f ca="1">[1]!s_fa_dupont_nptosales(B218,$C$3)</f>
        <v>18.5032</v>
      </c>
      <c r="AS218" s="238">
        <f ca="1">[1]!s_fa_dupont_faturnover(E218,$C$3)</f>
        <v>0.29970000000000002</v>
      </c>
      <c r="AT218" s="203">
        <f ca="1">[1]!s_fa_dupont_assetstoequity(E218,$C$3)</f>
        <v>1.7529999999999999</v>
      </c>
      <c r="AU218" s="129"/>
      <c r="AV218" s="129"/>
      <c r="AW218" s="129"/>
      <c r="AX218" s="129"/>
      <c r="AY218" s="129"/>
      <c r="AZ218" s="129"/>
      <c r="BA218" s="129"/>
      <c r="BB218" s="129"/>
      <c r="BC218" s="129"/>
      <c r="BD218" s="129"/>
      <c r="BE218" s="129"/>
    </row>
    <row r="219" spans="1:57" s="191" customFormat="1" ht="12" customHeight="1" x14ac:dyDescent="0.35">
      <c r="A219" s="182" t="s">
        <v>5</v>
      </c>
      <c r="B219" s="182" t="s">
        <v>609</v>
      </c>
      <c r="C219" s="182" t="s">
        <v>610</v>
      </c>
      <c r="D219" s="182" t="str">
        <f ca="1">[1]!cb_info_underlyingname(B219)</f>
        <v>高澜股份</v>
      </c>
      <c r="E219" s="183" t="str">
        <f ca="1">[1]!cb_info_underlyingcode(B219)</f>
        <v>300499.SZ</v>
      </c>
      <c r="F219" s="184" t="str">
        <f ca="1">[1]!s_info_industry_sw(B219,1)</f>
        <v>机械设备</v>
      </c>
      <c r="G219" s="184" t="str">
        <f ca="1">[1]!s_info_industry_sw(E219,2)</f>
        <v>专用设备</v>
      </c>
      <c r="H219" s="184" t="str">
        <f ca="1">[1]!s_info_industry_sw(E219,3)</f>
        <v>其它专用机械</v>
      </c>
      <c r="I219" s="192" t="str">
        <f ca="1">[1]!s_info_majorproducttype(E219)</f>
        <v>专用设备与零部件</v>
      </c>
      <c r="J219" s="189">
        <f ca="1">[1]!s_val_ev(E219,$B$2,100000000)</f>
        <v>40.937933236200003</v>
      </c>
      <c r="K219" s="193">
        <f ca="1">[1]!s_share_total(E219,$B$2,100000000)</f>
        <v>2.7830002199999999</v>
      </c>
      <c r="L219" s="193">
        <f ca="1">[1]!s_share_liqa(E219,$B$2,100000000)</f>
        <v>2.27923352</v>
      </c>
      <c r="M219" s="186">
        <f ca="1">[1]!s_fa_gr_ttm2(E219,$C$3,100000000)</f>
        <v>10.6562064009</v>
      </c>
      <c r="N219" s="187">
        <f ca="1">[1]!s_fa_netprofit_ttm2(E219,$C$3,100000000)</f>
        <v>0.61841715220000004</v>
      </c>
      <c r="O219" s="186"/>
      <c r="P219" s="187">
        <f ca="1">[1]!s_val_pe_ttm(E219,[1]!td($B$2-1))</f>
        <v>57.9793701171875</v>
      </c>
      <c r="Q219" s="187">
        <f ca="1">[1]!i_val_pe_percentile(E219,[1]!td($B$2-1),$B$2-365*5,[1]!td($B$2-1))</f>
        <v>76.973684210526315</v>
      </c>
      <c r="R219" s="187">
        <f ca="1">[1]!pb_mrq(E219,[1]!td($B$2-1))</f>
        <v>4.9578457535368319</v>
      </c>
      <c r="S219" s="187">
        <f ca="1">[1]!i_val_pb_percentile(E219,[1]!td($B$2-1),$B$2-365*5,[1]!td($B$2-1))</f>
        <v>80.043859649122808</v>
      </c>
      <c r="T219" s="187">
        <f ca="1">[1]!s_val_pe_ttm([1]!to_windcode_index(H219&amp;"(申万)"),[1]!td($B$2-1))</f>
        <v>64.029998779296875</v>
      </c>
      <c r="U219" s="187"/>
      <c r="V219" s="187">
        <f ca="1">[1]!s_fa_roe(E219,$C$3)</f>
        <v>5.7434000000000003</v>
      </c>
      <c r="W219" s="187">
        <f ca="1">[1]!s_fa_grossprofitmargin(E219,$C$3)</f>
        <v>30.999700000000001</v>
      </c>
      <c r="X219" s="187">
        <f ca="1">[1]!s_fa_netprofitmargin(E219,$C$3)</f>
        <v>6.9016000000000002</v>
      </c>
      <c r="Y219" s="187">
        <f ca="1">[1]!s_fa_roic(E219,$C$3)</f>
        <v>5.3305999999999996</v>
      </c>
      <c r="Z219" s="187">
        <f ca="1">[1]!s_fa_operateincometoebt_ttm2(E219,$C$3)</f>
        <v>73.257599999999996</v>
      </c>
      <c r="AA219" s="186"/>
      <c r="AB219" s="342"/>
      <c r="AC219" s="186">
        <f ca="1">[1]!s_fa_cagr_tr($E219,AC$6,3)</f>
        <v>0</v>
      </c>
      <c r="AD219" s="186">
        <f ca="1">[1]!s_fa_cagr_tr($E219,AD$6,3)</f>
        <v>30.009322862737097</v>
      </c>
      <c r="AE219" s="187">
        <f ca="1">[1]!s_fa_cagr_tr($E219,AE$6,3)</f>
        <v>20.315072473311126</v>
      </c>
      <c r="AF219" s="187">
        <f ca="1">[1]!s_fa_cagr_tr($E219,AF$6,3)</f>
        <v>22.649529527465262</v>
      </c>
      <c r="AG219" s="187">
        <f ca="1">[1]!s_fa_cagr_tr($E219,AG$6,3)</f>
        <v>25.368566664573876</v>
      </c>
      <c r="AH219" s="187">
        <f ca="1">[1]!s_fa_cagr_tr($E219,AH$6,3)</f>
        <v>18.710983767080535</v>
      </c>
      <c r="AI219" s="194"/>
      <c r="AJ219" s="187">
        <f ca="1">[1]!s_fa_cagr_netprofit($E219,AJ$6,3)</f>
        <v>0</v>
      </c>
      <c r="AK219" s="187">
        <f ca="1">[1]!s_fa_cagr_netprofit($E219,AK$6,3)</f>
        <v>25.20938075965875</v>
      </c>
      <c r="AL219" s="187">
        <f ca="1">[1]!s_fa_cagr_netprofit($E219,AL$6,3)</f>
        <v>-2.1117751425275944</v>
      </c>
      <c r="AM219" s="187">
        <f ca="1">[1]!s_fa_cagr_netprofit($E219,AM$6,3)</f>
        <v>4.1171789695679584</v>
      </c>
      <c r="AN219" s="187">
        <f ca="1">[1]!s_fa_cagr_netprofit($E219,AN$6,3)</f>
        <v>-4.6893446331672255</v>
      </c>
      <c r="AO219" s="187">
        <f ca="1">[1]!s_fa_cagr_netprofit($E219,AO$6,3)</f>
        <v>11.045370551772038</v>
      </c>
      <c r="AP219" s="189"/>
      <c r="AQ219" s="202">
        <f ca="1">[1]!s_fa_dupont_roe(E219,$C$3)</f>
        <v>5.7434000000000003</v>
      </c>
      <c r="AR219" s="202">
        <f ca="1">[1]!s_fa_dupont_nptosales(B219,$C$3)</f>
        <v>6.9016000000000002</v>
      </c>
      <c r="AS219" s="237">
        <f ca="1">[1]!s_fa_dupont_faturnover(E219,$C$3)</f>
        <v>0.41220000000000001</v>
      </c>
      <c r="AT219" s="202">
        <f ca="1">[1]!s_fa_dupont_assetstoequity(E219,$C$3)</f>
        <v>2.6019999999999999</v>
      </c>
      <c r="AU219" s="189"/>
      <c r="AV219" s="201"/>
      <c r="AW219" s="189"/>
      <c r="AX219" s="189"/>
      <c r="AY219" s="189"/>
      <c r="AZ219" s="189"/>
      <c r="BA219" s="189"/>
      <c r="BB219" s="189"/>
      <c r="BC219" s="189"/>
      <c r="BD219" s="189"/>
      <c r="BE219" s="189"/>
    </row>
    <row r="220" spans="1:57" s="130" customFormat="1" ht="12" customHeight="1" x14ac:dyDescent="0.35">
      <c r="A220" s="121" t="s">
        <v>0</v>
      </c>
      <c r="B220" s="121" t="s">
        <v>431</v>
      </c>
      <c r="C220" s="121" t="s">
        <v>432</v>
      </c>
      <c r="D220" s="121" t="str">
        <f ca="1">[1]!cb_info_underlyingname(B220)</f>
        <v>大业股份</v>
      </c>
      <c r="E220" s="122" t="str">
        <f ca="1">[1]!cb_info_underlyingcode(B220)</f>
        <v>603278.SH</v>
      </c>
      <c r="F220" s="123" t="str">
        <f ca="1">[1]!s_info_industry_sw(B220,1)</f>
        <v>机械设备</v>
      </c>
      <c r="G220" s="123" t="str">
        <f ca="1">[1]!s_info_industry_sw(E220,2)</f>
        <v>金属制品Ⅱ</v>
      </c>
      <c r="H220" s="123" t="str">
        <f ca="1">[1]!s_info_industry_sw(E220,3)</f>
        <v>金属制品Ⅲ</v>
      </c>
      <c r="I220" s="156" t="str">
        <f ca="1">[1]!s_info_majorproducttype(E220)</f>
        <v>钢丝类</v>
      </c>
      <c r="J220" s="129">
        <f ca="1">[1]!s_val_ev(E220,$B$2,100000000)</f>
        <v>29.981358994400001</v>
      </c>
      <c r="K220" s="157">
        <f ca="1">[1]!s_share_total(E220,$B$2,100000000)</f>
        <v>2.8995511600000001</v>
      </c>
      <c r="L220" s="157">
        <f ca="1">[1]!s_share_liqa(E220,$B$2,100000000)</f>
        <v>2.8995511600000001</v>
      </c>
      <c r="M220" s="125">
        <f ca="1">[1]!s_fa_gr_ttm2(E220,$C$3,100000000)</f>
        <v>28.084540580599999</v>
      </c>
      <c r="N220" s="126">
        <f ca="1">[1]!s_fa_netprofit_ttm2(E220,$C$3,100000000)</f>
        <v>0.92894904420000002</v>
      </c>
      <c r="O220" s="125"/>
      <c r="P220" s="126">
        <f ca="1">[1]!s_val_pe_ttm(E220,[1]!td($B$2-1))</f>
        <v>15.796714782714844</v>
      </c>
      <c r="Q220" s="126">
        <f ca="1">[1]!i_val_pe_percentile(E220,[1]!td($B$2-1),$B$2-365*5,[1]!td($B$2-1))</f>
        <v>28.622668579626975</v>
      </c>
      <c r="R220" s="126">
        <f ca="1">[1]!pb_mrq(E220,[1]!td($B$2-1))</f>
        <v>1.7046061819332732</v>
      </c>
      <c r="S220" s="126">
        <f ca="1">[1]!i_val_pb_percentile(E220,[1]!td($B$2-1),$B$2-365*5,[1]!td($B$2-1))</f>
        <v>44.97847919655667</v>
      </c>
      <c r="T220" s="126">
        <f ca="1">[1]!s_val_pe_ttm([1]!to_windcode_index(H220&amp;"(申万)"),[1]!td($B$2-1))</f>
        <v>15.890000343322754</v>
      </c>
      <c r="U220" s="126"/>
      <c r="V220" s="126">
        <f ca="1">[1]!s_fa_roe(E220,$C$3)</f>
        <v>4.5134999999999996</v>
      </c>
      <c r="W220" s="126">
        <f ca="1">[1]!s_fa_grossprofitmargin(E220,$C$3)</f>
        <v>10.491400000000001</v>
      </c>
      <c r="X220" s="126">
        <f ca="1">[1]!s_fa_netprofitmargin(E220,$C$3)</f>
        <v>3.7332000000000001</v>
      </c>
      <c r="Y220" s="126">
        <f ca="1">[1]!s_fa_roic(E220,$C$3)</f>
        <v>3.8111000000000002</v>
      </c>
      <c r="Z220" s="126">
        <f ca="1">[1]!s_fa_operateincometoebt_ttm2(E220,$C$3)</f>
        <v>50.385199999999998</v>
      </c>
      <c r="AA220" s="125"/>
      <c r="AB220" s="343"/>
      <c r="AC220" s="125">
        <f ca="1">[1]!s_fa_cagr_tr($E220,AC$6,3)</f>
        <v>0</v>
      </c>
      <c r="AD220" s="125">
        <f ca="1">[1]!s_fa_cagr_tr($E220,AD$6,3)</f>
        <v>17.701081065624336</v>
      </c>
      <c r="AE220" s="126">
        <f ca="1">[1]!s_fa_cagr_tr($E220,AE$6,3)</f>
        <v>24.895662086507684</v>
      </c>
      <c r="AF220" s="126">
        <f ca="1">[1]!s_fa_cagr_tr($E220,AF$6,3)</f>
        <v>29.055006891599366</v>
      </c>
      <c r="AG220" s="126">
        <f ca="1">[1]!s_fa_cagr_tr($E220,AG$6,3)</f>
        <v>18.707194189336462</v>
      </c>
      <c r="AH220" s="126">
        <f ca="1">[1]!s_fa_cagr_tr($E220,AH$6,3)</f>
        <v>12.692813609558694</v>
      </c>
      <c r="AI220" s="169"/>
      <c r="AJ220" s="126">
        <f ca="1">[1]!s_fa_cagr_netprofit($E220,AJ$6,3)</f>
        <v>0</v>
      </c>
      <c r="AK220" s="126">
        <f ca="1">[1]!s_fa_cagr_netprofit($E220,AK$6,3)</f>
        <v>-7.9389824965967808</v>
      </c>
      <c r="AL220" s="126">
        <f ca="1">[1]!s_fa_cagr_netprofit($E220,AL$6,3)</f>
        <v>2.1085019030962382</v>
      </c>
      <c r="AM220" s="126">
        <f ca="1">[1]!s_fa_cagr_netprofit($E220,AM$6,3)</f>
        <v>41.45614743497805</v>
      </c>
      <c r="AN220" s="126">
        <f ca="1">[1]!s_fa_cagr_netprofit($E220,AN$6,3)</f>
        <v>43.173585974293374</v>
      </c>
      <c r="AO220" s="126">
        <f ca="1">[1]!s_fa_cagr_netprofit($E220,AO$6,3)</f>
        <v>52.124183750358057</v>
      </c>
      <c r="AP220" s="129"/>
      <c r="AQ220" s="203">
        <f ca="1">[1]!s_fa_dupont_roe(E220,$C$3)</f>
        <v>4.5134999999999996</v>
      </c>
      <c r="AR220" s="203">
        <f ca="1">[1]!s_fa_dupont_nptosales(B220,$C$3)</f>
        <v>3.7332000000000001</v>
      </c>
      <c r="AS220" s="238">
        <f ca="1">[1]!s_fa_dupont_faturnover(E220,$C$3)</f>
        <v>0.46850000000000003</v>
      </c>
      <c r="AT220" s="203">
        <f ca="1">[1]!s_fa_dupont_assetstoequity(E220,$C$3)</f>
        <v>2.5806</v>
      </c>
      <c r="AU220" s="129"/>
      <c r="AV220" s="129"/>
      <c r="AW220" s="129"/>
      <c r="AX220" s="129"/>
      <c r="AY220" s="129"/>
      <c r="AZ220" s="129"/>
      <c r="BA220" s="129"/>
      <c r="BB220" s="129"/>
      <c r="BC220" s="129"/>
      <c r="BD220" s="129"/>
      <c r="BE220" s="129"/>
    </row>
    <row r="221" spans="1:57" s="191" customFormat="1" ht="12" customHeight="1" x14ac:dyDescent="0.35">
      <c r="A221" s="182" t="s">
        <v>5</v>
      </c>
      <c r="B221" s="182" t="s">
        <v>302</v>
      </c>
      <c r="C221" s="182" t="s">
        <v>303</v>
      </c>
      <c r="D221" s="182" t="str">
        <f ca="1">[1]!cb_info_underlyingname(B221)</f>
        <v>智能自控</v>
      </c>
      <c r="E221" s="183" t="str">
        <f ca="1">[1]!cb_info_underlyingcode(B221)</f>
        <v>002877.SZ</v>
      </c>
      <c r="F221" s="184" t="str">
        <f ca="1">[1]!s_info_industry_sw(B221,1)</f>
        <v>机械设备</v>
      </c>
      <c r="G221" s="184" t="str">
        <f ca="1">[1]!s_info_industry_sw(E221,2)</f>
        <v>通用机械</v>
      </c>
      <c r="H221" s="184" t="str">
        <f ca="1">[1]!s_info_industry_sw(E221,3)</f>
        <v>机械基础件</v>
      </c>
      <c r="I221" s="192" t="str">
        <f ca="1">[1]!s_info_majorproducttype(E221)</f>
        <v>专用设备与零部件</v>
      </c>
      <c r="J221" s="189">
        <f ca="1">[1]!s_val_ev(E221,$B$2,100000000)</f>
        <v>22.445348535000001</v>
      </c>
      <c r="K221" s="193">
        <f ca="1">[1]!s_share_total(E221,$B$2,100000000)</f>
        <v>3.3252368200000002</v>
      </c>
      <c r="L221" s="193">
        <f ca="1">[1]!s_share_liqa(E221,$B$2,100000000)</f>
        <v>2.05863891</v>
      </c>
      <c r="M221" s="186">
        <f ca="1">[1]!s_fa_gr_ttm2(E221,$C$3,100000000)</f>
        <v>5.0773806266000001</v>
      </c>
      <c r="N221" s="187">
        <f ca="1">[1]!s_fa_netprofit_ttm2(E221,$C$3,100000000)</f>
        <v>0.50725904180000003</v>
      </c>
      <c r="O221" s="186"/>
      <c r="P221" s="187">
        <f ca="1">[1]!s_val_pe_ttm(E221,[1]!td($B$2-1))</f>
        <v>38.473365783691406</v>
      </c>
      <c r="Q221" s="187">
        <f ca="1">[1]!i_val_pe_percentile(E221,[1]!td($B$2-1),$B$2-365*5,[1]!td($B$2-1))</f>
        <v>26.7524115755627</v>
      </c>
      <c r="R221" s="187">
        <f ca="1">[1]!pb_mrq(E221,[1]!td($B$2-1))</f>
        <v>3.0357838337434546</v>
      </c>
      <c r="S221" s="187">
        <f ca="1">[1]!i_val_pb_percentile(E221,[1]!td($B$2-1),$B$2-365*5,[1]!td($B$2-1))</f>
        <v>9.0675241157556261</v>
      </c>
      <c r="T221" s="187">
        <f ca="1">[1]!s_val_pe_ttm([1]!to_windcode_index(H221&amp;"(申万)"),[1]!td($B$2-1))</f>
        <v>37.580001831054688</v>
      </c>
      <c r="U221" s="186"/>
      <c r="V221" s="186">
        <f ca="1">[1]!s_fa_roe(E221,$C$3)</f>
        <v>5.0023</v>
      </c>
      <c r="W221" s="186">
        <f ca="1">[1]!s_fa_grossprofitmargin(E221,$C$3)</f>
        <v>34.561900000000001</v>
      </c>
      <c r="X221" s="186">
        <f ca="1">[1]!s_fa_netprofitmargin(E221,$C$3)</f>
        <v>9.4855</v>
      </c>
      <c r="Y221" s="186">
        <f ca="1">[1]!s_fa_roic(E221,$C$3)</f>
        <v>3.8016000000000001</v>
      </c>
      <c r="Z221" s="186">
        <f ca="1">[1]!s_fa_operateincometoebt_ttm2(E221,$C$3)</f>
        <v>95.756100000000004</v>
      </c>
      <c r="AA221" s="186"/>
      <c r="AB221" s="342"/>
      <c r="AC221" s="186">
        <f ca="1">[1]!s_fa_cagr_tr($E221,AC$6,3)</f>
        <v>0</v>
      </c>
      <c r="AD221" s="186">
        <f ca="1">[1]!s_fa_cagr_tr($E221,AD$6,3)</f>
        <v>21.523964896642834</v>
      </c>
      <c r="AE221" s="187">
        <f ca="1">[1]!s_fa_cagr_tr($E221,AE$6,3)</f>
        <v>20.319271166675001</v>
      </c>
      <c r="AF221" s="187">
        <f ca="1">[1]!s_fa_cagr_tr($E221,AF$6,3)</f>
        <v>13.773075558545633</v>
      </c>
      <c r="AG221" s="187">
        <f ca="1">[1]!s_fa_cagr_tr($E221,AG$6,3)</f>
        <v>2.3920290614495077</v>
      </c>
      <c r="AH221" s="187">
        <f ca="1">[1]!s_fa_cagr_tr($E221,AH$6,3)</f>
        <v>1.2940831826258048E-2</v>
      </c>
      <c r="AI221" s="194"/>
      <c r="AJ221" s="187">
        <f ca="1">[1]!s_fa_cagr_netprofit($E221,AJ$6,3)</f>
        <v>0</v>
      </c>
      <c r="AK221" s="187">
        <f ca="1">[1]!s_fa_cagr_netprofit($E221,AK$6,3)</f>
        <v>6.2090746140101238</v>
      </c>
      <c r="AL221" s="187">
        <f ca="1">[1]!s_fa_cagr_netprofit($E221,AL$6,3)</f>
        <v>15.296613888953093</v>
      </c>
      <c r="AM221" s="187">
        <f ca="1">[1]!s_fa_cagr_netprofit($E221,AM$6,3)</f>
        <v>13.876245439675316</v>
      </c>
      <c r="AN221" s="187">
        <f ca="1">[1]!s_fa_cagr_netprofit($E221,AN$6,3)</f>
        <v>-4.013064914138198</v>
      </c>
      <c r="AO221" s="187">
        <f ca="1">[1]!s_fa_cagr_netprofit($E221,AO$6,3)</f>
        <v>-10.080702067565595</v>
      </c>
      <c r="AP221" s="189"/>
      <c r="AQ221" s="202">
        <f ca="1">[1]!s_fa_dupont_roe(E221,$C$3)</f>
        <v>5.0023</v>
      </c>
      <c r="AR221" s="202">
        <f ca="1">[1]!s_fa_dupont_nptosales(B221,$C$3)</f>
        <v>9.4855</v>
      </c>
      <c r="AS221" s="237">
        <f ca="1">[1]!s_fa_dupont_faturnover(E221,$C$3)</f>
        <v>0.29239999999999999</v>
      </c>
      <c r="AT221" s="202">
        <f ca="1">[1]!s_fa_dupont_assetstoequity(E221,$C$3)</f>
        <v>1.8032999999999999</v>
      </c>
      <c r="AU221" s="189"/>
      <c r="AV221" s="189"/>
      <c r="AW221" s="189"/>
      <c r="AX221" s="189"/>
      <c r="AY221" s="189"/>
      <c r="AZ221" s="189"/>
      <c r="BA221" s="189"/>
      <c r="BB221" s="189"/>
      <c r="BC221" s="189"/>
      <c r="BD221" s="189"/>
      <c r="BE221" s="189"/>
    </row>
    <row r="222" spans="1:57" s="130" customFormat="1" ht="12" customHeight="1" x14ac:dyDescent="0.35">
      <c r="A222" s="121" t="s">
        <v>0</v>
      </c>
      <c r="B222" s="121" t="s">
        <v>186</v>
      </c>
      <c r="C222" s="121" t="s">
        <v>187</v>
      </c>
      <c r="D222" s="121" t="str">
        <f ca="1">[1]!cb_info_underlyingname(B222)</f>
        <v>五洲新春</v>
      </c>
      <c r="E222" s="122" t="str">
        <f ca="1">[1]!cb_info_underlyingcode(B222)</f>
        <v>603667.SH</v>
      </c>
      <c r="F222" s="123" t="str">
        <f ca="1">[1]!s_info_industry_sw(B222,1)</f>
        <v>机械设备</v>
      </c>
      <c r="G222" s="123" t="str">
        <f ca="1">[1]!s_info_industry_sw(E222,2)</f>
        <v>通用机械</v>
      </c>
      <c r="H222" s="123" t="str">
        <f ca="1">[1]!s_info_industry_sw(E222,3)</f>
        <v>机械基础件</v>
      </c>
      <c r="I222" s="156" t="str">
        <f ca="1">[1]!s_info_majorproducttype(E222)</f>
        <v>专用设备与零部件</v>
      </c>
      <c r="J222" s="129">
        <f ca="1">[1]!s_val_ev(E222,$B$2,100000000)</f>
        <v>46.736689753999997</v>
      </c>
      <c r="K222" s="157">
        <f ca="1">[1]!s_share_total(E222,$B$2,100000000)</f>
        <v>2.9768592200000001</v>
      </c>
      <c r="L222" s="157">
        <f ca="1">[1]!s_share_liqa(E222,$B$2,100000000)</f>
        <v>2.69366934</v>
      </c>
      <c r="M222" s="125">
        <f ca="1">[1]!s_fa_gr_ttm2(E222,$C$3,100000000)</f>
        <v>16.516439134100001</v>
      </c>
      <c r="N222" s="126">
        <f ca="1">[1]!s_fa_netprofit_ttm2(E222,$C$3,100000000)</f>
        <v>0.64522946739999998</v>
      </c>
      <c r="O222" s="125"/>
      <c r="P222" s="126">
        <f ca="1">[1]!s_val_pe_ttm(E222,[1]!td($B$2-1))</f>
        <v>40.197113037109375</v>
      </c>
      <c r="Q222" s="126">
        <f ca="1">[1]!i_val_pe_percentile(E222,[1]!td($B$2-1),$B$2-365*5,[1]!td($B$2-1))</f>
        <v>66.197975253093361</v>
      </c>
      <c r="R222" s="126">
        <f ca="1">[1]!pb_mrq(E222,[1]!td($B$2-1))</f>
        <v>2.6330473632361504</v>
      </c>
      <c r="S222" s="126">
        <f ca="1">[1]!i_val_pb_percentile(E222,[1]!td($B$2-1),$B$2-365*5,[1]!td($B$2-1))</f>
        <v>65.916760404949386</v>
      </c>
      <c r="T222" s="126">
        <f ca="1">[1]!s_val_pe_ttm([1]!to_windcode_index(H222&amp;"(申万)"),[1]!td($B$2-1))</f>
        <v>37.580001831054688</v>
      </c>
      <c r="U222" s="126"/>
      <c r="V222" s="126">
        <f ca="1">[1]!s_fa_roe(E222,$C$3)</f>
        <v>2.7080000000000002</v>
      </c>
      <c r="W222" s="126">
        <f ca="1">[1]!s_fa_grossprofitmargin(E222,$C$3)</f>
        <v>19.6233</v>
      </c>
      <c r="X222" s="126">
        <f ca="1">[1]!s_fa_netprofitmargin(E222,$C$3)</f>
        <v>3.9106999999999998</v>
      </c>
      <c r="Y222" s="126">
        <f ca="1">[1]!s_fa_roic(E222,$C$3)</f>
        <v>2.4449999999999998</v>
      </c>
      <c r="Z222" s="126">
        <f ca="1">[1]!s_fa_operateincometoebt_ttm2(E222,$C$3)</f>
        <v>87.014899999999997</v>
      </c>
      <c r="AA222" s="125"/>
      <c r="AB222" s="343"/>
      <c r="AC222" s="125">
        <f ca="1">[1]!s_fa_cagr_tr($E222,AC$6,3)</f>
        <v>0</v>
      </c>
      <c r="AD222" s="125">
        <f ca="1">[1]!s_fa_cagr_tr($E222,AD$6,3)</f>
        <v>15.248899451477449</v>
      </c>
      <c r="AE222" s="126">
        <f ca="1">[1]!s_fa_cagr_tr($E222,AE$6,3)</f>
        <v>19.193959003838621</v>
      </c>
      <c r="AF222" s="126">
        <f ca="1">[1]!s_fa_cagr_tr($E222,AF$6,3)</f>
        <v>13.487807446692003</v>
      </c>
      <c r="AG222" s="126">
        <f ca="1">[1]!s_fa_cagr_tr($E222,AG$6,3)</f>
        <v>7.4676015096961645</v>
      </c>
      <c r="AH222" s="126">
        <f ca="1">[1]!s_fa_cagr_tr($E222,AH$6,3)</f>
        <v>7.8898885479096847</v>
      </c>
      <c r="AI222" s="169"/>
      <c r="AJ222" s="126">
        <f ca="1">[1]!s_fa_cagr_netprofit($E222,AJ$6,3)</f>
        <v>0</v>
      </c>
      <c r="AK222" s="126">
        <f ca="1">[1]!s_fa_cagr_netprofit($E222,AK$6,3)</f>
        <v>-14.321084470119683</v>
      </c>
      <c r="AL222" s="126">
        <f ca="1">[1]!s_fa_cagr_netprofit($E222,AL$6,3)</f>
        <v>4.9062691306653861</v>
      </c>
      <c r="AM222" s="126">
        <f ca="1">[1]!s_fa_cagr_netprofit($E222,AM$6,3)</f>
        <v>6.3163734921908965</v>
      </c>
      <c r="AN222" s="126">
        <f ca="1">[1]!s_fa_cagr_netprofit($E222,AN$6,3)</f>
        <v>4.5671155196947977</v>
      </c>
      <c r="AO222" s="126">
        <f ca="1">[1]!s_fa_cagr_netprofit($E222,AO$6,3)</f>
        <v>3.5546842365152598</v>
      </c>
      <c r="AP222" s="129"/>
      <c r="AQ222" s="203">
        <f ca="1">[1]!s_fa_dupont_roe(E222,$C$3)</f>
        <v>2.7080000000000002</v>
      </c>
      <c r="AR222" s="203">
        <f ca="1">[1]!s_fa_dupont_nptosales(B222,$C$3)</f>
        <v>3.9106999999999998</v>
      </c>
      <c r="AS222" s="238">
        <f ca="1">[1]!s_fa_dupont_faturnover(E222,$C$3)</f>
        <v>0.38129999999999997</v>
      </c>
      <c r="AT222" s="203">
        <f ca="1">[1]!s_fa_dupont_assetstoequity(E222,$C$3)</f>
        <v>1.8249</v>
      </c>
      <c r="AU222" s="129"/>
      <c r="AV222" s="129"/>
      <c r="AW222" s="129"/>
      <c r="AX222" s="129"/>
      <c r="AY222" s="129"/>
      <c r="AZ222" s="129"/>
      <c r="BA222" s="129"/>
      <c r="BB222" s="129"/>
      <c r="BC222" s="129"/>
      <c r="BD222" s="129"/>
      <c r="BE222" s="129"/>
    </row>
    <row r="223" spans="1:57" s="191" customFormat="1" ht="12" customHeight="1" x14ac:dyDescent="0.35">
      <c r="A223" s="182" t="s">
        <v>5</v>
      </c>
      <c r="B223" s="182" t="s">
        <v>834</v>
      </c>
      <c r="C223" s="182" t="s">
        <v>835</v>
      </c>
      <c r="D223" s="182" t="str">
        <f ca="1">[1]!cb_info_underlyingname(B223)</f>
        <v>锋龙股份</v>
      </c>
      <c r="E223" s="183" t="str">
        <f ca="1">[1]!cb_info_underlyingcode(B223)</f>
        <v>002931.SZ</v>
      </c>
      <c r="F223" s="184" t="str">
        <f ca="1">[1]!s_info_industry_sw(B223,1)</f>
        <v>机械设备</v>
      </c>
      <c r="G223" s="184" t="str">
        <f ca="1">[1]!s_info_industry_sw(E223,2)</f>
        <v>通用机械</v>
      </c>
      <c r="H223" s="184" t="str">
        <f ca="1">[1]!s_info_industry_sw(E223,3)</f>
        <v>机械基础件</v>
      </c>
      <c r="I223" s="192" t="str">
        <f ca="1">[1]!s_info_majorproducttype(E223)</f>
        <v>专用设备与零部件</v>
      </c>
      <c r="J223" s="189">
        <f ca="1">[1]!s_val_ev(E223,$B$2,100000000)</f>
        <v>28.569587200000001</v>
      </c>
      <c r="K223" s="193">
        <f ca="1">[1]!s_share_total(E223,$B$2,100000000)</f>
        <v>1.990912</v>
      </c>
      <c r="L223" s="193">
        <f ca="1">[1]!s_share_liqa(E223,$B$2,100000000)</f>
        <v>1.7861418600000001</v>
      </c>
      <c r="M223" s="186">
        <f ca="1">[1]!s_fa_gr_ttm2(E223,$C$3,100000000)</f>
        <v>4.9632795575999999</v>
      </c>
      <c r="N223" s="187">
        <f ca="1">[1]!s_fa_netprofit_ttm2(E223,$C$3,100000000)</f>
        <v>0.65523040030000002</v>
      </c>
      <c r="O223" s="186"/>
      <c r="P223" s="187">
        <f ca="1">[1]!s_val_pe_ttm(E223,[1]!td($B$2-1))</f>
        <v>29.925943374633789</v>
      </c>
      <c r="Q223" s="187">
        <f ca="1">[1]!i_val_pe_percentile(E223,[1]!td($B$2-1),$B$2-365*5,[1]!td($B$2-1))</f>
        <v>11.093375897845172</v>
      </c>
      <c r="R223" s="187">
        <f ca="1">[1]!pb_mrq(E223,[1]!td($B$2-1))</f>
        <v>4.5546906576343433</v>
      </c>
      <c r="S223" s="187">
        <f ca="1">[1]!i_val_pb_percentile(E223,[1]!td($B$2-1),$B$2-365*5,[1]!td($B$2-1))</f>
        <v>36.472466081404633</v>
      </c>
      <c r="T223" s="187">
        <f ca="1">[1]!s_val_pe_ttm([1]!to_windcode_index(H223&amp;"(申万)"),[1]!td($B$2-1))</f>
        <v>37.580001831054688</v>
      </c>
      <c r="U223" s="187"/>
      <c r="V223" s="187">
        <f ca="1">[1]!s_fa_roe(E223,$C$3)</f>
        <v>9.6073000000000004</v>
      </c>
      <c r="W223" s="187">
        <f ca="1">[1]!s_fa_grossprofitmargin(E223,$C$3)</f>
        <v>33.442700000000002</v>
      </c>
      <c r="X223" s="187">
        <f ca="1">[1]!s_fa_netprofitmargin(E223,$C$3)</f>
        <v>15.5473</v>
      </c>
      <c r="Y223" s="187">
        <f ca="1">[1]!s_fa_roic(E223,$C$3)</f>
        <v>8.7248000000000001</v>
      </c>
      <c r="Z223" s="187">
        <f ca="1">[1]!s_fa_operateincometoebt_ttm2(E223,$C$3)</f>
        <v>85.438199999999995</v>
      </c>
      <c r="AA223" s="186"/>
      <c r="AB223" s="342"/>
      <c r="AC223" s="186">
        <f ca="1">[1]!s_fa_cagr_tr($E223,AC$6,3)</f>
        <v>0</v>
      </c>
      <c r="AD223" s="186">
        <f ca="1">[1]!s_fa_cagr_tr($E223,AD$6,3)</f>
        <v>20.47885787008159</v>
      </c>
      <c r="AE223" s="187">
        <f ca="1">[1]!s_fa_cagr_tr($E223,AE$6,3)</f>
        <v>17.699520218241794</v>
      </c>
      <c r="AF223" s="187">
        <f ca="1">[1]!s_fa_cagr_tr($E223,AF$6,3)</f>
        <v>7.5462179843025945</v>
      </c>
      <c r="AG223" s="187">
        <f ca="1">[1]!s_fa_cagr_tr($E223,AG$6,3)</f>
        <v>12.634699259871219</v>
      </c>
      <c r="AH223" s="187">
        <f ca="1">[1]!s_fa_cagr_tr($E223,AH$6,3)</f>
        <v>0</v>
      </c>
      <c r="AI223" s="194"/>
      <c r="AJ223" s="187">
        <f ca="1">[1]!s_fa_cagr_netprofit($E223,AJ$6,3)</f>
        <v>0</v>
      </c>
      <c r="AK223" s="187">
        <f ca="1">[1]!s_fa_cagr_netprofit($E223,AK$6,3)</f>
        <v>17.292192952304152</v>
      </c>
      <c r="AL223" s="187">
        <f ca="1">[1]!s_fa_cagr_netprofit($E223,AL$6,3)</f>
        <v>10.617874384889859</v>
      </c>
      <c r="AM223" s="187">
        <f ca="1">[1]!s_fa_cagr_netprofit($E223,AM$6,3)</f>
        <v>6.5899159456787482</v>
      </c>
      <c r="AN223" s="187">
        <f ca="1">[1]!s_fa_cagr_netprofit($E223,AN$6,3)</f>
        <v>26.622944548650441</v>
      </c>
      <c r="AO223" s="187">
        <f ca="1">[1]!s_fa_cagr_netprofit($E223,AO$6,3)</f>
        <v>0</v>
      </c>
      <c r="AP223" s="189"/>
      <c r="AQ223" s="202">
        <f ca="1">[1]!s_fa_dupont_roe(E223,$C$3)</f>
        <v>9.6073000000000004</v>
      </c>
      <c r="AR223" s="202">
        <f ca="1">[1]!s_fa_dupont_nptosales(B223,$C$3)</f>
        <v>15.5473</v>
      </c>
      <c r="AS223" s="237">
        <f ca="1">[1]!s_fa_dupont_faturnover(E223,$C$3)</f>
        <v>0.46110000000000001</v>
      </c>
      <c r="AT223" s="202">
        <f ca="1">[1]!s_fa_dupont_assetstoequity(E223,$C$3)</f>
        <v>1.4817</v>
      </c>
      <c r="AU223" s="189"/>
      <c r="AV223" s="201"/>
      <c r="AW223" s="189"/>
      <c r="AX223" s="189"/>
      <c r="AY223" s="189"/>
      <c r="AZ223" s="189"/>
      <c r="BA223" s="189"/>
      <c r="BB223" s="189"/>
      <c r="BC223" s="189"/>
      <c r="BD223" s="189"/>
      <c r="BE223" s="189"/>
    </row>
    <row r="224" spans="1:57" s="130" customFormat="1" ht="12" customHeight="1" x14ac:dyDescent="0.35">
      <c r="A224" s="121" t="s">
        <v>0</v>
      </c>
      <c r="B224" s="121" t="s">
        <v>190</v>
      </c>
      <c r="C224" s="121" t="s">
        <v>191</v>
      </c>
      <c r="D224" s="121" t="str">
        <f ca="1">[1]!cb_info_underlyingname(B224)</f>
        <v>君禾股份</v>
      </c>
      <c r="E224" s="122" t="str">
        <f ca="1">[1]!cb_info_underlyingcode(B224)</f>
        <v>603617.SH</v>
      </c>
      <c r="F224" s="123" t="str">
        <f ca="1">[1]!s_info_industry_sw(B224,1)</f>
        <v>机械设备</v>
      </c>
      <c r="G224" s="123" t="str">
        <f ca="1">[1]!s_info_industry_sw(E224,2)</f>
        <v>通用机械</v>
      </c>
      <c r="H224" s="123" t="str">
        <f ca="1">[1]!s_info_industry_sw(E224,3)</f>
        <v>其它通用机械</v>
      </c>
      <c r="I224" s="156" t="str">
        <f ca="1">[1]!s_info_majorproducttype(E224)</f>
        <v>风泵机械</v>
      </c>
      <c r="J224" s="129">
        <f ca="1">[1]!s_val_ev(E224,$B$2,100000000)</f>
        <v>21.082980874899999</v>
      </c>
      <c r="K224" s="157">
        <f ca="1">[1]!s_share_total(E224,$B$2,100000000)</f>
        <v>1.99460557</v>
      </c>
      <c r="L224" s="157">
        <f ca="1">[1]!s_share_liqa(E224,$B$2,100000000)</f>
        <v>1.99460557</v>
      </c>
      <c r="M224" s="125">
        <f ca="1">[1]!s_fa_gr_ttm2(E224,$C$3,100000000)</f>
        <v>6.8853848949000005</v>
      </c>
      <c r="N224" s="126">
        <f ca="1">[1]!s_fa_netprofit_ttm2(E224,$C$3,100000000)</f>
        <v>0.89501980549999993</v>
      </c>
      <c r="O224" s="125"/>
      <c r="P224" s="126">
        <f ca="1">[1]!s_val_pe_ttm(E224,[1]!td($B$2-1))</f>
        <v>20.530759811401367</v>
      </c>
      <c r="Q224" s="126">
        <f ca="1">[1]!i_val_pe_percentile(E224,[1]!td($B$2-1),$B$2-365*5,[1]!td($B$2-1))</f>
        <v>9.1028159790438767</v>
      </c>
      <c r="R224" s="126">
        <f ca="1">[1]!pb_mrq(E224,[1]!td($B$2-1))</f>
        <v>3.1058152575211806</v>
      </c>
      <c r="S224" s="126">
        <f ca="1">[1]!i_val_pb_percentile(E224,[1]!td($B$2-1),$B$2-365*5,[1]!td($B$2-1))</f>
        <v>10.870988867059594</v>
      </c>
      <c r="T224" s="126">
        <f ca="1">[1]!s_val_pe_ttm([1]!to_windcode_index(H224&amp;"(申万)"),[1]!td($B$2-1))</f>
        <v>42.619998931884766</v>
      </c>
      <c r="U224" s="125"/>
      <c r="V224" s="125">
        <f ca="1">[1]!s_fa_roe(E224,$C$3)</f>
        <v>10.739100000000001</v>
      </c>
      <c r="W224" s="125">
        <f ca="1">[1]!s_fa_grossprofitmargin(E224,$C$3)</f>
        <v>26.998999999999999</v>
      </c>
      <c r="X224" s="125">
        <f ca="1">[1]!s_fa_netprofitmargin(E224,$C$3)</f>
        <v>14.1518</v>
      </c>
      <c r="Y224" s="125">
        <f ca="1">[1]!s_fa_roic(E224,$C$3)</f>
        <v>7.7491000000000003</v>
      </c>
      <c r="Z224" s="125">
        <f ca="1">[1]!s_fa_operateincometoebt_ttm2(E224,$C$3)</f>
        <v>75.574799999999996</v>
      </c>
      <c r="AA224" s="125"/>
      <c r="AB224" s="343"/>
      <c r="AC224" s="125">
        <f ca="1">[1]!s_fa_cagr_tr($E224,AC$6,3)</f>
        <v>0</v>
      </c>
      <c r="AD224" s="125">
        <f ca="1">[1]!s_fa_cagr_tr($E224,AD$6,3)</f>
        <v>8.4891329269639382</v>
      </c>
      <c r="AE224" s="126">
        <f ca="1">[1]!s_fa_cagr_tr($E224,AE$6,3)</f>
        <v>10.917969306857579</v>
      </c>
      <c r="AF224" s="126">
        <f ca="1">[1]!s_fa_cagr_tr($E224,AF$6,3)</f>
        <v>13.533065784533083</v>
      </c>
      <c r="AG224" s="126">
        <f ca="1">[1]!s_fa_cagr_tr($E224,AG$6,3)</f>
        <v>10.180576243162619</v>
      </c>
      <c r="AH224" s="126">
        <f ca="1">[1]!s_fa_cagr_tr($E224,AH$6,3)</f>
        <v>8.0227510504009771</v>
      </c>
      <c r="AI224" s="169"/>
      <c r="AJ224" s="126">
        <f ca="1">[1]!s_fa_cagr_netprofit($E224,AJ$6,3)</f>
        <v>0</v>
      </c>
      <c r="AK224" s="126">
        <f ca="1">[1]!s_fa_cagr_netprofit($E224,AK$6,3)</f>
        <v>20.021058396964662</v>
      </c>
      <c r="AL224" s="126">
        <f ca="1">[1]!s_fa_cagr_netprofit($E224,AL$6,3)</f>
        <v>10.798994880643221</v>
      </c>
      <c r="AM224" s="126">
        <f ca="1">[1]!s_fa_cagr_netprofit($E224,AM$6,3)</f>
        <v>26.743701816666409</v>
      </c>
      <c r="AN224" s="126">
        <f ca="1">[1]!s_fa_cagr_netprofit($E224,AN$6,3)</f>
        <v>22.765167800367525</v>
      </c>
      <c r="AO224" s="126">
        <f ca="1">[1]!s_fa_cagr_netprofit($E224,AO$6,3)</f>
        <v>30.616783438919516</v>
      </c>
      <c r="AP224" s="129"/>
      <c r="AQ224" s="203">
        <f ca="1">[1]!s_fa_dupont_roe(E224,$C$3)</f>
        <v>10.739100000000001</v>
      </c>
      <c r="AR224" s="203">
        <f ca="1">[1]!s_fa_dupont_nptosales(B224,$C$3)</f>
        <v>14.1518</v>
      </c>
      <c r="AS224" s="238">
        <f ca="1">[1]!s_fa_dupont_faturnover(E224,$C$3)</f>
        <v>0.45939999999999998</v>
      </c>
      <c r="AT224" s="203">
        <f ca="1">[1]!s_fa_dupont_assetstoequity(E224,$C$3)</f>
        <v>1.6518999999999999</v>
      </c>
      <c r="AU224" s="129"/>
      <c r="AV224" s="129"/>
      <c r="AW224" s="129"/>
      <c r="AX224" s="129"/>
      <c r="AY224" s="129"/>
      <c r="AZ224" s="129"/>
      <c r="BA224" s="129"/>
      <c r="BB224" s="129"/>
      <c r="BC224" s="129"/>
      <c r="BD224" s="129"/>
      <c r="BE224" s="129"/>
    </row>
    <row r="225" spans="1:57" s="191" customFormat="1" ht="12" customHeight="1" x14ac:dyDescent="0.35">
      <c r="A225" s="182" t="s">
        <v>5</v>
      </c>
      <c r="B225" s="182" t="s">
        <v>276</v>
      </c>
      <c r="C225" s="182" t="s">
        <v>277</v>
      </c>
      <c r="D225" s="182" t="str">
        <f ca="1">[1]!cb_info_underlyingname(B225)</f>
        <v>金轮股份</v>
      </c>
      <c r="E225" s="183" t="str">
        <f ca="1">[1]!cb_info_underlyingcode(B225)</f>
        <v>002722.SZ</v>
      </c>
      <c r="F225" s="184" t="str">
        <f ca="1">[1]!s_info_industry_sw(B225,1)</f>
        <v>机械设备</v>
      </c>
      <c r="G225" s="184" t="str">
        <f ca="1">[1]!s_info_industry_sw(E225,2)</f>
        <v>专用设备</v>
      </c>
      <c r="H225" s="184" t="str">
        <f ca="1">[1]!s_info_industry_sw(E225,3)</f>
        <v>纺织服装设备</v>
      </c>
      <c r="I225" s="192" t="str">
        <f ca="1">[1]!s_info_majorproducttype(E225)</f>
        <v>纺织机械、钢丝类、装饰材料</v>
      </c>
      <c r="J225" s="189">
        <f ca="1">[1]!s_val_ev(E225,$B$2,100000000)</f>
        <v>24.777375274400001</v>
      </c>
      <c r="K225" s="193">
        <f ca="1">[1]!s_share_total(E225,$B$2,100000000)</f>
        <v>1.7547716200000001</v>
      </c>
      <c r="L225" s="193">
        <f ca="1">[1]!s_share_liqa(E225,$B$2,100000000)</f>
        <v>1.75462162</v>
      </c>
      <c r="M225" s="186">
        <f ca="1">[1]!s_fa_gr_ttm2(E225,$C$3,100000000)</f>
        <v>22.938132631799999</v>
      </c>
      <c r="N225" s="187">
        <f ca="1">[1]!s_fa_netprofit_ttm2(E225,$C$3,100000000)</f>
        <v>-0.1016496908</v>
      </c>
      <c r="O225" s="186"/>
      <c r="P225" s="187">
        <f ca="1">[1]!s_val_pe_ttm(E225,[1]!td($B$2-1))</f>
        <v>30.911270141601563</v>
      </c>
      <c r="Q225" s="187">
        <f ca="1">[1]!i_val_pe_percentile(E225,[1]!td($B$2-1),$B$2-365*5,[1]!td($B$2-1))</f>
        <v>38.841978287092886</v>
      </c>
      <c r="R225" s="187">
        <f ca="1">[1]!pb_mrq(E225,[1]!td($B$2-1))</f>
        <v>1.2938453476862366</v>
      </c>
      <c r="S225" s="187">
        <f ca="1">[1]!i_val_pb_percentile(E225,[1]!td($B$2-1),$B$2-365*5,[1]!td($B$2-1))</f>
        <v>31.30482456140351</v>
      </c>
      <c r="T225" s="187">
        <f ca="1">[1]!s_val_pe_ttm([1]!to_windcode_index(H225&amp;"(申万)"),[1]!td($B$2-1))</f>
        <v>52.270000457763672</v>
      </c>
      <c r="U225" s="187"/>
      <c r="V225" s="187">
        <f ca="1">[1]!s_fa_roe(E225,$C$3)</f>
        <v>1.0719000000000001</v>
      </c>
      <c r="W225" s="187">
        <f ca="1">[1]!s_fa_grossprofitmargin(E225,$C$3)</f>
        <v>16.145700000000001</v>
      </c>
      <c r="X225" s="187">
        <f ca="1">[1]!s_fa_netprofitmargin(E225,$C$3)</f>
        <v>1.1941999999999999</v>
      </c>
      <c r="Y225" s="187">
        <f ca="1">[1]!s_fa_roic(E225,$C$3)</f>
        <v>1.2719</v>
      </c>
      <c r="Z225" s="187">
        <f ca="1">[1]!s_fa_operateincometoebt_ttm2(E225,$C$3)</f>
        <v>185.4785</v>
      </c>
      <c r="AA225" s="186"/>
      <c r="AB225" s="342"/>
      <c r="AC225" s="186">
        <f ca="1">[1]!s_fa_cagr_tr($E225,AC$6,3)</f>
        <v>0</v>
      </c>
      <c r="AD225" s="186">
        <f ca="1">[1]!s_fa_cagr_tr($E225,AD$6,3)</f>
        <v>4.1502060322402112</v>
      </c>
      <c r="AE225" s="187">
        <f ca="1">[1]!s_fa_cagr_tr($E225,AE$6,3)</f>
        <v>11.567432529672693</v>
      </c>
      <c r="AF225" s="187">
        <f ca="1">[1]!s_fa_cagr_tr($E225,AF$6,3)</f>
        <v>62.594522891745811</v>
      </c>
      <c r="AG225" s="187">
        <f ca="1">[1]!s_fa_cagr_tr($E225,AG$6,3)</f>
        <v>73.964671492487753</v>
      </c>
      <c r="AH225" s="187">
        <f ca="1">[1]!s_fa_cagr_tr($E225,AH$6,3)</f>
        <v>61.504604168208644</v>
      </c>
      <c r="AI225" s="194"/>
      <c r="AJ225" s="187">
        <f ca="1">[1]!s_fa_cagr_netprofit($E225,AJ$6,3)</f>
        <v>0</v>
      </c>
      <c r="AK225" s="187">
        <f ca="1">[1]!s_fa_cagr_netprofit($E225,AK$6,3)</f>
        <v>-26.777533204094407</v>
      </c>
      <c r="AL225" s="187">
        <f ca="1">[1]!s_fa_cagr_netprofit($E225,AL$6,3)</f>
        <v>-22.137889910266495</v>
      </c>
      <c r="AM225" s="187">
        <f ca="1">[1]!s_fa_cagr_netprofit($E225,AM$6,3)</f>
        <v>25.43088218456553</v>
      </c>
      <c r="AN225" s="187">
        <f ca="1">[1]!s_fa_cagr_netprofit($E225,AN$6,3)</f>
        <v>36.189966813844677</v>
      </c>
      <c r="AO225" s="187">
        <f ca="1">[1]!s_fa_cagr_netprofit($E225,AO$6,3)</f>
        <v>37.247184677822645</v>
      </c>
      <c r="AP225" s="189"/>
      <c r="AQ225" s="202">
        <f ca="1">[1]!s_fa_dupont_roe(E225,$C$3)</f>
        <v>1.0719000000000001</v>
      </c>
      <c r="AR225" s="202">
        <f ca="1">[1]!s_fa_dupont_nptosales(B225,$C$3)</f>
        <v>1.1937</v>
      </c>
      <c r="AS225" s="237">
        <f ca="1">[1]!s_fa_dupont_faturnover(E225,$C$3)</f>
        <v>0.53290000000000004</v>
      </c>
      <c r="AT225" s="202">
        <f ca="1">[1]!s_fa_dupont_assetstoequity(E225,$C$3)</f>
        <v>1.6134999999999999</v>
      </c>
      <c r="AU225" s="189"/>
      <c r="AV225" s="189"/>
      <c r="AW225" s="189"/>
      <c r="AX225" s="189"/>
      <c r="AY225" s="189"/>
      <c r="AZ225" s="189"/>
      <c r="BA225" s="189"/>
      <c r="BB225" s="189"/>
      <c r="BC225" s="189"/>
      <c r="BD225" s="189"/>
      <c r="BE225" s="189"/>
    </row>
    <row r="226" spans="1:57" s="130" customFormat="1" ht="12" customHeight="1" x14ac:dyDescent="0.35">
      <c r="A226" s="121" t="s">
        <v>0</v>
      </c>
      <c r="B226" s="121" t="s">
        <v>182</v>
      </c>
      <c r="C226" s="121" t="s">
        <v>183</v>
      </c>
      <c r="D226" s="121" t="str">
        <f ca="1">[1]!cb_info_underlyingname(B226)</f>
        <v>百达精工</v>
      </c>
      <c r="E226" s="122" t="str">
        <f ca="1">[1]!cb_info_underlyingcode(B226)</f>
        <v>603331.SH</v>
      </c>
      <c r="F226" s="123" t="str">
        <f ca="1">[1]!s_info_industry_sw(B226,1)</f>
        <v>机械设备</v>
      </c>
      <c r="G226" s="123" t="str">
        <f ca="1">[1]!s_info_industry_sw(E226,2)</f>
        <v>通用机械</v>
      </c>
      <c r="H226" s="123" t="str">
        <f ca="1">[1]!s_info_industry_sw(E226,3)</f>
        <v>其它通用机械</v>
      </c>
      <c r="I226" s="156" t="str">
        <f ca="1">[1]!s_info_majorproducttype(E226)</f>
        <v>动力机械、工控机械、汽车及零配件经销</v>
      </c>
      <c r="J226" s="129">
        <f ca="1">[1]!s_val_ev(E226,$B$2,100000000)</f>
        <v>22.447938870000002</v>
      </c>
      <c r="K226" s="157">
        <f ca="1">[1]!s_share_total(E226,$B$2,100000000)</f>
        <v>1.7815824499999999</v>
      </c>
      <c r="L226" s="157">
        <f ca="1">[1]!s_share_liqa(E226,$B$2,100000000)</f>
        <v>1.7815824499999999</v>
      </c>
      <c r="M226" s="125">
        <f ca="1">[1]!s_fa_gr_ttm2(E226,$C$3,100000000)</f>
        <v>8.5177885537999991</v>
      </c>
      <c r="N226" s="126">
        <f ca="1">[1]!s_fa_netprofit_ttm2(E226,$C$3,100000000)</f>
        <v>0.54402700969999995</v>
      </c>
      <c r="O226" s="125"/>
      <c r="P226" s="126">
        <f ca="1">[1]!s_val_pe_ttm(E226,[1]!td($B$2-1))</f>
        <v>19.562904357910156</v>
      </c>
      <c r="Q226" s="126">
        <f ca="1">[1]!i_val_pe_percentile(E226,[1]!td($B$2-1),$B$2-365*5,[1]!td($B$2-1))</f>
        <v>7.0163934426229506</v>
      </c>
      <c r="R226" s="126">
        <f ca="1">[1]!pb_mrq(E226,[1]!td($B$2-1))</f>
        <v>2.6994852990800582</v>
      </c>
      <c r="S226" s="126">
        <f ca="1">[1]!i_val_pb_percentile(E226,[1]!td($B$2-1),$B$2-365*5,[1]!td($B$2-1))</f>
        <v>36.721311475409834</v>
      </c>
      <c r="T226" s="126">
        <f ca="1">[1]!s_val_pe_ttm([1]!to_windcode_index(H226&amp;"(申万)"),[1]!td($B$2-1))</f>
        <v>42.619998931884766</v>
      </c>
      <c r="U226" s="125"/>
      <c r="V226" s="125">
        <f ca="1">[1]!s_fa_roe(E226,$C$3)</f>
        <v>5.3144999999999998</v>
      </c>
      <c r="W226" s="125">
        <f ca="1">[1]!s_fa_grossprofitmargin(E226,$C$3)</f>
        <v>24.493500000000001</v>
      </c>
      <c r="X226" s="125">
        <f ca="1">[1]!s_fa_netprofitmargin(E226,$C$3)</f>
        <v>6.617</v>
      </c>
      <c r="Y226" s="125">
        <f ca="1">[1]!s_fa_roic(E226,$C$3)</f>
        <v>4.0696000000000003</v>
      </c>
      <c r="Z226" s="125">
        <f ca="1">[1]!s_fa_operateincometoebt_ttm2(E226,$C$3)</f>
        <v>98.3245</v>
      </c>
      <c r="AA226" s="125"/>
      <c r="AB226" s="343"/>
      <c r="AC226" s="125">
        <f ca="1">[1]!s_fa_cagr_tr($E226,AC$6,3)</f>
        <v>0</v>
      </c>
      <c r="AD226" s="125">
        <f ca="1">[1]!s_fa_cagr_tr($E226,AD$6,3)</f>
        <v>9.9678418044195194</v>
      </c>
      <c r="AE226" s="126">
        <f ca="1">[1]!s_fa_cagr_tr($E226,AE$6,3)</f>
        <v>15.765131899872564</v>
      </c>
      <c r="AF226" s="126">
        <f ca="1">[1]!s_fa_cagr_tr($E226,AF$6,3)</f>
        <v>17.630980314090895</v>
      </c>
      <c r="AG226" s="126">
        <f ca="1">[1]!s_fa_cagr_tr($E226,AG$6,3)</f>
        <v>10.244301525246758</v>
      </c>
      <c r="AH226" s="126">
        <f ca="1">[1]!s_fa_cagr_tr($E226,AH$6,3)</f>
        <v>4.5769604243818263</v>
      </c>
      <c r="AI226" s="169"/>
      <c r="AJ226" s="126">
        <f ca="1">[1]!s_fa_cagr_netprofit($E226,AJ$6,3)</f>
        <v>0</v>
      </c>
      <c r="AK226" s="126">
        <f ca="1">[1]!s_fa_cagr_netprofit($E226,AK$6,3)</f>
        <v>9.0124233045245195</v>
      </c>
      <c r="AL226" s="126">
        <f ca="1">[1]!s_fa_cagr_netprofit($E226,AL$6,3)</f>
        <v>10.375099422165924</v>
      </c>
      <c r="AM226" s="126">
        <f ca="1">[1]!s_fa_cagr_netprofit($E226,AM$6,3)</f>
        <v>25.481330191896202</v>
      </c>
      <c r="AN226" s="126">
        <f ca="1">[1]!s_fa_cagr_netprofit($E226,AN$6,3)</f>
        <v>14.271547894487192</v>
      </c>
      <c r="AO226" s="126">
        <f ca="1">[1]!s_fa_cagr_netprofit($E226,AO$6,3)</f>
        <v>15.826209015266123</v>
      </c>
      <c r="AP226" s="129"/>
      <c r="AQ226" s="203">
        <f ca="1">[1]!s_fa_dupont_roe(E226,$C$3)</f>
        <v>5.3144999999999998</v>
      </c>
      <c r="AR226" s="203">
        <f ca="1">[1]!s_fa_dupont_nptosales(B226,$C$3)</f>
        <v>6.617</v>
      </c>
      <c r="AS226" s="238">
        <f ca="1">[1]!s_fa_dupont_faturnover(E226,$C$3)</f>
        <v>0.38129999999999997</v>
      </c>
      <c r="AT226" s="203">
        <f ca="1">[1]!s_fa_dupont_assetstoequity(E226,$C$3)</f>
        <v>2.0871</v>
      </c>
      <c r="AU226" s="129"/>
      <c r="AV226" s="129"/>
      <c r="AW226" s="129"/>
      <c r="AX226" s="129"/>
      <c r="AY226" s="129"/>
      <c r="AZ226" s="129"/>
      <c r="BA226" s="129"/>
      <c r="BB226" s="129"/>
      <c r="BC226" s="129"/>
      <c r="BD226" s="129"/>
      <c r="BE226" s="129"/>
    </row>
    <row r="227" spans="1:57" s="191" customFormat="1" ht="12" customHeight="1" x14ac:dyDescent="0.35">
      <c r="A227" s="182" t="s">
        <v>5</v>
      </c>
      <c r="B227" s="182" t="s">
        <v>210</v>
      </c>
      <c r="C227" s="182" t="s">
        <v>211</v>
      </c>
      <c r="D227" s="182" t="str">
        <f ca="1">[1]!cb_info_underlyingname(B227)</f>
        <v>金银河</v>
      </c>
      <c r="E227" s="183" t="str">
        <f ca="1">[1]!cb_info_underlyingcode(B227)</f>
        <v>300619.SZ</v>
      </c>
      <c r="F227" s="184" t="str">
        <f ca="1">[1]!s_info_industry_sw(B227,1)</f>
        <v>机械设备</v>
      </c>
      <c r="G227" s="184" t="str">
        <f ca="1">[1]!s_info_industry_sw(E227,2)</f>
        <v>专用设备</v>
      </c>
      <c r="H227" s="184" t="str">
        <f ca="1">[1]!s_info_industry_sw(E227,3)</f>
        <v>其它专用机械</v>
      </c>
      <c r="I227" s="192" t="str">
        <f ca="1">[1]!s_info_majorproducttype(E227)</f>
        <v>专用设备与零部件</v>
      </c>
      <c r="J227" s="189">
        <f ca="1">[1]!s_val_ev(E227,$B$2,100000000)</f>
        <v>31.636856589600001</v>
      </c>
      <c r="K227" s="193">
        <f ca="1">[1]!s_share_total(E227,$B$2,100000000)</f>
        <v>0.74685685999999996</v>
      </c>
      <c r="L227" s="193">
        <f ca="1">[1]!s_share_liqa(E227,$B$2,100000000)</f>
        <v>0.56620864000000004</v>
      </c>
      <c r="M227" s="186">
        <f ca="1">[1]!s_fa_gr_ttm2(E227,$C$3,100000000)</f>
        <v>5.0758407899</v>
      </c>
      <c r="N227" s="187">
        <f ca="1">[1]!s_fa_netprofit_ttm2(E227,$C$3,100000000)</f>
        <v>5.9866789699999999E-2</v>
      </c>
      <c r="O227" s="186"/>
      <c r="P227" s="187">
        <f ca="1">[1]!s_val_pe_ttm(E227,[1]!td($B$2-1))</f>
        <v>98.671730041503906</v>
      </c>
      <c r="Q227" s="187">
        <f ca="1">[1]!i_val_pe_percentile(E227,[1]!td($B$2-1),$B$2-365*5,[1]!td($B$2-1))</f>
        <v>81.647486371895823</v>
      </c>
      <c r="R227" s="187">
        <f ca="1">[1]!pb_mrq(E227,[1]!td($B$2-1))</f>
        <v>6.2757901325295329</v>
      </c>
      <c r="S227" s="187">
        <f ca="1">[1]!i_val_pb_percentile(E227,[1]!td($B$2-1),$B$2-365*5,[1]!td($B$2-1))</f>
        <v>72.925499697153242</v>
      </c>
      <c r="T227" s="187">
        <f ca="1">[1]!s_val_pe_ttm([1]!to_windcode_index(H227&amp;"(申万)"),[1]!td($B$2-1))</f>
        <v>64.029998779296875</v>
      </c>
      <c r="U227" s="187"/>
      <c r="V227" s="187">
        <f ca="1">[1]!s_fa_roe(E227,$C$3)</f>
        <v>0.47639999999999999</v>
      </c>
      <c r="W227" s="187">
        <f ca="1">[1]!s_fa_grossprofitmargin(E227,$C$3)</f>
        <v>30.3523</v>
      </c>
      <c r="X227" s="187">
        <f ca="1">[1]!s_fa_netprofitmargin(E227,$C$3)</f>
        <v>0.64810000000000001</v>
      </c>
      <c r="Y227" s="187">
        <f ca="1">[1]!s_fa_roic(E227,$C$3)</f>
        <v>1.5129999999999999</v>
      </c>
      <c r="Z227" s="187">
        <f ca="1">[1]!s_fa_operateincometoebt_ttm2(E227,$C$3)</f>
        <v>-180.59970000000001</v>
      </c>
      <c r="AA227" s="186"/>
      <c r="AB227" s="342"/>
      <c r="AC227" s="186">
        <f ca="1">[1]!s_fa_cagr_tr($E227,AC$6,3)</f>
        <v>0</v>
      </c>
      <c r="AD227" s="186">
        <f ca="1">[1]!s_fa_cagr_tr($E227,AD$6,3)</f>
        <v>6.6492292474628512</v>
      </c>
      <c r="AE227" s="187">
        <f ca="1">[1]!s_fa_cagr_tr($E227,AE$6,3)</f>
        <v>27.004749888135393</v>
      </c>
      <c r="AF227" s="187">
        <f ca="1">[1]!s_fa_cagr_tr($E227,AF$6,3)</f>
        <v>52.558785480871691</v>
      </c>
      <c r="AG227" s="187">
        <f ca="1">[1]!s_fa_cagr_tr($E227,AG$6,3)</f>
        <v>44.010756357183858</v>
      </c>
      <c r="AH227" s="187">
        <f ca="1">[1]!s_fa_cagr_tr($E227,AH$6,3)</f>
        <v>23.415844023904153</v>
      </c>
      <c r="AI227" s="194"/>
      <c r="AJ227" s="187">
        <f ca="1">[1]!s_fa_cagr_netprofit($E227,AJ$6,3)</f>
        <v>0</v>
      </c>
      <c r="AK227" s="187">
        <f ca="1">[1]!s_fa_cagr_netprofit($E227,AK$6,3)</f>
        <v>-35.49250649384075</v>
      </c>
      <c r="AL227" s="187">
        <f ca="1">[1]!s_fa_cagr_netprofit($E227,AL$6,3)</f>
        <v>-1.2579227426378958</v>
      </c>
      <c r="AM227" s="187">
        <f ca="1">[1]!s_fa_cagr_netprofit($E227,AM$6,3)</f>
        <v>24.647673490485001</v>
      </c>
      <c r="AN227" s="187">
        <f ca="1">[1]!s_fa_cagr_netprofit($E227,AN$6,3)</f>
        <v>20.6720576906134</v>
      </c>
      <c r="AO227" s="187">
        <f ca="1">[1]!s_fa_cagr_netprofit($E227,AO$6,3)</f>
        <v>15.617302298710456</v>
      </c>
      <c r="AP227" s="189"/>
      <c r="AQ227" s="202">
        <f ca="1">[1]!s_fa_dupont_roe(E227,$C$3)</f>
        <v>0.47639999999999999</v>
      </c>
      <c r="AR227" s="202">
        <f ca="1">[1]!s_fa_dupont_nptosales(B227,$C$3)</f>
        <v>0.64810000000000001</v>
      </c>
      <c r="AS227" s="237">
        <f ca="1">[1]!s_fa_dupont_faturnover(E227,$C$3)</f>
        <v>0.28460000000000002</v>
      </c>
      <c r="AT227" s="202">
        <f ca="1">[1]!s_fa_dupont_assetstoequity(E227,$C$3)</f>
        <v>2.5478000000000001</v>
      </c>
      <c r="AU227" s="189"/>
      <c r="AV227" s="201"/>
      <c r="AW227" s="189"/>
      <c r="AX227" s="189"/>
      <c r="AY227" s="189"/>
      <c r="AZ227" s="189"/>
      <c r="BA227" s="189"/>
      <c r="BB227" s="189"/>
      <c r="BC227" s="189"/>
      <c r="BD227" s="189"/>
      <c r="BE227" s="189"/>
    </row>
    <row r="228" spans="1:57" s="130" customFormat="1" ht="12" customHeight="1" x14ac:dyDescent="0.35">
      <c r="A228" s="121" t="s">
        <v>5</v>
      </c>
      <c r="B228" s="121" t="s">
        <v>64</v>
      </c>
      <c r="C228" s="121" t="s">
        <v>65</v>
      </c>
      <c r="D228" s="121" t="str">
        <f ca="1">[1]!cb_info_underlyingname(B228)</f>
        <v>三超新材</v>
      </c>
      <c r="E228" s="122" t="str">
        <f ca="1">[1]!cb_info_underlyingcode(B228)</f>
        <v>300554.SZ</v>
      </c>
      <c r="F228" s="123" t="str">
        <f ca="1">[1]!s_info_industry_sw(B228,1)</f>
        <v>机械设备</v>
      </c>
      <c r="G228" s="123" t="str">
        <f ca="1">[1]!s_info_industry_sw(E228,2)</f>
        <v>通用机械</v>
      </c>
      <c r="H228" s="123" t="str">
        <f ca="1">[1]!s_info_industry_sw(E228,3)</f>
        <v>磨具磨料</v>
      </c>
      <c r="I228" s="156" t="str">
        <f ca="1">[1]!s_info_majorproducttype(E228)</f>
        <v>矿物类非金属矿产</v>
      </c>
      <c r="J228" s="129">
        <f ca="1">[1]!s_val_ev(E228,$B$2,100000000)</f>
        <v>17.617872688199999</v>
      </c>
      <c r="K228" s="157">
        <f ca="1">[1]!s_share_total(E228,$B$2,100000000)</f>
        <v>0.93612501000000004</v>
      </c>
      <c r="L228" s="157">
        <f ca="1">[1]!s_share_liqa(E228,$B$2,100000000)</f>
        <v>0.52836068999999997</v>
      </c>
      <c r="M228" s="125">
        <f ca="1">[1]!s_fa_gr_ttm2(E228,$C$3,100000000)</f>
        <v>2.5416371306999999</v>
      </c>
      <c r="N228" s="126">
        <f ca="1">[1]!s_fa_netprofit_ttm2(E228,$C$3,100000000)</f>
        <v>0.21278450069999999</v>
      </c>
      <c r="O228" s="125"/>
      <c r="P228" s="126">
        <f ca="1">[1]!s_val_pe_ttm(E228,[1]!td($B$2-1))</f>
        <v>98.938201904296875</v>
      </c>
      <c r="Q228" s="126">
        <f ca="1">[1]!i_val_pe_percentile(E228,[1]!td($B$2-1),$B$2-365*5,[1]!td($B$2-1))</f>
        <v>76.702786377708975</v>
      </c>
      <c r="R228" s="126">
        <f ca="1">[1]!pb_mrq(E228,[1]!td($B$2-1))</f>
        <v>3.3571116369699667</v>
      </c>
      <c r="S228" s="126">
        <f ca="1">[1]!i_val_pb_percentile(E228,[1]!td($B$2-1),$B$2-365*5,[1]!td($B$2-1))</f>
        <v>41.75</v>
      </c>
      <c r="T228" s="126">
        <f ca="1">[1]!s_val_pe_ttm([1]!to_windcode_index(H228&amp;"(申万)"),[1]!td($B$2-1))</f>
        <v>83.599998474121094</v>
      </c>
      <c r="U228" s="126"/>
      <c r="V228" s="126">
        <f ca="1">[1]!s_fa_roe(E228,$C$3)</f>
        <v>4.4089</v>
      </c>
      <c r="W228" s="126">
        <f ca="1">[1]!s_fa_grossprofitmargin(E228,$C$3)</f>
        <v>35.858899999999998</v>
      </c>
      <c r="X228" s="126">
        <f ca="1">[1]!s_fa_netprofitmargin(E228,$C$3)</f>
        <v>12.0792</v>
      </c>
      <c r="Y228" s="126">
        <f ca="1">[1]!s_fa_roic(E228,$C$3)</f>
        <v>3.5811000000000002</v>
      </c>
      <c r="Z228" s="126">
        <f ca="1">[1]!s_fa_operateincometoebt_ttm2(E228,$C$3)</f>
        <v>86.252300000000005</v>
      </c>
      <c r="AA228" s="125"/>
      <c r="AB228" s="343"/>
      <c r="AC228" s="125">
        <f ca="1">[1]!s_fa_cagr_tr($E228,AC$6,3)</f>
        <v>0</v>
      </c>
      <c r="AD228" s="125">
        <f ca="1">[1]!s_fa_cagr_tr($E228,AD$6,3)</f>
        <v>-3.0925639291651597</v>
      </c>
      <c r="AE228" s="126">
        <f ca="1">[1]!s_fa_cagr_tr($E228,AE$6,3)</f>
        <v>12.957377174155127</v>
      </c>
      <c r="AF228" s="126">
        <f ca="1">[1]!s_fa_cagr_tr($E228,AF$6,3)</f>
        <v>42.703565382664351</v>
      </c>
      <c r="AG228" s="126">
        <f ca="1">[1]!s_fa_cagr_tr($E228,AG$6,3)</f>
        <v>44.532671087828788</v>
      </c>
      <c r="AH228" s="126">
        <f ca="1">[1]!s_fa_cagr_tr($E228,AH$6,3)</f>
        <v>32.581232514525468</v>
      </c>
      <c r="AI228" s="169"/>
      <c r="AJ228" s="126">
        <f ca="1">[1]!s_fa_cagr_netprofit($E228,AJ$6,3)</f>
        <v>0</v>
      </c>
      <c r="AK228" s="126">
        <f ca="1">[1]!s_fa_cagr_netprofit($E228,AK$6,3)</f>
        <v>-38.503120183751662</v>
      </c>
      <c r="AL228" s="126">
        <f ca="1">[1]!s_fa_cagr_netprofit($E228,AL$6,3)</f>
        <v>-36.183226168588746</v>
      </c>
      <c r="AM228" s="126">
        <f ca="1">[1]!s_fa_cagr_netprofit($E228,AM$6,3)</f>
        <v>3.4860890504624376</v>
      </c>
      <c r="AN228" s="126">
        <f ca="1">[1]!s_fa_cagr_netprofit($E228,AN$6,3)</f>
        <v>42.847024562795745</v>
      </c>
      <c r="AO228" s="126">
        <f ca="1">[1]!s_fa_cagr_netprofit($E228,AO$6,3)</f>
        <v>18.836604635553545</v>
      </c>
      <c r="AP228" s="129"/>
      <c r="AQ228" s="203">
        <f ca="1">[1]!s_fa_dupont_roe(E228,$C$3)</f>
        <v>4.4089</v>
      </c>
      <c r="AR228" s="203">
        <f ca="1">[1]!s_fa_dupont_nptosales(B228,$C$3)</f>
        <v>12.0792</v>
      </c>
      <c r="AS228" s="238">
        <f ca="1">[1]!s_fa_dupont_faturnover(E228,$C$3)</f>
        <v>0.21329999999999999</v>
      </c>
      <c r="AT228" s="203">
        <f ca="1">[1]!s_fa_dupont_assetstoequity(E228,$C$3)</f>
        <v>1.7113</v>
      </c>
      <c r="AU228" s="129"/>
      <c r="AV228" s="129"/>
      <c r="AW228" s="129"/>
      <c r="AX228" s="129"/>
      <c r="AY228" s="129"/>
      <c r="AZ228" s="129"/>
      <c r="BA228" s="129"/>
      <c r="BB228" s="129"/>
      <c r="BC228" s="129"/>
      <c r="BD228" s="129"/>
      <c r="BE228" s="129"/>
    </row>
    <row r="229" spans="1:57" s="191" customFormat="1" ht="12" customHeight="1" x14ac:dyDescent="0.35">
      <c r="A229" s="182" t="s">
        <v>5</v>
      </c>
      <c r="B229" s="182" t="s">
        <v>437</v>
      </c>
      <c r="C229" s="182" t="s">
        <v>438</v>
      </c>
      <c r="D229" s="182" t="str">
        <f ca="1">[1]!cb_info_underlyingname(B229)</f>
        <v>岱勒新材</v>
      </c>
      <c r="E229" s="183" t="str">
        <f ca="1">[1]!cb_info_underlyingcode(B229)</f>
        <v>300700.SZ</v>
      </c>
      <c r="F229" s="184" t="str">
        <f ca="1">[1]!s_info_industry_sw(B229,1)</f>
        <v>机械设备</v>
      </c>
      <c r="G229" s="184" t="str">
        <f ca="1">[1]!s_info_industry_sw(E229,2)</f>
        <v>通用机械</v>
      </c>
      <c r="H229" s="184" t="str">
        <f ca="1">[1]!s_info_industry_sw(E229,3)</f>
        <v>磨具磨料</v>
      </c>
      <c r="I229" s="192" t="str">
        <f ca="1">[1]!s_info_majorproducttype(E229)</f>
        <v>超硬材料</v>
      </c>
      <c r="J229" s="189">
        <f ca="1">[1]!s_val_ev(E229,$B$2,100000000)</f>
        <v>16.317009267</v>
      </c>
      <c r="K229" s="193">
        <f ca="1">[1]!s_share_total(E229,$B$2,100000000)</f>
        <v>1.0713729000000001</v>
      </c>
      <c r="L229" s="193">
        <f ca="1">[1]!s_share_liqa(E229,$B$2,100000000)</f>
        <v>0.77227899</v>
      </c>
      <c r="M229" s="186">
        <f ca="1">[1]!s_fa_gr_ttm2(E229,$C$3,100000000)</f>
        <v>2.5403787011999999</v>
      </c>
      <c r="N229" s="187">
        <f ca="1">[1]!s_fa_netprofit_ttm2(E229,$C$3,100000000)</f>
        <v>-0.25823079399999999</v>
      </c>
      <c r="O229" s="186"/>
      <c r="P229" s="187">
        <f ca="1">[1]!s_val_pe_ttm(E229,[1]!td($B$2-1))</f>
        <v>-93.360816955566406</v>
      </c>
      <c r="Q229" s="187">
        <f ca="1">[1]!i_val_pe_percentile(E229,[1]!td($B$2-1),$B$2-365*5,[1]!td($B$2-1))</f>
        <v>0</v>
      </c>
      <c r="R229" s="187">
        <f ca="1">[1]!pb_mrq(E229,[1]!td($B$2-1))</f>
        <v>3.4434412263596665</v>
      </c>
      <c r="S229" s="187">
        <f ca="1">[1]!i_val_pb_percentile(E229,[1]!td($B$2-1),$B$2-365*5,[1]!td($B$2-1))</f>
        <v>48.35164835164835</v>
      </c>
      <c r="T229" s="187">
        <f ca="1">[1]!s_val_pe_ttm([1]!to_windcode_index(H229&amp;"(申万)"),[1]!td($B$2-1))</f>
        <v>83.599998474121094</v>
      </c>
      <c r="U229" s="187"/>
      <c r="V229" s="187">
        <f ca="1">[1]!s_fa_roe(E229,$C$3)</f>
        <v>0.84799999999999998</v>
      </c>
      <c r="W229" s="187">
        <f ca="1">[1]!s_fa_grossprofitmargin(E229,$C$3)</f>
        <v>23.6205</v>
      </c>
      <c r="X229" s="187">
        <f ca="1">[1]!s_fa_netprofitmargin(E229,$C$3)</f>
        <v>2.4398</v>
      </c>
      <c r="Y229" s="187">
        <f ca="1">[1]!s_fa_roic(E229,$C$3)</f>
        <v>1.7414000000000001</v>
      </c>
      <c r="Z229" s="187">
        <f ca="1">[1]!s_fa_operateincometoebt_ttm2(E229,$C$3)</f>
        <v>0</v>
      </c>
      <c r="AA229" s="186"/>
      <c r="AB229" s="342"/>
      <c r="AC229" s="186">
        <f ca="1">[1]!s_fa_cagr_tr($E229,AC$6,3)</f>
        <v>0</v>
      </c>
      <c r="AD229" s="186">
        <f ca="1">[1]!s_fa_cagr_tr($E229,AD$6,3)</f>
        <v>-17.682319393256495</v>
      </c>
      <c r="AE229" s="187">
        <f ca="1">[1]!s_fa_cagr_tr($E229,AE$6,3)</f>
        <v>12.159221314245361</v>
      </c>
      <c r="AF229" s="187">
        <f ca="1">[1]!s_fa_cagr_tr($E229,AF$6,3)</f>
        <v>35.692556565389879</v>
      </c>
      <c r="AG229" s="187">
        <f ca="1">[1]!s_fa_cagr_tr($E229,AG$6,3)</f>
        <v>52.140540094675146</v>
      </c>
      <c r="AH229" s="187">
        <f ca="1">[1]!s_fa_cagr_tr($E229,AH$6,3)</f>
        <v>27.788933218796096</v>
      </c>
      <c r="AI229" s="194"/>
      <c r="AJ229" s="187">
        <f ca="1">[1]!s_fa_cagr_netprofit($E229,AJ$6,3)</f>
        <v>0</v>
      </c>
      <c r="AK229" s="187">
        <f ca="1">[1]!s_fa_cagr_netprofit($E229,AK$6,3)</f>
        <v>-76.185769519305509</v>
      </c>
      <c r="AL229" s="187">
        <f ca="1">[1]!s_fa_cagr_netprofit($E229,AL$6,3)</f>
        <v>-205.25912755367401</v>
      </c>
      <c r="AM229" s="187">
        <f ca="1">[1]!s_fa_cagr_netprofit($E229,AM$6,3)</f>
        <v>3.6280224833117547</v>
      </c>
      <c r="AN229" s="187">
        <f ca="1">[1]!s_fa_cagr_netprofit($E229,AN$6,3)</f>
        <v>49.005634883195469</v>
      </c>
      <c r="AO229" s="187">
        <f ca="1">[1]!s_fa_cagr_netprofit($E229,AO$6,3)</f>
        <v>14.971315203078351</v>
      </c>
      <c r="AP229" s="189"/>
      <c r="AQ229" s="202">
        <f ca="1">[1]!s_fa_dupont_roe(E229,$C$3)</f>
        <v>0.84799999999999998</v>
      </c>
      <c r="AR229" s="202">
        <f ca="1">[1]!s_fa_dupont_nptosales(B229,$C$3)</f>
        <v>2.4398</v>
      </c>
      <c r="AS229" s="237">
        <f ca="1">[1]!s_fa_dupont_faturnover(E229,$C$3)</f>
        <v>0.1643</v>
      </c>
      <c r="AT229" s="202">
        <f ca="1">[1]!s_fa_dupont_assetstoequity(E229,$C$3)</f>
        <v>2.1158999999999999</v>
      </c>
      <c r="AU229" s="189"/>
      <c r="AV229" s="189"/>
      <c r="AW229" s="189"/>
      <c r="AX229" s="189"/>
      <c r="AY229" s="189"/>
      <c r="AZ229" s="189"/>
      <c r="BA229" s="189"/>
      <c r="BB229" s="189"/>
      <c r="BC229" s="189"/>
      <c r="BD229" s="189"/>
      <c r="BE229" s="189"/>
    </row>
    <row r="230" spans="1:57" s="130" customFormat="1" ht="12" customHeight="1" x14ac:dyDescent="0.35">
      <c r="A230" s="121" t="s">
        <v>5</v>
      </c>
      <c r="B230" s="121" t="s">
        <v>202</v>
      </c>
      <c r="C230" s="121" t="s">
        <v>203</v>
      </c>
      <c r="D230" s="121" t="str">
        <f ca="1">[1]!cb_info_underlyingname(B230)</f>
        <v>恩捷股份</v>
      </c>
      <c r="E230" s="122" t="str">
        <f ca="1">[1]!cb_info_underlyingcode(B230)</f>
        <v>002812.SZ</v>
      </c>
      <c r="F230" s="123" t="str">
        <f ca="1">[1]!s_info_industry_sw(B230,1)</f>
        <v>化工</v>
      </c>
      <c r="G230" s="123" t="str">
        <f ca="1">[1]!s_info_industry_sw(E230,2)</f>
        <v>化学制品</v>
      </c>
      <c r="H230" s="123" t="str">
        <f ca="1">[1]!s_info_industry_sw(E230,3)</f>
        <v>其他化学制品</v>
      </c>
      <c r="I230" s="156" t="str">
        <f ca="1">[1]!s_info_majorproducttype(E230)</f>
        <v>塑料包装制品、纸包装制品</v>
      </c>
      <c r="J230" s="129">
        <f ca="1">[1]!s_val_ev(E230,$B$2,100000000)</f>
        <v>2550.4058613556003</v>
      </c>
      <c r="K230" s="157">
        <f ca="1">[1]!s_share_total(E230,$B$2,100000000)</f>
        <v>8.9240556400000006</v>
      </c>
      <c r="L230" s="157">
        <f ca="1">[1]!s_share_liqa(E230,$B$2,100000000)</f>
        <v>8.6117223900000006</v>
      </c>
      <c r="M230" s="125">
        <f ca="1">[1]!s_fa_gr_ttm2(E230,$C$3,100000000)</f>
        <v>36.345071385200001</v>
      </c>
      <c r="N230" s="126">
        <f ca="1">[1]!s_fa_netprofit_ttm2(E230,$C$3,100000000)</f>
        <v>8.6155106208000003</v>
      </c>
      <c r="O230" s="125"/>
      <c r="P230" s="126">
        <f ca="1">[1]!s_val_pe_ttm(E230,[1]!td($B$2-1))</f>
        <v>138.27804565429688</v>
      </c>
      <c r="Q230" s="126">
        <f ca="1">[1]!i_val_pe_percentile(E230,[1]!td($B$2-1),$B$2-365*5,[1]!td($B$2-1))</f>
        <v>91.36888400219901</v>
      </c>
      <c r="R230" s="126">
        <f ca="1">[1]!pb_mrq(E230,[1]!td($B$2-1))</f>
        <v>21.156967990766152</v>
      </c>
      <c r="S230" s="126">
        <f ca="1">[1]!i_val_pb_percentile(E230,[1]!td($B$2-1),$B$2-365*5,[1]!td($B$2-1))</f>
        <v>99.505222649807592</v>
      </c>
      <c r="T230" s="126">
        <f ca="1">[1]!s_val_pe_ttm([1]!to_windcode_index(H230&amp;"(申万)"),[1]!td($B$2-1))</f>
        <v>46.459999084472656</v>
      </c>
      <c r="U230" s="126"/>
      <c r="V230" s="126">
        <f ca="1">[1]!s_fa_roe(E230,$C$3)</f>
        <v>8.8364999999999991</v>
      </c>
      <c r="W230" s="126">
        <f ca="1">[1]!s_fa_grossprofitmargin(E230,$C$3)</f>
        <v>40.654899999999998</v>
      </c>
      <c r="X230" s="126">
        <f ca="1">[1]!s_fa_netprofitmargin(E230,$C$3)</f>
        <v>26.190300000000001</v>
      </c>
      <c r="Y230" s="126">
        <f ca="1">[1]!s_fa_roic(E230,$C$3)</f>
        <v>5.6109</v>
      </c>
      <c r="Z230" s="126">
        <f ca="1">[1]!s_fa_operateincometoebt_ttm2(E230,$C$3)</f>
        <v>88.371700000000004</v>
      </c>
      <c r="AA230" s="125"/>
      <c r="AB230" s="343"/>
      <c r="AC230" s="125">
        <f ca="1">[1]!s_fa_cagr_tr($E230,AC$6,3)</f>
        <v>0</v>
      </c>
      <c r="AD230" s="125">
        <f ca="1">[1]!s_fa_cagr_tr($E230,AD$6,3)</f>
        <v>51.972254341812338</v>
      </c>
      <c r="AE230" s="126">
        <f ca="1">[1]!s_fa_cagr_tr($E230,AE$6,3)</f>
        <v>40.214400676733987</v>
      </c>
      <c r="AF230" s="126">
        <f ca="1">[1]!s_fa_cagr_tr($E230,AF$6,3)</f>
        <v>29.503240216828843</v>
      </c>
      <c r="AG230" s="126">
        <f ca="1">[1]!s_fa_cagr_tr($E230,AG$6,3)</f>
        <v>9.0342141295307599E-2</v>
      </c>
      <c r="AH230" s="126">
        <f ca="1">[1]!s_fa_cagr_tr($E230,AH$6,3)</f>
        <v>0.55298971253159301</v>
      </c>
      <c r="AI230" s="169"/>
      <c r="AJ230" s="126">
        <f ca="1">[1]!s_fa_cagr_netprofit($E230,AJ$6,3)</f>
        <v>0</v>
      </c>
      <c r="AK230" s="126">
        <f ca="1">[1]!s_fa_cagr_netprofit($E230,AK$6,3)</f>
        <v>92.693116173091639</v>
      </c>
      <c r="AL230" s="126">
        <f ca="1">[1]!s_fa_cagr_netprofit($E230,AL$6,3)</f>
        <v>72.560147303787488</v>
      </c>
      <c r="AM230" s="126">
        <f ca="1">[1]!s_fa_cagr_netprofit($E230,AM$6,3)</f>
        <v>51.176728156822946</v>
      </c>
      <c r="AN230" s="126">
        <f ca="1">[1]!s_fa_cagr_netprofit($E230,AN$6,3)</f>
        <v>6.8520695918475205</v>
      </c>
      <c r="AO230" s="126">
        <f ca="1">[1]!s_fa_cagr_netprofit($E230,AO$6,3)</f>
        <v>9.8322761436279382</v>
      </c>
      <c r="AP230" s="129"/>
      <c r="AQ230" s="203">
        <f ca="1">[1]!s_fa_dupont_roe(E230,$C$3)</f>
        <v>8.8364999999999991</v>
      </c>
      <c r="AR230" s="203">
        <f ca="1">[1]!s_fa_dupont_nptosales(B230,$C$3)</f>
        <v>26.190300000000001</v>
      </c>
      <c r="AS230" s="238">
        <f ca="1">[1]!s_fa_dupont_faturnover(E230,$C$3)</f>
        <v>0.16170000000000001</v>
      </c>
      <c r="AT230" s="203">
        <f ca="1">[1]!s_fa_dupont_assetstoequity(E230,$C$3)</f>
        <v>2.1917</v>
      </c>
      <c r="AU230" s="129"/>
      <c r="AV230" s="129"/>
      <c r="AW230" s="129"/>
      <c r="AX230" s="129"/>
      <c r="AY230" s="129"/>
      <c r="AZ230" s="129"/>
      <c r="BA230" s="129"/>
      <c r="BB230" s="129"/>
      <c r="BC230" s="129"/>
      <c r="BD230" s="129"/>
      <c r="BE230" s="129"/>
    </row>
    <row r="231" spans="1:57" s="191" customFormat="1" ht="12" customHeight="1" x14ac:dyDescent="0.35">
      <c r="A231" s="182" t="s">
        <v>5</v>
      </c>
      <c r="B231" s="182" t="s">
        <v>929</v>
      </c>
      <c r="C231" s="182" t="s">
        <v>930</v>
      </c>
      <c r="D231" s="182" t="str">
        <f ca="1">[1]!cb_info_underlyingname(B231)</f>
        <v>东方盛虹</v>
      </c>
      <c r="E231" s="183" t="str">
        <f ca="1">[1]!cb_info_underlyingcode(B231)</f>
        <v>000301.SZ</v>
      </c>
      <c r="F231" s="184" t="str">
        <f ca="1">[1]!s_info_industry_sw(B231,1)</f>
        <v>化工</v>
      </c>
      <c r="G231" s="184" t="str">
        <f ca="1">[1]!s_info_industry_sw(E231,2)</f>
        <v>化学纤维</v>
      </c>
      <c r="H231" s="184" t="str">
        <f ca="1">[1]!s_info_industry_sw(E231,3)</f>
        <v>涤纶</v>
      </c>
      <c r="I231" s="192" t="str">
        <f ca="1">[1]!s_info_majorproducttype(E231)</f>
        <v>广告代理、合成纤维、互联网服务、火电、商业地产、物业出租和管理、综合批发市场</v>
      </c>
      <c r="J231" s="189">
        <f ca="1">[1]!s_val_ev(E231,$B$2,100000000)</f>
        <v>1614.8445312439999</v>
      </c>
      <c r="K231" s="193">
        <f ca="1">[1]!s_share_total(E231,$B$2,100000000)</f>
        <v>48.348638659999999</v>
      </c>
      <c r="L231" s="193">
        <f ca="1">[1]!s_share_liqa(E231,$B$2,100000000)</f>
        <v>17.318168979999999</v>
      </c>
      <c r="M231" s="186">
        <f ca="1">[1]!s_fa_gr_ttm2(E231,$C$3,100000000)</f>
        <v>217.95237327790002</v>
      </c>
      <c r="N231" s="187">
        <f ca="1">[1]!s_fa_netprofit_ttm2(E231,$C$3,100000000)</f>
        <v>6.6112596801999999</v>
      </c>
      <c r="O231" s="186"/>
      <c r="P231" s="187">
        <f ca="1">[1]!s_val_pe_ttm(E231,[1]!td($B$2-1))</f>
        <v>115.28586578369141</v>
      </c>
      <c r="Q231" s="187">
        <f ca="1">[1]!i_val_pe_percentile(E231,[1]!td($B$2-1),$B$2-365*5,[1]!td($B$2-1))</f>
        <v>91.44736842105263</v>
      </c>
      <c r="R231" s="187">
        <f ca="1">[1]!pb_mrq(E231,[1]!td($B$2-1))</f>
        <v>8.8723095327803332</v>
      </c>
      <c r="S231" s="187">
        <f ca="1">[1]!i_val_pb_percentile(E231,[1]!td($B$2-1),$B$2-365*5,[1]!td($B$2-1))</f>
        <v>99.945175438596493</v>
      </c>
      <c r="T231" s="187">
        <f ca="1">[1]!s_val_pe_ttm([1]!to_windcode_index(H231&amp;"(申万)"),[1]!td($B$2-1))</f>
        <v>16.75</v>
      </c>
      <c r="U231" s="186"/>
      <c r="V231" s="186">
        <f ca="1">[1]!s_fa_roe(E231,$C$3)</f>
        <v>1.4996</v>
      </c>
      <c r="W231" s="186">
        <f ca="1">[1]!s_fa_grossprofitmargin(E231,$C$3)</f>
        <v>6.1759000000000004</v>
      </c>
      <c r="X231" s="186">
        <f ca="1">[1]!s_fa_netprofitmargin(E231,$C$3)</f>
        <v>1.4984999999999999</v>
      </c>
      <c r="Y231" s="186">
        <f ca="1">[1]!s_fa_roic(E231,$C$3)</f>
        <v>1.6158999999999999</v>
      </c>
      <c r="Z231" s="186">
        <f ca="1">[1]!s_fa_operateincometoebt_ttm2(E231,$C$3)</f>
        <v>66.569000000000003</v>
      </c>
      <c r="AA231" s="186"/>
      <c r="AB231" s="342"/>
      <c r="AC231" s="186">
        <f ca="1">[1]!s_fa_cagr_tr($E231,AC$6,3)</f>
        <v>0</v>
      </c>
      <c r="AD231" s="186">
        <f ca="1">[1]!s_fa_cagr_tr($E231,AD$6,3)</f>
        <v>173.60721251188039</v>
      </c>
      <c r="AE231" s="187">
        <f ca="1">[1]!s_fa_cagr_tr($E231,AE$6,3)</f>
        <v>215.41630711966332</v>
      </c>
      <c r="AF231" s="187">
        <f ca="1">[1]!s_fa_cagr_tr($E231,AF$6,3)</f>
        <v>198.39286305827181</v>
      </c>
      <c r="AG231" s="187">
        <f ca="1">[1]!s_fa_cagr_tr($E231,AG$6,3)</f>
        <v>12.286143929631187</v>
      </c>
      <c r="AH231" s="187">
        <f ca="1">[1]!s_fa_cagr_tr($E231,AH$6,3)</f>
        <v>-8.2539125854966144</v>
      </c>
      <c r="AI231" s="194"/>
      <c r="AJ231" s="187">
        <f ca="1">[1]!s_fa_cagr_netprofit($E231,AJ$6,3)</f>
        <v>0</v>
      </c>
      <c r="AK231" s="187">
        <f ca="1">[1]!s_fa_cagr_netprofit($E231,AK$6,3)</f>
        <v>11.453971101628246</v>
      </c>
      <c r="AL231" s="187">
        <f ca="1">[1]!s_fa_cagr_netprofit($E231,AL$6,3)</f>
        <v>122.06019281556837</v>
      </c>
      <c r="AM231" s="187">
        <f ca="1">[1]!s_fa_cagr_netprofit($E231,AM$6,3)</f>
        <v>71.767918553831706</v>
      </c>
      <c r="AN231" s="187">
        <f ca="1">[1]!s_fa_cagr_netprofit($E231,AN$6,3)</f>
        <v>0.48752043314446158</v>
      </c>
      <c r="AO231" s="187">
        <f ca="1">[1]!s_fa_cagr_netprofit($E231,AO$6,3)</f>
        <v>-23.568417185845515</v>
      </c>
      <c r="AP231" s="189"/>
      <c r="AQ231" s="202">
        <f ca="1">[1]!s_fa_dupont_roe(E231,$C$3)</f>
        <v>1.4996</v>
      </c>
      <c r="AR231" s="202">
        <f ca="1">[1]!s_fa_dupont_nptosales(B231,$C$3)</f>
        <v>1.4984999999999999</v>
      </c>
      <c r="AS231" s="237">
        <f ca="1">[1]!s_fa_dupont_faturnover(E231,$C$3)</f>
        <v>0.37109999999999999</v>
      </c>
      <c r="AT231" s="202">
        <f ca="1">[1]!s_fa_dupont_assetstoequity(E231,$C$3)</f>
        <v>2.681</v>
      </c>
      <c r="AU231" s="189"/>
      <c r="AV231" s="201"/>
      <c r="AW231" s="189"/>
      <c r="AX231" s="189"/>
      <c r="AY231" s="189"/>
      <c r="AZ231" s="189"/>
      <c r="BA231" s="189"/>
      <c r="BB231" s="189"/>
      <c r="BC231" s="189"/>
      <c r="BD231" s="189"/>
      <c r="BE231" s="189"/>
    </row>
    <row r="232" spans="1:57" s="130" customFormat="1" ht="12" customHeight="1" x14ac:dyDescent="0.35">
      <c r="A232" s="121" t="s">
        <v>5</v>
      </c>
      <c r="B232" s="121" t="s">
        <v>626</v>
      </c>
      <c r="C232" s="121" t="s">
        <v>627</v>
      </c>
      <c r="D232" s="121" t="str">
        <f ca="1">[1]!cb_info_underlyingname(B232)</f>
        <v>恒逸石化</v>
      </c>
      <c r="E232" s="122" t="str">
        <f ca="1">[1]!cb_info_underlyingcode(B232)</f>
        <v>000703.SZ</v>
      </c>
      <c r="F232" s="123" t="str">
        <f ca="1">[1]!s_info_industry_sw(B232,1)</f>
        <v>化工</v>
      </c>
      <c r="G232" s="123" t="str">
        <f ca="1">[1]!s_info_industry_sw(E232,2)</f>
        <v>化学纤维</v>
      </c>
      <c r="H232" s="123" t="str">
        <f ca="1">[1]!s_info_industry_sw(E232,3)</f>
        <v>涤纶</v>
      </c>
      <c r="I232" s="156" t="str">
        <f ca="1">[1]!s_info_majorproducttype(E232)</f>
        <v>高分子聚合物、合成纤维</v>
      </c>
      <c r="J232" s="129">
        <f ca="1">[1]!s_val_ev(E232,$B$2,100000000)</f>
        <v>446.18558036280001</v>
      </c>
      <c r="K232" s="157">
        <f ca="1">[1]!s_share_total(E232,$B$2,100000000)</f>
        <v>36.662742839999993</v>
      </c>
      <c r="L232" s="157">
        <f ca="1">[1]!s_share_liqa(E232,$B$2,100000000)</f>
        <v>33.881888580000002</v>
      </c>
      <c r="M232" s="125">
        <f ca="1">[1]!s_fa_gr_ttm2(E232,$C$3,100000000)</f>
        <v>787.36935418070004</v>
      </c>
      <c r="N232" s="126">
        <f ca="1">[1]!s_fa_netprofit_ttm2(E232,$C$3,100000000)</f>
        <v>40.444338496999997</v>
      </c>
      <c r="O232" s="125"/>
      <c r="P232" s="126">
        <f ca="1">[1]!s_val_pe_ttm(E232,[1]!td($B$2-1))</f>
        <v>13.106976509094238</v>
      </c>
      <c r="Q232" s="126">
        <f ca="1">[1]!i_val_pe_percentile(E232,[1]!td($B$2-1),$B$2-365*5,[1]!td($B$2-1))</f>
        <v>25</v>
      </c>
      <c r="R232" s="126">
        <f ca="1">[1]!pb_mrq(E232,[1]!td($B$2-1))</f>
        <v>1.7334023771008684</v>
      </c>
      <c r="S232" s="126">
        <f ca="1">[1]!i_val_pb_percentile(E232,[1]!td($B$2-1),$B$2-365*5,[1]!td($B$2-1))</f>
        <v>25.438596491228072</v>
      </c>
      <c r="T232" s="126">
        <f ca="1">[1]!s_val_pe_ttm([1]!to_windcode_index(H232&amp;"(申万)"),[1]!td($B$2-1))</f>
        <v>16.75</v>
      </c>
      <c r="U232" s="126"/>
      <c r="V232" s="126">
        <f ca="1">[1]!s_fa_roe(E232,$C$3)</f>
        <v>12.6462</v>
      </c>
      <c r="W232" s="126">
        <f ca="1">[1]!s_fa_grossprofitmargin(E232,$C$3)</f>
        <v>9.8097999999999992</v>
      </c>
      <c r="X232" s="126">
        <f ca="1">[1]!s_fa_netprofitmargin(E232,$C$3)</f>
        <v>6.0598999999999998</v>
      </c>
      <c r="Y232" s="126">
        <f ca="1">[1]!s_fa_roic(E232,$C$3)</f>
        <v>6.1578999999999997</v>
      </c>
      <c r="Z232" s="126">
        <f ca="1">[1]!s_fa_operateincometoebt_ttm2(E232,$C$3)</f>
        <v>70.515600000000006</v>
      </c>
      <c r="AA232" s="125"/>
      <c r="AB232" s="343"/>
      <c r="AC232" s="125">
        <f ca="1">[1]!s_fa_cagr_tr($E232,AC$6,3)</f>
        <v>0</v>
      </c>
      <c r="AD232" s="125">
        <f ca="1">[1]!s_fa_cagr_tr($E232,AD$6,3)</f>
        <v>10.370648994543874</v>
      </c>
      <c r="AE232" s="126">
        <f ca="1">[1]!s_fa_cagr_tr($E232,AE$6,3)</f>
        <v>34.919169275858494</v>
      </c>
      <c r="AF232" s="126">
        <f ca="1">[1]!s_fa_cagr_tr($E232,AF$6,3)</f>
        <v>40.978127988087643</v>
      </c>
      <c r="AG232" s="126">
        <f ca="1">[1]!s_fa_cagr_tr($E232,AG$6,3)</f>
        <v>31.823128525372436</v>
      </c>
      <c r="AH232" s="126">
        <f ca="1">[1]!s_fa_cagr_tr($E232,AH$6,3)</f>
        <v>1.7771171953006037</v>
      </c>
      <c r="AI232" s="169"/>
      <c r="AJ232" s="126">
        <f ca="1">[1]!s_fa_cagr_netprofit($E232,AJ$6,3)</f>
        <v>0</v>
      </c>
      <c r="AK232" s="126">
        <f ca="1">[1]!s_fa_cagr_netprofit($E232,AK$6,3)</f>
        <v>23.725057058356413</v>
      </c>
      <c r="AL232" s="126">
        <f ca="1">[1]!s_fa_cagr_netprofit($E232,AL$6,3)</f>
        <v>56.804832414936456</v>
      </c>
      <c r="AM232" s="126">
        <f ca="1">[1]!s_fa_cagr_netprofit($E232,AM$6,3)</f>
        <v>119.86448484538074</v>
      </c>
      <c r="AN232" s="126">
        <f ca="1">[1]!s_fa_cagr_netprofit($E232,AN$6,3)</f>
        <v>87.568355527148185</v>
      </c>
      <c r="AO232" s="126">
        <f ca="1">[1]!s_fa_cagr_netprofit($E232,AO$6,3)</f>
        <v>24.824038311230211</v>
      </c>
      <c r="AP232" s="129"/>
      <c r="AQ232" s="203">
        <f ca="1">[1]!s_fa_dupont_roe(E232,$C$3)</f>
        <v>12.6462</v>
      </c>
      <c r="AR232" s="203">
        <f ca="1">[1]!s_fa_dupont_nptosales(B232,$C$3)</f>
        <v>6.0598999999999998</v>
      </c>
      <c r="AS232" s="238">
        <f ca="1">[1]!s_fa_dupont_faturnover(E232,$C$3)</f>
        <v>0.66990000000000005</v>
      </c>
      <c r="AT232" s="203">
        <f ca="1">[1]!s_fa_dupont_assetstoequity(E232,$C$3)</f>
        <v>3.7869000000000002</v>
      </c>
      <c r="AU232" s="129"/>
      <c r="AV232" s="129"/>
      <c r="AW232" s="129"/>
      <c r="AX232" s="129"/>
      <c r="AY232" s="129"/>
      <c r="AZ232" s="129"/>
      <c r="BA232" s="129"/>
      <c r="BB232" s="129"/>
      <c r="BC232" s="129"/>
      <c r="BD232" s="129"/>
      <c r="BE232" s="129"/>
    </row>
    <row r="233" spans="1:57" s="191" customFormat="1" ht="12" customHeight="1" x14ac:dyDescent="0.35">
      <c r="A233" s="182" t="s">
        <v>396</v>
      </c>
      <c r="B233" s="182" t="s">
        <v>397</v>
      </c>
      <c r="C233" s="182" t="s">
        <v>398</v>
      </c>
      <c r="D233" s="182" t="str">
        <f ca="1">[1]!cb_info_underlyingname(B233)</f>
        <v>安迪苏</v>
      </c>
      <c r="E233" s="183" t="str">
        <f ca="1">[1]!cb_info_underlyingcode(B233)</f>
        <v>600299.SH</v>
      </c>
      <c r="F233" s="184" t="str">
        <f ca="1">[1]!s_info_industry_sw(B233,1)</f>
        <v>化工</v>
      </c>
      <c r="G233" s="184" t="str">
        <f ca="1">[1]!s_info_industry_sw(E233,2)</f>
        <v>化学制品</v>
      </c>
      <c r="H233" s="184" t="str">
        <f ca="1">[1]!s_info_industry_sw(E233,3)</f>
        <v>其他化学制品</v>
      </c>
      <c r="I233" s="192" t="str">
        <f ca="1">[1]!s_info_majorproducttype(E233)</f>
        <v>食品添加剂</v>
      </c>
      <c r="J233" s="189">
        <f ca="1">[1]!s_val_ev(E233,$B$2,100000000)</f>
        <v>323.16910339650002</v>
      </c>
      <c r="K233" s="193">
        <f ca="1">[1]!s_share_total(E233,$B$2,100000000)</f>
        <v>26.819012730000001</v>
      </c>
      <c r="L233" s="193">
        <f ca="1">[1]!s_share_liqa(E233,$B$2,100000000)</f>
        <v>26.819012730000001</v>
      </c>
      <c r="M233" s="186">
        <f ca="1">[1]!s_fa_gr_ttm2(E233,$C$3,100000000)</f>
        <v>117.03989108</v>
      </c>
      <c r="N233" s="187">
        <f ca="1">[1]!s_fa_netprofit_ttm2(E233,$C$3,100000000)</f>
        <v>12.78565044</v>
      </c>
      <c r="O233" s="186"/>
      <c r="P233" s="187">
        <f ca="1">[1]!s_val_pe_ttm(E233,[1]!td($B$2-1))</f>
        <v>22.307373046875</v>
      </c>
      <c r="Q233" s="187">
        <f ca="1">[1]!i_val_pe_percentile(E233,[1]!td($B$2-1),$B$2-365*5,[1]!td($B$2-1))</f>
        <v>23.026315789473685</v>
      </c>
      <c r="R233" s="187">
        <f ca="1">[1]!pb_mrq(E233,[1]!td($B$2-1))</f>
        <v>2.3351002538334575</v>
      </c>
      <c r="S233" s="187">
        <f ca="1">[1]!i_val_pb_percentile(E233,[1]!td($B$2-1),$B$2-365*5,[1]!td($B$2-1))</f>
        <v>36.184210526315788</v>
      </c>
      <c r="T233" s="187">
        <f ca="1">[1]!s_val_pe_ttm([1]!to_windcode_index(H233&amp;"(申万)"),[1]!td($B$2-1))</f>
        <v>46.459999084472656</v>
      </c>
      <c r="U233" s="187"/>
      <c r="V233" s="187">
        <f ca="1">[1]!s_fa_roe(E233,$C$3)</f>
        <v>7.9859999999999998</v>
      </c>
      <c r="W233" s="187">
        <f ca="1">[1]!s_fa_grossprofitmargin(E233,$C$3)</f>
        <v>39.303800000000003</v>
      </c>
      <c r="X233" s="187">
        <f ca="1">[1]!s_fa_netprofitmargin(E233,$C$3)</f>
        <v>13.4251</v>
      </c>
      <c r="Y233" s="187">
        <f ca="1">[1]!s_fa_roic(E233,$C$3)</f>
        <v>7.4214000000000002</v>
      </c>
      <c r="Z233" s="187">
        <f ca="1">[1]!s_fa_operateincometoebt_ttm2(E233,$C$3)</f>
        <v>102.3411</v>
      </c>
      <c r="AA233" s="186"/>
      <c r="AB233" s="342"/>
      <c r="AC233" s="186">
        <f ca="1">[1]!s_fa_cagr_tr($E233,AC$6,3)</f>
        <v>0</v>
      </c>
      <c r="AD233" s="186">
        <f ca="1">[1]!s_fa_cagr_tr($E233,AD$6,3)</f>
        <v>4.6313150978849693</v>
      </c>
      <c r="AE233" s="187">
        <f ca="1">[1]!s_fa_cagr_tr($E233,AE$6,3)</f>
        <v>1.3757459437449882</v>
      </c>
      <c r="AF233" s="187">
        <f ca="1">[1]!s_fa_cagr_tr($E233,AF$6,3)</f>
        <v>-9.0429992629290972</v>
      </c>
      <c r="AG233" s="187">
        <f ca="1">[1]!s_fa_cagr_tr($E233,AG$6,3)</f>
        <v>2.8957325815375468</v>
      </c>
      <c r="AH233" s="187">
        <f ca="1">[1]!s_fa_cagr_tr($E233,AH$6,3)</f>
        <v>8.9593555097844391</v>
      </c>
      <c r="AI233" s="194"/>
      <c r="AJ233" s="187">
        <f ca="1">[1]!s_fa_cagr_netprofit($E233,AJ$6,3)</f>
        <v>0</v>
      </c>
      <c r="AK233" s="187">
        <f ca="1">[1]!s_fa_cagr_netprofit($E233,AK$6,3)</f>
        <v>0.70744746764728195</v>
      </c>
      <c r="AL233" s="187">
        <f ca="1">[1]!s_fa_cagr_netprofit($E233,AL$6,3)</f>
        <v>-18.971121387500776</v>
      </c>
      <c r="AM233" s="187">
        <f ca="1">[1]!s_fa_cagr_netprofit($E233,AM$6,3)</f>
        <v>-15.383582689275032</v>
      </c>
      <c r="AN233" s="187">
        <f ca="1">[1]!s_fa_cagr_netprofit($E233,AN$6,3)</f>
        <v>75.815882271694505</v>
      </c>
      <c r="AO233" s="187">
        <f ca="1">[1]!s_fa_cagr_netprofit($E233,AO$6,3)</f>
        <v>53.803038293113971</v>
      </c>
      <c r="AP233" s="189"/>
      <c r="AQ233" s="202">
        <f ca="1">[1]!s_fa_dupont_roe(E233,$C$3)</f>
        <v>7.9859999999999998</v>
      </c>
      <c r="AR233" s="202">
        <f ca="1">[1]!s_fa_dupont_nptosales(B233,$C$3)</f>
        <v>0.32350000000000001</v>
      </c>
      <c r="AS233" s="237">
        <f ca="1">[1]!s_fa_dupont_faturnover(E233,$C$3)</f>
        <v>0.43459999999999999</v>
      </c>
      <c r="AT233" s="202">
        <f ca="1">[1]!s_fa_dupont_assetstoequity(E233,$C$3)</f>
        <v>1.4863999999999999</v>
      </c>
      <c r="AU233" s="189"/>
      <c r="AV233" s="189"/>
      <c r="AW233" s="189"/>
      <c r="AX233" s="189"/>
      <c r="AY233" s="189"/>
      <c r="AZ233" s="189"/>
      <c r="BA233" s="189"/>
      <c r="BB233" s="189"/>
      <c r="BC233" s="189"/>
      <c r="BD233" s="189"/>
      <c r="BE233" s="189"/>
    </row>
    <row r="234" spans="1:57" s="130" customFormat="1" ht="12" customHeight="1" x14ac:dyDescent="0.35">
      <c r="A234" s="121" t="s">
        <v>5</v>
      </c>
      <c r="B234" s="121" t="s">
        <v>931</v>
      </c>
      <c r="C234" s="121" t="s">
        <v>932</v>
      </c>
      <c r="D234" s="121" t="str">
        <f ca="1">[1]!cb_info_underlyingname(B234)</f>
        <v>新洋丰</v>
      </c>
      <c r="E234" s="122" t="str">
        <f ca="1">[1]!cb_info_underlyingcode(B234)</f>
        <v>000902.SZ</v>
      </c>
      <c r="F234" s="123" t="str">
        <f ca="1">[1]!s_info_industry_sw(B234,1)</f>
        <v>化工</v>
      </c>
      <c r="G234" s="123" t="str">
        <f ca="1">[1]!s_info_industry_sw(E234,2)</f>
        <v>化学制品</v>
      </c>
      <c r="H234" s="123" t="str">
        <f ca="1">[1]!s_info_industry_sw(E234,3)</f>
        <v>复合肥</v>
      </c>
      <c r="I234" s="156" t="str">
        <f ca="1">[1]!s_info_majorproducttype(E234)</f>
        <v>国内贸易、磷肥</v>
      </c>
      <c r="J234" s="129">
        <f ca="1">[1]!s_val_ev(E234,$B$2,100000000)</f>
        <v>274.08160382900002</v>
      </c>
      <c r="K234" s="157">
        <f ca="1">[1]!s_share_total(E234,$B$2,100000000)</f>
        <v>13.0452929</v>
      </c>
      <c r="L234" s="157">
        <f ca="1">[1]!s_share_liqa(E234,$B$2,100000000)</f>
        <v>11.863090980000001</v>
      </c>
      <c r="M234" s="125">
        <f ca="1">[1]!s_fa_gr_ttm2(E234,$C$3,100000000)</f>
        <v>94.491378595400008</v>
      </c>
      <c r="N234" s="126">
        <f ca="1">[1]!s_fa_netprofit_ttm2(E234,$C$3,100000000)</f>
        <v>8.0454169485999998</v>
      </c>
      <c r="O234" s="125"/>
      <c r="P234" s="126">
        <f ca="1">[1]!s_val_pe_ttm(E234,[1]!td($B$2-1))</f>
        <v>23.779996871948242</v>
      </c>
      <c r="Q234" s="126">
        <f ca="1">[1]!i_val_pe_percentile(E234,[1]!td($B$2-1),$B$2-365*5,[1]!td($B$2-1))</f>
        <v>84.539473684210535</v>
      </c>
      <c r="R234" s="126">
        <f ca="1">[1]!pb_mrq(E234,[1]!td($B$2-1))</f>
        <v>3.7155472985158426</v>
      </c>
      <c r="S234" s="126">
        <f ca="1">[1]!i_val_pb_percentile(E234,[1]!td($B$2-1),$B$2-365*5,[1]!td($B$2-1))</f>
        <v>96.546052631578945</v>
      </c>
      <c r="T234" s="126">
        <f ca="1">[1]!s_val_pe_ttm([1]!to_windcode_index(H234&amp;"(申万)"),[1]!td($B$2-1))</f>
        <v>23.159999847412109</v>
      </c>
      <c r="U234" s="125"/>
      <c r="V234" s="125">
        <f ca="1">[1]!s_fa_roe(E234,$C$3)</f>
        <v>11.989599999999999</v>
      </c>
      <c r="W234" s="125">
        <f ca="1">[1]!s_fa_grossprofitmargin(E234,$C$3)</f>
        <v>20.6143</v>
      </c>
      <c r="X234" s="125">
        <f ca="1">[1]!s_fa_netprofitmargin(E234,$C$3)</f>
        <v>9.8209999999999997</v>
      </c>
      <c r="Y234" s="125">
        <f ca="1">[1]!s_fa_roic(E234,$C$3)</f>
        <v>10.7118</v>
      </c>
      <c r="Z234" s="125">
        <f ca="1">[1]!s_fa_operateincometoebt_ttm2(E234,$C$3)</f>
        <v>97.815399999999997</v>
      </c>
      <c r="AA234" s="125"/>
      <c r="AB234" s="343"/>
      <c r="AC234" s="125">
        <f ca="1">[1]!s_fa_cagr_tr($E234,AC$6,3)</f>
        <v>0</v>
      </c>
      <c r="AD234" s="125">
        <f ca="1">[1]!s_fa_cagr_tr($E234,AD$6,3)</f>
        <v>3.6862060092686999</v>
      </c>
      <c r="AE234" s="126">
        <f ca="1">[1]!s_fa_cagr_tr($E234,AE$6,3)</f>
        <v>4.0660223212138913</v>
      </c>
      <c r="AF234" s="126">
        <f ca="1">[1]!s_fa_cagr_tr($E234,AF$6,3)</f>
        <v>1.4062458982327941</v>
      </c>
      <c r="AG234" s="126">
        <f ca="1">[1]!s_fa_cagr_tr($E234,AG$6,3)</f>
        <v>2.6440285909349548</v>
      </c>
      <c r="AH234" s="126">
        <f ca="1">[1]!s_fa_cagr_tr($E234,AH$6,3)</f>
        <v>67.286661004099983</v>
      </c>
      <c r="AI234" s="169"/>
      <c r="AJ234" s="126">
        <f ca="1">[1]!s_fa_cagr_netprofit($E234,AJ$6,3)</f>
        <v>0</v>
      </c>
      <c r="AK234" s="126">
        <f ca="1">[1]!s_fa_cagr_netprofit($E234,AK$6,3)</f>
        <v>11.968741184953569</v>
      </c>
      <c r="AL234" s="126">
        <f ca="1">[1]!s_fa_cagr_netprofit($E234,AL$6,3)</f>
        <v>4.9576016218767727</v>
      </c>
      <c r="AM234" s="126">
        <f ca="1">[1]!s_fa_cagr_netprofit($E234,AM$6,3)</f>
        <v>3.0792725999471582</v>
      </c>
      <c r="AN234" s="126">
        <f ca="1">[1]!s_fa_cagr_netprofit($E234,AN$6,3)</f>
        <v>5.9985502779233091</v>
      </c>
      <c r="AO234" s="126">
        <f ca="1">[1]!s_fa_cagr_netprofit($E234,AO$6,3)</f>
        <v>149.19967337171985</v>
      </c>
      <c r="AP234" s="129"/>
      <c r="AQ234" s="203">
        <f ca="1">[1]!s_fa_dupont_roe(E234,$C$3)</f>
        <v>11.989599999999999</v>
      </c>
      <c r="AR234" s="203">
        <f ca="1">[1]!s_fa_dupont_nptosales(B234,$C$3)</f>
        <v>9.8209999999999997</v>
      </c>
      <c r="AS234" s="238">
        <f ca="1">[1]!s_fa_dupont_faturnover(E234,$C$3)</f>
        <v>0.82089999999999996</v>
      </c>
      <c r="AT234" s="203">
        <f ca="1">[1]!s_fa_dupont_assetstoequity(E234,$C$3)</f>
        <v>1.5127999999999999</v>
      </c>
      <c r="AU234" s="129"/>
      <c r="AV234" s="129"/>
      <c r="AW234" s="129"/>
      <c r="AX234" s="129"/>
      <c r="AY234" s="129"/>
      <c r="AZ234" s="129"/>
      <c r="BA234" s="129"/>
      <c r="BB234" s="129"/>
      <c r="BC234" s="129"/>
      <c r="BD234" s="129"/>
      <c r="BE234" s="129"/>
    </row>
    <row r="235" spans="1:57" s="191" customFormat="1" ht="12" customHeight="1" x14ac:dyDescent="0.35">
      <c r="A235" s="182" t="s">
        <v>0</v>
      </c>
      <c r="B235" s="182" t="s">
        <v>433</v>
      </c>
      <c r="C235" s="182" t="s">
        <v>434</v>
      </c>
      <c r="D235" s="182" t="str">
        <f ca="1">[1]!cb_info_underlyingname(B235)</f>
        <v>新凤鸣</v>
      </c>
      <c r="E235" s="183" t="str">
        <f ca="1">[1]!cb_info_underlyingcode(B235)</f>
        <v>603225.SH</v>
      </c>
      <c r="F235" s="184" t="str">
        <f ca="1">[1]!s_info_industry_sw(B235,1)</f>
        <v>化工</v>
      </c>
      <c r="G235" s="184" t="str">
        <f ca="1">[1]!s_info_industry_sw(E235,2)</f>
        <v>化学纤维</v>
      </c>
      <c r="H235" s="184" t="str">
        <f ca="1">[1]!s_info_industry_sw(E235,3)</f>
        <v>涤纶</v>
      </c>
      <c r="I235" s="192" t="str">
        <f ca="1">[1]!s_info_majorproducttype(E235)</f>
        <v>合成纤维</v>
      </c>
      <c r="J235" s="189">
        <f ca="1">[1]!s_val_ev(E235,$B$2,100000000)</f>
        <v>308.20783915999993</v>
      </c>
      <c r="K235" s="193">
        <f ca="1">[1]!s_share_total(E235,$B$2,100000000)</f>
        <v>15.295674399999999</v>
      </c>
      <c r="L235" s="193">
        <f ca="1">[1]!s_share_liqa(E235,$B$2,100000000)</f>
        <v>15.045229070000003</v>
      </c>
      <c r="M235" s="186">
        <f ca="1">[1]!s_fa_gr_ttm2(E235,$C$3,100000000)</f>
        <v>326.3539108814</v>
      </c>
      <c r="N235" s="187">
        <f ca="1">[1]!s_fa_netprofit_ttm2(E235,$C$3,100000000)</f>
        <v>5.0885750799</v>
      </c>
      <c r="O235" s="186"/>
      <c r="P235" s="187">
        <f ca="1">[1]!s_val_pe_ttm(E235,[1]!td($B$2-1))</f>
        <v>17.866147994995117</v>
      </c>
      <c r="Q235" s="187">
        <f ca="1">[1]!i_val_pe_percentile(E235,[1]!td($B$2-1),$B$2-365*5,[1]!td($B$2-1))</f>
        <v>69.245165315034313</v>
      </c>
      <c r="R235" s="187">
        <f ca="1">[1]!pb_mrq(E235,[1]!td($B$2-1))</f>
        <v>2.3922932439897435</v>
      </c>
      <c r="S235" s="187">
        <f ca="1">[1]!i_val_pb_percentile(E235,[1]!td($B$2-1),$B$2-365*5,[1]!td($B$2-1))</f>
        <v>47.972551466001242</v>
      </c>
      <c r="T235" s="187">
        <f ca="1">[1]!s_val_pe_ttm([1]!to_windcode_index(H235&amp;"(申万)"),[1]!td($B$2-1))</f>
        <v>16.75</v>
      </c>
      <c r="U235" s="187"/>
      <c r="V235" s="187">
        <f ca="1">[1]!s_fa_roe(E235,$C$3)</f>
        <v>2.2237</v>
      </c>
      <c r="W235" s="187">
        <f ca="1">[1]!s_fa_grossprofitmargin(E235,$C$3)</f>
        <v>4.4611999999999998</v>
      </c>
      <c r="X235" s="187">
        <f ca="1">[1]!s_fa_netprofitmargin(E235,$C$3)</f>
        <v>1.1263000000000001</v>
      </c>
      <c r="Y235" s="187">
        <f ca="1">[1]!s_fa_roic(E235,$C$3)</f>
        <v>2.2393000000000001</v>
      </c>
      <c r="Z235" s="187">
        <f ca="1">[1]!s_fa_operateincometoebt_ttm2(E235,$C$3)</f>
        <v>53.300199999999997</v>
      </c>
      <c r="AA235" s="186"/>
      <c r="AB235" s="342"/>
      <c r="AC235" s="186">
        <f ca="1">[1]!s_fa_cagr_tr($E235,AC$6,3)</f>
        <v>0</v>
      </c>
      <c r="AD235" s="186">
        <f ca="1">[1]!s_fa_cagr_tr($E235,AD$6,3)</f>
        <v>17.217846367324064</v>
      </c>
      <c r="AE235" s="187">
        <f ca="1">[1]!s_fa_cagr_tr($E235,AE$6,3)</f>
        <v>25.016434286004461</v>
      </c>
      <c r="AF235" s="187">
        <f ca="1">[1]!s_fa_cagr_tr($E235,AF$6,3)</f>
        <v>30.662847215806298</v>
      </c>
      <c r="AG235" s="187">
        <f ca="1">[1]!s_fa_cagr_tr($E235,AG$6,3)</f>
        <v>15.885160356528427</v>
      </c>
      <c r="AH235" s="187">
        <f ca="1">[1]!s_fa_cagr_tr($E235,AH$6,3)</f>
        <v>10.854498330047747</v>
      </c>
      <c r="AI235" s="194"/>
      <c r="AJ235" s="187">
        <f ca="1">[1]!s_fa_cagr_netprofit($E235,AJ$6,3)</f>
        <v>0</v>
      </c>
      <c r="AK235" s="187">
        <f ca="1">[1]!s_fa_cagr_netprofit($E235,AK$6,3)</f>
        <v>-26.139009813951041</v>
      </c>
      <c r="AL235" s="187">
        <f ca="1">[1]!s_fa_cagr_netprofit($E235,AL$6,3)</f>
        <v>22.799356601769858</v>
      </c>
      <c r="AM235" s="187">
        <f ca="1">[1]!s_fa_cagr_netprofit($E235,AM$6,3)</f>
        <v>67.193358760701798</v>
      </c>
      <c r="AN235" s="187">
        <f ca="1">[1]!s_fa_cagr_netprofit($E235,AN$6,3)</f>
        <v>72.534518476597512</v>
      </c>
      <c r="AO235" s="187">
        <f ca="1">[1]!s_fa_cagr_netprofit($E235,AO$6,3)</f>
        <v>171.77004422560671</v>
      </c>
      <c r="AP235" s="189"/>
      <c r="AQ235" s="202">
        <f ca="1">[1]!s_fa_dupont_roe(E235,$C$3)</f>
        <v>2.2237</v>
      </c>
      <c r="AR235" s="202">
        <f ca="1">[1]!s_fa_dupont_nptosales(B235,$C$3)</f>
        <v>1.1263000000000001</v>
      </c>
      <c r="AS235" s="237">
        <f ca="1">[1]!s_fa_dupont_faturnover(E235,$C$3)</f>
        <v>0.91930000000000001</v>
      </c>
      <c r="AT235" s="202">
        <f ca="1">[1]!s_fa_dupont_assetstoequity(E235,$C$3)</f>
        <v>2.1476999999999999</v>
      </c>
      <c r="AU235" s="189"/>
      <c r="AV235" s="201"/>
      <c r="AW235" s="189"/>
      <c r="AX235" s="189"/>
      <c r="AY235" s="189"/>
      <c r="AZ235" s="189"/>
      <c r="BA235" s="189"/>
      <c r="BB235" s="189"/>
      <c r="BC235" s="189"/>
      <c r="BD235" s="189"/>
      <c r="BE235" s="189"/>
    </row>
    <row r="236" spans="1:57" s="130" customFormat="1" ht="12" customHeight="1" x14ac:dyDescent="0.35">
      <c r="A236" s="121" t="s">
        <v>0</v>
      </c>
      <c r="B236" s="121" t="s">
        <v>840</v>
      </c>
      <c r="C236" s="121" t="s">
        <v>841</v>
      </c>
      <c r="D236" s="121" t="str">
        <f ca="1">[1]!cb_info_underlyingname(B236)</f>
        <v>彤程新材</v>
      </c>
      <c r="E236" s="122" t="str">
        <f ca="1">[1]!cb_info_underlyingcode(B236)</f>
        <v>603650.SH</v>
      </c>
      <c r="F236" s="123" t="str">
        <f ca="1">[1]!s_info_industry_sw(B236,1)</f>
        <v>化工</v>
      </c>
      <c r="G236" s="123" t="str">
        <f ca="1">[1]!s_info_industry_sw(E236,2)</f>
        <v>化学制品</v>
      </c>
      <c r="H236" s="123" t="str">
        <f ca="1">[1]!s_info_industry_sw(E236,3)</f>
        <v>其他化学制品</v>
      </c>
      <c r="I236" s="156" t="str">
        <f ca="1">[1]!s_info_majorproducttype(E236)</f>
        <v>高分子聚合物、国内贸易</v>
      </c>
      <c r="J236" s="129">
        <f ca="1">[1]!s_val_ev(E236,$B$2,100000000)</f>
        <v>318.50905751210001</v>
      </c>
      <c r="K236" s="157">
        <f ca="1">[1]!s_share_total(E236,$B$2,100000000)</f>
        <v>5.9323720900000003</v>
      </c>
      <c r="L236" s="157">
        <f ca="1">[1]!s_share_liqa(E236,$B$2,100000000)</f>
        <v>5.9323720900000003</v>
      </c>
      <c r="M236" s="125">
        <f ca="1">[1]!s_fa_gr_ttm2(E236,$C$3,100000000)</f>
        <v>20.697638878199999</v>
      </c>
      <c r="N236" s="126">
        <f ca="1">[1]!s_fa_netprofit_ttm2(E236,$C$3,100000000)</f>
        <v>3.3156702795999999</v>
      </c>
      <c r="O236" s="125"/>
      <c r="P236" s="126">
        <f ca="1">[1]!s_val_pe_ttm(E236,[1]!td($B$2-1))</f>
        <v>68.119712829589844</v>
      </c>
      <c r="Q236" s="126">
        <f ca="1">[1]!i_val_pe_percentile(E236,[1]!td($B$2-1),$B$2-365*5,[1]!td($B$2-1))</f>
        <v>86.729452054794521</v>
      </c>
      <c r="R236" s="126">
        <f ca="1">[1]!pb_mrq(E236,[1]!td($B$2-1))</f>
        <v>13.364827999747867</v>
      </c>
      <c r="S236" s="126">
        <f ca="1">[1]!i_val_pb_percentile(E236,[1]!td($B$2-1),$B$2-365*5,[1]!td($B$2-1))</f>
        <v>93.921232876712324</v>
      </c>
      <c r="T236" s="126">
        <f ca="1">[1]!s_val_pe_ttm([1]!to_windcode_index(H236&amp;"(申万)"),[1]!td($B$2-1))</f>
        <v>46.459999084472656</v>
      </c>
      <c r="U236" s="126"/>
      <c r="V236" s="126">
        <f ca="1">[1]!s_fa_roe(E236,$C$3)</f>
        <v>14.2967</v>
      </c>
      <c r="W236" s="126">
        <f ca="1">[1]!s_fa_grossprofitmargin(E236,$C$3)</f>
        <v>32.636800000000001</v>
      </c>
      <c r="X236" s="126">
        <f ca="1">[1]!s_fa_netprofitmargin(E236,$C$3)</f>
        <v>22.9223</v>
      </c>
      <c r="Y236" s="126">
        <f ca="1">[1]!s_fa_roic(E236,$C$3)</f>
        <v>10.1623</v>
      </c>
      <c r="Z236" s="126">
        <f ca="1">[1]!s_fa_operateincometoebt_ttm2(E236,$C$3)</f>
        <v>53.66</v>
      </c>
      <c r="AA236" s="125"/>
      <c r="AB236" s="343"/>
      <c r="AC236" s="125">
        <f ca="1">[1]!s_fa_cagr_tr($E236,AC$6,3)</f>
        <v>0</v>
      </c>
      <c r="AD236" s="125">
        <f ca="1">[1]!s_fa_cagr_tr($E236,AD$6,3)</f>
        <v>2.4796347820333686</v>
      </c>
      <c r="AE236" s="126">
        <f ca="1">[1]!s_fa_cagr_tr($E236,AE$6,3)</f>
        <v>8.416083572640698</v>
      </c>
      <c r="AF236" s="126">
        <f ca="1">[1]!s_fa_cagr_tr($E236,AF$6,3)</f>
        <v>11.708619267797138</v>
      </c>
      <c r="AG236" s="126">
        <f ca="1">[1]!s_fa_cagr_tr($E236,AG$6,3)</f>
        <v>2.0597088172376044</v>
      </c>
      <c r="AH236" s="126">
        <f ca="1">[1]!s_fa_cagr_tr($E236,AH$6,3)</f>
        <v>0</v>
      </c>
      <c r="AI236" s="169"/>
      <c r="AJ236" s="126">
        <f ca="1">[1]!s_fa_cagr_netprofit($E236,AJ$6,3)</f>
        <v>0</v>
      </c>
      <c r="AK236" s="126">
        <f ca="1">[1]!s_fa_cagr_netprofit($E236,AK$6,3)</f>
        <v>9.2424697262859077</v>
      </c>
      <c r="AL236" s="126">
        <f ca="1">[1]!s_fa_cagr_netprofit($E236,AL$6,3)</f>
        <v>7.9598166934353287</v>
      </c>
      <c r="AM236" s="126">
        <f ca="1">[1]!s_fa_cagr_netprofit($E236,AM$6,3)</f>
        <v>75.234961478252742</v>
      </c>
      <c r="AN236" s="126">
        <f ca="1">[1]!s_fa_cagr_netprofit($E236,AN$6,3)</f>
        <v>29.711849615028306</v>
      </c>
      <c r="AO236" s="126">
        <f ca="1">[1]!s_fa_cagr_netprofit($E236,AO$6,3)</f>
        <v>0</v>
      </c>
      <c r="AP236" s="129"/>
      <c r="AQ236" s="203">
        <f ca="1">[1]!s_fa_dupont_roe(E236,$C$3)</f>
        <v>14.2967</v>
      </c>
      <c r="AR236" s="203">
        <f ca="1">[1]!s_fa_dupont_nptosales(B236,$C$3)</f>
        <v>22.9223</v>
      </c>
      <c r="AS236" s="238">
        <f ca="1">[1]!s_fa_dupont_faturnover(E236,$C$3)</f>
        <v>0.35570000000000002</v>
      </c>
      <c r="AT236" s="203">
        <f ca="1">[1]!s_fa_dupont_assetstoequity(E236,$C$3)</f>
        <v>1.8310999999999999</v>
      </c>
      <c r="AU236" s="129"/>
      <c r="AV236" s="129"/>
      <c r="AW236" s="129"/>
      <c r="AX236" s="129"/>
      <c r="AY236" s="129"/>
      <c r="AZ236" s="129"/>
      <c r="BA236" s="129"/>
      <c r="BB236" s="129"/>
      <c r="BC236" s="129"/>
      <c r="BD236" s="129"/>
      <c r="BE236" s="129"/>
    </row>
    <row r="237" spans="1:57" s="191" customFormat="1" ht="12" customHeight="1" x14ac:dyDescent="0.35">
      <c r="A237" s="182" t="s">
        <v>5</v>
      </c>
      <c r="B237" s="182" t="s">
        <v>38</v>
      </c>
      <c r="C237" s="182" t="s">
        <v>39</v>
      </c>
      <c r="D237" s="182" t="str">
        <f ca="1">[1]!cb_info_underlyingname(B237)</f>
        <v>齐翔腾达</v>
      </c>
      <c r="E237" s="183" t="str">
        <f ca="1">[1]!cb_info_underlyingcode(B237)</f>
        <v>002408.SZ</v>
      </c>
      <c r="F237" s="184" t="str">
        <f ca="1">[1]!s_info_industry_sw(B237,1)</f>
        <v>化工</v>
      </c>
      <c r="G237" s="184" t="str">
        <f ca="1">[1]!s_info_industry_sw(E237,2)</f>
        <v>化学制品</v>
      </c>
      <c r="H237" s="184" t="str">
        <f ca="1">[1]!s_info_industry_sw(E237,3)</f>
        <v>聚氨酯</v>
      </c>
      <c r="I237" s="192" t="str">
        <f ca="1">[1]!s_info_majorproducttype(E237)</f>
        <v>无机化工原料</v>
      </c>
      <c r="J237" s="189">
        <f ca="1">[1]!s_val_ev(E237,$B$2,100000000)</f>
        <v>303.79281879920001</v>
      </c>
      <c r="K237" s="193">
        <f ca="1">[1]!s_share_total(E237,$B$2,100000000)</f>
        <v>19.960106360000001</v>
      </c>
      <c r="L237" s="193">
        <f ca="1">[1]!s_share_liqa(E237,$B$2,100000000)</f>
        <v>19.461224519999998</v>
      </c>
      <c r="M237" s="186">
        <f ca="1">[1]!s_fa_gr_ttm2(E237,$C$3,100000000)</f>
        <v>223.45150192349999</v>
      </c>
      <c r="N237" s="187">
        <f ca="1">[1]!s_fa_netprofit_ttm2(E237,$C$3,100000000)</f>
        <v>8.8380122060000001</v>
      </c>
      <c r="O237" s="186"/>
      <c r="P237" s="187">
        <f ca="1">[1]!s_val_pe_ttm(E237,[1]!td($B$2-1))</f>
        <v>15.428070068359375</v>
      </c>
      <c r="Q237" s="187">
        <f ca="1">[1]!i_val_pe_percentile(E237,[1]!td($B$2-1),$B$2-365*5,[1]!td($B$2-1))</f>
        <v>9.375</v>
      </c>
      <c r="R237" s="187">
        <f ca="1">[1]!pb_mrq(E237,[1]!td($B$2-1))</f>
        <v>2.637492023756224</v>
      </c>
      <c r="S237" s="187">
        <f ca="1">[1]!i_val_pb_percentile(E237,[1]!td($B$2-1),$B$2-365*5,[1]!td($B$2-1))</f>
        <v>59.978070175438589</v>
      </c>
      <c r="T237" s="187">
        <f ca="1">[1]!s_val_pe_ttm([1]!to_windcode_index(H237&amp;"(申万)"),[1]!td($B$2-1))</f>
        <v>18.850000381469727</v>
      </c>
      <c r="U237" s="187"/>
      <c r="V237" s="187">
        <f ca="1">[1]!s_fa_roe(E237,$C$3)</f>
        <v>9.6628000000000007</v>
      </c>
      <c r="W237" s="187">
        <f ca="1">[1]!s_fa_grossprofitmargin(E237,$C$3)</f>
        <v>10.3935</v>
      </c>
      <c r="X237" s="187">
        <f ca="1">[1]!s_fa_netprofitmargin(E237,$C$3)</f>
        <v>5.1300999999999997</v>
      </c>
      <c r="Y237" s="187">
        <f ca="1">[1]!s_fa_roic(E237,$C$3)</f>
        <v>6.4832000000000001</v>
      </c>
      <c r="Z237" s="187">
        <f ca="1">[1]!s_fa_operateincometoebt_ttm2(E237,$C$3)</f>
        <v>89.551699999999997</v>
      </c>
      <c r="AA237" s="186"/>
      <c r="AB237" s="342"/>
      <c r="AC237" s="186">
        <f ca="1">[1]!s_fa_cagr_tr($E237,AC$6,3)</f>
        <v>0</v>
      </c>
      <c r="AD237" s="186">
        <f ca="1">[1]!s_fa_cagr_tr($E237,AD$6,3)</f>
        <v>3.5606375419693137</v>
      </c>
      <c r="AE237" s="187">
        <f ca="1">[1]!s_fa_cagr_tr($E237,AE$6,3)</f>
        <v>72.309801781562584</v>
      </c>
      <c r="AF237" s="187">
        <f ca="1">[1]!s_fa_cagr_tr($E237,AF$6,3)</f>
        <v>86.880401742077979</v>
      </c>
      <c r="AG237" s="187">
        <f ca="1">[1]!s_fa_cagr_tr($E237,AG$6,3)</f>
        <v>62.283857053706001</v>
      </c>
      <c r="AH237" s="187">
        <f ca="1">[1]!s_fa_cagr_tr($E237,AH$6,3)</f>
        <v>15.92636844110209</v>
      </c>
      <c r="AI237" s="194"/>
      <c r="AJ237" s="187">
        <f ca="1">[1]!s_fa_cagr_netprofit($E237,AJ$6,3)</f>
        <v>0</v>
      </c>
      <c r="AK237" s="187">
        <f ca="1">[1]!s_fa_cagr_netprofit($E237,AK$6,3)</f>
        <v>4.7211019146886191</v>
      </c>
      <c r="AL237" s="187">
        <f ca="1">[1]!s_fa_cagr_netprofit($E237,AL$6,3)</f>
        <v>7.2830725763622706</v>
      </c>
      <c r="AM237" s="187">
        <f ca="1">[1]!s_fa_cagr_netprofit($E237,AM$6,3)</f>
        <v>66.025207867156908</v>
      </c>
      <c r="AN237" s="187">
        <f ca="1">[1]!s_fa_cagr_netprofit($E237,AN$6,3)</f>
        <v>41.575646602163395</v>
      </c>
      <c r="AO237" s="187">
        <f ca="1">[1]!s_fa_cagr_netprofit($E237,AO$6,3)</f>
        <v>13.237627761962178</v>
      </c>
      <c r="AP237" s="189"/>
      <c r="AQ237" s="202">
        <f ca="1">[1]!s_fa_dupont_roe(E237,$C$3)</f>
        <v>9.6628000000000007</v>
      </c>
      <c r="AR237" s="202">
        <f ca="1">[1]!s_fa_dupont_nptosales(B237,$C$3)</f>
        <v>5.1300999999999997</v>
      </c>
      <c r="AS237" s="237">
        <f ca="1">[1]!s_fa_dupont_faturnover(E237,$C$3)</f>
        <v>0.98770000000000002</v>
      </c>
      <c r="AT237" s="202">
        <f ca="1">[1]!s_fa_dupont_assetstoequity(E237,$C$3)</f>
        <v>2.0305</v>
      </c>
      <c r="AU237" s="189"/>
      <c r="AV237" s="189"/>
      <c r="AW237" s="189"/>
      <c r="AX237" s="189"/>
      <c r="AY237" s="189"/>
      <c r="AZ237" s="189"/>
      <c r="BA237" s="189"/>
      <c r="BB237" s="189"/>
      <c r="BC237" s="189"/>
      <c r="BD237" s="189"/>
      <c r="BE237" s="189"/>
    </row>
    <row r="238" spans="1:57" s="130" customFormat="1" ht="12" customHeight="1" x14ac:dyDescent="0.35">
      <c r="A238" s="121" t="s">
        <v>5</v>
      </c>
      <c r="B238" s="121" t="s">
        <v>399</v>
      </c>
      <c r="C238" s="121" t="s">
        <v>400</v>
      </c>
      <c r="D238" s="121" t="str">
        <f ca="1">[1]!cb_info_underlyingname(B238)</f>
        <v>利尔化学</v>
      </c>
      <c r="E238" s="122" t="str">
        <f ca="1">[1]!cb_info_underlyingcode(B238)</f>
        <v>002258.SZ</v>
      </c>
      <c r="F238" s="123" t="str">
        <f ca="1">[1]!s_info_industry_sw(B238,1)</f>
        <v>化工</v>
      </c>
      <c r="G238" s="123" t="str">
        <f ca="1">[1]!s_info_industry_sw(E238,2)</f>
        <v>化学制品</v>
      </c>
      <c r="H238" s="123" t="str">
        <f ca="1">[1]!s_info_industry_sw(E238,3)</f>
        <v>农药</v>
      </c>
      <c r="I238" s="156" t="str">
        <f ca="1">[1]!s_info_majorproducttype(E238)</f>
        <v>有机化学农药</v>
      </c>
      <c r="J238" s="129">
        <f ca="1">[1]!s_val_ev(E238,$B$2,100000000)</f>
        <v>168.56543488</v>
      </c>
      <c r="K238" s="157">
        <f ca="1">[1]!s_share_total(E238,$B$2,100000000)</f>
        <v>5.2676698399999999</v>
      </c>
      <c r="L238" s="157">
        <f ca="1">[1]!s_share_liqa(E238,$B$2,100000000)</f>
        <v>5.2418316899999997</v>
      </c>
      <c r="M238" s="125">
        <f ca="1">[1]!s_fa_gr_ttm2(E238,$C$3,100000000)</f>
        <v>44.994941383900006</v>
      </c>
      <c r="N238" s="126">
        <f ca="1">[1]!s_fa_netprofit_ttm2(E238,$C$3,100000000)</f>
        <v>4.9349508852000001</v>
      </c>
      <c r="O238" s="125"/>
      <c r="P238" s="126">
        <f ca="1">[1]!s_val_pe_ttm(E238,[1]!td($B$2-1))</f>
        <v>19.560754776000977</v>
      </c>
      <c r="Q238" s="126">
        <f ca="1">[1]!i_val_pe_percentile(E238,[1]!td($B$2-1),$B$2-365*5,[1]!td($B$2-1))</f>
        <v>35.416666666666671</v>
      </c>
      <c r="R238" s="126">
        <f ca="1">[1]!pb_mrq(E238,[1]!td($B$2-1))</f>
        <v>4.0217647400237277</v>
      </c>
      <c r="S238" s="126">
        <f ca="1">[1]!i_val_pb_percentile(E238,[1]!td($B$2-1),$B$2-365*5,[1]!td($B$2-1))</f>
        <v>96.271929824561411</v>
      </c>
      <c r="T238" s="126">
        <f ca="1">[1]!s_val_pe_ttm([1]!to_windcode_index(H238&amp;"(申万)"),[1]!td($B$2-1))</f>
        <v>26.709999084472656</v>
      </c>
      <c r="U238" s="125"/>
      <c r="V238" s="125">
        <f ca="1">[1]!s_fa_roe(E238,$C$3)</f>
        <v>11.6836</v>
      </c>
      <c r="W238" s="125">
        <f ca="1">[1]!s_fa_grossprofitmargin(E238,$C$3)</f>
        <v>29.907299999999999</v>
      </c>
      <c r="X238" s="125">
        <f ca="1">[1]!s_fa_netprofitmargin(E238,$C$3)</f>
        <v>13.4192</v>
      </c>
      <c r="Y238" s="125">
        <f ca="1">[1]!s_fa_roic(E238,$C$3)</f>
        <v>8.3696999999999999</v>
      </c>
      <c r="Z238" s="125">
        <f ca="1">[1]!s_fa_operateincometoebt_ttm2(E238,$C$3)</f>
        <v>92.295400000000001</v>
      </c>
      <c r="AA238" s="125"/>
      <c r="AB238" s="343"/>
      <c r="AC238" s="125">
        <f ca="1">[1]!s_fa_cagr_tr($E238,AC$6,3)</f>
        <v>0</v>
      </c>
      <c r="AD238" s="125">
        <f ca="1">[1]!s_fa_cagr_tr($E238,AD$6,3)</f>
        <v>17.237195060326236</v>
      </c>
      <c r="AE238" s="126">
        <f ca="1">[1]!s_fa_cagr_tr($E238,AE$6,3)</f>
        <v>28.068238084283959</v>
      </c>
      <c r="AF238" s="126">
        <f ca="1">[1]!s_fa_cagr_tr($E238,AF$6,3)</f>
        <v>39.323546221790394</v>
      </c>
      <c r="AG238" s="126">
        <f ca="1">[1]!s_fa_cagr_tr($E238,AG$6,3)</f>
        <v>32.773731567013861</v>
      </c>
      <c r="AH238" s="126">
        <f ca="1">[1]!s_fa_cagr_tr($E238,AH$6,3)</f>
        <v>11.231201810763691</v>
      </c>
      <c r="AI238" s="169"/>
      <c r="AJ238" s="126">
        <f ca="1">[1]!s_fa_cagr_netprofit($E238,AJ$6,3)</f>
        <v>0</v>
      </c>
      <c r="AK238" s="126">
        <f ca="1">[1]!s_fa_cagr_netprofit($E238,AK$6,3)</f>
        <v>15.054330743780131</v>
      </c>
      <c r="AL238" s="126">
        <f ca="1">[1]!s_fa_cagr_netprofit($E238,AL$6,3)</f>
        <v>14.302886376270752</v>
      </c>
      <c r="AM238" s="126">
        <f ca="1">[1]!s_fa_cagr_netprofit($E238,AM$6,3)</f>
        <v>61.000485389650969</v>
      </c>
      <c r="AN238" s="126">
        <f ca="1">[1]!s_fa_cagr_netprofit($E238,AN$6,3)</f>
        <v>63.237783822431169</v>
      </c>
      <c r="AO238" s="126">
        <f ca="1">[1]!s_fa_cagr_netprofit($E238,AO$6,3)</f>
        <v>26.026414678178611</v>
      </c>
      <c r="AP238" s="129"/>
      <c r="AQ238" s="203">
        <f ca="1">[1]!s_fa_dupont_roe(E238,$C$3)</f>
        <v>11.6836</v>
      </c>
      <c r="AR238" s="203">
        <f ca="1">[1]!s_fa_dupont_nptosales(B238,$C$3)</f>
        <v>13.4192</v>
      </c>
      <c r="AS238" s="238">
        <f ca="1">[1]!s_fa_dupont_faturnover(E238,$C$3)</f>
        <v>0.43680000000000002</v>
      </c>
      <c r="AT238" s="203">
        <f ca="1">[1]!s_fa_dupont_assetstoequity(E238,$C$3)</f>
        <v>2.1566000000000001</v>
      </c>
      <c r="AU238" s="129"/>
      <c r="AV238" s="129"/>
      <c r="AW238" s="129"/>
      <c r="AX238" s="129"/>
      <c r="AY238" s="129"/>
      <c r="AZ238" s="129"/>
      <c r="BA238" s="129"/>
      <c r="BB238" s="129"/>
      <c r="BC238" s="129"/>
      <c r="BD238" s="129"/>
      <c r="BE238" s="129"/>
    </row>
    <row r="239" spans="1:57" s="191" customFormat="1" ht="12" customHeight="1" x14ac:dyDescent="0.35">
      <c r="A239" s="182" t="s">
        <v>5</v>
      </c>
      <c r="B239" s="182" t="s">
        <v>844</v>
      </c>
      <c r="C239" s="182" t="s">
        <v>845</v>
      </c>
      <c r="D239" s="182" t="str">
        <f ca="1">[1]!cb_info_underlyingname(B239)</f>
        <v>星源材质</v>
      </c>
      <c r="E239" s="183" t="str">
        <f ca="1">[1]!cb_info_underlyingcode(B239)</f>
        <v>300568.SZ</v>
      </c>
      <c r="F239" s="184" t="str">
        <f ca="1">[1]!s_info_industry_sw(B239,1)</f>
        <v>化工</v>
      </c>
      <c r="G239" s="184" t="str">
        <f ca="1">[1]!s_info_industry_sw(E239,2)</f>
        <v>化学制品</v>
      </c>
      <c r="H239" s="184" t="str">
        <f ca="1">[1]!s_info_industry_sw(E239,3)</f>
        <v>其他化学制品</v>
      </c>
      <c r="I239" s="192" t="str">
        <f ca="1">[1]!s_info_majorproducttype(E239)</f>
        <v>无机化工原料</v>
      </c>
      <c r="J239" s="189">
        <f ca="1">[1]!s_val_ev(E239,$B$2,100000000)</f>
        <v>409.83469749300002</v>
      </c>
      <c r="K239" s="193">
        <f ca="1">[1]!s_share_total(E239,$B$2,100000000)</f>
        <v>7.4004098499999991</v>
      </c>
      <c r="L239" s="193">
        <f ca="1">[1]!s_share_liqa(E239,$B$2,100000000)</f>
        <v>6.4108242600000001</v>
      </c>
      <c r="M239" s="186">
        <f ca="1">[1]!s_fa_gr_ttm2(E239,$C$3,100000000)</f>
        <v>6.9519519353999994</v>
      </c>
      <c r="N239" s="187">
        <f ca="1">[1]!s_fa_netprofit_ttm2(E239,$C$3,100000000)</f>
        <v>0.43152789749999998</v>
      </c>
      <c r="O239" s="186"/>
      <c r="P239" s="187">
        <f ca="1">[1]!s_val_pe_ttm(E239,[1]!td($B$2-1))</f>
        <v>253.92207336425781</v>
      </c>
      <c r="Q239" s="187">
        <f ca="1">[1]!i_val_pe_percentile(E239,[1]!td($B$2-1),$B$2-365*5,[1]!td($B$2-1))</f>
        <v>93.911545089029289</v>
      </c>
      <c r="R239" s="187">
        <f ca="1">[1]!pb_mrq(E239,[1]!td($B$2-1))</f>
        <v>13.383595200518805</v>
      </c>
      <c r="S239" s="187">
        <f ca="1">[1]!i_val_pb_percentile(E239,[1]!td($B$2-1),$B$2-365*5,[1]!td($B$2-1))</f>
        <v>99.770246984491678</v>
      </c>
      <c r="T239" s="187">
        <f ca="1">[1]!s_val_pe_ttm([1]!to_windcode_index(H239&amp;"(申万)"),[1]!td($B$2-1))</f>
        <v>46.459999084472656</v>
      </c>
      <c r="U239" s="187"/>
      <c r="V239" s="187">
        <f ca="1">[1]!s_fa_roe(E239,$C$3)</f>
        <v>3.8123999999999998</v>
      </c>
      <c r="W239" s="187">
        <f ca="1">[1]!s_fa_grossprofitmargin(E239,$C$3)</f>
        <v>39.695500000000003</v>
      </c>
      <c r="X239" s="187">
        <f ca="1">[1]!s_fa_netprofitmargin(E239,$C$3)</f>
        <v>15.4095</v>
      </c>
      <c r="Y239" s="187">
        <f ca="1">[1]!s_fa_roic(E239,$C$3)</f>
        <v>2.3552</v>
      </c>
      <c r="Z239" s="187">
        <f ca="1">[1]!s_fa_operateincometoebt_ttm2(E239,$C$3)</f>
        <v>43.470300000000002</v>
      </c>
      <c r="AA239" s="186"/>
      <c r="AB239" s="342"/>
      <c r="AC239" s="186">
        <f ca="1">[1]!s_fa_cagr_tr($E239,AC$6,3)</f>
        <v>0</v>
      </c>
      <c r="AD239" s="186">
        <f ca="1">[1]!s_fa_cagr_tr($E239,AD$6,3)</f>
        <v>22.850731628362219</v>
      </c>
      <c r="AE239" s="187">
        <f ca="1">[1]!s_fa_cagr_tr($E239,AE$6,3)</f>
        <v>5.8500110877659495</v>
      </c>
      <c r="AF239" s="187">
        <f ca="1">[1]!s_fa_cagr_tr($E239,AF$6,3)</f>
        <v>11.13749024062467</v>
      </c>
      <c r="AG239" s="187">
        <f ca="1">[1]!s_fa_cagr_tr($E239,AG$6,3)</f>
        <v>20.260881903896589</v>
      </c>
      <c r="AH239" s="187">
        <f ca="1">[1]!s_fa_cagr_tr($E239,AH$6,3)</f>
        <v>30.195616873672982</v>
      </c>
      <c r="AI239" s="194"/>
      <c r="AJ239" s="187">
        <f ca="1">[1]!s_fa_cagr_netprofit($E239,AJ$6,3)</f>
        <v>0</v>
      </c>
      <c r="AK239" s="187">
        <f ca="1">[1]!s_fa_cagr_netprofit($E239,AK$6,3)</f>
        <v>4.2976810471514248</v>
      </c>
      <c r="AL239" s="187">
        <f ca="1">[1]!s_fa_cagr_netprofit($E239,AL$6,3)</f>
        <v>-4.3165227873901424</v>
      </c>
      <c r="AM239" s="187">
        <f ca="1">[1]!s_fa_cagr_netprofit($E239,AM$6,3)</f>
        <v>23.358851312193419</v>
      </c>
      <c r="AN239" s="187">
        <f ca="1">[1]!s_fa_cagr_netprofit($E239,AN$6,3)</f>
        <v>16.021272910593233</v>
      </c>
      <c r="AO239" s="187">
        <f ca="1">[1]!s_fa_cagr_netprofit($E239,AO$6,3)</f>
        <v>48.132666157307177</v>
      </c>
      <c r="AP239" s="189"/>
      <c r="AQ239" s="202">
        <f ca="1">[1]!s_fa_dupont_roe(E239,$C$3)</f>
        <v>3.8123999999999998</v>
      </c>
      <c r="AR239" s="202">
        <f ca="1">[1]!s_fa_dupont_nptosales(B239,$C$3)</f>
        <v>15.4095</v>
      </c>
      <c r="AS239" s="237">
        <f ca="1">[1]!s_fa_dupont_faturnover(E239,$C$3)</f>
        <v>0.1132</v>
      </c>
      <c r="AT239" s="202">
        <f ca="1">[1]!s_fa_dupont_assetstoequity(E239,$C$3)</f>
        <v>2.0045999999999999</v>
      </c>
      <c r="AU239" s="189"/>
      <c r="AV239" s="201"/>
      <c r="AW239" s="189"/>
      <c r="AX239" s="189"/>
      <c r="AY239" s="189"/>
      <c r="AZ239" s="189"/>
      <c r="BA239" s="189"/>
      <c r="BB239" s="189"/>
      <c r="BC239" s="189"/>
      <c r="BD239" s="189"/>
      <c r="BE239" s="189"/>
    </row>
    <row r="240" spans="1:57" s="130" customFormat="1" ht="12" customHeight="1" x14ac:dyDescent="0.35">
      <c r="A240" s="121" t="s">
        <v>5</v>
      </c>
      <c r="B240" s="121" t="s">
        <v>906</v>
      </c>
      <c r="C240" s="121" t="s">
        <v>907</v>
      </c>
      <c r="D240" s="121" t="str">
        <f ca="1">[1]!cb_info_underlyingname(B240)</f>
        <v>震安科技</v>
      </c>
      <c r="E240" s="122" t="str">
        <f ca="1">[1]!cb_info_underlyingcode(B240)</f>
        <v>300767.SZ</v>
      </c>
      <c r="F240" s="123" t="str">
        <f ca="1">[1]!s_info_industry_sw(B240,1)</f>
        <v>化工</v>
      </c>
      <c r="G240" s="123" t="str">
        <f ca="1">[1]!s_info_industry_sw(E240,2)</f>
        <v>橡胶</v>
      </c>
      <c r="H240" s="123" t="str">
        <f ca="1">[1]!s_info_industry_sw(E240,3)</f>
        <v>其他橡胶制品</v>
      </c>
      <c r="I240" s="156" t="str">
        <f ca="1">[1]!s_info_majorproducttype(E240)</f>
        <v>重型建筑工程机械、专业咨询服务</v>
      </c>
      <c r="J240" s="129">
        <f ca="1">[1]!s_val_ev(E240,$B$2,100000000)</f>
        <v>205.63200000000001</v>
      </c>
      <c r="K240" s="157">
        <f ca="1">[1]!s_share_total(E240,$B$2,100000000)</f>
        <v>2.016</v>
      </c>
      <c r="L240" s="157">
        <f ca="1">[1]!s_share_liqa(E240,$B$2,100000000)</f>
        <v>1.1771190699999998</v>
      </c>
      <c r="M240" s="125">
        <f ca="1">[1]!s_fa_gr_ttm2(E240,$C$3,100000000)</f>
        <v>5.4931560845000007</v>
      </c>
      <c r="N240" s="126">
        <f ca="1">[1]!s_fa_netprofit_ttm2(E240,$C$3,100000000)</f>
        <v>1.6439083884000001</v>
      </c>
      <c r="O240" s="125"/>
      <c r="P240" s="126">
        <f ca="1">[1]!s_val_pe_ttm(E240,[1]!td($B$2-1))</f>
        <v>154.44586181640625</v>
      </c>
      <c r="Q240" s="126">
        <f ca="1">[1]!i_val_pe_percentile(E240,[1]!td($B$2-1),$B$2-365*5,[1]!td($B$2-1))</f>
        <v>98.880179171332585</v>
      </c>
      <c r="R240" s="126">
        <f ca="1">[1]!pb_mrq(E240,[1]!td($B$2-1))</f>
        <v>17.96128993484486</v>
      </c>
      <c r="S240" s="126">
        <f ca="1">[1]!i_val_pb_percentile(E240,[1]!td($B$2-1),$B$2-365*5,[1]!td($B$2-1))</f>
        <v>97.088465845464725</v>
      </c>
      <c r="T240" s="126">
        <f ca="1">[1]!s_val_pe_ttm([1]!to_windcode_index(H240&amp;"(申万)"),[1]!td($B$2-1))</f>
        <v>42.819999694824219</v>
      </c>
      <c r="U240" s="125"/>
      <c r="V240" s="125">
        <f ca="1">[1]!s_fa_roe(E240,$C$3)</f>
        <v>13.7361</v>
      </c>
      <c r="W240" s="125">
        <f ca="1">[1]!s_fa_grossprofitmargin(E240,$C$3)</f>
        <v>56.329500000000003</v>
      </c>
      <c r="X240" s="125">
        <f ca="1">[1]!s_fa_netprofitmargin(E240,$C$3)</f>
        <v>31.442499999999999</v>
      </c>
      <c r="Y240" s="125">
        <f ca="1">[1]!s_fa_roic(E240,$C$3)</f>
        <v>12.972899999999999</v>
      </c>
      <c r="Z240" s="125">
        <f ca="1">[1]!s_fa_operateincometoebt_ttm2(E240,$C$3)</f>
        <v>80.670500000000004</v>
      </c>
      <c r="AA240" s="125"/>
      <c r="AB240" s="343"/>
      <c r="AC240" s="125">
        <f ca="1">[1]!s_fa_cagr_tr($E240,AC$6,3)</f>
        <v>0</v>
      </c>
      <c r="AD240" s="125">
        <f ca="1">[1]!s_fa_cagr_tr($E240,AD$6,3)</f>
        <v>29.142266510031533</v>
      </c>
      <c r="AE240" s="126">
        <f ca="1">[1]!s_fa_cagr_tr($E240,AE$6,3)</f>
        <v>9.2787218626661172</v>
      </c>
      <c r="AF240" s="126">
        <f ca="1">[1]!s_fa_cagr_tr($E240,AF$6,3)</f>
        <v>31.876256056165865</v>
      </c>
      <c r="AG240" s="126">
        <f ca="1">[1]!s_fa_cagr_tr($E240,AG$6,3)</f>
        <v>11.146589962754216</v>
      </c>
      <c r="AH240" s="126">
        <f ca="1">[1]!s_fa_cagr_tr($E240,AH$6,3)</f>
        <v>18.969847607607583</v>
      </c>
      <c r="AI240" s="169"/>
      <c r="AJ240" s="126">
        <f ca="1">[1]!s_fa_cagr_netprofit($E240,AJ$6,3)</f>
        <v>0</v>
      </c>
      <c r="AK240" s="126">
        <f ca="1">[1]!s_fa_cagr_netprofit($E240,AK$6,3)</f>
        <v>34.949110674552308</v>
      </c>
      <c r="AL240" s="126">
        <f ca="1">[1]!s_fa_cagr_netprofit($E240,AL$6,3)</f>
        <v>9.6951161101540571</v>
      </c>
      <c r="AM240" s="126">
        <f ca="1">[1]!s_fa_cagr_netprofit($E240,AM$6,3)</f>
        <v>28.377528115322683</v>
      </c>
      <c r="AN240" s="126">
        <f ca="1">[1]!s_fa_cagr_netprofit($E240,AN$6,3)</f>
        <v>7.9209949701019244</v>
      </c>
      <c r="AO240" s="126">
        <f ca="1">[1]!s_fa_cagr_netprofit($E240,AO$6,3)</f>
        <v>15.889608430314794</v>
      </c>
      <c r="AP240" s="129"/>
      <c r="AQ240" s="203">
        <f ca="1">[1]!s_fa_dupont_roe(E240,$C$3)</f>
        <v>13.7361</v>
      </c>
      <c r="AR240" s="203">
        <f ca="1">[1]!s_fa_dupont_nptosales(B240,$C$3)</f>
        <v>31.442499999999999</v>
      </c>
      <c r="AS240" s="238">
        <f ca="1">[1]!s_fa_dupont_faturnover(E240,$C$3)</f>
        <v>0.35589999999999999</v>
      </c>
      <c r="AT240" s="203">
        <f ca="1">[1]!s_fa_dupont_assetstoequity(E240,$C$3)</f>
        <v>1.2274</v>
      </c>
      <c r="AU240" s="129"/>
      <c r="AV240" s="129"/>
      <c r="AW240" s="129"/>
      <c r="AX240" s="129"/>
      <c r="AY240" s="129"/>
      <c r="AZ240" s="129"/>
      <c r="BA240" s="129"/>
      <c r="BB240" s="129"/>
      <c r="BC240" s="129"/>
      <c r="BD240" s="129"/>
      <c r="BE240" s="129"/>
    </row>
    <row r="241" spans="1:57" s="191" customFormat="1" ht="12" customHeight="1" x14ac:dyDescent="0.35">
      <c r="A241" s="182" t="s">
        <v>5</v>
      </c>
      <c r="B241" s="182" t="s">
        <v>238</v>
      </c>
      <c r="C241" s="182" t="s">
        <v>239</v>
      </c>
      <c r="D241" s="182" t="str">
        <f ca="1">[1]!cb_info_underlyingname(B241)</f>
        <v>鸿达兴业</v>
      </c>
      <c r="E241" s="183" t="str">
        <f ca="1">[1]!cb_info_underlyingcode(B241)</f>
        <v>002002.SZ</v>
      </c>
      <c r="F241" s="184" t="str">
        <f ca="1">[1]!s_info_industry_sw(B241,1)</f>
        <v>化工</v>
      </c>
      <c r="G241" s="184" t="str">
        <f ca="1">[1]!s_info_industry_sw(E241,2)</f>
        <v>化学原料</v>
      </c>
      <c r="H241" s="184" t="str">
        <f ca="1">[1]!s_info_industry_sw(E241,3)</f>
        <v>氯碱</v>
      </c>
      <c r="I241" s="192" t="str">
        <f ca="1">[1]!s_info_majorproducttype(E241)</f>
        <v>高分子聚合物</v>
      </c>
      <c r="J241" s="189">
        <f ca="1">[1]!s_val_ev(E241,$B$2,100000000)</f>
        <v>193.4921196029</v>
      </c>
      <c r="K241" s="193">
        <f ca="1">[1]!s_share_total(E241,$B$2,100000000)</f>
        <v>30.092087029999998</v>
      </c>
      <c r="L241" s="193">
        <f ca="1">[1]!s_share_liqa(E241,$B$2,100000000)</f>
        <v>30.053266669999999</v>
      </c>
      <c r="M241" s="186">
        <f ca="1">[1]!s_fa_gr_ttm2(E241,$C$3,100000000)</f>
        <v>51.7148530025</v>
      </c>
      <c r="N241" s="187">
        <f ca="1">[1]!s_fa_netprofit_ttm2(E241,$C$3,100000000)</f>
        <v>7.2675915176999997</v>
      </c>
      <c r="O241" s="186"/>
      <c r="P241" s="187">
        <f ca="1">[1]!s_val_pe_ttm(E241,[1]!td($B$2-1))</f>
        <v>15.197501182556152</v>
      </c>
      <c r="Q241" s="187">
        <f ca="1">[1]!i_val_pe_percentile(E241,[1]!td($B$2-1),$B$2-365*5,[1]!td($B$2-1))</f>
        <v>34.429824561403507</v>
      </c>
      <c r="R241" s="187">
        <f ca="1">[1]!pb_mrq(E241,[1]!td($B$2-1))</f>
        <v>2.0534691207195674</v>
      </c>
      <c r="S241" s="187">
        <f ca="1">[1]!i_val_pb_percentile(E241,[1]!td($B$2-1),$B$2-365*5,[1]!td($B$2-1))</f>
        <v>55.756578947368418</v>
      </c>
      <c r="T241" s="187">
        <f ca="1">[1]!s_val_pe_ttm([1]!to_windcode_index(H241&amp;"(申万)"),[1]!td($B$2-1))</f>
        <v>15.529999732971191</v>
      </c>
      <c r="U241" s="187"/>
      <c r="V241" s="187">
        <f ca="1">[1]!s_fa_roe(E241,$C$3)</f>
        <v>7.7976000000000001</v>
      </c>
      <c r="W241" s="187">
        <f ca="1">[1]!s_fa_grossprofitmargin(E241,$C$3)</f>
        <v>31.4938</v>
      </c>
      <c r="X241" s="187">
        <f ca="1">[1]!s_fa_netprofitmargin(E241,$C$3)</f>
        <v>14.796200000000001</v>
      </c>
      <c r="Y241" s="187">
        <f ca="1">[1]!s_fa_roic(E241,$C$3)</f>
        <v>5.9607000000000001</v>
      </c>
      <c r="Z241" s="187">
        <f ca="1">[1]!s_fa_operateincometoebt_ttm2(E241,$C$3)</f>
        <v>100.1871</v>
      </c>
      <c r="AA241" s="186"/>
      <c r="AB241" s="342"/>
      <c r="AC241" s="186">
        <f ca="1">[1]!s_fa_cagr_tr($E241,AC$6,3)</f>
        <v>0</v>
      </c>
      <c r="AD241" s="186">
        <f ca="1">[1]!s_fa_cagr_tr($E241,AD$6,3)</f>
        <v>-6.2232606994241486</v>
      </c>
      <c r="AE241" s="187">
        <f ca="1">[1]!s_fa_cagr_tr($E241,AE$6,3)</f>
        <v>-4.8792253303888256</v>
      </c>
      <c r="AF241" s="187">
        <f ca="1">[1]!s_fa_cagr_tr($E241,AF$6,3)</f>
        <v>16.63187583748984</v>
      </c>
      <c r="AG241" s="187">
        <f ca="1">[1]!s_fa_cagr_tr($E241,AG$6,3)</f>
        <v>25.360286645540974</v>
      </c>
      <c r="AH241" s="187">
        <f ca="1">[1]!s_fa_cagr_tr($E241,AH$6,3)</f>
        <v>36.586306376930636</v>
      </c>
      <c r="AI241" s="194"/>
      <c r="AJ241" s="187">
        <f ca="1">[1]!s_fa_cagr_netprofit($E241,AJ$6,3)</f>
        <v>0</v>
      </c>
      <c r="AK241" s="187">
        <f ca="1">[1]!s_fa_cagr_netprofit($E241,AK$6,3)</f>
        <v>-6.789386180190748</v>
      </c>
      <c r="AL241" s="187">
        <f ca="1">[1]!s_fa_cagr_netprofit($E241,AL$6,3)</f>
        <v>-8.3317768718834557</v>
      </c>
      <c r="AM241" s="187">
        <f ca="1">[1]!s_fa_cagr_netprofit($E241,AM$6,3)</f>
        <v>5.5796447248776193</v>
      </c>
      <c r="AN241" s="187">
        <f ca="1">[1]!s_fa_cagr_netprofit($E241,AN$6,3)</f>
        <v>42.530073460107708</v>
      </c>
      <c r="AO241" s="187">
        <f ca="1">[1]!s_fa_cagr_netprofit($E241,AO$6,3)</f>
        <v>40.377951796923874</v>
      </c>
      <c r="AP241" s="189"/>
      <c r="AQ241" s="202">
        <f ca="1">[1]!s_fa_dupont_roe(E241,$C$3)</f>
        <v>7.7976000000000001</v>
      </c>
      <c r="AR241" s="202">
        <f ca="1">[1]!s_fa_dupont_nptosales(B241,$C$3)</f>
        <v>14.796200000000001</v>
      </c>
      <c r="AS241" s="237">
        <f ca="1">[1]!s_fa_dupont_faturnover(E241,$C$3)</f>
        <v>0.2356</v>
      </c>
      <c r="AT241" s="202">
        <f ca="1">[1]!s_fa_dupont_assetstoequity(E241,$C$3)</f>
        <v>2.2269999999999999</v>
      </c>
      <c r="AU241" s="189"/>
      <c r="AV241" s="189"/>
      <c r="AW241" s="189"/>
      <c r="AX241" s="189"/>
      <c r="AY241" s="189"/>
      <c r="AZ241" s="189"/>
      <c r="BA241" s="189"/>
      <c r="BB241" s="189"/>
      <c r="BC241" s="189"/>
      <c r="BD241" s="189"/>
      <c r="BE241" s="189"/>
    </row>
    <row r="242" spans="1:57" s="130" customFormat="1" ht="12" customHeight="1" x14ac:dyDescent="0.35">
      <c r="A242" s="121" t="s">
        <v>0</v>
      </c>
      <c r="B242" s="121" t="s">
        <v>144</v>
      </c>
      <c r="C242" s="121" t="s">
        <v>145</v>
      </c>
      <c r="D242" s="121" t="str">
        <f ca="1">[1]!cb_info_underlyingname(B242)</f>
        <v>滨化股份</v>
      </c>
      <c r="E242" s="122" t="str">
        <f ca="1">[1]!cb_info_underlyingcode(B242)</f>
        <v>601678.SH</v>
      </c>
      <c r="F242" s="123" t="str">
        <f ca="1">[1]!s_info_industry_sw(B242,1)</f>
        <v>化工</v>
      </c>
      <c r="G242" s="123" t="str">
        <f ca="1">[1]!s_info_industry_sw(E242,2)</f>
        <v>化学原料</v>
      </c>
      <c r="H242" s="123" t="str">
        <f ca="1">[1]!s_info_industry_sw(E242,3)</f>
        <v>氯碱</v>
      </c>
      <c r="I242" s="156" t="str">
        <f ca="1">[1]!s_info_majorproducttype(E242)</f>
        <v>建筑型材、无机化工原料、有机化工原料</v>
      </c>
      <c r="J242" s="129">
        <f ca="1">[1]!s_val_ev(E242,$B$2,100000000)</f>
        <v>219.80170222009997</v>
      </c>
      <c r="K242" s="157">
        <f ca="1">[1]!s_share_total(E242,$B$2,100000000)</f>
        <v>19.503256629999999</v>
      </c>
      <c r="L242" s="157">
        <f ca="1">[1]!s_share_liqa(E242,$B$2,100000000)</f>
        <v>19.503256629999999</v>
      </c>
      <c r="M242" s="125">
        <f ca="1">[1]!s_fa_gr_ttm2(E242,$C$3,100000000)</f>
        <v>59.392602499500001</v>
      </c>
      <c r="N242" s="126">
        <f ca="1">[1]!s_fa_netprofit_ttm2(E242,$C$3,100000000)</f>
        <v>3.3161134775000001</v>
      </c>
      <c r="O242" s="125"/>
      <c r="P242" s="126">
        <f ca="1">[1]!s_val_pe_ttm(E242,[1]!td($B$2-1))</f>
        <v>14.970611572265625</v>
      </c>
      <c r="Q242" s="126">
        <f ca="1">[1]!i_val_pe_percentile(E242,[1]!td($B$2-1),$B$2-365*5,[1]!td($B$2-1))</f>
        <v>36.129385964912281</v>
      </c>
      <c r="R242" s="126">
        <f ca="1">[1]!pb_mrq(E242,[1]!td($B$2-1))</f>
        <v>2.3476111731975369</v>
      </c>
      <c r="S242" s="126">
        <f ca="1">[1]!i_val_pb_percentile(E242,[1]!td($B$2-1),$B$2-365*5,[1]!td($B$2-1))</f>
        <v>98.903508771929822</v>
      </c>
      <c r="T242" s="126">
        <f ca="1">[1]!s_val_pe_ttm([1]!to_windcode_index(H242&amp;"(申万)"),[1]!td($B$2-1))</f>
        <v>15.529999732971191</v>
      </c>
      <c r="U242" s="126"/>
      <c r="V242" s="126">
        <f ca="1">[1]!s_fa_roe(E242,$C$3)</f>
        <v>3.6476999999999999</v>
      </c>
      <c r="W242" s="126">
        <f ca="1">[1]!s_fa_grossprofitmargin(E242,$C$3)</f>
        <v>20.889099999999999</v>
      </c>
      <c r="X242" s="126">
        <f ca="1">[1]!s_fa_netprofitmargin(E242,$C$3)</f>
        <v>5.5881999999999996</v>
      </c>
      <c r="Y242" s="126">
        <f ca="1">[1]!s_fa_roic(E242,$C$3)</f>
        <v>2.9426999999999999</v>
      </c>
      <c r="Z242" s="126">
        <f ca="1">[1]!s_fa_operateincometoebt_ttm2(E242,$C$3)</f>
        <v>101.26519999999999</v>
      </c>
      <c r="AA242" s="125"/>
      <c r="AB242" s="343"/>
      <c r="AC242" s="125">
        <f ca="1">[1]!s_fa_cagr_tr($E242,AC$6,3)</f>
        <v>0</v>
      </c>
      <c r="AD242" s="125">
        <f ca="1">[1]!s_fa_cagr_tr($E242,AD$6,3)</f>
        <v>-4.0574998805120721E-2</v>
      </c>
      <c r="AE242" s="126">
        <f ca="1">[1]!s_fa_cagr_tr($E242,AE$6,3)</f>
        <v>8.2291107009608169</v>
      </c>
      <c r="AF242" s="126">
        <f ca="1">[1]!s_fa_cagr_tr($E242,AF$6,3)</f>
        <v>11.917564312237538</v>
      </c>
      <c r="AG242" s="126">
        <f ca="1">[1]!s_fa_cagr_tr($E242,AG$6,3)</f>
        <v>9.7628230538156391</v>
      </c>
      <c r="AH242" s="126">
        <f ca="1">[1]!s_fa_cagr_tr($E242,AH$6,3)</f>
        <v>5.8473044932047635</v>
      </c>
      <c r="AI242" s="169"/>
      <c r="AJ242" s="126">
        <f ca="1">[1]!s_fa_cagr_netprofit($E242,AJ$6,3)</f>
        <v>0</v>
      </c>
      <c r="AK242" s="126">
        <f ca="1">[1]!s_fa_cagr_netprofit($E242,AK$6,3)</f>
        <v>-14.996034446788553</v>
      </c>
      <c r="AL242" s="126">
        <f ca="1">[1]!s_fa_cagr_netprofit($E242,AL$6,3)</f>
        <v>6.9184431884540487</v>
      </c>
      <c r="AM242" s="126">
        <f ca="1">[1]!s_fa_cagr_netprofit($E242,AM$6,3)</f>
        <v>17.646066453607624</v>
      </c>
      <c r="AN242" s="126">
        <f ca="1">[1]!s_fa_cagr_netprofit($E242,AN$6,3)</f>
        <v>31.678292104266092</v>
      </c>
      <c r="AO242" s="126">
        <f ca="1">[1]!s_fa_cagr_netprofit($E242,AO$6,3)</f>
        <v>12.403158077577459</v>
      </c>
      <c r="AP242" s="129"/>
      <c r="AQ242" s="203">
        <f ca="1">[1]!s_fa_dupont_roe(E242,$C$3)</f>
        <v>3.6476999999999999</v>
      </c>
      <c r="AR242" s="203">
        <f ca="1">[1]!s_fa_dupont_nptosales(B242,$C$3)</f>
        <v>5.5881999999999996</v>
      </c>
      <c r="AS242" s="238">
        <f ca="1">[1]!s_fa_dupont_faturnover(E242,$C$3)</f>
        <v>0.34949999999999998</v>
      </c>
      <c r="AT242" s="203">
        <f ca="1">[1]!s_fa_dupont_assetstoequity(E242,$C$3)</f>
        <v>1.9094</v>
      </c>
      <c r="AU242" s="129"/>
      <c r="AV242" s="129"/>
      <c r="AW242" s="129"/>
      <c r="AX242" s="129"/>
      <c r="AY242" s="129"/>
      <c r="AZ242" s="129"/>
      <c r="BA242" s="129"/>
      <c r="BB242" s="129"/>
      <c r="BC242" s="129"/>
      <c r="BD242" s="129"/>
      <c r="BE242" s="129"/>
    </row>
    <row r="243" spans="1:57" s="191" customFormat="1" ht="12" customHeight="1" x14ac:dyDescent="0.35">
      <c r="A243" s="182" t="s">
        <v>5</v>
      </c>
      <c r="B243" s="182" t="s">
        <v>310</v>
      </c>
      <c r="C243" s="182" t="s">
        <v>311</v>
      </c>
      <c r="D243" s="182" t="str">
        <f ca="1">[1]!cb_info_underlyingname(B243)</f>
        <v>蓝晓科技</v>
      </c>
      <c r="E243" s="183" t="str">
        <f ca="1">[1]!cb_info_underlyingcode(B243)</f>
        <v>300487.SZ</v>
      </c>
      <c r="F243" s="184" t="str">
        <f ca="1">[1]!s_info_industry_sw(B243,1)</f>
        <v>化工</v>
      </c>
      <c r="G243" s="184" t="str">
        <f ca="1">[1]!s_info_industry_sw(E243,2)</f>
        <v>化学制品</v>
      </c>
      <c r="H243" s="184" t="str">
        <f ca="1">[1]!s_info_industry_sw(E243,3)</f>
        <v>其他化学制品</v>
      </c>
      <c r="I243" s="192" t="str">
        <f ca="1">[1]!s_info_majorproducttype(E243)</f>
        <v>其他化学品、专用设备与零部件</v>
      </c>
      <c r="J243" s="189">
        <f ca="1">[1]!s_val_ev(E243,$B$2,100000000)</f>
        <v>191.23421414790002</v>
      </c>
      <c r="K243" s="193">
        <f ca="1">[1]!s_share_total(E243,$B$2,100000000)</f>
        <v>2.19784179</v>
      </c>
      <c r="L243" s="193">
        <f ca="1">[1]!s_share_liqa(E243,$B$2,100000000)</f>
        <v>1.28223054</v>
      </c>
      <c r="M243" s="186">
        <f ca="1">[1]!s_fa_gr_ttm2(E243,$C$3,100000000)</f>
        <v>8.4406246691</v>
      </c>
      <c r="N243" s="187">
        <f ca="1">[1]!s_fa_netprofit_ttm2(E243,$C$3,100000000)</f>
        <v>1.8505019918000001</v>
      </c>
      <c r="O243" s="186"/>
      <c r="P243" s="187">
        <f ca="1">[1]!s_val_pe_ttm(E243,[1]!td($B$2-1))</f>
        <v>80.963615417480469</v>
      </c>
      <c r="Q243" s="187">
        <f ca="1">[1]!i_val_pe_percentile(E243,[1]!td($B$2-1),$B$2-365*5,[1]!td($B$2-1))</f>
        <v>91.173245614035096</v>
      </c>
      <c r="R243" s="187">
        <f ca="1">[1]!pb_mrq(E243,[1]!td($B$2-1))</f>
        <v>10.23960730016155</v>
      </c>
      <c r="S243" s="187">
        <f ca="1">[1]!i_val_pb_percentile(E243,[1]!td($B$2-1),$B$2-365*5,[1]!td($B$2-1))</f>
        <v>96.217105263157904</v>
      </c>
      <c r="T243" s="187">
        <f ca="1">[1]!s_val_pe_ttm([1]!to_windcode_index(H243&amp;"(申万)"),[1]!td($B$2-1))</f>
        <v>46.459999084472656</v>
      </c>
      <c r="U243" s="187"/>
      <c r="V243" s="187">
        <f ca="1">[1]!s_fa_roe(E243,$C$3)</f>
        <v>11.443300000000001</v>
      </c>
      <c r="W243" s="187">
        <f ca="1">[1]!s_fa_grossprofitmargin(E243,$C$3)</f>
        <v>48.014299999999999</v>
      </c>
      <c r="X243" s="187">
        <f ca="1">[1]!s_fa_netprofitmargin(E243,$C$3)</f>
        <v>23.1572</v>
      </c>
      <c r="Y243" s="187">
        <f ca="1">[1]!s_fa_roic(E243,$C$3)</f>
        <v>9.6536000000000008</v>
      </c>
      <c r="Z243" s="187">
        <f ca="1">[1]!s_fa_operateincometoebt_ttm2(E243,$C$3)</f>
        <v>91.719499999999996</v>
      </c>
      <c r="AA243" s="186"/>
      <c r="AB243" s="342"/>
      <c r="AC243" s="186">
        <f ca="1">[1]!s_fa_cagr_tr($E243,AC$6,3)</f>
        <v>0</v>
      </c>
      <c r="AD243" s="186">
        <f ca="1">[1]!s_fa_cagr_tr($E243,AD$6,3)</f>
        <v>27.585888905405721</v>
      </c>
      <c r="AE243" s="187">
        <f ca="1">[1]!s_fa_cagr_tr($E243,AE$6,3)</f>
        <v>44.930765996087743</v>
      </c>
      <c r="AF243" s="187">
        <f ca="1">[1]!s_fa_cagr_tr($E243,AF$6,3)</f>
        <v>28.858242088196317</v>
      </c>
      <c r="AG243" s="187">
        <f ca="1">[1]!s_fa_cagr_tr($E243,AG$6,3)</f>
        <v>15.806283800611865</v>
      </c>
      <c r="AH243" s="187">
        <f ca="1">[1]!s_fa_cagr_tr($E243,AH$6,3)</f>
        <v>9.3564222795135432</v>
      </c>
      <c r="AI243" s="194"/>
      <c r="AJ243" s="187">
        <f ca="1">[1]!s_fa_cagr_netprofit($E243,AJ$6,3)</f>
        <v>0</v>
      </c>
      <c r="AK243" s="187">
        <f ca="1">[1]!s_fa_cagr_netprofit($E243,AK$6,3)</f>
        <v>29.431537508913497</v>
      </c>
      <c r="AL243" s="187">
        <f ca="1">[1]!s_fa_cagr_netprofit($E243,AL$6,3)</f>
        <v>59.700967327863587</v>
      </c>
      <c r="AM243" s="187">
        <f ca="1">[1]!s_fa_cagr_netprofit($E243,AM$6,3)</f>
        <v>41.223815223002624</v>
      </c>
      <c r="AN243" s="187">
        <f ca="1">[1]!s_fa_cagr_netprofit($E243,AN$6,3)</f>
        <v>15.997797298862126</v>
      </c>
      <c r="AO243" s="187">
        <f ca="1">[1]!s_fa_cagr_netprofit($E243,AO$6,3)</f>
        <v>-0.1811303161739608</v>
      </c>
      <c r="AP243" s="189"/>
      <c r="AQ243" s="202">
        <f ca="1">[1]!s_fa_dupont_roe(E243,$C$3)</f>
        <v>11.443300000000001</v>
      </c>
      <c r="AR243" s="202">
        <f ca="1">[1]!s_fa_dupont_nptosales(B243,$C$3)</f>
        <v>23.1572</v>
      </c>
      <c r="AS243" s="237">
        <f ca="1">[1]!s_fa_dupont_faturnover(E243,$C$3)</f>
        <v>0.28889999999999999</v>
      </c>
      <c r="AT243" s="202">
        <f ca="1">[1]!s_fa_dupont_assetstoequity(E243,$C$3)</f>
        <v>1.6465000000000001</v>
      </c>
      <c r="AU243" s="189"/>
      <c r="AV243" s="201"/>
      <c r="AW243" s="189"/>
      <c r="AX243" s="189"/>
      <c r="AY243" s="189"/>
      <c r="AZ243" s="189"/>
      <c r="BA243" s="189"/>
      <c r="BB243" s="189"/>
      <c r="BC243" s="189"/>
      <c r="BD243" s="189"/>
      <c r="BE243" s="189"/>
    </row>
    <row r="244" spans="1:57" s="130" customFormat="1" ht="12" customHeight="1" x14ac:dyDescent="0.35">
      <c r="A244" s="121" t="s">
        <v>5</v>
      </c>
      <c r="B244" s="121" t="s">
        <v>98</v>
      </c>
      <c r="C244" s="121" t="s">
        <v>99</v>
      </c>
      <c r="D244" s="121" t="str">
        <f ca="1">[1]!cb_info_underlyingname(B244)</f>
        <v>道恩股份</v>
      </c>
      <c r="E244" s="122" t="str">
        <f ca="1">[1]!cb_info_underlyingcode(B244)</f>
        <v>002838.SZ</v>
      </c>
      <c r="F244" s="123" t="str">
        <f ca="1">[1]!s_info_industry_sw(B244,1)</f>
        <v>化工</v>
      </c>
      <c r="G244" s="123" t="str">
        <f ca="1">[1]!s_info_industry_sw(E244,2)</f>
        <v>塑料</v>
      </c>
      <c r="H244" s="123" t="str">
        <f ca="1">[1]!s_info_industry_sw(E244,3)</f>
        <v>改性塑料</v>
      </c>
      <c r="I244" s="156" t="str">
        <f ca="1">[1]!s_info_majorproducttype(E244)</f>
        <v>汽车橡胶配件、塑料制品经销</v>
      </c>
      <c r="J244" s="129">
        <f ca="1">[1]!s_val_ev(E244,$B$2,100000000)</f>
        <v>63.034562377500002</v>
      </c>
      <c r="K244" s="157">
        <f ca="1">[1]!s_share_total(E244,$B$2,100000000)</f>
        <v>4.0799069499999998</v>
      </c>
      <c r="L244" s="157">
        <f ca="1">[1]!s_share_liqa(E244,$B$2,100000000)</f>
        <v>3.4751700099999998</v>
      </c>
      <c r="M244" s="125">
        <f ca="1">[1]!s_fa_gr_ttm2(E244,$C$3,100000000)</f>
        <v>40.487212583000002</v>
      </c>
      <c r="N244" s="126">
        <f ca="1">[1]!s_fa_netprofit_ttm2(E244,$C$3,100000000)</f>
        <v>8.1923790320999998</v>
      </c>
      <c r="O244" s="125"/>
      <c r="P244" s="126">
        <f ca="1">[1]!s_val_pe_ttm(E244,[1]!td($B$2-1))</f>
        <v>16.591161727905273</v>
      </c>
      <c r="Q244" s="126">
        <f ca="1">[1]!i_val_pe_percentile(E244,[1]!td($B$2-1),$B$2-365*5,[1]!td($B$2-1))</f>
        <v>18.475073313782993</v>
      </c>
      <c r="R244" s="126">
        <f ca="1">[1]!pb_mrq(E244,[1]!td($B$2-1))</f>
        <v>3.3910546574943123</v>
      </c>
      <c r="S244" s="126">
        <f ca="1">[1]!i_val_pb_percentile(E244,[1]!td($B$2-1),$B$2-365*5,[1]!td($B$2-1))</f>
        <v>2.0527859237536656</v>
      </c>
      <c r="T244" s="126">
        <f ca="1">[1]!s_val_pe_ttm([1]!to_windcode_index(H244&amp;"(申万)"),[1]!td($B$2-1))</f>
        <v>15.979999542236328</v>
      </c>
      <c r="U244" s="125"/>
      <c r="V244" s="125">
        <f ca="1">[1]!s_fa_roe(E244,$C$3)</f>
        <v>53.7682</v>
      </c>
      <c r="W244" s="125">
        <f ca="1">[1]!s_fa_grossprofitmargin(E244,$C$3)</f>
        <v>34.628399999999999</v>
      </c>
      <c r="X244" s="125">
        <f ca="1">[1]!s_fa_netprofitmargin(E244,$C$3)</f>
        <v>23.9284</v>
      </c>
      <c r="Y244" s="125">
        <f ca="1">[1]!s_fa_roic(E244,$C$3)</f>
        <v>42.1023</v>
      </c>
      <c r="Z244" s="125">
        <f ca="1">[1]!s_fa_operateincometoebt_ttm2(E244,$C$3)</f>
        <v>90.057699999999997</v>
      </c>
      <c r="AA244" s="125"/>
      <c r="AB244" s="343"/>
      <c r="AC244" s="125">
        <f ca="1">[1]!s_fa_cagr_tr($E244,AC$6,3)</f>
        <v>0</v>
      </c>
      <c r="AD244" s="125">
        <f ca="1">[1]!s_fa_cagr_tr($E244,AD$6,3)</f>
        <v>67.914505810249253</v>
      </c>
      <c r="AE244" s="126">
        <f ca="1">[1]!s_fa_cagr_tr($E244,AE$6,3)</f>
        <v>50.673240713118915</v>
      </c>
      <c r="AF244" s="126">
        <f ca="1">[1]!s_fa_cagr_tr($E244,AF$6,3)</f>
        <v>29.579875896162953</v>
      </c>
      <c r="AG244" s="126">
        <f ca="1">[1]!s_fa_cagr_tr($E244,AG$6,3)</f>
        <v>17.164692512014067</v>
      </c>
      <c r="AH244" s="126">
        <f ca="1">[1]!s_fa_cagr_tr($E244,AH$6,3)</f>
        <v>16.93387302592182</v>
      </c>
      <c r="AI244" s="169"/>
      <c r="AJ244" s="126">
        <f ca="1">[1]!s_fa_cagr_netprofit($E244,AJ$6,3)</f>
        <v>0</v>
      </c>
      <c r="AK244" s="126">
        <f ca="1">[1]!s_fa_cagr_netprofit($E244,AK$6,3)</f>
        <v>108.89939756304696</v>
      </c>
      <c r="AL244" s="126">
        <f ca="1">[1]!s_fa_cagr_netprofit($E244,AL$6,3)</f>
        <v>27.959554028783362</v>
      </c>
      <c r="AM244" s="126">
        <f ca="1">[1]!s_fa_cagr_netprofit($E244,AM$6,3)</f>
        <v>26.911164913492524</v>
      </c>
      <c r="AN244" s="126">
        <f ca="1">[1]!s_fa_cagr_netprofit($E244,AN$6,3)</f>
        <v>25.737946865902028</v>
      </c>
      <c r="AO244" s="126">
        <f ca="1">[1]!s_fa_cagr_netprofit($E244,AO$6,3)</f>
        <v>20.230937601720498</v>
      </c>
      <c r="AP244" s="129"/>
      <c r="AQ244" s="203">
        <f ca="1">[1]!s_fa_dupont_roe(E244,$C$3)</f>
        <v>53.7682</v>
      </c>
      <c r="AR244" s="203">
        <f ca="1">[1]!s_fa_dupont_nptosales(B244,$C$3)</f>
        <v>23.9284</v>
      </c>
      <c r="AS244" s="238">
        <f ca="1">[1]!s_fa_dupont_faturnover(E244,$C$3)</f>
        <v>1.3431</v>
      </c>
      <c r="AT244" s="203">
        <f ca="1">[1]!s_fa_dupont_assetstoequity(E244,$C$3)</f>
        <v>1.6973</v>
      </c>
      <c r="AU244" s="129"/>
      <c r="AV244" s="129"/>
      <c r="AW244" s="129"/>
      <c r="AX244" s="129"/>
      <c r="AY244" s="129"/>
      <c r="AZ244" s="129"/>
      <c r="BA244" s="129"/>
      <c r="BB244" s="129"/>
      <c r="BC244" s="129"/>
      <c r="BD244" s="129"/>
      <c r="BE244" s="129"/>
    </row>
    <row r="245" spans="1:57" s="191" customFormat="1" ht="12" customHeight="1" x14ac:dyDescent="0.35">
      <c r="A245" s="182" t="s">
        <v>5</v>
      </c>
      <c r="B245" s="182" t="s">
        <v>597</v>
      </c>
      <c r="C245" s="182" t="s">
        <v>598</v>
      </c>
      <c r="D245" s="182" t="str">
        <f ca="1">[1]!cb_info_underlyingname(B245)</f>
        <v>飞凯材料</v>
      </c>
      <c r="E245" s="183" t="str">
        <f ca="1">[1]!cb_info_underlyingcode(B245)</f>
        <v>300398.SZ</v>
      </c>
      <c r="F245" s="184" t="str">
        <f ca="1">[1]!s_info_industry_sw(B245,1)</f>
        <v>化工</v>
      </c>
      <c r="G245" s="184" t="str">
        <f ca="1">[1]!s_info_industry_sw(E245,2)</f>
        <v>化学制品</v>
      </c>
      <c r="H245" s="184" t="str">
        <f ca="1">[1]!s_info_industry_sw(E245,3)</f>
        <v>涂料油漆油墨制造</v>
      </c>
      <c r="I245" s="192" t="str">
        <f ca="1">[1]!s_info_majorproducttype(E245)</f>
        <v>高分子聚合物</v>
      </c>
      <c r="J245" s="189">
        <f ca="1">[1]!s_val_ev(E245,$B$2,100000000)</f>
        <v>96.974469779300009</v>
      </c>
      <c r="K245" s="193">
        <f ca="1">[1]!s_share_total(E245,$B$2,100000000)</f>
        <v>5.1609616699999998</v>
      </c>
      <c r="L245" s="193">
        <f ca="1">[1]!s_share_liqa(E245,$B$2,100000000)</f>
        <v>5.0983728700000004</v>
      </c>
      <c r="M245" s="186">
        <f ca="1">[1]!s_fa_gr_ttm2(E245,$C$3,100000000)</f>
        <v>17.461975136500001</v>
      </c>
      <c r="N245" s="187">
        <f ca="1">[1]!s_fa_netprofit_ttm2(E245,$C$3,100000000)</f>
        <v>2.4026618032</v>
      </c>
      <c r="O245" s="186"/>
      <c r="P245" s="187">
        <f ca="1">[1]!s_val_pe_ttm(E245,[1]!td($B$2-1))</f>
        <v>33.729549407958984</v>
      </c>
      <c r="Q245" s="187">
        <f ca="1">[1]!i_val_pe_percentile(E245,[1]!td($B$2-1),$B$2-365*5,[1]!td($B$2-1))</f>
        <v>29.111842105263158</v>
      </c>
      <c r="R245" s="187">
        <f ca="1">[1]!pb_mrq(E245,[1]!td($B$2-1))</f>
        <v>3.4938548890114398</v>
      </c>
      <c r="S245" s="187">
        <f ca="1">[1]!i_val_pb_percentile(E245,[1]!td($B$2-1),$B$2-365*5,[1]!td($B$2-1))</f>
        <v>33.168859649122808</v>
      </c>
      <c r="T245" s="187">
        <f ca="1">[1]!s_val_pe_ttm([1]!to_windcode_index(H245&amp;"(申万)"),[1]!td($B$2-1))</f>
        <v>58.509998321533203</v>
      </c>
      <c r="U245" s="187"/>
      <c r="V245" s="187">
        <f ca="1">[1]!s_fa_roe(E245,$C$3)</f>
        <v>6.7895000000000003</v>
      </c>
      <c r="W245" s="187">
        <f ca="1">[1]!s_fa_grossprofitmargin(E245,$C$3)</f>
        <v>40.248399999999997</v>
      </c>
      <c r="X245" s="187">
        <f ca="1">[1]!s_fa_netprofitmargin(E245,$C$3)</f>
        <v>13.3994</v>
      </c>
      <c r="Y245" s="187">
        <f ca="1">[1]!s_fa_roic(E245,$C$3)</f>
        <v>6.1464999999999996</v>
      </c>
      <c r="Z245" s="187">
        <f ca="1">[1]!s_fa_operateincometoebt_ttm2(E245,$C$3)</f>
        <v>59.0501</v>
      </c>
      <c r="AA245" s="186"/>
      <c r="AB245" s="342"/>
      <c r="AC245" s="186">
        <f ca="1">[1]!s_fa_cagr_tr($E245,AC$6,3)</f>
        <v>0</v>
      </c>
      <c r="AD245" s="186">
        <f ca="1">[1]!s_fa_cagr_tr($E245,AD$6,3)</f>
        <v>31.465950154048407</v>
      </c>
      <c r="AE245" s="187">
        <f ca="1">[1]!s_fa_cagr_tr($E245,AE$6,3)</f>
        <v>57.000837199852697</v>
      </c>
      <c r="AF245" s="187">
        <f ca="1">[1]!s_fa_cagr_tr($E245,AF$6,3)</f>
        <v>49.56928509318692</v>
      </c>
      <c r="AG245" s="187">
        <f ca="1">[1]!s_fa_cagr_tr($E245,AG$6,3)</f>
        <v>26.797448000099333</v>
      </c>
      <c r="AH245" s="187">
        <f ca="1">[1]!s_fa_cagr_tr($E245,AH$6,3)</f>
        <v>6.553968295502588</v>
      </c>
      <c r="AI245" s="194"/>
      <c r="AJ245" s="187">
        <f ca="1">[1]!s_fa_cagr_netprofit($E245,AJ$6,3)</f>
        <v>0</v>
      </c>
      <c r="AK245" s="187">
        <f ca="1">[1]!s_fa_cagr_netprofit($E245,AK$6,3)</f>
        <v>39.969899182736853</v>
      </c>
      <c r="AL245" s="187">
        <f ca="1">[1]!s_fa_cagr_netprofit($E245,AL$6,3)</f>
        <v>55.552054285335785</v>
      </c>
      <c r="AM245" s="187">
        <f ca="1">[1]!s_fa_cagr_netprofit($E245,AM$6,3)</f>
        <v>39.306579348823355</v>
      </c>
      <c r="AN245" s="187">
        <f ca="1">[1]!s_fa_cagr_netprofit($E245,AN$6,3)</f>
        <v>-2.3756073707319025</v>
      </c>
      <c r="AO245" s="187">
        <f ca="1">[1]!s_fa_cagr_netprofit($E245,AO$6,3)</f>
        <v>1.1829787597485097</v>
      </c>
      <c r="AP245" s="189"/>
      <c r="AQ245" s="202">
        <f ca="1">[1]!s_fa_dupont_roe(E245,$C$3)</f>
        <v>6.7895000000000003</v>
      </c>
      <c r="AR245" s="202">
        <f ca="1">[1]!s_fa_dupont_nptosales(B245,$C$3)</f>
        <v>13.3994</v>
      </c>
      <c r="AS245" s="237">
        <f ca="1">[1]!s_fa_dupont_faturnover(E245,$C$3)</f>
        <v>0.29149999999999998</v>
      </c>
      <c r="AT245" s="202">
        <f ca="1">[1]!s_fa_dupont_assetstoequity(E245,$C$3)</f>
        <v>1.8446</v>
      </c>
      <c r="AU245" s="189"/>
      <c r="AV245" s="189"/>
      <c r="AW245" s="189"/>
      <c r="AX245" s="189"/>
      <c r="AY245" s="189"/>
      <c r="AZ245" s="189"/>
      <c r="BA245" s="189"/>
      <c r="BB245" s="189"/>
      <c r="BC245" s="189"/>
      <c r="BD245" s="189"/>
      <c r="BE245" s="189"/>
    </row>
    <row r="246" spans="1:57" s="130" customFormat="1" ht="12" customHeight="1" x14ac:dyDescent="0.35">
      <c r="A246" s="121" t="s">
        <v>5</v>
      </c>
      <c r="B246" s="121" t="s">
        <v>451</v>
      </c>
      <c r="C246" s="121" t="s">
        <v>452</v>
      </c>
      <c r="D246" s="121" t="str">
        <f ca="1">[1]!cb_info_underlyingname(B246)</f>
        <v>道氏技术</v>
      </c>
      <c r="E246" s="122" t="str">
        <f ca="1">[1]!cb_info_underlyingcode(B246)</f>
        <v>300409.SZ</v>
      </c>
      <c r="F246" s="123" t="str">
        <f ca="1">[1]!s_info_industry_sw(B246,1)</f>
        <v>化工</v>
      </c>
      <c r="G246" s="123" t="str">
        <f ca="1">[1]!s_info_industry_sw(E246,2)</f>
        <v>化学原料</v>
      </c>
      <c r="H246" s="123" t="str">
        <f ca="1">[1]!s_info_industry_sw(E246,3)</f>
        <v>其他化学原料</v>
      </c>
      <c r="I246" s="156" t="str">
        <f ca="1">[1]!s_info_majorproducttype(E246)</f>
        <v>涂料与油漆</v>
      </c>
      <c r="J246" s="129">
        <f ca="1">[1]!s_val_ev(E246,$B$2,100000000)</f>
        <v>172.61872352850003</v>
      </c>
      <c r="K246" s="157">
        <f ca="1">[1]!s_share_total(E246,$B$2,100000000)</f>
        <v>5.7828718099999996</v>
      </c>
      <c r="L246" s="157">
        <f ca="1">[1]!s_share_liqa(E246,$B$2,100000000)</f>
        <v>4.3626776100000004</v>
      </c>
      <c r="M246" s="125">
        <f ca="1">[1]!s_fa_gr_ttm2(E246,$C$3,100000000)</f>
        <v>27.084446685300001</v>
      </c>
      <c r="N246" s="126">
        <f ca="1">[1]!s_fa_netprofit_ttm2(E246,$C$3,100000000)</f>
        <v>0.97039561920000006</v>
      </c>
      <c r="O246" s="125"/>
      <c r="P246" s="126">
        <f ca="1">[1]!s_val_pe_ttm(E246,[1]!td($B$2-1))</f>
        <v>57.988071441650391</v>
      </c>
      <c r="Q246" s="126">
        <f ca="1">[1]!i_val_pe_percentile(E246,[1]!td($B$2-1),$B$2-365*5,[1]!td($B$2-1))</f>
        <v>32.314923619271447</v>
      </c>
      <c r="R246" s="126">
        <f ca="1">[1]!pb_mrq(E246,[1]!td($B$2-1))</f>
        <v>4.3810493949159959</v>
      </c>
      <c r="S246" s="126">
        <f ca="1">[1]!i_val_pb_percentile(E246,[1]!td($B$2-1),$B$2-365*5,[1]!td($B$2-1))</f>
        <v>57.127192982456144</v>
      </c>
      <c r="T246" s="126">
        <f ca="1">[1]!s_val_pe_ttm([1]!to_windcode_index(H246&amp;"(申万)"),[1]!td($B$2-1))</f>
        <v>26.969999313354492</v>
      </c>
      <c r="U246" s="126"/>
      <c r="V246" s="126">
        <f ca="1">[1]!s_fa_roe(E246,$C$3)</f>
        <v>2.4367000000000001</v>
      </c>
      <c r="W246" s="126">
        <f ca="1">[1]!s_fa_grossprofitmargin(E246,$C$3)</f>
        <v>22.284099999999999</v>
      </c>
      <c r="X246" s="126">
        <f ca="1">[1]!s_fa_netprofitmargin(E246,$C$3)</f>
        <v>2.6255000000000002</v>
      </c>
      <c r="Y246" s="126">
        <f ca="1">[1]!s_fa_roic(E246,$C$3)</f>
        <v>2.4156</v>
      </c>
      <c r="Z246" s="126">
        <f ca="1">[1]!s_fa_operateincometoebt_ttm2(E246,$C$3)</f>
        <v>70.6785</v>
      </c>
      <c r="AA246" s="125"/>
      <c r="AB246" s="343"/>
      <c r="AC246" s="125">
        <f ca="1">[1]!s_fa_cagr_tr($E246,AC$6,3)</f>
        <v>0</v>
      </c>
      <c r="AD246" s="125">
        <f ca="1">[1]!s_fa_cagr_tr($E246,AD$6,3)</f>
        <v>25.037229824616691</v>
      </c>
      <c r="AE246" s="126">
        <f ca="1">[1]!s_fa_cagr_tr($E246,AE$6,3)</f>
        <v>54.891350652008583</v>
      </c>
      <c r="AF246" s="126">
        <f ca="1">[1]!s_fa_cagr_tr($E246,AF$6,3)</f>
        <v>85.68319252374026</v>
      </c>
      <c r="AG246" s="126">
        <f ca="1">[1]!s_fa_cagr_tr($E246,AG$6,3)</f>
        <v>55.982000260202639</v>
      </c>
      <c r="AH246" s="126">
        <f ca="1">[1]!s_fa_cagr_tr($E246,AH$6,3)</f>
        <v>36.031372406599083</v>
      </c>
      <c r="AI246" s="169"/>
      <c r="AJ246" s="126">
        <f ca="1">[1]!s_fa_cagr_netprofit($E246,AJ$6,3)</f>
        <v>0</v>
      </c>
      <c r="AK246" s="126">
        <f ca="1">[1]!s_fa_cagr_netprofit($E246,AK$6,3)</f>
        <v>-26.453362602577478</v>
      </c>
      <c r="AL246" s="126">
        <f ca="1">[1]!s_fa_cagr_netprofit($E246,AL$6,3)</f>
        <v>-38.090175710653142</v>
      </c>
      <c r="AM246" s="126">
        <f ca="1">[1]!s_fa_cagr_netprofit($E246,AM$6,3)</f>
        <v>62.891950120363724</v>
      </c>
      <c r="AN246" s="126">
        <f ca="1">[1]!s_fa_cagr_netprofit($E246,AN$6,3)</f>
        <v>28.150416523031808</v>
      </c>
      <c r="AO246" s="126">
        <f ca="1">[1]!s_fa_cagr_netprofit($E246,AO$6,3)</f>
        <v>18.857608220711054</v>
      </c>
      <c r="AP246" s="129"/>
      <c r="AQ246" s="203">
        <f ca="1">[1]!s_fa_dupont_roe(E246,$C$3)</f>
        <v>2.4367000000000001</v>
      </c>
      <c r="AR246" s="203">
        <f ca="1">[1]!s_fa_dupont_nptosales(B246,$C$3)</f>
        <v>2.6255000000000002</v>
      </c>
      <c r="AS246" s="238">
        <f ca="1">[1]!s_fa_dupont_faturnover(E246,$C$3)</f>
        <v>0.47510000000000002</v>
      </c>
      <c r="AT246" s="203">
        <f ca="1">[1]!s_fa_dupont_assetstoequity(E246,$C$3)</f>
        <v>1.8376999999999999</v>
      </c>
      <c r="AU246" s="129"/>
      <c r="AV246" s="129"/>
      <c r="AW246" s="129"/>
      <c r="AX246" s="129"/>
      <c r="AY246" s="129"/>
      <c r="AZ246" s="129"/>
      <c r="BA246" s="129"/>
      <c r="BB246" s="129"/>
      <c r="BC246" s="129"/>
      <c r="BD246" s="129"/>
      <c r="BE246" s="129"/>
    </row>
    <row r="247" spans="1:57" s="191" customFormat="1" ht="12" customHeight="1" x14ac:dyDescent="0.35">
      <c r="A247" s="182" t="s">
        <v>5</v>
      </c>
      <c r="B247" s="182" t="s">
        <v>282</v>
      </c>
      <c r="C247" s="182" t="s">
        <v>283</v>
      </c>
      <c r="D247" s="182" t="str">
        <f ca="1">[1]!cb_info_underlyingname(B247)</f>
        <v>晶瑞电材</v>
      </c>
      <c r="E247" s="183" t="str">
        <f ca="1">[1]!cb_info_underlyingcode(B247)</f>
        <v>300655.SZ</v>
      </c>
      <c r="F247" s="184" t="str">
        <f ca="1">[1]!s_info_industry_sw(B247,1)</f>
        <v>化工</v>
      </c>
      <c r="G247" s="184" t="str">
        <f ca="1">[1]!s_info_industry_sw(E247,2)</f>
        <v>化学原料</v>
      </c>
      <c r="H247" s="184" t="str">
        <f ca="1">[1]!s_info_industry_sw(E247,3)</f>
        <v>其他化学原料</v>
      </c>
      <c r="I247" s="192" t="str">
        <f ca="1">[1]!s_info_majorproducttype(E247)</f>
        <v>有机化工原料</v>
      </c>
      <c r="J247" s="189">
        <f ca="1">[1]!s_val_ev(E247,$B$2,100000000)</f>
        <v>163.51131984</v>
      </c>
      <c r="K247" s="193">
        <f ca="1">[1]!s_share_total(E247,$B$2,100000000)</f>
        <v>3.4064858299999998</v>
      </c>
      <c r="L247" s="193">
        <f ca="1">[1]!s_share_liqa(E247,$B$2,100000000)</f>
        <v>2.8713061400000002</v>
      </c>
      <c r="M247" s="186">
        <f ca="1">[1]!s_fa_gr_ttm2(E247,$C$3,100000000)</f>
        <v>8.999933004099999</v>
      </c>
      <c r="N247" s="187">
        <f ca="1">[1]!s_fa_netprofit_ttm2(E247,$C$3,100000000)</f>
        <v>0.72174521889999999</v>
      </c>
      <c r="O247" s="186"/>
      <c r="P247" s="187">
        <f ca="1">[1]!s_val_pe_ttm(E247,[1]!td($B$2-1))</f>
        <v>95.168975830078125</v>
      </c>
      <c r="Q247" s="187">
        <f ca="1">[1]!i_val_pe_percentile(E247,[1]!td($B$2-1),$B$2-365*5,[1]!td($B$2-1))</f>
        <v>68.048469387755105</v>
      </c>
      <c r="R247" s="187">
        <f ca="1">[1]!pb_mrq(E247,[1]!td($B$2-1))</f>
        <v>11.774931148465836</v>
      </c>
      <c r="S247" s="187">
        <f ca="1">[1]!i_val_pb_percentile(E247,[1]!td($B$2-1),$B$2-365*5,[1]!td($B$2-1))</f>
        <v>95.918367346938766</v>
      </c>
      <c r="T247" s="187">
        <f ca="1">[1]!s_val_pe_ttm([1]!to_windcode_index(H247&amp;"(申万)"),[1]!td($B$2-1))</f>
        <v>26.969999313354492</v>
      </c>
      <c r="U247" s="187"/>
      <c r="V247" s="187">
        <f ca="1">[1]!s_fa_roe(E247,$C$3)</f>
        <v>6.6182999999999996</v>
      </c>
      <c r="W247" s="187">
        <f ca="1">[1]!s_fa_grossprofitmargin(E247,$C$3)</f>
        <v>27.360399999999998</v>
      </c>
      <c r="X247" s="187">
        <f ca="1">[1]!s_fa_netprofitmargin(E247,$C$3)</f>
        <v>9.2401</v>
      </c>
      <c r="Y247" s="187">
        <f ca="1">[1]!s_fa_roic(E247,$C$3)</f>
        <v>5.3476999999999997</v>
      </c>
      <c r="Z247" s="187">
        <f ca="1">[1]!s_fa_operateincometoebt_ttm2(E247,$C$3)</f>
        <v>53.012799999999999</v>
      </c>
      <c r="AA247" s="186"/>
      <c r="AB247" s="342"/>
      <c r="AC247" s="186">
        <f ca="1">[1]!s_fa_cagr_tr($E247,AC$6,3)</f>
        <v>0</v>
      </c>
      <c r="AD247" s="186">
        <f ca="1">[1]!s_fa_cagr_tr($E247,AD$6,3)</f>
        <v>24.128311290174764</v>
      </c>
      <c r="AE247" s="187">
        <f ca="1">[1]!s_fa_cagr_tr($E247,AE$6,3)</f>
        <v>19.768803862033437</v>
      </c>
      <c r="AF247" s="187">
        <f ca="1">[1]!s_fa_cagr_tr($E247,AF$6,3)</f>
        <v>36.5020227121434</v>
      </c>
      <c r="AG247" s="187">
        <f ca="1">[1]!s_fa_cagr_tr($E247,AG$6,3)</f>
        <v>16.728146786859877</v>
      </c>
      <c r="AH247" s="187">
        <f ca="1">[1]!s_fa_cagr_tr($E247,AH$6,3)</f>
        <v>10.04287028435089</v>
      </c>
      <c r="AI247" s="194"/>
      <c r="AJ247" s="187">
        <f ca="1">[1]!s_fa_cagr_netprofit($E247,AJ$6,3)</f>
        <v>0</v>
      </c>
      <c r="AK247" s="187">
        <f ca="1">[1]!s_fa_cagr_netprofit($E247,AK$6,3)</f>
        <v>28.605835890843355</v>
      </c>
      <c r="AL247" s="187">
        <f ca="1">[1]!s_fa_cagr_netprofit($E247,AL$6,3)</f>
        <v>-2.6062589605724162</v>
      </c>
      <c r="AM247" s="187">
        <f ca="1">[1]!s_fa_cagr_netprofit($E247,AM$6,3)</f>
        <v>20.904865767347335</v>
      </c>
      <c r="AN247" s="187">
        <f ca="1">[1]!s_fa_cagr_netprofit($E247,AN$6,3)</f>
        <v>-3.6333904731008726</v>
      </c>
      <c r="AO247" s="187">
        <f ca="1">[1]!s_fa_cagr_netprofit($E247,AO$6,3)</f>
        <v>14.238024010228202</v>
      </c>
      <c r="AP247" s="189"/>
      <c r="AQ247" s="202">
        <f ca="1">[1]!s_fa_dupont_roe(E247,$C$3)</f>
        <v>6.6182999999999996</v>
      </c>
      <c r="AR247" s="202">
        <f ca="1">[1]!s_fa_dupont_nptosales(B247,$C$3)</f>
        <v>9.2401</v>
      </c>
      <c r="AS247" s="237">
        <f ca="1">[1]!s_fa_dupont_faturnover(E247,$C$3)</f>
        <v>0.41909999999999997</v>
      </c>
      <c r="AT247" s="202">
        <f ca="1">[1]!s_fa_dupont_assetstoequity(E247,$C$3)</f>
        <v>1.8286</v>
      </c>
      <c r="AU247" s="189"/>
      <c r="AV247" s="201"/>
      <c r="AW247" s="189"/>
      <c r="AX247" s="189"/>
      <c r="AY247" s="189"/>
      <c r="AZ247" s="189"/>
      <c r="BA247" s="189"/>
      <c r="BB247" s="189"/>
      <c r="BC247" s="189"/>
      <c r="BD247" s="189"/>
      <c r="BE247" s="189"/>
    </row>
    <row r="248" spans="1:57" s="130" customFormat="1" ht="12" customHeight="1" x14ac:dyDescent="0.35">
      <c r="A248" s="121" t="s">
        <v>5</v>
      </c>
      <c r="B248" s="121" t="s">
        <v>622</v>
      </c>
      <c r="C248" s="121" t="s">
        <v>623</v>
      </c>
      <c r="D248" s="121" t="str">
        <f ca="1">[1]!cb_info_underlyingname(B248)</f>
        <v>长海股份</v>
      </c>
      <c r="E248" s="122" t="str">
        <f ca="1">[1]!cb_info_underlyingcode(B248)</f>
        <v>300196.SZ</v>
      </c>
      <c r="F248" s="123" t="str">
        <f ca="1">[1]!s_info_industry_sw(B248,1)</f>
        <v>化工</v>
      </c>
      <c r="G248" s="123" t="str">
        <f ca="1">[1]!s_info_industry_sw(E248,2)</f>
        <v>化学制品</v>
      </c>
      <c r="H248" s="123" t="str">
        <f ca="1">[1]!s_info_industry_sw(E248,3)</f>
        <v>玻纤</v>
      </c>
      <c r="I248" s="156" t="str">
        <f ca="1">[1]!s_info_majorproducttype(E248)</f>
        <v>玻璃纤维、人造纤维</v>
      </c>
      <c r="J248" s="129">
        <f ca="1">[1]!s_val_ev(E248,$B$2,100000000)</f>
        <v>91.386684407199994</v>
      </c>
      <c r="K248" s="157">
        <f ca="1">[1]!s_share_total(E248,$B$2,100000000)</f>
        <v>4.0870610200000002</v>
      </c>
      <c r="L248" s="157">
        <f ca="1">[1]!s_share_liqa(E248,$B$2,100000000)</f>
        <v>2.4586781100000001</v>
      </c>
      <c r="M248" s="125">
        <f ca="1">[1]!s_fa_gr_ttm2(E248,$C$3,100000000)</f>
        <v>20.216091906199999</v>
      </c>
      <c r="N248" s="126">
        <f ca="1">[1]!s_fa_netprofit_ttm2(E248,$C$3,100000000)</f>
        <v>2.5100462771999998</v>
      </c>
      <c r="O248" s="125"/>
      <c r="P248" s="126">
        <f ca="1">[1]!s_val_pe_ttm(E248,[1]!td($B$2-1))</f>
        <v>22.486240386962891</v>
      </c>
      <c r="Q248" s="126">
        <f ca="1">[1]!i_val_pe_percentile(E248,[1]!td($B$2-1),$B$2-365*5,[1]!td($B$2-1))</f>
        <v>50.712719298245609</v>
      </c>
      <c r="R248" s="126">
        <f ca="1">[1]!pb_mrq(E248,[1]!td($B$2-1))</f>
        <v>2.9652166141801968</v>
      </c>
      <c r="S248" s="126">
        <f ca="1">[1]!i_val_pb_percentile(E248,[1]!td($B$2-1),$B$2-365*5,[1]!td($B$2-1))</f>
        <v>83.936403508771932</v>
      </c>
      <c r="T248" s="126">
        <f ca="1">[1]!s_val_pe_ttm([1]!to_windcode_index(H248&amp;"(申万)"),[1]!td($B$2-1))</f>
        <v>22.889999389648438</v>
      </c>
      <c r="U248" s="126"/>
      <c r="V248" s="126">
        <f ca="1">[1]!s_fa_roe(E248,$C$3)</f>
        <v>7.1769999999999996</v>
      </c>
      <c r="W248" s="126">
        <f ca="1">[1]!s_fa_grossprofitmargin(E248,$C$3)</f>
        <v>29.881900000000002</v>
      </c>
      <c r="X248" s="126">
        <f ca="1">[1]!s_fa_netprofitmargin(E248,$C$3)</f>
        <v>13.2707</v>
      </c>
      <c r="Y248" s="126">
        <f ca="1">[1]!s_fa_roic(E248,$C$3)</f>
        <v>6.7404999999999999</v>
      </c>
      <c r="Z248" s="126">
        <f ca="1">[1]!s_fa_operateincometoebt_ttm2(E248,$C$3)</f>
        <v>93.436899999999994</v>
      </c>
      <c r="AA248" s="125"/>
      <c r="AB248" s="343"/>
      <c r="AC248" s="125">
        <f ca="1">[1]!s_fa_cagr_tr($E248,AC$6,3)</f>
        <v>0</v>
      </c>
      <c r="AD248" s="125">
        <f ca="1">[1]!s_fa_cagr_tr($E248,AD$6,3)</f>
        <v>0.25123279500121054</v>
      </c>
      <c r="AE248" s="126">
        <f ca="1">[1]!s_fa_cagr_tr($E248,AE$6,3)</f>
        <v>7.7185987364732478</v>
      </c>
      <c r="AF248" s="126">
        <f ca="1">[1]!s_fa_cagr_tr($E248,AF$6,3)</f>
        <v>13.179085037071614</v>
      </c>
      <c r="AG248" s="126">
        <f ca="1">[1]!s_fa_cagr_tr($E248,AG$6,3)</f>
        <v>22.137832868064212</v>
      </c>
      <c r="AH248" s="126">
        <f ca="1">[1]!s_fa_cagr_tr($E248,AH$6,3)</f>
        <v>24.337937853805713</v>
      </c>
      <c r="AI248" s="169"/>
      <c r="AJ248" s="126">
        <f ca="1">[1]!s_fa_cagr_netprofit($E248,AJ$6,3)</f>
        <v>0</v>
      </c>
      <c r="AK248" s="126">
        <f ca="1">[1]!s_fa_cagr_netprofit($E248,AK$6,3)</f>
        <v>10.25991809736848</v>
      </c>
      <c r="AL248" s="126">
        <f ca="1">[1]!s_fa_cagr_netprofit($E248,AL$6,3)</f>
        <v>3.9591252380231534</v>
      </c>
      <c r="AM248" s="126">
        <f ca="1">[1]!s_fa_cagr_netprofit($E248,AM$6,3)</f>
        <v>7.2013325742061207</v>
      </c>
      <c r="AN248" s="126">
        <f ca="1">[1]!s_fa_cagr_netprofit($E248,AN$6,3)</f>
        <v>11.195389730125015</v>
      </c>
      <c r="AO248" s="126">
        <f ca="1">[1]!s_fa_cagr_netprofit($E248,AO$6,3)</f>
        <v>34.865808825348935</v>
      </c>
      <c r="AP248" s="129"/>
      <c r="AQ248" s="203">
        <f ca="1">[1]!s_fa_dupont_roe(E248,$C$3)</f>
        <v>7.1769999999999996</v>
      </c>
      <c r="AR248" s="203">
        <f ca="1">[1]!s_fa_dupont_nptosales(B248,$C$3)</f>
        <v>13.2707</v>
      </c>
      <c r="AS248" s="238">
        <f ca="1">[1]!s_fa_dupont_faturnover(E248,$C$3)</f>
        <v>0.4597</v>
      </c>
      <c r="AT248" s="203">
        <f ca="1">[1]!s_fa_dupont_assetstoequity(E248,$C$3)</f>
        <v>1.1753</v>
      </c>
      <c r="AU248" s="129"/>
      <c r="AV248" s="129"/>
      <c r="AW248" s="129"/>
      <c r="AX248" s="129"/>
      <c r="AY248" s="129"/>
      <c r="AZ248" s="129"/>
      <c r="BA248" s="129"/>
      <c r="BB248" s="129"/>
      <c r="BC248" s="129"/>
      <c r="BD248" s="129"/>
      <c r="BE248" s="129"/>
    </row>
    <row r="249" spans="1:57" s="191" customFormat="1" ht="12" customHeight="1" x14ac:dyDescent="0.35">
      <c r="A249" s="182" t="s">
        <v>5</v>
      </c>
      <c r="B249" s="182" t="s">
        <v>593</v>
      </c>
      <c r="C249" s="182" t="s">
        <v>594</v>
      </c>
      <c r="D249" s="182" t="str">
        <f ca="1">[1]!cb_info_underlyingname(B249)</f>
        <v>强力新材</v>
      </c>
      <c r="E249" s="183" t="str">
        <f ca="1">[1]!cb_info_underlyingcode(B249)</f>
        <v>300429.SZ</v>
      </c>
      <c r="F249" s="184" t="str">
        <f ca="1">[1]!s_info_industry_sw(B249,1)</f>
        <v>化工</v>
      </c>
      <c r="G249" s="184" t="str">
        <f ca="1">[1]!s_info_industry_sw(E249,2)</f>
        <v>化学制品</v>
      </c>
      <c r="H249" s="184" t="str">
        <f ca="1">[1]!s_info_industry_sw(E249,3)</f>
        <v>其他化学制品</v>
      </c>
      <c r="I249" s="192" t="str">
        <f ca="1">[1]!s_info_majorproducttype(E249)</f>
        <v>其他化学品</v>
      </c>
      <c r="J249" s="189">
        <f ca="1">[1]!s_val_ev(E249,$B$2,100000000)</f>
        <v>67.035287100100007</v>
      </c>
      <c r="K249" s="193">
        <f ca="1">[1]!s_share_total(E249,$B$2,100000000)</f>
        <v>5.15259701</v>
      </c>
      <c r="L249" s="193">
        <f ca="1">[1]!s_share_liqa(E249,$B$2,100000000)</f>
        <v>3.6614708199999999</v>
      </c>
      <c r="M249" s="186">
        <f ca="1">[1]!s_fa_gr_ttm2(E249,$C$3,100000000)</f>
        <v>7.8124263105999994</v>
      </c>
      <c r="N249" s="187">
        <f ca="1">[1]!s_fa_netprofit_ttm2(E249,$C$3,100000000)</f>
        <v>1.0617180026999999</v>
      </c>
      <c r="O249" s="186"/>
      <c r="P249" s="187">
        <f ca="1">[1]!s_val_pe_ttm(E249,[1]!td($B$2-1))</f>
        <v>65.260215759277344</v>
      </c>
      <c r="Q249" s="187">
        <f ca="1">[1]!i_val_pe_percentile(E249,[1]!td($B$2-1),$B$2-365*5,[1]!td($B$2-1))</f>
        <v>75.493421052631575</v>
      </c>
      <c r="R249" s="187">
        <f ca="1">[1]!pb_mrq(E249,[1]!td($B$2-1))</f>
        <v>3.7639234245976989</v>
      </c>
      <c r="S249" s="187">
        <f ca="1">[1]!i_val_pb_percentile(E249,[1]!td($B$2-1),$B$2-365*5,[1]!td($B$2-1))</f>
        <v>12.006578947368421</v>
      </c>
      <c r="T249" s="187">
        <f ca="1">[1]!s_val_pe_ttm([1]!to_windcode_index(H249&amp;"(申万)"),[1]!td($B$2-1))</f>
        <v>46.459999084472656</v>
      </c>
      <c r="U249" s="187"/>
      <c r="V249" s="187">
        <f ca="1">[1]!s_fa_roe(E249,$C$3)</f>
        <v>5.0662000000000003</v>
      </c>
      <c r="W249" s="187">
        <f ca="1">[1]!s_fa_grossprofitmargin(E249,$C$3)</f>
        <v>37.864800000000002</v>
      </c>
      <c r="X249" s="187">
        <f ca="1">[1]!s_fa_netprofitmargin(E249,$C$3)</f>
        <v>14.7982</v>
      </c>
      <c r="Y249" s="187">
        <f ca="1">[1]!s_fa_roic(E249,$C$3)</f>
        <v>4.4583000000000004</v>
      </c>
      <c r="Z249" s="187">
        <f ca="1">[1]!s_fa_operateincometoebt_ttm2(E249,$C$3)</f>
        <v>92.123199999999997</v>
      </c>
      <c r="AA249" s="186"/>
      <c r="AB249" s="342"/>
      <c r="AC249" s="186">
        <f ca="1">[1]!s_fa_cagr_tr($E249,AC$6,3)</f>
        <v>0</v>
      </c>
      <c r="AD249" s="186">
        <f ca="1">[1]!s_fa_cagr_tr($E249,AD$6,3)</f>
        <v>6.6577035139220531</v>
      </c>
      <c r="AE249" s="187">
        <f ca="1">[1]!s_fa_cagr_tr($E249,AE$6,3)</f>
        <v>25.259097776876651</v>
      </c>
      <c r="AF249" s="187">
        <f ca="1">[1]!s_fa_cagr_tr($E249,AF$6,3)</f>
        <v>30.254400902188429</v>
      </c>
      <c r="AG249" s="187">
        <f ca="1">[1]!s_fa_cagr_tr($E249,AG$6,3)</f>
        <v>32.36760202885052</v>
      </c>
      <c r="AH249" s="187">
        <f ca="1">[1]!s_fa_cagr_tr($E249,AH$6,3)</f>
        <v>23.440115171980903</v>
      </c>
      <c r="AI249" s="194"/>
      <c r="AJ249" s="187">
        <f ca="1">[1]!s_fa_cagr_netprofit($E249,AJ$6,3)</f>
        <v>0</v>
      </c>
      <c r="AK249" s="187">
        <f ca="1">[1]!s_fa_cagr_netprofit($E249,AK$6,3)</f>
        <v>-9.8096765407860609</v>
      </c>
      <c r="AL249" s="187">
        <f ca="1">[1]!s_fa_cagr_netprofit($E249,AL$6,3)</f>
        <v>9.0875442655791829</v>
      </c>
      <c r="AM249" s="187">
        <f ca="1">[1]!s_fa_cagr_netprofit($E249,AM$6,3)</f>
        <v>19.208315342336778</v>
      </c>
      <c r="AN249" s="187">
        <f ca="1">[1]!s_fa_cagr_netprofit($E249,AN$6,3)</f>
        <v>23.02369481976605</v>
      </c>
      <c r="AO249" s="187">
        <f ca="1">[1]!s_fa_cagr_netprofit($E249,AO$6,3)</f>
        <v>26.535348416101012</v>
      </c>
      <c r="AP249" s="189"/>
      <c r="AQ249" s="202">
        <f ca="1">[1]!s_fa_dupont_roe(E249,$C$3)</f>
        <v>5.0662000000000003</v>
      </c>
      <c r="AR249" s="202">
        <f ca="1">[1]!s_fa_dupont_nptosales(B249,$C$3)</f>
        <v>14.7982</v>
      </c>
      <c r="AS249" s="237">
        <f ca="1">[1]!s_fa_dupont_faturnover(E249,$C$3)</f>
        <v>0.2661</v>
      </c>
      <c r="AT249" s="202">
        <f ca="1">[1]!s_fa_dupont_assetstoequity(E249,$C$3)</f>
        <v>1.2553000000000001</v>
      </c>
      <c r="AU249" s="189"/>
      <c r="AV249" s="189"/>
      <c r="AW249" s="189"/>
      <c r="AX249" s="189"/>
      <c r="AY249" s="189"/>
      <c r="AZ249" s="189"/>
      <c r="BA249" s="189"/>
      <c r="BB249" s="189"/>
      <c r="BC249" s="189"/>
      <c r="BD249" s="189"/>
      <c r="BE249" s="189"/>
    </row>
    <row r="250" spans="1:57" s="130" customFormat="1" ht="12" customHeight="1" x14ac:dyDescent="0.35">
      <c r="A250" s="121" t="s">
        <v>5</v>
      </c>
      <c r="B250" s="121" t="s">
        <v>170</v>
      </c>
      <c r="C250" s="121" t="s">
        <v>171</v>
      </c>
      <c r="D250" s="121" t="str">
        <f ca="1">[1]!cb_info_underlyingname(B250)</f>
        <v>天铁股份</v>
      </c>
      <c r="E250" s="122" t="str">
        <f ca="1">[1]!cb_info_underlyingcode(B250)</f>
        <v>300587.SZ</v>
      </c>
      <c r="F250" s="123" t="str">
        <f ca="1">[1]!s_info_industry_sw(B250,1)</f>
        <v>化工</v>
      </c>
      <c r="G250" s="123" t="str">
        <f ca="1">[1]!s_info_industry_sw(E250,2)</f>
        <v>橡胶</v>
      </c>
      <c r="H250" s="123" t="str">
        <f ca="1">[1]!s_info_industry_sw(E250,3)</f>
        <v>其他橡胶制品</v>
      </c>
      <c r="I250" s="156" t="str">
        <f ca="1">[1]!s_info_majorproducttype(E250)</f>
        <v>塑胶机械</v>
      </c>
      <c r="J250" s="129">
        <f ca="1">[1]!s_val_ev(E250,$B$2,100000000)</f>
        <v>119.3648168493</v>
      </c>
      <c r="K250" s="157">
        <f ca="1">[1]!s_share_total(E250,$B$2,100000000)</f>
        <v>5.7915971300000004</v>
      </c>
      <c r="L250" s="157">
        <f ca="1">[1]!s_share_liqa(E250,$B$2,100000000)</f>
        <v>4.7583504100000003</v>
      </c>
      <c r="M250" s="125">
        <f ca="1">[1]!s_fa_gr_ttm2(E250,$C$3,100000000)</f>
        <v>12.239928958499998</v>
      </c>
      <c r="N250" s="126">
        <f ca="1">[1]!s_fa_netprofit_ttm2(E250,$C$3,100000000)</f>
        <v>1.9410022652000001</v>
      </c>
      <c r="O250" s="125"/>
      <c r="P250" s="126">
        <f ca="1">[1]!s_val_pe_ttm(E250,[1]!td($B$2-1))</f>
        <v>41.572776794433594</v>
      </c>
      <c r="Q250" s="126">
        <f ca="1">[1]!i_val_pe_percentile(E250,[1]!td($B$2-1),$B$2-365*5,[1]!td($B$2-1))</f>
        <v>83.177022274325907</v>
      </c>
      <c r="R250" s="126">
        <f ca="1">[1]!pb_mrq(E250,[1]!td($B$2-1))</f>
        <v>7.0995812868770498</v>
      </c>
      <c r="S250" s="126">
        <f ca="1">[1]!i_val_pb_percentile(E250,[1]!td($B$2-1),$B$2-365*5,[1]!td($B$2-1))</f>
        <v>99.237983587338803</v>
      </c>
      <c r="T250" s="126">
        <f ca="1">[1]!s_val_pe_ttm([1]!to_windcode_index(H250&amp;"(申万)"),[1]!td($B$2-1))</f>
        <v>42.819999694824219</v>
      </c>
      <c r="U250" s="126"/>
      <c r="V250" s="126">
        <f ca="1">[1]!s_fa_roe(E250,$C$3)</f>
        <v>9.7978000000000005</v>
      </c>
      <c r="W250" s="126">
        <f ca="1">[1]!s_fa_grossprofitmargin(E250,$C$3)</f>
        <v>50.310400000000001</v>
      </c>
      <c r="X250" s="126">
        <f ca="1">[1]!s_fa_netprofitmargin(E250,$C$3)</f>
        <v>15.644399999999999</v>
      </c>
      <c r="Y250" s="126">
        <f ca="1">[1]!s_fa_roic(E250,$C$3)</f>
        <v>7.6570999999999998</v>
      </c>
      <c r="Z250" s="126">
        <f ca="1">[1]!s_fa_operateincometoebt_ttm2(E250,$C$3)</f>
        <v>96.255700000000004</v>
      </c>
      <c r="AA250" s="125"/>
      <c r="AB250" s="343"/>
      <c r="AC250" s="125">
        <f ca="1">[1]!s_fa_cagr_tr($E250,AC$6,3)</f>
        <v>0</v>
      </c>
      <c r="AD250" s="125">
        <f ca="1">[1]!s_fa_cagr_tr($E250,AD$6,3)</f>
        <v>57.273391670855098</v>
      </c>
      <c r="AE250" s="126">
        <f ca="1">[1]!s_fa_cagr_tr($E250,AE$6,3)</f>
        <v>50.53618538082447</v>
      </c>
      <c r="AF250" s="126">
        <f ca="1">[1]!s_fa_cagr_tr($E250,AF$6,3)</f>
        <v>19.350941419959121</v>
      </c>
      <c r="AG250" s="126">
        <f ca="1">[1]!s_fa_cagr_tr($E250,AG$6,3)</f>
        <v>3.9871138760310787</v>
      </c>
      <c r="AH250" s="126">
        <f ca="1">[1]!s_fa_cagr_tr($E250,AH$6,3)</f>
        <v>5.5059441371436479</v>
      </c>
      <c r="AI250" s="169"/>
      <c r="AJ250" s="126">
        <f ca="1">[1]!s_fa_cagr_netprofit($E250,AJ$6,3)</f>
        <v>0</v>
      </c>
      <c r="AK250" s="126">
        <f ca="1">[1]!s_fa_cagr_netprofit($E250,AK$6,3)</f>
        <v>40.200868266244271</v>
      </c>
      <c r="AL250" s="126">
        <f ca="1">[1]!s_fa_cagr_netprofit($E250,AL$6,3)</f>
        <v>21.579642619230576</v>
      </c>
      <c r="AM250" s="126">
        <f ca="1">[1]!s_fa_cagr_netprofit($E250,AM$6,3)</f>
        <v>5.3588459999548199</v>
      </c>
      <c r="AN250" s="126">
        <f ca="1">[1]!s_fa_cagr_netprofit($E250,AN$6,3)</f>
        <v>14.728036430517788</v>
      </c>
      <c r="AO250" s="126">
        <f ca="1">[1]!s_fa_cagr_netprofit($E250,AO$6,3)</f>
        <v>15.248906628068969</v>
      </c>
      <c r="AP250" s="129"/>
      <c r="AQ250" s="203">
        <f ca="1">[1]!s_fa_dupont_roe(E250,$C$3)</f>
        <v>9.7978000000000005</v>
      </c>
      <c r="AR250" s="203">
        <f ca="1">[1]!s_fa_dupont_nptosales(B250,$C$3)</f>
        <v>15.644399999999999</v>
      </c>
      <c r="AS250" s="238">
        <f ca="1">[1]!s_fa_dupont_faturnover(E250,$C$3)</f>
        <v>0.31609999999999999</v>
      </c>
      <c r="AT250" s="203">
        <f ca="1">[1]!s_fa_dupont_assetstoequity(E250,$C$3)</f>
        <v>2.1276999999999999</v>
      </c>
      <c r="AU250" s="129"/>
      <c r="AV250" s="129"/>
      <c r="AW250" s="129"/>
      <c r="AX250" s="129"/>
      <c r="AY250" s="129"/>
      <c r="AZ250" s="129"/>
      <c r="BA250" s="129"/>
      <c r="BB250" s="129"/>
      <c r="BC250" s="129"/>
      <c r="BD250" s="129"/>
      <c r="BE250" s="129"/>
    </row>
    <row r="251" spans="1:57" s="191" customFormat="1" ht="12" customHeight="1" x14ac:dyDescent="0.35">
      <c r="A251" s="182" t="s">
        <v>5</v>
      </c>
      <c r="B251" s="182" t="s">
        <v>475</v>
      </c>
      <c r="C251" s="182" t="s">
        <v>476</v>
      </c>
      <c r="D251" s="182" t="str">
        <f ca="1">[1]!cb_info_underlyingname(B251)</f>
        <v>兄弟科技</v>
      </c>
      <c r="E251" s="183" t="str">
        <f ca="1">[1]!cb_info_underlyingcode(B251)</f>
        <v>002562.SZ</v>
      </c>
      <c r="F251" s="184" t="str">
        <f ca="1">[1]!s_info_industry_sw(B251,1)</f>
        <v>化工</v>
      </c>
      <c r="G251" s="184" t="str">
        <f ca="1">[1]!s_info_industry_sw(E251,2)</f>
        <v>化学制品</v>
      </c>
      <c r="H251" s="184" t="str">
        <f ca="1">[1]!s_info_industry_sw(E251,3)</f>
        <v>其他化学制品</v>
      </c>
      <c r="I251" s="192" t="str">
        <f ca="1">[1]!s_info_majorproducttype(E251)</f>
        <v>催化剂及化学助剂</v>
      </c>
      <c r="J251" s="189">
        <f ca="1">[1]!s_val_ev(E251,$B$2,100000000)</f>
        <v>40.070381091000002</v>
      </c>
      <c r="K251" s="193">
        <f ca="1">[1]!s_share_total(E251,$B$2,100000000)</f>
        <v>10.628748299999998</v>
      </c>
      <c r="L251" s="193">
        <f ca="1">[1]!s_share_liqa(E251,$B$2,100000000)</f>
        <v>7.0008033200000002</v>
      </c>
      <c r="M251" s="186">
        <f ca="1">[1]!s_fa_gr_ttm2(E251,$C$3,100000000)</f>
        <v>17.801376904000001</v>
      </c>
      <c r="N251" s="187">
        <f ca="1">[1]!s_fa_netprofit_ttm2(E251,$C$3,100000000)</f>
        <v>1.2648166434000001</v>
      </c>
      <c r="O251" s="186"/>
      <c r="P251" s="187">
        <f ca="1">[1]!s_val_pe_ttm(E251,[1]!td($B$2-1))</f>
        <v>-77.063850402832031</v>
      </c>
      <c r="Q251" s="187">
        <f ca="1">[1]!i_val_pe_percentile(E251,[1]!td($B$2-1),$B$2-365*5,[1]!td($B$2-1))</f>
        <v>0</v>
      </c>
      <c r="R251" s="187">
        <f ca="1">[1]!pb_mrq(E251,[1]!td($B$2-1))</f>
        <v>1.3552960498280722</v>
      </c>
      <c r="S251" s="187">
        <f ca="1">[1]!i_val_pb_percentile(E251,[1]!td($B$2-1),$B$2-365*5,[1]!td($B$2-1))</f>
        <v>2.3574561403508771</v>
      </c>
      <c r="T251" s="187">
        <f ca="1">[1]!s_val_pe_ttm([1]!to_windcode_index(H251&amp;"(申万)"),[1]!td($B$2-1))</f>
        <v>46.459999084472656</v>
      </c>
      <c r="U251" s="187"/>
      <c r="V251" s="187">
        <f ca="1">[1]!s_fa_roe(E251,$C$3)</f>
        <v>4.2325999999999997</v>
      </c>
      <c r="W251" s="187">
        <f ca="1">[1]!s_fa_grossprofitmargin(E251,$C$3)</f>
        <v>31.526800000000001</v>
      </c>
      <c r="X251" s="187">
        <f ca="1">[1]!s_fa_netprofitmargin(E251,$C$3)</f>
        <v>7.1708999999999996</v>
      </c>
      <c r="Y251" s="187">
        <f ca="1">[1]!s_fa_roic(E251,$C$3)</f>
        <v>3.6259000000000001</v>
      </c>
      <c r="Z251" s="187">
        <f ca="1">[1]!s_fa_operateincometoebt_ttm2(E251,$C$3)</f>
        <v>80.307199999999995</v>
      </c>
      <c r="AA251" s="186"/>
      <c r="AB251" s="342"/>
      <c r="AC251" s="186">
        <f ca="1">[1]!s_fa_cagr_tr($E251,AC$6,3)</f>
        <v>0</v>
      </c>
      <c r="AD251" s="186">
        <f ca="1">[1]!s_fa_cagr_tr($E251,AD$6,3)</f>
        <v>7.040540919211935</v>
      </c>
      <c r="AE251" s="187">
        <f ca="1">[1]!s_fa_cagr_tr($E251,AE$6,3)</f>
        <v>5.7537520949804577</v>
      </c>
      <c r="AF251" s="187">
        <f ca="1">[1]!s_fa_cagr_tr($E251,AF$6,3)</f>
        <v>16.05338993653216</v>
      </c>
      <c r="AG251" s="187">
        <f ca="1">[1]!s_fa_cagr_tr($E251,AG$6,3)</f>
        <v>25.005965879505233</v>
      </c>
      <c r="AH251" s="187">
        <f ca="1">[1]!s_fa_cagr_tr($E251,AH$6,3)</f>
        <v>10.684438943805263</v>
      </c>
      <c r="AI251" s="194"/>
      <c r="AJ251" s="187">
        <f ca="1">[1]!s_fa_cagr_netprofit($E251,AJ$6,3)</f>
        <v>0</v>
      </c>
      <c r="AK251" s="187">
        <f ca="1">[1]!s_fa_cagr_netprofit($E251,AK$6,3)</f>
        <v>-58.87701989704135</v>
      </c>
      <c r="AL251" s="187">
        <f ca="1">[1]!s_fa_cagr_netprofit($E251,AL$6,3)</f>
        <v>-36.062064140840697</v>
      </c>
      <c r="AM251" s="187">
        <f ca="1">[1]!s_fa_cagr_netprofit($E251,AM$6,3)</f>
        <v>-35.746343347795609</v>
      </c>
      <c r="AN251" s="187">
        <f ca="1">[1]!s_fa_cagr_netprofit($E251,AN$6,3)</f>
        <v>115.92780471718056</v>
      </c>
      <c r="AO251" s="187">
        <f ca="1">[1]!s_fa_cagr_netprofit($E251,AO$6,3)</f>
        <v>108.76197218598267</v>
      </c>
      <c r="AP251" s="189"/>
      <c r="AQ251" s="202">
        <f ca="1">[1]!s_fa_dupont_roe(E251,$C$3)</f>
        <v>4.2325999999999997</v>
      </c>
      <c r="AR251" s="202">
        <f ca="1">[1]!s_fa_dupont_nptosales(B251,$C$3)</f>
        <v>7.1708999999999996</v>
      </c>
      <c r="AS251" s="237">
        <f ca="1">[1]!s_fa_dupont_faturnover(E251,$C$3)</f>
        <v>0.3145</v>
      </c>
      <c r="AT251" s="202">
        <f ca="1">[1]!s_fa_dupont_assetstoequity(E251,$C$3)</f>
        <v>1.877</v>
      </c>
      <c r="AU251" s="189"/>
      <c r="AV251" s="201"/>
      <c r="AW251" s="189"/>
      <c r="AX251" s="189"/>
      <c r="AY251" s="189"/>
      <c r="AZ251" s="189"/>
      <c r="BA251" s="189"/>
      <c r="BB251" s="189"/>
      <c r="BC251" s="189"/>
      <c r="BD251" s="189"/>
      <c r="BE251" s="189"/>
    </row>
    <row r="252" spans="1:57" s="130" customFormat="1" ht="12" customHeight="1" x14ac:dyDescent="0.35">
      <c r="A252" s="121" t="s">
        <v>5</v>
      </c>
      <c r="B252" s="121" t="s">
        <v>382</v>
      </c>
      <c r="C252" s="121" t="s">
        <v>383</v>
      </c>
      <c r="D252" s="121" t="str">
        <f ca="1">[1]!cb_info_underlyingname(B252)</f>
        <v>光华科技</v>
      </c>
      <c r="E252" s="122" t="str">
        <f ca="1">[1]!cb_info_underlyingcode(B252)</f>
        <v>002741.SZ</v>
      </c>
      <c r="F252" s="123" t="str">
        <f ca="1">[1]!s_info_industry_sw(B252,1)</f>
        <v>化工</v>
      </c>
      <c r="G252" s="123" t="str">
        <f ca="1">[1]!s_info_industry_sw(E252,2)</f>
        <v>化学制品</v>
      </c>
      <c r="H252" s="123" t="str">
        <f ca="1">[1]!s_info_industry_sw(E252,3)</f>
        <v>其他化学制品</v>
      </c>
      <c r="I252" s="156" t="str">
        <f ca="1">[1]!s_info_majorproducttype(E252)</f>
        <v>其他化学品</v>
      </c>
      <c r="J252" s="129">
        <f ca="1">[1]!s_val_ev(E252,$B$2,100000000)</f>
        <v>89.825764666999987</v>
      </c>
      <c r="K252" s="157">
        <f ca="1">[1]!s_share_total(E252,$B$2,100000000)</f>
        <v>3.7647009499999999</v>
      </c>
      <c r="L252" s="157">
        <f ca="1">[1]!s_share_liqa(E252,$B$2,100000000)</f>
        <v>3.2121957499999998</v>
      </c>
      <c r="M252" s="125">
        <f ca="1">[1]!s_fa_gr_ttm2(E252,$C$3,100000000)</f>
        <v>18.706630126</v>
      </c>
      <c r="N252" s="126">
        <f ca="1">[1]!s_fa_netprofit_ttm2(E252,$C$3,100000000)</f>
        <v>7.0679087000000002E-3</v>
      </c>
      <c r="O252" s="125"/>
      <c r="P252" s="126">
        <f ca="1">[1]!s_val_pe_ttm(E252,[1]!td($B$2-1))</f>
        <v>162.17218017578125</v>
      </c>
      <c r="Q252" s="126">
        <f ca="1">[1]!i_val_pe_percentile(E252,[1]!td($B$2-1),$B$2-365*5,[1]!td($B$2-1))</f>
        <v>82.394366197183103</v>
      </c>
      <c r="R252" s="126">
        <f ca="1">[1]!pb_mrq(E252,[1]!td($B$2-1))</f>
        <v>6.9824414865910525</v>
      </c>
      <c r="S252" s="126">
        <f ca="1">[1]!i_val_pb_percentile(E252,[1]!td($B$2-1),$B$2-365*5,[1]!td($B$2-1))</f>
        <v>84.375</v>
      </c>
      <c r="T252" s="126">
        <f ca="1">[1]!s_val_pe_ttm([1]!to_windcode_index(H252&amp;"(申万)"),[1]!td($B$2-1))</f>
        <v>46.459999084472656</v>
      </c>
      <c r="U252" s="126"/>
      <c r="V252" s="126">
        <f ca="1">[1]!s_fa_roe(E252,$C$3)</f>
        <v>1.6924999999999999</v>
      </c>
      <c r="W252" s="126">
        <f ca="1">[1]!s_fa_grossprofitmargin(E252,$C$3)</f>
        <v>17.589300000000001</v>
      </c>
      <c r="X252" s="126">
        <f ca="1">[1]!s_fa_netprofitmargin(E252,$C$3)</f>
        <v>1.5230999999999999</v>
      </c>
      <c r="Y252" s="126">
        <f ca="1">[1]!s_fa_roic(E252,$C$3)</f>
        <v>2.2808999999999999</v>
      </c>
      <c r="Z252" s="126">
        <f ca="1">[1]!s_fa_operateincometoebt_ttm2(E252,$C$3)</f>
        <v>0</v>
      </c>
      <c r="AA252" s="125"/>
      <c r="AB252" s="343"/>
      <c r="AC252" s="125">
        <f ca="1">[1]!s_fa_cagr_tr($E252,AC$6,3)</f>
        <v>0</v>
      </c>
      <c r="AD252" s="125">
        <f ca="1">[1]!s_fa_cagr_tr($E252,AD$6,3)</f>
        <v>15.739372392499051</v>
      </c>
      <c r="AE252" s="126">
        <f ca="1">[1]!s_fa_cagr_tr($E252,AE$6,3)</f>
        <v>19.998625892463263</v>
      </c>
      <c r="AF252" s="126">
        <f ca="1">[1]!s_fa_cagr_tr($E252,AF$6,3)</f>
        <v>20.778709518261063</v>
      </c>
      <c r="AG252" s="126">
        <f ca="1">[1]!s_fa_cagr_tr($E252,AG$6,3)</f>
        <v>18.865451903407759</v>
      </c>
      <c r="AH252" s="126">
        <f ca="1">[1]!s_fa_cagr_tr($E252,AH$6,3)</f>
        <v>14.142245630713489</v>
      </c>
      <c r="AI252" s="169"/>
      <c r="AJ252" s="126">
        <f ca="1">[1]!s_fa_cagr_netprofit($E252,AJ$6,3)</f>
        <v>0</v>
      </c>
      <c r="AK252" s="126">
        <f ca="1">[1]!s_fa_cagr_netprofit($E252,AK$6,3)</f>
        <v>-26.929664341816196</v>
      </c>
      <c r="AL252" s="126">
        <f ca="1">[1]!s_fa_cagr_netprofit($E252,AL$6,3)</f>
        <v>-40.209385022041332</v>
      </c>
      <c r="AM252" s="126">
        <f ca="1">[1]!s_fa_cagr_netprofit($E252,AM$6,3)</f>
        <v>32.423821161276933</v>
      </c>
      <c r="AN252" s="126">
        <f ca="1">[1]!s_fa_cagr_netprofit($E252,AN$6,3)</f>
        <v>10.936839410984378</v>
      </c>
      <c r="AO252" s="126">
        <f ca="1">[1]!s_fa_cagr_netprofit($E252,AO$6,3)</f>
        <v>1.6896609832750764</v>
      </c>
      <c r="AP252" s="129"/>
      <c r="AQ252" s="203">
        <f ca="1">[1]!s_fa_dupont_roe(E252,$C$3)</f>
        <v>1.6924999999999999</v>
      </c>
      <c r="AR252" s="203">
        <f ca="1">[1]!s_fa_dupont_nptosales(B252,$C$3)</f>
        <v>1.5230999999999999</v>
      </c>
      <c r="AS252" s="238">
        <f ca="1">[1]!s_fa_dupont_faturnover(E252,$C$3)</f>
        <v>0.54400000000000004</v>
      </c>
      <c r="AT252" s="203">
        <f ca="1">[1]!s_fa_dupont_assetstoequity(E252,$C$3)</f>
        <v>2.0512999999999999</v>
      </c>
      <c r="AU252" s="129"/>
      <c r="AV252" s="129"/>
      <c r="AW252" s="129"/>
      <c r="AX252" s="129"/>
      <c r="AY252" s="129"/>
      <c r="AZ252" s="129"/>
      <c r="BA252" s="129"/>
      <c r="BB252" s="129"/>
      <c r="BC252" s="129"/>
      <c r="BD252" s="129"/>
      <c r="BE252" s="129"/>
    </row>
    <row r="253" spans="1:57" s="191" customFormat="1" ht="12" customHeight="1" x14ac:dyDescent="0.35">
      <c r="A253" s="182" t="s">
        <v>0</v>
      </c>
      <c r="B253" s="182" t="s">
        <v>94</v>
      </c>
      <c r="C253" s="182" t="s">
        <v>95</v>
      </c>
      <c r="D253" s="182" t="str">
        <f ca="1">[1]!cb_info_underlyingname(B253)</f>
        <v>雪天盐业</v>
      </c>
      <c r="E253" s="183" t="str">
        <f ca="1">[1]!cb_info_underlyingcode(B253)</f>
        <v>600929.SH</v>
      </c>
      <c r="F253" s="184" t="str">
        <f ca="1">[1]!s_info_industry_sw(B253,1)</f>
        <v>化工</v>
      </c>
      <c r="G253" s="184" t="str">
        <f ca="1">[1]!s_info_industry_sw(E253,2)</f>
        <v>化学原料</v>
      </c>
      <c r="H253" s="184" t="str">
        <f ca="1">[1]!s_info_industry_sw(E253,3)</f>
        <v>氯碱</v>
      </c>
      <c r="I253" s="192" t="str">
        <f ca="1">[1]!s_info_majorproducttype(E253)</f>
        <v>调味品、无机化工原料</v>
      </c>
      <c r="J253" s="189">
        <f ca="1">[1]!s_val_ev(E253,$B$2,100000000)</f>
        <v>74.457436359200003</v>
      </c>
      <c r="K253" s="193">
        <f ca="1">[1]!s_share_total(E253,$B$2,100000000)</f>
        <v>9.3188280799999994</v>
      </c>
      <c r="L253" s="193">
        <f ca="1">[1]!s_share_liqa(E253,$B$2,100000000)</f>
        <v>9.1776280799999981</v>
      </c>
      <c r="M253" s="186">
        <f ca="1">[1]!s_fa_gr_ttm2(E253,$C$3,100000000)</f>
        <v>21.871283074899999</v>
      </c>
      <c r="N253" s="187">
        <f ca="1">[1]!s_fa_netprofit_ttm2(E253,$C$3,100000000)</f>
        <v>1.2634449409999999</v>
      </c>
      <c r="O253" s="186"/>
      <c r="P253" s="187">
        <f ca="1">[1]!s_val_pe_ttm(E253,[1]!td($B$2-1))</f>
        <v>50.183101654052734</v>
      </c>
      <c r="Q253" s="187">
        <f ca="1">[1]!i_val_pe_percentile(E253,[1]!td($B$2-1),$B$2-365*5,[1]!td($B$2-1))</f>
        <v>69.706582077716092</v>
      </c>
      <c r="R253" s="187">
        <f ca="1">[1]!pb_mrq(E253,[1]!td($B$2-1))</f>
        <v>2.858317811706919</v>
      </c>
      <c r="S253" s="187">
        <f ca="1">[1]!i_val_pb_percentile(E253,[1]!td($B$2-1),$B$2-365*5,[1]!td($B$2-1))</f>
        <v>59.873116574147502</v>
      </c>
      <c r="T253" s="187">
        <f ca="1">[1]!s_val_pe_ttm([1]!to_windcode_index(H253&amp;"(申万)"),[1]!td($B$2-1))</f>
        <v>15.529999732971191</v>
      </c>
      <c r="U253" s="186"/>
      <c r="V253" s="186">
        <f ca="1">[1]!s_fa_roe(E253,$C$3)</f>
        <v>3.2795999999999998</v>
      </c>
      <c r="W253" s="186">
        <f ca="1">[1]!s_fa_grossprofitmargin(E253,$C$3)</f>
        <v>46.429400000000001</v>
      </c>
      <c r="X253" s="186">
        <f ca="1">[1]!s_fa_netprofitmargin(E253,$C$3)</f>
        <v>6.1501000000000001</v>
      </c>
      <c r="Y253" s="186">
        <f ca="1">[1]!s_fa_roic(E253,$C$3)</f>
        <v>3.0566</v>
      </c>
      <c r="Z253" s="186">
        <f ca="1">[1]!s_fa_operateincometoebt_ttm2(E253,$C$3)</f>
        <v>86.096199999999996</v>
      </c>
      <c r="AA253" s="186"/>
      <c r="AB253" s="342"/>
      <c r="AC253" s="186">
        <f ca="1">[1]!s_fa_cagr_tr($E253,AC$6,3)</f>
        <v>0</v>
      </c>
      <c r="AD253" s="186">
        <f ca="1">[1]!s_fa_cagr_tr($E253,AD$6,3)</f>
        <v>-0.60121788386791053</v>
      </c>
      <c r="AE253" s="187">
        <f ca="1">[1]!s_fa_cagr_tr($E253,AE$6,3)</f>
        <v>1.4553345157669373</v>
      </c>
      <c r="AF253" s="187">
        <f ca="1">[1]!s_fa_cagr_tr($E253,AF$6,3)</f>
        <v>0.64486464984225833</v>
      </c>
      <c r="AG253" s="187">
        <f ca="1">[1]!s_fa_cagr_tr($E253,AG$6,3)</f>
        <v>-1.0058082832075876</v>
      </c>
      <c r="AH253" s="187">
        <f ca="1">[1]!s_fa_cagr_tr($E253,AH$6,3)</f>
        <v>0.16347680755119942</v>
      </c>
      <c r="AI253" s="194"/>
      <c r="AJ253" s="187">
        <f ca="1">[1]!s_fa_cagr_netprofit($E253,AJ$6,3)</f>
        <v>0</v>
      </c>
      <c r="AK253" s="187">
        <f ca="1">[1]!s_fa_cagr_netprofit($E253,AK$6,3)</f>
        <v>-3.0419863406906389</v>
      </c>
      <c r="AL253" s="187">
        <f ca="1">[1]!s_fa_cagr_netprofit($E253,AL$6,3)</f>
        <v>1.982804733171073</v>
      </c>
      <c r="AM253" s="187">
        <f ca="1">[1]!s_fa_cagr_netprofit($E253,AM$6,3)</f>
        <v>-11.249765528585808</v>
      </c>
      <c r="AN253" s="187">
        <f ca="1">[1]!s_fa_cagr_netprofit($E253,AN$6,3)</f>
        <v>-1.0690884289330516</v>
      </c>
      <c r="AO253" s="187">
        <f ca="1">[1]!s_fa_cagr_netprofit($E253,AO$6,3)</f>
        <v>-3.031050704431526</v>
      </c>
      <c r="AP253" s="189"/>
      <c r="AQ253" s="202">
        <f ca="1">[1]!s_fa_dupont_roe(E253,$C$3)</f>
        <v>3.2795999999999998</v>
      </c>
      <c r="AR253" s="202">
        <f ca="1">[1]!s_fa_dupont_nptosales(B253,$C$3)</f>
        <v>6.1501000000000001</v>
      </c>
      <c r="AS253" s="237">
        <f ca="1">[1]!s_fa_dupont_faturnover(E253,$C$3)</f>
        <v>0.35899999999999999</v>
      </c>
      <c r="AT253" s="202">
        <f ca="1">[1]!s_fa_dupont_assetstoequity(E253,$C$3)</f>
        <v>1.5864</v>
      </c>
      <c r="AU253" s="189"/>
      <c r="AV253" s="189"/>
      <c r="AW253" s="189"/>
      <c r="AX253" s="189"/>
      <c r="AY253" s="189"/>
      <c r="AZ253" s="189"/>
      <c r="BA253" s="189"/>
      <c r="BB253" s="189"/>
      <c r="BC253" s="189"/>
      <c r="BD253" s="189"/>
      <c r="BE253" s="189"/>
    </row>
    <row r="254" spans="1:57" s="130" customFormat="1" ht="12" customHeight="1" x14ac:dyDescent="0.35">
      <c r="A254" s="121" t="s">
        <v>5</v>
      </c>
      <c r="B254" s="121" t="s">
        <v>933</v>
      </c>
      <c r="C254" s="121" t="s">
        <v>934</v>
      </c>
      <c r="D254" s="121" t="str">
        <f ca="1">[1]!cb_info_underlyingname(B254)</f>
        <v>利民股份</v>
      </c>
      <c r="E254" s="122" t="str">
        <f ca="1">[1]!cb_info_underlyingcode(B254)</f>
        <v>002734.SZ</v>
      </c>
      <c r="F254" s="123" t="str">
        <f ca="1">[1]!s_info_industry_sw(B254,1)</f>
        <v>化工</v>
      </c>
      <c r="G254" s="123" t="str">
        <f ca="1">[1]!s_info_industry_sw(E254,2)</f>
        <v>化学制品</v>
      </c>
      <c r="H254" s="123" t="str">
        <f ca="1">[1]!s_info_industry_sw(E254,3)</f>
        <v>农药</v>
      </c>
      <c r="I254" s="156" t="str">
        <f ca="1">[1]!s_info_majorproducttype(E254)</f>
        <v>有机化学农药</v>
      </c>
      <c r="J254" s="129">
        <f ca="1">[1]!s_val_ev(E254,$B$2,100000000)</f>
        <v>42.392143385800004</v>
      </c>
      <c r="K254" s="157">
        <f ca="1">[1]!s_share_total(E254,$B$2,100000000)</f>
        <v>3.72514441</v>
      </c>
      <c r="L254" s="157">
        <f ca="1">[1]!s_share_liqa(E254,$B$2,100000000)</f>
        <v>3.23883579</v>
      </c>
      <c r="M254" s="125">
        <f ca="1">[1]!s_fa_gr_ttm2(E254,$C$3,100000000)</f>
        <v>44.141407837700008</v>
      </c>
      <c r="N254" s="126">
        <f ca="1">[1]!s_fa_netprofit_ttm2(E254,$C$3,100000000)</f>
        <v>4.0933350981999999</v>
      </c>
      <c r="O254" s="125"/>
      <c r="P254" s="126">
        <f ca="1">[1]!s_val_pe_ttm(E254,[1]!td($B$2-1))</f>
        <v>12.909703254699707</v>
      </c>
      <c r="Q254" s="126">
        <f ca="1">[1]!i_val_pe_percentile(E254,[1]!td($B$2-1),$B$2-365*5,[1]!td($B$2-1))</f>
        <v>27.412280701754387</v>
      </c>
      <c r="R254" s="126">
        <f ca="1">[1]!pb_mrq(E254,[1]!td($B$2-1))</f>
        <v>1.6787688315343205</v>
      </c>
      <c r="S254" s="126">
        <f ca="1">[1]!i_val_pb_percentile(E254,[1]!td($B$2-1),$B$2-365*5,[1]!td($B$2-1))</f>
        <v>9.2105263157894726</v>
      </c>
      <c r="T254" s="126">
        <f ca="1">[1]!s_val_pe_ttm([1]!to_windcode_index(H254&amp;"(申万)"),[1]!td($B$2-1))</f>
        <v>26.709999084472656</v>
      </c>
      <c r="U254" s="125"/>
      <c r="V254" s="125">
        <f ca="1">[1]!s_fa_roe(E254,$C$3)</f>
        <v>16.978100000000001</v>
      </c>
      <c r="W254" s="125">
        <f ca="1">[1]!s_fa_grossprofitmargin(E254,$C$3)</f>
        <v>27.427299999999999</v>
      </c>
      <c r="X254" s="125">
        <f ca="1">[1]!s_fa_netprofitmargin(E254,$C$3)</f>
        <v>11.6088</v>
      </c>
      <c r="Y254" s="125">
        <f ca="1">[1]!s_fa_roic(E254,$C$3)</f>
        <v>13.131600000000001</v>
      </c>
      <c r="Z254" s="125">
        <f ca="1">[1]!s_fa_operateincometoebt_ttm2(E254,$C$3)</f>
        <v>75.274199999999993</v>
      </c>
      <c r="AA254" s="125"/>
      <c r="AB254" s="343"/>
      <c r="AC254" s="125">
        <f ca="1">[1]!s_fa_cagr_tr($E254,AC$6,3)</f>
        <v>0</v>
      </c>
      <c r="AD254" s="125">
        <f ca="1">[1]!s_fa_cagr_tr($E254,AD$6,3)</f>
        <v>45.53899748149319</v>
      </c>
      <c r="AE254" s="126">
        <f ca="1">[1]!s_fa_cagr_tr($E254,AE$6,3)</f>
        <v>34.645935402811887</v>
      </c>
      <c r="AF254" s="126">
        <f ca="1">[1]!s_fa_cagr_tr($E254,AF$6,3)</f>
        <v>22.101270791898497</v>
      </c>
      <c r="AG254" s="126">
        <f ca="1">[1]!s_fa_cagr_tr($E254,AG$6,3)</f>
        <v>23.375895971702377</v>
      </c>
      <c r="AH254" s="126">
        <f ca="1">[1]!s_fa_cagr_tr($E254,AH$6,3)</f>
        <v>20.332500868000935</v>
      </c>
      <c r="AI254" s="169"/>
      <c r="AJ254" s="126">
        <f ca="1">[1]!s_fa_cagr_netprofit($E254,AJ$6,3)</f>
        <v>0</v>
      </c>
      <c r="AK254" s="126">
        <f ca="1">[1]!s_fa_cagr_netprofit($E254,AK$6,3)</f>
        <v>41.131293039827874</v>
      </c>
      <c r="AL254" s="126">
        <f ca="1">[1]!s_fa_cagr_netprofit($E254,AL$6,3)</f>
        <v>41.760397796786307</v>
      </c>
      <c r="AM254" s="126">
        <f ca="1">[1]!s_fa_cagr_netprofit($E254,AM$6,3)</f>
        <v>45.121092118462954</v>
      </c>
      <c r="AN254" s="126">
        <f ca="1">[1]!s_fa_cagr_netprofit($E254,AN$6,3)</f>
        <v>41.600924880100564</v>
      </c>
      <c r="AO254" s="126">
        <f ca="1">[1]!s_fa_cagr_netprofit($E254,AO$6,3)</f>
        <v>29.159848761659156</v>
      </c>
      <c r="AP254" s="129"/>
      <c r="AQ254" s="203">
        <f ca="1">[1]!s_fa_dupont_roe(E254,$C$3)</f>
        <v>16.978100000000001</v>
      </c>
      <c r="AR254" s="203">
        <f ca="1">[1]!s_fa_dupont_nptosales(B254,$C$3)</f>
        <v>11.6088</v>
      </c>
      <c r="AS254" s="238">
        <f ca="1">[1]!s_fa_dupont_faturnover(E254,$C$3)</f>
        <v>0.73319999999999996</v>
      </c>
      <c r="AT254" s="203">
        <f ca="1">[1]!s_fa_dupont_assetstoequity(E254,$C$3)</f>
        <v>2.2262</v>
      </c>
      <c r="AU254" s="129"/>
      <c r="AV254" s="129"/>
      <c r="AW254" s="129"/>
      <c r="AX254" s="129"/>
      <c r="AY254" s="129"/>
      <c r="AZ254" s="129"/>
      <c r="BA254" s="129"/>
      <c r="BB254" s="129"/>
      <c r="BC254" s="129"/>
      <c r="BD254" s="129"/>
      <c r="BE254" s="129"/>
    </row>
    <row r="255" spans="1:57" s="191" customFormat="1" ht="12" customHeight="1" x14ac:dyDescent="0.35">
      <c r="A255" s="182" t="s">
        <v>5</v>
      </c>
      <c r="B255" s="182" t="s">
        <v>66</v>
      </c>
      <c r="C255" s="182" t="s">
        <v>67</v>
      </c>
      <c r="D255" s="182" t="str">
        <f ca="1">[1]!cb_info_underlyingname(B255)</f>
        <v>国光股份</v>
      </c>
      <c r="E255" s="183" t="str">
        <f ca="1">[1]!cb_info_underlyingcode(B255)</f>
        <v>002749.SZ</v>
      </c>
      <c r="F255" s="184" t="str">
        <f ca="1">[1]!s_info_industry_sw(B255,1)</f>
        <v>化工</v>
      </c>
      <c r="G255" s="184" t="str">
        <f ca="1">[1]!s_info_industry_sw(E255,2)</f>
        <v>化学制品</v>
      </c>
      <c r="H255" s="184" t="str">
        <f ca="1">[1]!s_info_industry_sw(E255,3)</f>
        <v>农药</v>
      </c>
      <c r="I255" s="192" t="str">
        <f ca="1">[1]!s_info_majorproducttype(E255)</f>
        <v>化学试剂</v>
      </c>
      <c r="J255" s="189">
        <f ca="1">[1]!s_val_ev(E255,$B$2,100000000)</f>
        <v>41.368015450800002</v>
      </c>
      <c r="K255" s="193">
        <f ca="1">[1]!s_share_total(E255,$B$2,100000000)</f>
        <v>4.36371471</v>
      </c>
      <c r="L255" s="193">
        <f ca="1">[1]!s_share_liqa(E255,$B$2,100000000)</f>
        <v>2.7721104699999999</v>
      </c>
      <c r="M255" s="186">
        <f ca="1">[1]!s_fa_gr_ttm2(E255,$C$3,100000000)</f>
        <v>10.8658339422</v>
      </c>
      <c r="N255" s="187">
        <f ca="1">[1]!s_fa_netprofit_ttm2(E255,$C$3,100000000)</f>
        <v>2.1753837820999999</v>
      </c>
      <c r="O255" s="186"/>
      <c r="P255" s="187">
        <f ca="1">[1]!s_val_pe_ttm(E255,[1]!td($B$2-1))</f>
        <v>25.171749114990234</v>
      </c>
      <c r="Q255" s="187">
        <f ca="1">[1]!i_val_pe_percentile(E255,[1]!td($B$2-1),$B$2-365*5,[1]!td($B$2-1))</f>
        <v>47.368421052631575</v>
      </c>
      <c r="R255" s="187">
        <f ca="1">[1]!pb_mrq(E255,[1]!td($B$2-1))</f>
        <v>3.2710219602901422</v>
      </c>
      <c r="S255" s="187">
        <f ca="1">[1]!i_val_pb_percentile(E255,[1]!td($B$2-1),$B$2-365*5,[1]!td($B$2-1))</f>
        <v>2.2478070175438596</v>
      </c>
      <c r="T255" s="187">
        <f ca="1">[1]!s_val_pe_ttm([1]!to_windcode_index(H255&amp;"(申万)"),[1]!td($B$2-1))</f>
        <v>26.709999084472656</v>
      </c>
      <c r="U255" s="186"/>
      <c r="V255" s="186">
        <f ca="1">[1]!s_fa_roe(E255,$C$3)</f>
        <v>16.377199999999998</v>
      </c>
      <c r="W255" s="186">
        <f ca="1">[1]!s_fa_grossprofitmargin(E255,$C$3)</f>
        <v>47.730200000000004</v>
      </c>
      <c r="X255" s="186">
        <f ca="1">[1]!s_fa_netprofitmargin(E255,$C$3)</f>
        <v>22.787400000000002</v>
      </c>
      <c r="Y255" s="186">
        <f ca="1">[1]!s_fa_roic(E255,$C$3)</f>
        <v>14.0069</v>
      </c>
      <c r="Z255" s="186">
        <f ca="1">[1]!s_fa_operateincometoebt_ttm2(E255,$C$3)</f>
        <v>96.659000000000006</v>
      </c>
      <c r="AA255" s="186"/>
      <c r="AB255" s="342"/>
      <c r="AC255" s="186">
        <f ca="1">[1]!s_fa_cagr_tr($E255,AC$6,3)</f>
        <v>0</v>
      </c>
      <c r="AD255" s="186">
        <f ca="1">[1]!s_fa_cagr_tr($E255,AD$6,3)</f>
        <v>16.306891459585728</v>
      </c>
      <c r="AE255" s="187">
        <f ca="1">[1]!s_fa_cagr_tr($E255,AE$6,3)</f>
        <v>18.195588541410991</v>
      </c>
      <c r="AF255" s="187">
        <f ca="1">[1]!s_fa_cagr_tr($E255,AF$6,3)</f>
        <v>12.67278299011938</v>
      </c>
      <c r="AG255" s="187">
        <f ca="1">[1]!s_fa_cagr_tr($E255,AG$6,3)</f>
        <v>8.1107004667935634</v>
      </c>
      <c r="AH255" s="187">
        <f ca="1">[1]!s_fa_cagr_tr($E255,AH$6,3)</f>
        <v>0.65097038899237791</v>
      </c>
      <c r="AI255" s="194"/>
      <c r="AJ255" s="187">
        <f ca="1">[1]!s_fa_cagr_netprofit($E255,AJ$6,3)</f>
        <v>0</v>
      </c>
      <c r="AK255" s="187">
        <f ca="1">[1]!s_fa_cagr_netprofit($E255,AK$6,3)</f>
        <v>-2.6707572579936945</v>
      </c>
      <c r="AL255" s="187">
        <f ca="1">[1]!s_fa_cagr_netprofit($E255,AL$6,3)</f>
        <v>13.040367394243834</v>
      </c>
      <c r="AM255" s="187">
        <f ca="1">[1]!s_fa_cagr_netprofit($E255,AM$6,3)</f>
        <v>20.578224043184523</v>
      </c>
      <c r="AN255" s="187">
        <f ca="1">[1]!s_fa_cagr_netprofit($E255,AN$6,3)</f>
        <v>14.454384011542976</v>
      </c>
      <c r="AO255" s="187">
        <f ca="1">[1]!s_fa_cagr_netprofit($E255,AO$6,3)</f>
        <v>2.8372026632790037</v>
      </c>
      <c r="AP255" s="189"/>
      <c r="AQ255" s="202">
        <f ca="1">[1]!s_fa_dupont_roe(E255,$C$3)</f>
        <v>16.377199999999998</v>
      </c>
      <c r="AR255" s="202">
        <f ca="1">[1]!s_fa_dupont_nptosales(B255,$C$3)</f>
        <v>22.787400000000002</v>
      </c>
      <c r="AS255" s="237">
        <f ca="1">[1]!s_fa_dupont_faturnover(E255,$C$3)</f>
        <v>0.56599999999999995</v>
      </c>
      <c r="AT255" s="202">
        <f ca="1">[1]!s_fa_dupont_assetstoequity(E255,$C$3)</f>
        <v>1.2698</v>
      </c>
      <c r="AU255" s="189"/>
      <c r="AV255" s="201"/>
      <c r="AW255" s="189"/>
      <c r="AX255" s="189"/>
      <c r="AY255" s="189"/>
      <c r="AZ255" s="189"/>
      <c r="BA255" s="189"/>
      <c r="BB255" s="189"/>
      <c r="BC255" s="189"/>
      <c r="BD255" s="189"/>
      <c r="BE255" s="189"/>
    </row>
    <row r="256" spans="1:57" s="130" customFormat="1" ht="12" customHeight="1" x14ac:dyDescent="0.35">
      <c r="A256" s="121" t="s">
        <v>5</v>
      </c>
      <c r="B256" s="121" t="s">
        <v>330</v>
      </c>
      <c r="C256" s="121" t="s">
        <v>331</v>
      </c>
      <c r="D256" s="121" t="str">
        <f ca="1">[1]!cb_info_underlyingname(B256)</f>
        <v>司尔特</v>
      </c>
      <c r="E256" s="122" t="str">
        <f ca="1">[1]!cb_info_underlyingcode(B256)</f>
        <v>002538.SZ</v>
      </c>
      <c r="F256" s="123" t="str">
        <f ca="1">[1]!s_info_industry_sw(B256,1)</f>
        <v>化工</v>
      </c>
      <c r="G256" s="123" t="str">
        <f ca="1">[1]!s_info_industry_sw(E256,2)</f>
        <v>化学制品</v>
      </c>
      <c r="H256" s="123" t="str">
        <f ca="1">[1]!s_info_industry_sw(E256,3)</f>
        <v>复合肥</v>
      </c>
      <c r="I256" s="156" t="str">
        <f ca="1">[1]!s_info_majorproducttype(E256)</f>
        <v>复合(混)肥</v>
      </c>
      <c r="J256" s="129">
        <f ca="1">[1]!s_val_ev(E256,$B$2,100000000)</f>
        <v>91.501177793600007</v>
      </c>
      <c r="K256" s="157">
        <f ca="1">[1]!s_share_total(E256,$B$2,100000000)</f>
        <v>8.5355576299999996</v>
      </c>
      <c r="L256" s="157">
        <f ca="1">[1]!s_share_liqa(E256,$B$2,100000000)</f>
        <v>8.3395848800000003</v>
      </c>
      <c r="M256" s="125">
        <f ca="1">[1]!s_fa_gr_ttm2(E256,$C$3,100000000)</f>
        <v>39.6913994481</v>
      </c>
      <c r="N256" s="126">
        <f ca="1">[1]!s_fa_netprofit_ttm2(E256,$C$3,100000000)</f>
        <v>2.3874870345999999</v>
      </c>
      <c r="O256" s="125"/>
      <c r="P256" s="126">
        <f ca="1">[1]!s_val_pe_ttm(E256,[1]!td($B$2-1))</f>
        <v>22.142923355102539</v>
      </c>
      <c r="Q256" s="126">
        <f ca="1">[1]!i_val_pe_percentile(E256,[1]!td($B$2-1),$B$2-365*5,[1]!td($B$2-1))</f>
        <v>65.076754385964904</v>
      </c>
      <c r="R256" s="126">
        <f ca="1">[1]!pb_mrq(E256,[1]!td($B$2-1))</f>
        <v>2.2789634708286668</v>
      </c>
      <c r="S256" s="126">
        <f ca="1">[1]!i_val_pb_percentile(E256,[1]!td($B$2-1),$B$2-365*5,[1]!td($B$2-1))</f>
        <v>72.69736842105263</v>
      </c>
      <c r="T256" s="126">
        <f ca="1">[1]!s_val_pe_ttm([1]!to_windcode_index(H256&amp;"(申万)"),[1]!td($B$2-1))</f>
        <v>23.159999847412109</v>
      </c>
      <c r="U256" s="126"/>
      <c r="V256" s="126">
        <f ca="1">[1]!s_fa_roe(E256,$C$3)</f>
        <v>5.1467000000000001</v>
      </c>
      <c r="W256" s="126">
        <f ca="1">[1]!s_fa_grossprofitmargin(E256,$C$3)</f>
        <v>17.650099999999998</v>
      </c>
      <c r="X256" s="126">
        <f ca="1">[1]!s_fa_netprofitmargin(E256,$C$3)</f>
        <v>6.1341999999999999</v>
      </c>
      <c r="Y256" s="126">
        <f ca="1">[1]!s_fa_roic(E256,$C$3)</f>
        <v>4.4730999999999996</v>
      </c>
      <c r="Z256" s="126">
        <f ca="1">[1]!s_fa_operateincometoebt_ttm2(E256,$C$3)</f>
        <v>98.601500000000001</v>
      </c>
      <c r="AA256" s="125"/>
      <c r="AB256" s="343"/>
      <c r="AC256" s="125">
        <f ca="1">[1]!s_fa_cagr_tr($E256,AC$6,3)</f>
        <v>0</v>
      </c>
      <c r="AD256" s="125">
        <f ca="1">[1]!s_fa_cagr_tr($E256,AD$6,3)</f>
        <v>13.361906499815923</v>
      </c>
      <c r="AE256" s="126">
        <f ca="1">[1]!s_fa_cagr_tr($E256,AE$6,3)</f>
        <v>2.2872881241435605</v>
      </c>
      <c r="AF256" s="126">
        <f ca="1">[1]!s_fa_cagr_tr($E256,AF$6,3)</f>
        <v>1.6858248677023679</v>
      </c>
      <c r="AG256" s="126">
        <f ca="1">[1]!s_fa_cagr_tr($E256,AG$6,3)</f>
        <v>3.0504493269639443</v>
      </c>
      <c r="AH256" s="126">
        <f ca="1">[1]!s_fa_cagr_tr($E256,AH$6,3)</f>
        <v>8.2138184072673592</v>
      </c>
      <c r="AI256" s="169"/>
      <c r="AJ256" s="126">
        <f ca="1">[1]!s_fa_cagr_netprofit($E256,AJ$6,3)</f>
        <v>0</v>
      </c>
      <c r="AK256" s="126">
        <f ca="1">[1]!s_fa_cagr_netprofit($E256,AK$6,3)</f>
        <v>11.451856798919247</v>
      </c>
      <c r="AL256" s="126">
        <f ca="1">[1]!s_fa_cagr_netprofit($E256,AL$6,3)</f>
        <v>-0.80352356159986149</v>
      </c>
      <c r="AM256" s="126">
        <f ca="1">[1]!s_fa_cagr_netprofit($E256,AM$6,3)</f>
        <v>6.7554997458909583</v>
      </c>
      <c r="AN256" s="126">
        <f ca="1">[1]!s_fa_cagr_netprofit($E256,AN$6,3)</f>
        <v>13.914138786378661</v>
      </c>
      <c r="AO256" s="126">
        <f ca="1">[1]!s_fa_cagr_netprofit($E256,AO$6,3)</f>
        <v>29.781352688320673</v>
      </c>
      <c r="AP256" s="129"/>
      <c r="AQ256" s="203">
        <f ca="1">[1]!s_fa_dupont_roe(E256,$C$3)</f>
        <v>5.1467000000000001</v>
      </c>
      <c r="AR256" s="203">
        <f ca="1">[1]!s_fa_dupont_nptosales(B256,$C$3)</f>
        <v>6.1341999999999999</v>
      </c>
      <c r="AS256" s="238">
        <f ca="1">[1]!s_fa_dupont_faturnover(E256,$C$3)</f>
        <v>0.57450000000000001</v>
      </c>
      <c r="AT256" s="203">
        <f ca="1">[1]!s_fa_dupont_assetstoequity(E256,$C$3)</f>
        <v>1.4737</v>
      </c>
      <c r="AU256" s="129"/>
      <c r="AV256" s="129"/>
      <c r="AW256" s="129"/>
      <c r="AX256" s="129"/>
      <c r="AY256" s="129"/>
      <c r="AZ256" s="129"/>
      <c r="BA256" s="129"/>
      <c r="BB256" s="129"/>
      <c r="BC256" s="129"/>
      <c r="BD256" s="129"/>
      <c r="BE256" s="129"/>
    </row>
    <row r="257" spans="1:57" s="191" customFormat="1" ht="12" customHeight="1" x14ac:dyDescent="0.35">
      <c r="A257" s="182" t="s">
        <v>5</v>
      </c>
      <c r="B257" s="182" t="s">
        <v>427</v>
      </c>
      <c r="C257" s="182" t="s">
        <v>428</v>
      </c>
      <c r="D257" s="182" t="str">
        <f ca="1">[1]!cb_info_underlyingname(B257)</f>
        <v>三力士</v>
      </c>
      <c r="E257" s="183" t="str">
        <f ca="1">[1]!cb_info_underlyingcode(B257)</f>
        <v>002224.SZ</v>
      </c>
      <c r="F257" s="184" t="str">
        <f ca="1">[1]!s_info_industry_sw(B257,1)</f>
        <v>化工</v>
      </c>
      <c r="G257" s="184" t="str">
        <f ca="1">[1]!s_info_industry_sw(E257,2)</f>
        <v>橡胶</v>
      </c>
      <c r="H257" s="184" t="str">
        <f ca="1">[1]!s_info_industry_sw(E257,3)</f>
        <v>其他橡胶制品</v>
      </c>
      <c r="I257" s="192" t="str">
        <f ca="1">[1]!s_info_majorproducttype(E257)</f>
        <v>高分子聚合物</v>
      </c>
      <c r="J257" s="189">
        <f ca="1">[1]!s_val_ev(E257,$B$2,100000000)</f>
        <v>37.645823764799999</v>
      </c>
      <c r="K257" s="193">
        <f ca="1">[1]!s_share_total(E257,$B$2,100000000)</f>
        <v>7.2957022800000013</v>
      </c>
      <c r="L257" s="193">
        <f ca="1">[1]!s_share_liqa(E257,$B$2,100000000)</f>
        <v>5.4258064800000003</v>
      </c>
      <c r="M257" s="186">
        <f ca="1">[1]!s_fa_gr_ttm2(E257,$C$3,100000000)</f>
        <v>8.5581858842000003</v>
      </c>
      <c r="N257" s="187">
        <f ca="1">[1]!s_fa_netprofit_ttm2(E257,$C$3,100000000)</f>
        <v>1.5583415882</v>
      </c>
      <c r="O257" s="186"/>
      <c r="P257" s="187">
        <f ca="1">[1]!s_val_pe_ttm(E257,[1]!td($B$2-1))</f>
        <v>23.742477416992188</v>
      </c>
      <c r="Q257" s="187">
        <f ca="1">[1]!i_val_pe_percentile(E257,[1]!td($B$2-1),$B$2-365*5,[1]!td($B$2-1))</f>
        <v>5.7565789473684212</v>
      </c>
      <c r="R257" s="187">
        <f ca="1">[1]!pb_mrq(E257,[1]!td($B$2-1))</f>
        <v>1.6019487436658442</v>
      </c>
      <c r="S257" s="187">
        <f ca="1">[1]!i_val_pb_percentile(E257,[1]!td($B$2-1),$B$2-365*5,[1]!td($B$2-1))</f>
        <v>4.9342105263157894</v>
      </c>
      <c r="T257" s="187">
        <f ca="1">[1]!s_val_pe_ttm([1]!to_windcode_index(H257&amp;"(申万)"),[1]!td($B$2-1))</f>
        <v>42.819999694824219</v>
      </c>
      <c r="U257" s="186"/>
      <c r="V257" s="186">
        <f ca="1">[1]!s_fa_roe(E257,$C$3)</f>
        <v>5.3775000000000004</v>
      </c>
      <c r="W257" s="186">
        <f ca="1">[1]!s_fa_grossprofitmargin(E257,$C$3)</f>
        <v>38.4649</v>
      </c>
      <c r="X257" s="186">
        <f ca="1">[1]!s_fa_netprofitmargin(E257,$C$3)</f>
        <v>20.158999999999999</v>
      </c>
      <c r="Y257" s="186">
        <f ca="1">[1]!s_fa_roic(E257,$C$3)</f>
        <v>4.5712999999999999</v>
      </c>
      <c r="Z257" s="186">
        <f ca="1">[1]!s_fa_operateincometoebt_ttm2(E257,$C$3)</f>
        <v>89.129000000000005</v>
      </c>
      <c r="AA257" s="186"/>
      <c r="AB257" s="342"/>
      <c r="AC257" s="186">
        <f ca="1">[1]!s_fa_cagr_tr($E257,AC$6,3)</f>
        <v>0</v>
      </c>
      <c r="AD257" s="186">
        <f ca="1">[1]!s_fa_cagr_tr($E257,AD$6,3)</f>
        <v>-5.7728447061644594E-2</v>
      </c>
      <c r="AE257" s="187">
        <f ca="1">[1]!s_fa_cagr_tr($E257,AE$6,3)</f>
        <v>4.226185727843812</v>
      </c>
      <c r="AF257" s="187">
        <f ca="1">[1]!s_fa_cagr_tr($E257,AF$6,3)</f>
        <v>-0.4322096097029493</v>
      </c>
      <c r="AG257" s="187">
        <f ca="1">[1]!s_fa_cagr_tr($E257,AG$6,3)</f>
        <v>-2.3815481423542173</v>
      </c>
      <c r="AH257" s="187">
        <f ca="1">[1]!s_fa_cagr_tr($E257,AH$6,3)</f>
        <v>-4.0014159433300112</v>
      </c>
      <c r="AI257" s="194"/>
      <c r="AJ257" s="187">
        <f ca="1">[1]!s_fa_cagr_netprofit($E257,AJ$6,3)</f>
        <v>0</v>
      </c>
      <c r="AK257" s="187">
        <f ca="1">[1]!s_fa_cagr_netprofit($E257,AK$6,3)</f>
        <v>1.7345923875035085</v>
      </c>
      <c r="AL257" s="187">
        <f ca="1">[1]!s_fa_cagr_netprofit($E257,AL$6,3)</f>
        <v>-16.538943337678369</v>
      </c>
      <c r="AM257" s="187">
        <f ca="1">[1]!s_fa_cagr_netprofit($E257,AM$6,3)</f>
        <v>-30.599055187991432</v>
      </c>
      <c r="AN257" s="187">
        <f ca="1">[1]!s_fa_cagr_netprofit($E257,AN$6,3)</f>
        <v>-6.6160510566620756</v>
      </c>
      <c r="AO257" s="187">
        <f ca="1">[1]!s_fa_cagr_netprofit($E257,AO$6,3)</f>
        <v>15.211862559466493</v>
      </c>
      <c r="AP257" s="189"/>
      <c r="AQ257" s="202">
        <f ca="1">[1]!s_fa_dupont_roe(E257,$C$3)</f>
        <v>5.3775000000000004</v>
      </c>
      <c r="AR257" s="202">
        <f ca="1">[1]!s_fa_dupont_nptosales(B257,$C$3)</f>
        <v>20.158999999999999</v>
      </c>
      <c r="AS257" s="237">
        <f ca="1">[1]!s_fa_dupont_faturnover(E257,$C$3)</f>
        <v>0.21579999999999999</v>
      </c>
      <c r="AT257" s="202">
        <f ca="1">[1]!s_fa_dupont_assetstoequity(E257,$C$3)</f>
        <v>1.2169000000000001</v>
      </c>
      <c r="AU257" s="189"/>
      <c r="AV257" s="189"/>
      <c r="AW257" s="189"/>
      <c r="AX257" s="189"/>
      <c r="AY257" s="189"/>
      <c r="AZ257" s="189"/>
      <c r="BA257" s="189"/>
      <c r="BB257" s="189"/>
      <c r="BC257" s="189"/>
      <c r="BD257" s="189"/>
      <c r="BE257" s="189"/>
    </row>
    <row r="258" spans="1:57" s="130" customFormat="1" ht="12" customHeight="1" x14ac:dyDescent="0.35">
      <c r="A258" s="121" t="s">
        <v>5</v>
      </c>
      <c r="B258" s="121" t="s">
        <v>519</v>
      </c>
      <c r="C258" s="121" t="s">
        <v>520</v>
      </c>
      <c r="D258" s="121" t="str">
        <f ca="1">[1]!cb_info_underlyingname(B258)</f>
        <v>ST辉丰</v>
      </c>
      <c r="E258" s="122" t="str">
        <f ca="1">[1]!cb_info_underlyingcode(B258)</f>
        <v>002496.SZ</v>
      </c>
      <c r="F258" s="123" t="str">
        <f ca="1">[1]!s_info_industry_sw(B258,1)</f>
        <v>化工</v>
      </c>
      <c r="G258" s="123" t="str">
        <f ca="1">[1]!s_info_industry_sw(E258,2)</f>
        <v>化学制品</v>
      </c>
      <c r="H258" s="123" t="str">
        <f ca="1">[1]!s_info_industry_sw(E258,3)</f>
        <v>农药</v>
      </c>
      <c r="I258" s="156" t="str">
        <f ca="1">[1]!s_info_majorproducttype(E258)</f>
        <v>高分子聚合物、有机化学农药</v>
      </c>
      <c r="J258" s="129">
        <f ca="1">[1]!s_val_ev(E258,$B$2,100000000)</f>
        <v>44.775413406900007</v>
      </c>
      <c r="K258" s="157">
        <f ca="1">[1]!s_share_total(E258,$B$2,100000000)</f>
        <v>15.07589677</v>
      </c>
      <c r="L258" s="157">
        <f ca="1">[1]!s_share_liqa(E258,$B$2,100000000)</f>
        <v>10.24048144</v>
      </c>
      <c r="M258" s="125">
        <f ca="1">[1]!s_fa_gr_ttm2(E258,$C$3,100000000)</f>
        <v>14.625751989300001</v>
      </c>
      <c r="N258" s="126">
        <f ca="1">[1]!s_fa_netprofit_ttm2(E258,$C$3,100000000)</f>
        <v>-1.6603175954</v>
      </c>
      <c r="O258" s="125"/>
      <c r="P258" s="126">
        <f ca="1">[1]!s_val_pe_ttm(E258,[1]!td($B$2-1))</f>
        <v>14.772738456726074</v>
      </c>
      <c r="Q258" s="126">
        <f ca="1">[1]!i_val_pe_percentile(E258,[1]!td($B$2-1),$B$2-365*5,[1]!td($B$2-1))</f>
        <v>23.848878394332939</v>
      </c>
      <c r="R258" s="126">
        <f ca="1">[1]!pb_mrq(E258,[1]!td($B$2-1))</f>
        <v>1.6052554659462124</v>
      </c>
      <c r="S258" s="126">
        <f ca="1">[1]!i_val_pb_percentile(E258,[1]!td($B$2-1),$B$2-365*5,[1]!td($B$2-1))</f>
        <v>53.344298245614027</v>
      </c>
      <c r="T258" s="126">
        <f ca="1">[1]!s_val_pe_ttm([1]!to_windcode_index(H258&amp;"(申万)"),[1]!td($B$2-1))</f>
        <v>26.709999084472656</v>
      </c>
      <c r="U258" s="126"/>
      <c r="V258" s="126">
        <f ca="1">[1]!s_fa_roe(E258,$C$3)</f>
        <v>5.3390000000000004</v>
      </c>
      <c r="W258" s="126">
        <f ca="1">[1]!s_fa_grossprofitmargin(E258,$C$3)</f>
        <v>28.752800000000001</v>
      </c>
      <c r="X258" s="126">
        <f ca="1">[1]!s_fa_netprofitmargin(E258,$C$3)</f>
        <v>8.2802000000000007</v>
      </c>
      <c r="Y258" s="126">
        <f ca="1">[1]!s_fa_roic(E258,$C$3)</f>
        <v>3.2610000000000001</v>
      </c>
      <c r="Z258" s="126">
        <f ca="1">[1]!s_fa_operateincometoebt_ttm2(E258,$C$3)</f>
        <v>0</v>
      </c>
      <c r="AA258" s="125"/>
      <c r="AB258" s="343"/>
      <c r="AC258" s="125">
        <f ca="1">[1]!s_fa_cagr_tr($E258,AC$6,3)</f>
        <v>0</v>
      </c>
      <c r="AD258" s="125">
        <f ca="1">[1]!s_fa_cagr_tr($E258,AD$6,3)</f>
        <v>-25.380649167531388</v>
      </c>
      <c r="AE258" s="126">
        <f ca="1">[1]!s_fa_cagr_tr($E258,AE$6,3)</f>
        <v>-40.562322942359053</v>
      </c>
      <c r="AF258" s="126">
        <f ca="1">[1]!s_fa_cagr_tr($E258,AF$6,3)</f>
        <v>-8.910605092170055</v>
      </c>
      <c r="AG258" s="126">
        <f ca="1">[1]!s_fa_cagr_tr($E258,AG$6,3)</f>
        <v>17.609572759637015</v>
      </c>
      <c r="AH258" s="126">
        <f ca="1">[1]!s_fa_cagr_tr($E258,AH$6,3)</f>
        <v>40.945925776645929</v>
      </c>
      <c r="AI258" s="169"/>
      <c r="AJ258" s="126">
        <f ca="1">[1]!s_fa_cagr_netprofit($E258,AJ$6,3)</f>
        <v>0</v>
      </c>
      <c r="AK258" s="126">
        <f ca="1">[1]!s_fa_cagr_netprofit($E258,AK$6,3)</f>
        <v>-189.29445118943781</v>
      </c>
      <c r="AL258" s="126">
        <f ca="1">[1]!s_fa_cagr_netprofit($E258,AL$6,3)</f>
        <v>-245.82180827496117</v>
      </c>
      <c r="AM258" s="126">
        <f ca="1">[1]!s_fa_cagr_netprofit($E258,AM$6,3)</f>
        <v>-254.52786886753094</v>
      </c>
      <c r="AN258" s="126">
        <f ca="1">[1]!s_fa_cagr_netprofit($E258,AN$6,3)</f>
        <v>32.010602352291805</v>
      </c>
      <c r="AO258" s="126">
        <f ca="1">[1]!s_fa_cagr_netprofit($E258,AO$6,3)</f>
        <v>3.8441581957138427</v>
      </c>
      <c r="AP258" s="129"/>
      <c r="AQ258" s="203">
        <f ca="1">[1]!s_fa_dupont_roe(E258,$C$3)</f>
        <v>5.3390000000000004</v>
      </c>
      <c r="AR258" s="203">
        <f ca="1">[1]!s_fa_dupont_nptosales(B258,$C$3)</f>
        <v>8.2802000000000007</v>
      </c>
      <c r="AS258" s="238">
        <f ca="1">[1]!s_fa_dupont_faturnover(E258,$C$3)</f>
        <v>0.23100000000000001</v>
      </c>
      <c r="AT258" s="203">
        <f ca="1">[1]!s_fa_dupont_assetstoequity(E258,$C$3)</f>
        <v>1.9073</v>
      </c>
      <c r="AU258" s="129"/>
      <c r="AV258" s="129"/>
      <c r="AW258" s="129"/>
      <c r="AX258" s="129"/>
      <c r="AY258" s="129"/>
      <c r="AZ258" s="129"/>
      <c r="BA258" s="129"/>
      <c r="BB258" s="129"/>
      <c r="BC258" s="129"/>
      <c r="BD258" s="129"/>
      <c r="BE258" s="129"/>
    </row>
    <row r="259" spans="1:57" s="191" customFormat="1" ht="12" customHeight="1" x14ac:dyDescent="0.35">
      <c r="A259" s="182" t="s">
        <v>0</v>
      </c>
      <c r="B259" s="182" t="s">
        <v>569</v>
      </c>
      <c r="C259" s="182" t="s">
        <v>570</v>
      </c>
      <c r="D259" s="182" t="str">
        <f ca="1">[1]!cb_info_underlyingname(B259)</f>
        <v>永冠新材</v>
      </c>
      <c r="E259" s="183" t="str">
        <f ca="1">[1]!cb_info_underlyingcode(B259)</f>
        <v>603681.SH</v>
      </c>
      <c r="F259" s="184" t="str">
        <f ca="1">[1]!s_info_industry_sw(B259,1)</f>
        <v>化工</v>
      </c>
      <c r="G259" s="184" t="str">
        <f ca="1">[1]!s_info_industry_sw(E259,2)</f>
        <v>化学制品</v>
      </c>
      <c r="H259" s="184" t="str">
        <f ca="1">[1]!s_info_industry_sw(E259,3)</f>
        <v>其他化学制品</v>
      </c>
      <c r="I259" s="192" t="str">
        <f ca="1">[1]!s_info_majorproducttype(E259)</f>
        <v>其他化学品、塑胶机械</v>
      </c>
      <c r="J259" s="189">
        <f ca="1">[1]!s_val_ev(E259,$B$2,100000000)</f>
        <v>65.765854794999996</v>
      </c>
      <c r="K259" s="193">
        <f ca="1">[1]!s_share_total(E259,$B$2,100000000)</f>
        <v>1.8525592900000001</v>
      </c>
      <c r="L259" s="193">
        <f ca="1">[1]!s_share_liqa(E259,$B$2,100000000)</f>
        <v>0.80321509000000002</v>
      </c>
      <c r="M259" s="186">
        <f ca="1">[1]!s_fa_gr_ttm2(E259,$C$3,100000000)</f>
        <v>23.7661911611</v>
      </c>
      <c r="N259" s="187">
        <f ca="1">[1]!s_fa_netprofit_ttm2(E259,$C$3,100000000)</f>
        <v>1.7925548094999999</v>
      </c>
      <c r="O259" s="186"/>
      <c r="P259" s="187">
        <f ca="1">[1]!s_val_pe_ttm(E259,[1]!td($B$2-1))</f>
        <v>27.676475524902344</v>
      </c>
      <c r="Q259" s="187">
        <f ca="1">[1]!i_val_pe_percentile(E259,[1]!td($B$2-1),$B$2-365*5,[1]!td($B$2-1))</f>
        <v>67.1875</v>
      </c>
      <c r="R259" s="187">
        <f ca="1">[1]!pb_mrq(E259,[1]!td($B$2-1))</f>
        <v>4.0835468605583047</v>
      </c>
      <c r="S259" s="187">
        <f ca="1">[1]!i_val_pb_percentile(E259,[1]!td($B$2-1),$B$2-365*5,[1]!td($B$2-1))</f>
        <v>83.258928571428569</v>
      </c>
      <c r="T259" s="187">
        <f ca="1">[1]!s_val_pe_ttm([1]!to_windcode_index(H259&amp;"(申万)"),[1]!td($B$2-1))</f>
        <v>46.459999084472656</v>
      </c>
      <c r="U259" s="187"/>
      <c r="V259" s="187">
        <f ca="1">[1]!s_fa_roe(E259,$C$3)</f>
        <v>9.7501999999999995</v>
      </c>
      <c r="W259" s="187">
        <f ca="1">[1]!s_fa_grossprofitmargin(E259,$C$3)</f>
        <v>17.488800000000001</v>
      </c>
      <c r="X259" s="187">
        <f ca="1">[1]!s_fa_netprofitmargin(E259,$C$3)</f>
        <v>7.9813999999999998</v>
      </c>
      <c r="Y259" s="187">
        <f ca="1">[1]!s_fa_roic(E259,$C$3)</f>
        <v>7.5716000000000001</v>
      </c>
      <c r="Z259" s="187">
        <f ca="1">[1]!s_fa_operateincometoebt_ttm2(E259,$C$3)</f>
        <v>76.003</v>
      </c>
      <c r="AA259" s="186"/>
      <c r="AB259" s="342"/>
      <c r="AC259" s="186">
        <f ca="1">[1]!s_fa_cagr_tr($E259,AC$6,3)</f>
        <v>0</v>
      </c>
      <c r="AD259" s="186">
        <f ca="1">[1]!s_fa_cagr_tr($E259,AD$6,3)</f>
        <v>19.625609511768594</v>
      </c>
      <c r="AE259" s="187">
        <f ca="1">[1]!s_fa_cagr_tr($E259,AE$6,3)</f>
        <v>29.263304111475886</v>
      </c>
      <c r="AF259" s="187">
        <f ca="1">[1]!s_fa_cagr_tr($E259,AF$6,3)</f>
        <v>34.441894017048313</v>
      </c>
      <c r="AG259" s="187">
        <f ca="1">[1]!s_fa_cagr_tr($E259,AG$6,3)</f>
        <v>29.138623018970499</v>
      </c>
      <c r="AH259" s="187">
        <f ca="1">[1]!s_fa_cagr_tr($E259,AH$6,3)</f>
        <v>19.722246684336486</v>
      </c>
      <c r="AI259" s="194"/>
      <c r="AJ259" s="187">
        <f ca="1">[1]!s_fa_cagr_netprofit($E259,AJ$6,3)</f>
        <v>0</v>
      </c>
      <c r="AK259" s="187">
        <f ca="1">[1]!s_fa_cagr_netprofit($E259,AK$6,3)</f>
        <v>29.111898064835827</v>
      </c>
      <c r="AL259" s="187">
        <f ca="1">[1]!s_fa_cagr_netprofit($E259,AL$6,3)</f>
        <v>15.665257907804598</v>
      </c>
      <c r="AM259" s="187">
        <f ca="1">[1]!s_fa_cagr_netprofit($E259,AM$6,3)</f>
        <v>25.892143111126686</v>
      </c>
      <c r="AN259" s="187">
        <f ca="1">[1]!s_fa_cagr_netprofit($E259,AN$6,3)</f>
        <v>23.05718663105236</v>
      </c>
      <c r="AO259" s="187">
        <f ca="1">[1]!s_fa_cagr_netprofit($E259,AO$6,3)</f>
        <v>24.087929712166268</v>
      </c>
      <c r="AP259" s="189"/>
      <c r="AQ259" s="202">
        <f ca="1">[1]!s_fa_dupont_roe(E259,$C$3)</f>
        <v>9.7501999999999995</v>
      </c>
      <c r="AR259" s="202">
        <f ca="1">[1]!s_fa_dupont_nptosales(B259,$C$3)</f>
        <v>7.9813999999999998</v>
      </c>
      <c r="AS259" s="237">
        <f ca="1">[1]!s_fa_dupont_faturnover(E259,$C$3)</f>
        <v>0.7621</v>
      </c>
      <c r="AT259" s="202">
        <f ca="1">[1]!s_fa_dupont_assetstoequity(E259,$C$3)</f>
        <v>1.6029</v>
      </c>
      <c r="AU259" s="189"/>
      <c r="AV259" s="201"/>
      <c r="AW259" s="189"/>
      <c r="AX259" s="189"/>
      <c r="AY259" s="189"/>
      <c r="AZ259" s="189"/>
      <c r="BA259" s="189"/>
      <c r="BB259" s="189"/>
      <c r="BC259" s="189"/>
      <c r="BD259" s="189"/>
      <c r="BE259" s="189"/>
    </row>
    <row r="260" spans="1:57" s="130" customFormat="1" ht="12" customHeight="1" x14ac:dyDescent="0.35">
      <c r="A260" s="121" t="s">
        <v>5</v>
      </c>
      <c r="B260" s="121" t="s">
        <v>104</v>
      </c>
      <c r="C260" s="121" t="s">
        <v>105</v>
      </c>
      <c r="D260" s="121" t="str">
        <f ca="1">[1]!cb_info_underlyingname(B260)</f>
        <v>美联新材</v>
      </c>
      <c r="E260" s="122" t="str">
        <f ca="1">[1]!cb_info_underlyingcode(B260)</f>
        <v>300586.SZ</v>
      </c>
      <c r="F260" s="123" t="str">
        <f ca="1">[1]!s_info_industry_sw(B260,1)</f>
        <v>化工</v>
      </c>
      <c r="G260" s="123" t="str">
        <f ca="1">[1]!s_info_industry_sw(E260,2)</f>
        <v>塑料</v>
      </c>
      <c r="H260" s="123" t="str">
        <f ca="1">[1]!s_info_industry_sw(E260,3)</f>
        <v>其他塑料制品</v>
      </c>
      <c r="I260" s="156" t="str">
        <f ca="1">[1]!s_info_majorproducttype(E260)</f>
        <v>有机化工原料</v>
      </c>
      <c r="J260" s="129">
        <f ca="1">[1]!s_val_ev(E260,$B$2,100000000)</f>
        <v>55.646560897000001</v>
      </c>
      <c r="K260" s="157">
        <f ca="1">[1]!s_share_total(E260,$B$2,100000000)</f>
        <v>5.2447277000000003</v>
      </c>
      <c r="L260" s="157">
        <f ca="1">[1]!s_share_liqa(E260,$B$2,100000000)</f>
        <v>2.8898772799999999</v>
      </c>
      <c r="M260" s="125">
        <f ca="1">[1]!s_fa_gr_ttm2(E260,$C$3,100000000)</f>
        <v>14.826899261400001</v>
      </c>
      <c r="N260" s="126">
        <f ca="1">[1]!s_fa_netprofit_ttm2(E260,$C$3,100000000)</f>
        <v>0.7226789669</v>
      </c>
      <c r="O260" s="125"/>
      <c r="P260" s="126">
        <f ca="1">[1]!s_val_pe_ttm(E260,[1]!td($B$2-1))</f>
        <v>479.5145263671875</v>
      </c>
      <c r="Q260" s="126">
        <f ca="1">[1]!i_val_pe_percentile(E260,[1]!td($B$2-1),$B$2-365*5,[1]!td($B$2-1))</f>
        <v>100</v>
      </c>
      <c r="R260" s="126">
        <f ca="1">[1]!pb_mrq(E260,[1]!td($B$2-1))</f>
        <v>4.6266978647528729</v>
      </c>
      <c r="S260" s="126">
        <f ca="1">[1]!i_val_pb_percentile(E260,[1]!td($B$2-1),$B$2-365*5,[1]!td($B$2-1))</f>
        <v>15.553602811950789</v>
      </c>
      <c r="T260" s="126">
        <f ca="1">[1]!s_val_pe_ttm([1]!to_windcode_index(H260&amp;"(申万)"),[1]!td($B$2-1))</f>
        <v>41.240001678466797</v>
      </c>
      <c r="U260" s="126"/>
      <c r="V260" s="126">
        <f ca="1">[1]!s_fa_roe(E260,$C$3)</f>
        <v>8.9427000000000003</v>
      </c>
      <c r="W260" s="126">
        <f ca="1">[1]!s_fa_grossprofitmargin(E260,$C$3)</f>
        <v>20.279699999999998</v>
      </c>
      <c r="X260" s="126">
        <f ca="1">[1]!s_fa_netprofitmargin(E260,$C$3)</f>
        <v>5.6073000000000004</v>
      </c>
      <c r="Y260" s="126">
        <f ca="1">[1]!s_fa_roic(E260,$C$3)</f>
        <v>5.1153000000000004</v>
      </c>
      <c r="Z260" s="126">
        <f ca="1">[1]!s_fa_operateincometoebt_ttm2(E260,$C$3)</f>
        <v>92.870400000000004</v>
      </c>
      <c r="AA260" s="125"/>
      <c r="AB260" s="343"/>
      <c r="AC260" s="125">
        <f ca="1">[1]!s_fa_cagr_tr($E260,AC$6,3)</f>
        <v>0</v>
      </c>
      <c r="AD260" s="125">
        <f ca="1">[1]!s_fa_cagr_tr($E260,AD$6,3)</f>
        <v>48.407851251089106</v>
      </c>
      <c r="AE260" s="126">
        <f ca="1">[1]!s_fa_cagr_tr($E260,AE$6,3)</f>
        <v>44.51513119512078</v>
      </c>
      <c r="AF260" s="126">
        <f ca="1">[1]!s_fa_cagr_tr($E260,AF$6,3)</f>
        <v>18.983719192645012</v>
      </c>
      <c r="AG260" s="126">
        <f ca="1">[1]!s_fa_cagr_tr($E260,AG$6,3)</f>
        <v>12.647240302671058</v>
      </c>
      <c r="AH260" s="126">
        <f ca="1">[1]!s_fa_cagr_tr($E260,AH$6,3)</f>
        <v>10.587031279911162</v>
      </c>
      <c r="AI260" s="169"/>
      <c r="AJ260" s="126">
        <f ca="1">[1]!s_fa_cagr_netprofit($E260,AJ$6,3)</f>
        <v>0</v>
      </c>
      <c r="AK260" s="126">
        <f ca="1">[1]!s_fa_cagr_netprofit($E260,AK$6,3)</f>
        <v>-8.4178604522735068</v>
      </c>
      <c r="AL260" s="126">
        <f ca="1">[1]!s_fa_cagr_netprofit($E260,AL$6,3)</f>
        <v>23.95266956654347</v>
      </c>
      <c r="AM260" s="126">
        <f ca="1">[1]!s_fa_cagr_netprofit($E260,AM$6,3)</f>
        <v>15.417294981382557</v>
      </c>
      <c r="AN260" s="126">
        <f ca="1">[1]!s_fa_cagr_netprofit($E260,AN$6,3)</f>
        <v>12.735587457438236</v>
      </c>
      <c r="AO260" s="126">
        <f ca="1">[1]!s_fa_cagr_netprofit($E260,AO$6,3)</f>
        <v>11.434016430949455</v>
      </c>
      <c r="AP260" s="129"/>
      <c r="AQ260" s="203">
        <f ca="1">[1]!s_fa_dupont_roe(E260,$C$3)</f>
        <v>8.9427000000000003</v>
      </c>
      <c r="AR260" s="203">
        <f ca="1">[1]!s_fa_dupont_nptosales(B260,$C$3)</f>
        <v>5.6073000000000004</v>
      </c>
      <c r="AS260" s="238">
        <f ca="1">[1]!s_fa_dupont_faturnover(E260,$C$3)</f>
        <v>0.5907</v>
      </c>
      <c r="AT260" s="203">
        <f ca="1">[1]!s_fa_dupont_assetstoequity(E260,$C$3)</f>
        <v>2.5240999999999998</v>
      </c>
      <c r="AU260" s="129"/>
      <c r="AV260" s="129"/>
      <c r="AW260" s="129"/>
      <c r="AX260" s="129"/>
      <c r="AY260" s="129"/>
      <c r="AZ260" s="129"/>
      <c r="BA260" s="129"/>
      <c r="BB260" s="129"/>
      <c r="BC260" s="129"/>
      <c r="BD260" s="129"/>
      <c r="BE260" s="129"/>
    </row>
    <row r="261" spans="1:57" s="191" customFormat="1" ht="12" customHeight="1" x14ac:dyDescent="0.35">
      <c r="A261" s="182" t="s">
        <v>5</v>
      </c>
      <c r="B261" s="182" t="s">
        <v>925</v>
      </c>
      <c r="C261" s="182" t="s">
        <v>926</v>
      </c>
      <c r="D261" s="182" t="str">
        <f ca="1">[1]!cb_info_underlyingname(B261)</f>
        <v>正丹股份</v>
      </c>
      <c r="E261" s="183" t="str">
        <f ca="1">[1]!cb_info_underlyingcode(B261)</f>
        <v>300641.SZ</v>
      </c>
      <c r="F261" s="184" t="str">
        <f ca="1">[1]!s_info_industry_sw(B261,1)</f>
        <v>化工</v>
      </c>
      <c r="G261" s="184" t="str">
        <f ca="1">[1]!s_info_industry_sw(E261,2)</f>
        <v>化学制品</v>
      </c>
      <c r="H261" s="184" t="str">
        <f ca="1">[1]!s_info_industry_sw(E261,3)</f>
        <v>其他化学制品</v>
      </c>
      <c r="I261" s="192" t="str">
        <f ca="1">[1]!s_info_majorproducttype(E261)</f>
        <v>化学试剂</v>
      </c>
      <c r="J261" s="189">
        <f ca="1">[1]!s_val_ev(E261,$B$2,100000000)</f>
        <v>39.461760000000005</v>
      </c>
      <c r="K261" s="193">
        <f ca="1">[1]!s_share_total(E261,$B$2,100000000)</f>
        <v>4.8959999999999999</v>
      </c>
      <c r="L261" s="193">
        <f ca="1">[1]!s_share_liqa(E261,$B$2,100000000)</f>
        <v>4.8959999999999999</v>
      </c>
      <c r="M261" s="186">
        <f ca="1">[1]!s_fa_gr_ttm2(E261,$C$3,100000000)</f>
        <v>13.1066095549</v>
      </c>
      <c r="N261" s="187">
        <f ca="1">[1]!s_fa_netprofit_ttm2(E261,$C$3,100000000)</f>
        <v>0.30118813170000003</v>
      </c>
      <c r="O261" s="186"/>
      <c r="P261" s="187">
        <f ca="1">[1]!s_val_pe_ttm(E261,[1]!td($B$2-1))</f>
        <v>40.696697235107422</v>
      </c>
      <c r="Q261" s="187">
        <f ca="1">[1]!i_val_pe_percentile(E261,[1]!td($B$2-1),$B$2-365*5,[1]!td($B$2-1))</f>
        <v>31.503431066749844</v>
      </c>
      <c r="R261" s="187">
        <f ca="1">[1]!pb_mrq(E261,[1]!td($B$2-1))</f>
        <v>2.7971195692310342</v>
      </c>
      <c r="S261" s="187">
        <f ca="1">[1]!i_val_pb_percentile(E261,[1]!td($B$2-1),$B$2-365*5,[1]!td($B$2-1))</f>
        <v>70.617592014971933</v>
      </c>
      <c r="T261" s="187">
        <f ca="1">[1]!s_val_pe_ttm([1]!to_windcode_index(H261&amp;"(申万)"),[1]!td($B$2-1))</f>
        <v>46.459999084472656</v>
      </c>
      <c r="U261" s="186"/>
      <c r="V261" s="186">
        <f ca="1">[1]!s_fa_roe(E261,$C$3)</f>
        <v>1.8985000000000001</v>
      </c>
      <c r="W261" s="186">
        <f ca="1">[1]!s_fa_grossprofitmargin(E261,$C$3)</f>
        <v>10.561500000000001</v>
      </c>
      <c r="X261" s="186">
        <f ca="1">[1]!s_fa_netprofitmargin(E261,$C$3)</f>
        <v>2.7239</v>
      </c>
      <c r="Y261" s="186">
        <f ca="1">[1]!s_fa_roic(E261,$C$3)</f>
        <v>1.8956</v>
      </c>
      <c r="Z261" s="186">
        <f ca="1">[1]!s_fa_operateincometoebt_ttm2(E261,$C$3)</f>
        <v>61.987499999999997</v>
      </c>
      <c r="AA261" s="186"/>
      <c r="AB261" s="342"/>
      <c r="AC261" s="186">
        <f ca="1">[1]!s_fa_cagr_tr($E261,AC$6,3)</f>
        <v>0</v>
      </c>
      <c r="AD261" s="186">
        <f ca="1">[1]!s_fa_cagr_tr($E261,AD$6,3)</f>
        <v>4.0451161974886851</v>
      </c>
      <c r="AE261" s="187">
        <f ca="1">[1]!s_fa_cagr_tr($E261,AE$6,3)</f>
        <v>9.7725013510606686</v>
      </c>
      <c r="AF261" s="187">
        <f ca="1">[1]!s_fa_cagr_tr($E261,AF$6,3)</f>
        <v>3.1761167184596539</v>
      </c>
      <c r="AG261" s="187">
        <f ca="1">[1]!s_fa_cagr_tr($E261,AG$6,3)</f>
        <v>11.408039924297974</v>
      </c>
      <c r="AH261" s="187">
        <f ca="1">[1]!s_fa_cagr_tr($E261,AH$6,3)</f>
        <v>16.02707726378614</v>
      </c>
      <c r="AI261" s="194"/>
      <c r="AJ261" s="187">
        <f ca="1">[1]!s_fa_cagr_netprofit($E261,AJ$6,3)</f>
        <v>0</v>
      </c>
      <c r="AK261" s="187">
        <f ca="1">[1]!s_fa_cagr_netprofit($E261,AK$6,3)</f>
        <v>-26.448890248285593</v>
      </c>
      <c r="AL261" s="187">
        <f ca="1">[1]!s_fa_cagr_netprofit($E261,AL$6,3)</f>
        <v>-32.994797682256937</v>
      </c>
      <c r="AM261" s="187">
        <f ca="1">[1]!s_fa_cagr_netprofit($E261,AM$6,3)</f>
        <v>-24.102540045533573</v>
      </c>
      <c r="AN261" s="187">
        <f ca="1">[1]!s_fa_cagr_netprofit($E261,AN$6,3)</f>
        <v>27.477580442991535</v>
      </c>
      <c r="AO261" s="187">
        <f ca="1">[1]!s_fa_cagr_netprofit($E261,AO$6,3)</f>
        <v>91.851720369737137</v>
      </c>
      <c r="AP261" s="189"/>
      <c r="AQ261" s="202">
        <f ca="1">[1]!s_fa_dupont_roe(E261,$C$3)</f>
        <v>1.8985000000000001</v>
      </c>
      <c r="AR261" s="202">
        <f ca="1">[1]!s_fa_dupont_nptosales(B261,$C$3)</f>
        <v>2.7239</v>
      </c>
      <c r="AS261" s="237">
        <f ca="1">[1]!s_fa_dupont_faturnover(E261,$C$3)</f>
        <v>0.56399999999999995</v>
      </c>
      <c r="AT261" s="202">
        <f ca="1">[1]!s_fa_dupont_assetstoequity(E261,$C$3)</f>
        <v>1.2359</v>
      </c>
      <c r="AU261" s="189"/>
      <c r="AV261" s="189"/>
      <c r="AW261" s="189"/>
      <c r="AX261" s="189"/>
      <c r="AY261" s="189"/>
      <c r="AZ261" s="189"/>
      <c r="BA261" s="189"/>
      <c r="BB261" s="189"/>
      <c r="BC261" s="189"/>
      <c r="BD261" s="189"/>
      <c r="BE261" s="189"/>
    </row>
    <row r="262" spans="1:57" s="130" customFormat="1" ht="12" customHeight="1" x14ac:dyDescent="0.35">
      <c r="A262" s="121" t="s">
        <v>5</v>
      </c>
      <c r="B262" s="121" t="s">
        <v>374</v>
      </c>
      <c r="C262" s="121" t="s">
        <v>375</v>
      </c>
      <c r="D262" s="121" t="str">
        <f ca="1">[1]!cb_info_underlyingname(B262)</f>
        <v>凯龙股份</v>
      </c>
      <c r="E262" s="122" t="str">
        <f ca="1">[1]!cb_info_underlyingcode(B262)</f>
        <v>002783.SZ</v>
      </c>
      <c r="F262" s="123" t="str">
        <f ca="1">[1]!s_info_industry_sw(B262,1)</f>
        <v>化工</v>
      </c>
      <c r="G262" s="123" t="str">
        <f ca="1">[1]!s_info_industry_sw(E262,2)</f>
        <v>化学制品</v>
      </c>
      <c r="H262" s="123" t="str">
        <f ca="1">[1]!s_info_industry_sw(E262,3)</f>
        <v>民爆用品</v>
      </c>
      <c r="I262" s="156" t="str">
        <f ca="1">[1]!s_info_majorproducttype(E262)</f>
        <v>火工产品</v>
      </c>
      <c r="J262" s="129">
        <f ca="1">[1]!s_val_ev(E262,$B$2,100000000)</f>
        <v>39.623608669200003</v>
      </c>
      <c r="K262" s="157">
        <f ca="1">[1]!s_share_total(E262,$B$2,100000000)</f>
        <v>3.81730334</v>
      </c>
      <c r="L262" s="157">
        <f ca="1">[1]!s_share_liqa(E262,$B$2,100000000)</f>
        <v>3.2716857300000002</v>
      </c>
      <c r="M262" s="125">
        <f ca="1">[1]!s_fa_gr_ttm2(E262,$C$3,100000000)</f>
        <v>17.564913926099997</v>
      </c>
      <c r="N262" s="126">
        <f ca="1">[1]!s_fa_netprofit_ttm2(E262,$C$3,100000000)</f>
        <v>0.20220507769999999</v>
      </c>
      <c r="O262" s="125"/>
      <c r="P262" s="126">
        <f ca="1">[1]!s_val_pe_ttm(E262,[1]!td($B$2-1))</f>
        <v>78.373306274414063</v>
      </c>
      <c r="Q262" s="126">
        <f ca="1">[1]!i_val_pe_percentile(E262,[1]!td($B$2-1),$B$2-365*5,[1]!td($B$2-1))</f>
        <v>76.151315789473685</v>
      </c>
      <c r="R262" s="126">
        <f ca="1">[1]!pb_mrq(E262,[1]!td($B$2-1))</f>
        <v>2.2882796419072213</v>
      </c>
      <c r="S262" s="126">
        <f ca="1">[1]!i_val_pb_percentile(E262,[1]!td($B$2-1),$B$2-365*5,[1]!td($B$2-1))</f>
        <v>37.006578947368425</v>
      </c>
      <c r="T262" s="126">
        <f ca="1">[1]!s_val_pe_ttm([1]!to_windcode_index(H262&amp;"(申万)"),[1]!td($B$2-1))</f>
        <v>48.080001831054688</v>
      </c>
      <c r="U262" s="125"/>
      <c r="V262" s="125">
        <f ca="1">[1]!s_fa_roe(E262,$C$3)</f>
        <v>3.6029</v>
      </c>
      <c r="W262" s="125">
        <f ca="1">[1]!s_fa_grossprofitmargin(E262,$C$3)</f>
        <v>35.684800000000003</v>
      </c>
      <c r="X262" s="125">
        <f ca="1">[1]!s_fa_netprofitmargin(E262,$C$3)</f>
        <v>7.41</v>
      </c>
      <c r="Y262" s="125">
        <f ca="1">[1]!s_fa_roic(E262,$C$3)</f>
        <v>3.0402</v>
      </c>
      <c r="Z262" s="125">
        <f ca="1">[1]!s_fa_operateincometoebt_ttm2(E262,$C$3)</f>
        <v>66.700999999999993</v>
      </c>
      <c r="AA262" s="125"/>
      <c r="AB262" s="343"/>
      <c r="AC262" s="125">
        <f ca="1">[1]!s_fa_cagr_tr($E262,AC$6,3)</f>
        <v>0</v>
      </c>
      <c r="AD262" s="125">
        <f ca="1">[1]!s_fa_cagr_tr($E262,AD$6,3)</f>
        <v>13.954616019185062</v>
      </c>
      <c r="AE262" s="126">
        <f ca="1">[1]!s_fa_cagr_tr($E262,AE$6,3)</f>
        <v>25.637624947953807</v>
      </c>
      <c r="AF262" s="126">
        <f ca="1">[1]!s_fa_cagr_tr($E262,AF$6,3)</f>
        <v>27.94231835013057</v>
      </c>
      <c r="AG262" s="126">
        <f ca="1">[1]!s_fa_cagr_tr($E262,AG$6,3)</f>
        <v>15.399895518336537</v>
      </c>
      <c r="AH262" s="126">
        <f ca="1">[1]!s_fa_cagr_tr($E262,AH$6,3)</f>
        <v>2.104883213695774</v>
      </c>
      <c r="AI262" s="169"/>
      <c r="AJ262" s="126">
        <f ca="1">[1]!s_fa_cagr_netprofit($E262,AJ$6,3)</f>
        <v>0</v>
      </c>
      <c r="AK262" s="126">
        <f ca="1">[1]!s_fa_cagr_netprofit($E262,AK$6,3)</f>
        <v>-24.073054995907249</v>
      </c>
      <c r="AL262" s="126">
        <f ca="1">[1]!s_fa_cagr_netprofit($E262,AL$6,3)</f>
        <v>-22.838061843429657</v>
      </c>
      <c r="AM262" s="126">
        <f ca="1">[1]!s_fa_cagr_netprofit($E262,AM$6,3)</f>
        <v>-5.7286413082488945</v>
      </c>
      <c r="AN262" s="126">
        <f ca="1">[1]!s_fa_cagr_netprofit($E262,AN$6,3)</f>
        <v>2.3876935567473723</v>
      </c>
      <c r="AO262" s="126">
        <f ca="1">[1]!s_fa_cagr_netprofit($E262,AO$6,3)</f>
        <v>-3.6488422149862698</v>
      </c>
      <c r="AP262" s="129"/>
      <c r="AQ262" s="203">
        <f ca="1">[1]!s_fa_dupont_roe(E262,$C$3)</f>
        <v>3.6029</v>
      </c>
      <c r="AR262" s="203">
        <f ca="1">[1]!s_fa_dupont_nptosales(B262,$C$3)</f>
        <v>7.41</v>
      </c>
      <c r="AS262" s="238">
        <f ca="1">[1]!s_fa_dupont_faturnover(E262,$C$3)</f>
        <v>0.25359999999999999</v>
      </c>
      <c r="AT262" s="203">
        <f ca="1">[1]!s_fa_dupont_assetstoequity(E262,$C$3)</f>
        <v>2.8187000000000002</v>
      </c>
      <c r="AU262" s="129"/>
      <c r="AV262" s="129"/>
      <c r="AW262" s="129"/>
      <c r="AX262" s="129"/>
      <c r="AY262" s="129"/>
      <c r="AZ262" s="129"/>
      <c r="BA262" s="129"/>
      <c r="BB262" s="129"/>
      <c r="BC262" s="129"/>
      <c r="BD262" s="129"/>
      <c r="BE262" s="129"/>
    </row>
    <row r="263" spans="1:57" s="191" customFormat="1" ht="12" customHeight="1" x14ac:dyDescent="0.35">
      <c r="A263" s="182" t="s">
        <v>5</v>
      </c>
      <c r="B263" s="182" t="s">
        <v>164</v>
      </c>
      <c r="C263" s="182" t="s">
        <v>165</v>
      </c>
      <c r="D263" s="182" t="str">
        <f ca="1">[1]!cb_info_underlyingname(B263)</f>
        <v>同德化工</v>
      </c>
      <c r="E263" s="183" t="str">
        <f ca="1">[1]!cb_info_underlyingcode(B263)</f>
        <v>002360.SZ</v>
      </c>
      <c r="F263" s="184" t="str">
        <f ca="1">[1]!s_info_industry_sw(B263,1)</f>
        <v>化工</v>
      </c>
      <c r="G263" s="184" t="str">
        <f ca="1">[1]!s_info_industry_sw(E263,2)</f>
        <v>化学制品</v>
      </c>
      <c r="H263" s="184" t="str">
        <f ca="1">[1]!s_info_industry_sw(E263,3)</f>
        <v>民爆用品</v>
      </c>
      <c r="I263" s="192" t="str">
        <f ca="1">[1]!s_info_majorproducttype(E263)</f>
        <v>火工产品、无机化工原料、专用车</v>
      </c>
      <c r="J263" s="189">
        <f ca="1">[1]!s_val_ev(E263,$B$2,100000000)</f>
        <v>41.984993629199998</v>
      </c>
      <c r="K263" s="193">
        <f ca="1">[1]!s_share_total(E263,$B$2,100000000)</f>
        <v>3.9833959799999996</v>
      </c>
      <c r="L263" s="193">
        <f ca="1">[1]!s_share_liqa(E263,$B$2,100000000)</f>
        <v>3.0824148999999998</v>
      </c>
      <c r="M263" s="186">
        <f ca="1">[1]!s_fa_gr_ttm2(E263,$C$3,100000000)</f>
        <v>8.7938959250999993</v>
      </c>
      <c r="N263" s="187">
        <f ca="1">[1]!s_fa_netprofit_ttm2(E263,$C$3,100000000)</f>
        <v>1.1961608333</v>
      </c>
      <c r="O263" s="186"/>
      <c r="P263" s="187">
        <f ca="1">[1]!s_val_pe_ttm(E263,[1]!td($B$2-1))</f>
        <v>23.064334869384766</v>
      </c>
      <c r="Q263" s="187">
        <f ca="1">[1]!i_val_pe_percentile(E263,[1]!td($B$2-1),$B$2-365*5,[1]!td($B$2-1))</f>
        <v>57.949561403508774</v>
      </c>
      <c r="R263" s="187">
        <f ca="1">[1]!pb_mrq(E263,[1]!td($B$2-1))</f>
        <v>3.2076660236785193</v>
      </c>
      <c r="S263" s="187">
        <f ca="1">[1]!i_val_pb_percentile(E263,[1]!td($B$2-1),$B$2-365*5,[1]!td($B$2-1))</f>
        <v>78.289473684210535</v>
      </c>
      <c r="T263" s="187">
        <f ca="1">[1]!s_val_pe_ttm([1]!to_windcode_index(H263&amp;"(申万)"),[1]!td($B$2-1))</f>
        <v>48.080001831054688</v>
      </c>
      <c r="U263" s="187"/>
      <c r="V263" s="187">
        <f ca="1">[1]!s_fa_roe(E263,$C$3)</f>
        <v>8.0667000000000009</v>
      </c>
      <c r="W263" s="187">
        <f ca="1">[1]!s_fa_grossprofitmargin(E263,$C$3)</f>
        <v>42.214199999999998</v>
      </c>
      <c r="X263" s="187">
        <f ca="1">[1]!s_fa_netprofitmargin(E263,$C$3)</f>
        <v>14.835100000000001</v>
      </c>
      <c r="Y263" s="187">
        <f ca="1">[1]!s_fa_roic(E263,$C$3)</f>
        <v>6.9908999999999999</v>
      </c>
      <c r="Z263" s="187">
        <f ca="1">[1]!s_fa_operateincometoebt_ttm2(E263,$C$3)</f>
        <v>100.7991</v>
      </c>
      <c r="AA263" s="186"/>
      <c r="AB263" s="342"/>
      <c r="AC263" s="186">
        <f ca="1">[1]!s_fa_cagr_tr($E263,AC$6,3)</f>
        <v>0</v>
      </c>
      <c r="AD263" s="186">
        <f ca="1">[1]!s_fa_cagr_tr($E263,AD$6,3)</f>
        <v>10.690085948553541</v>
      </c>
      <c r="AE263" s="187">
        <f ca="1">[1]!s_fa_cagr_tr($E263,AE$6,3)</f>
        <v>9.2452660934156938</v>
      </c>
      <c r="AF263" s="187">
        <f ca="1">[1]!s_fa_cagr_tr($E263,AF$6,3)</f>
        <v>9.9492159507235343</v>
      </c>
      <c r="AG263" s="187">
        <f ca="1">[1]!s_fa_cagr_tr($E263,AG$6,3)</f>
        <v>-7.5025377103076334</v>
      </c>
      <c r="AH263" s="187">
        <f ca="1">[1]!s_fa_cagr_tr($E263,AH$6,3)</f>
        <v>-7.8836613748062279</v>
      </c>
      <c r="AI263" s="194"/>
      <c r="AJ263" s="187">
        <f ca="1">[1]!s_fa_cagr_netprofit($E263,AJ$6,3)</f>
        <v>0</v>
      </c>
      <c r="AK263" s="187">
        <f ca="1">[1]!s_fa_cagr_netprofit($E263,AK$6,3)</f>
        <v>16.807735734986949</v>
      </c>
      <c r="AL263" s="187">
        <f ca="1">[1]!s_fa_cagr_netprofit($E263,AL$6,3)</f>
        <v>22.536089994888208</v>
      </c>
      <c r="AM263" s="187">
        <f ca="1">[1]!s_fa_cagr_netprofit($E263,AM$6,3)</f>
        <v>21.029947147654894</v>
      </c>
      <c r="AN263" s="187">
        <f ca="1">[1]!s_fa_cagr_netprofit($E263,AN$6,3)</f>
        <v>-8.1126756412551959</v>
      </c>
      <c r="AO263" s="187">
        <f ca="1">[1]!s_fa_cagr_netprofit($E263,AO$6,3)</f>
        <v>-10.122576373055125</v>
      </c>
      <c r="AP263" s="189"/>
      <c r="AQ263" s="202">
        <f ca="1">[1]!s_fa_dupont_roe(E263,$C$3)</f>
        <v>8.0667000000000009</v>
      </c>
      <c r="AR263" s="202">
        <f ca="1">[1]!s_fa_dupont_nptosales(B263,$C$3)</f>
        <v>14.835100000000001</v>
      </c>
      <c r="AS263" s="237">
        <f ca="1">[1]!s_fa_dupont_faturnover(E263,$C$3)</f>
        <v>0.3962</v>
      </c>
      <c r="AT263" s="202">
        <f ca="1">[1]!s_fa_dupont_assetstoequity(E263,$C$3)</f>
        <v>1.3543000000000001</v>
      </c>
      <c r="AU263" s="189"/>
      <c r="AV263" s="201"/>
      <c r="AW263" s="189"/>
      <c r="AX263" s="189"/>
      <c r="AY263" s="189"/>
      <c r="AZ263" s="189"/>
      <c r="BA263" s="189"/>
      <c r="BB263" s="189"/>
      <c r="BC263" s="189"/>
      <c r="BD263" s="189"/>
      <c r="BE263" s="189"/>
    </row>
    <row r="264" spans="1:57" s="130" customFormat="1" ht="12" customHeight="1" x14ac:dyDescent="0.35">
      <c r="A264" s="121" t="s">
        <v>5</v>
      </c>
      <c r="B264" s="121" t="s">
        <v>497</v>
      </c>
      <c r="C264" s="121" t="s">
        <v>498</v>
      </c>
      <c r="D264" s="121" t="str">
        <f ca="1">[1]!cb_info_underlyingname(B264)</f>
        <v>永东股份</v>
      </c>
      <c r="E264" s="122" t="str">
        <f ca="1">[1]!cb_info_underlyingcode(B264)</f>
        <v>002753.SZ</v>
      </c>
      <c r="F264" s="123" t="str">
        <f ca="1">[1]!s_info_industry_sw(B264,1)</f>
        <v>化工</v>
      </c>
      <c r="G264" s="123" t="str">
        <f ca="1">[1]!s_info_industry_sw(E264,2)</f>
        <v>橡胶</v>
      </c>
      <c r="H264" s="123" t="str">
        <f ca="1">[1]!s_info_industry_sw(E264,3)</f>
        <v>炭黑</v>
      </c>
      <c r="I264" s="156" t="str">
        <f ca="1">[1]!s_info_majorproducttype(E264)</f>
        <v>煤制品、有机化工原料</v>
      </c>
      <c r="J264" s="129">
        <f ca="1">[1]!s_val_ev(E264,$B$2,100000000)</f>
        <v>42.537177971200002</v>
      </c>
      <c r="K264" s="157">
        <f ca="1">[1]!s_share_total(E264,$B$2,100000000)</f>
        <v>3.7543846400000001</v>
      </c>
      <c r="L264" s="157">
        <f ca="1">[1]!s_share_liqa(E264,$B$2,100000000)</f>
        <v>2.4254783999999998</v>
      </c>
      <c r="M264" s="125">
        <f ca="1">[1]!s_fa_gr_ttm2(E264,$C$3,100000000)</f>
        <v>23.494144335200001</v>
      </c>
      <c r="N264" s="126">
        <f ca="1">[1]!s_fa_netprofit_ttm2(E264,$C$3,100000000)</f>
        <v>0.91680423840000003</v>
      </c>
      <c r="O264" s="125"/>
      <c r="P264" s="126">
        <f ca="1">[1]!s_val_pe_ttm(E264,[1]!td($B$2-1))</f>
        <v>11.734623908996582</v>
      </c>
      <c r="Q264" s="126">
        <f ca="1">[1]!i_val_pe_percentile(E264,[1]!td($B$2-1),$B$2-365*5,[1]!td($B$2-1))</f>
        <v>8.3881578947368425</v>
      </c>
      <c r="R264" s="126">
        <f ca="1">[1]!pb_mrq(E264,[1]!td($B$2-1))</f>
        <v>2.0673497026391936</v>
      </c>
      <c r="S264" s="126">
        <f ca="1">[1]!i_val_pb_percentile(E264,[1]!td($B$2-1),$B$2-365*5,[1]!td($B$2-1))</f>
        <v>41.666666666666671</v>
      </c>
      <c r="T264" s="126">
        <f ca="1">[1]!s_val_pe_ttm([1]!to_windcode_index(H264&amp;"(申万)"),[1]!td($B$2-1))</f>
        <v>15.310000419616699</v>
      </c>
      <c r="U264" s="126"/>
      <c r="V264" s="126">
        <f ca="1">[1]!s_fa_roe(E264,$C$3)</f>
        <v>3.7787000000000002</v>
      </c>
      <c r="W264" s="126">
        <f ca="1">[1]!s_fa_grossprofitmargin(E264,$C$3)</f>
        <v>10.0528</v>
      </c>
      <c r="X264" s="126">
        <f ca="1">[1]!s_fa_netprofitmargin(E264,$C$3)</f>
        <v>4.2244000000000002</v>
      </c>
      <c r="Y264" s="126">
        <f ca="1">[1]!s_fa_roic(E264,$C$3)</f>
        <v>3.7603</v>
      </c>
      <c r="Z264" s="126">
        <f ca="1">[1]!s_fa_operateincometoebt_ttm2(E264,$C$3)</f>
        <v>80.921599999999998</v>
      </c>
      <c r="AA264" s="125"/>
      <c r="AB264" s="343"/>
      <c r="AC264" s="125">
        <f ca="1">[1]!s_fa_cagr_tr($E264,AC$6,3)</f>
        <v>0</v>
      </c>
      <c r="AD264" s="125">
        <f ca="1">[1]!s_fa_cagr_tr($E264,AD$6,3)</f>
        <v>6.3970470450505967</v>
      </c>
      <c r="AE264" s="126">
        <f ca="1">[1]!s_fa_cagr_tr($E264,AE$6,3)</f>
        <v>37.599346951007348</v>
      </c>
      <c r="AF264" s="126">
        <f ca="1">[1]!s_fa_cagr_tr($E264,AF$6,3)</f>
        <v>44.059201066278966</v>
      </c>
      <c r="AG264" s="126">
        <f ca="1">[1]!s_fa_cagr_tr($E264,AG$6,3)</f>
        <v>32.765510387103888</v>
      </c>
      <c r="AH264" s="126">
        <f ca="1">[1]!s_fa_cagr_tr($E264,AH$6,3)</f>
        <v>9.9855447861397995</v>
      </c>
      <c r="AI264" s="169"/>
      <c r="AJ264" s="126">
        <f ca="1">[1]!s_fa_cagr_netprofit($E264,AJ$6,3)</f>
        <v>0</v>
      </c>
      <c r="AK264" s="126">
        <f ca="1">[1]!s_fa_cagr_netprofit($E264,AK$6,3)</f>
        <v>-12.601477974079389</v>
      </c>
      <c r="AL264" s="126">
        <f ca="1">[1]!s_fa_cagr_netprofit($E264,AL$6,3)</f>
        <v>4.7481102793700991</v>
      </c>
      <c r="AM264" s="126">
        <f ca="1">[1]!s_fa_cagr_netprofit($E264,AM$6,3)</f>
        <v>74.241066854871193</v>
      </c>
      <c r="AN264" s="126">
        <f ca="1">[1]!s_fa_cagr_netprofit($E264,AN$6,3)</f>
        <v>58.419259742185645</v>
      </c>
      <c r="AO264" s="126">
        <f ca="1">[1]!s_fa_cagr_netprofit($E264,AO$6,3)</f>
        <v>16.462684131327187</v>
      </c>
      <c r="AP264" s="129"/>
      <c r="AQ264" s="203">
        <f ca="1">[1]!s_fa_dupont_roe(E264,$C$3)</f>
        <v>3.7787000000000002</v>
      </c>
      <c r="AR264" s="203">
        <f ca="1">[1]!s_fa_dupont_nptosales(B264,$C$3)</f>
        <v>4.2244000000000002</v>
      </c>
      <c r="AS264" s="238">
        <f ca="1">[1]!s_fa_dupont_faturnover(E264,$C$3)</f>
        <v>0.68020000000000003</v>
      </c>
      <c r="AT264" s="203">
        <f ca="1">[1]!s_fa_dupont_assetstoequity(E264,$C$3)</f>
        <v>1.3150999999999999</v>
      </c>
      <c r="AU264" s="129"/>
      <c r="AV264" s="129"/>
      <c r="AW264" s="129"/>
      <c r="AX264" s="129"/>
      <c r="AY264" s="129"/>
      <c r="AZ264" s="129"/>
      <c r="BA264" s="129"/>
      <c r="BB264" s="129"/>
      <c r="BC264" s="129"/>
      <c r="BD264" s="129"/>
      <c r="BE264" s="129"/>
    </row>
    <row r="265" spans="1:57" s="191" customFormat="1" ht="12" customHeight="1" x14ac:dyDescent="0.35">
      <c r="A265" s="182" t="s">
        <v>5</v>
      </c>
      <c r="B265" s="182" t="s">
        <v>214</v>
      </c>
      <c r="C265" s="182" t="s">
        <v>215</v>
      </c>
      <c r="D265" s="182" t="str">
        <f ca="1">[1]!cb_info_underlyingname(B265)</f>
        <v>百川股份</v>
      </c>
      <c r="E265" s="183" t="str">
        <f ca="1">[1]!cb_info_underlyingcode(B265)</f>
        <v>002455.SZ</v>
      </c>
      <c r="F265" s="184" t="str">
        <f ca="1">[1]!s_info_industry_sw(B265,1)</f>
        <v>化工</v>
      </c>
      <c r="G265" s="184" t="str">
        <f ca="1">[1]!s_info_industry_sw(E265,2)</f>
        <v>化学制品</v>
      </c>
      <c r="H265" s="184" t="str">
        <f ca="1">[1]!s_info_industry_sw(E265,3)</f>
        <v>其他化学制品</v>
      </c>
      <c r="I265" s="192" t="str">
        <f ca="1">[1]!s_info_majorproducttype(E265)</f>
        <v>有机化工原料</v>
      </c>
      <c r="J265" s="189">
        <f ca="1">[1]!s_val_ev(E265,$B$2,100000000)</f>
        <v>102.79250408520001</v>
      </c>
      <c r="K265" s="193">
        <f ca="1">[1]!s_share_total(E265,$B$2,100000000)</f>
        <v>5.65415314</v>
      </c>
      <c r="L265" s="193">
        <f ca="1">[1]!s_share_liqa(E265,$B$2,100000000)</f>
        <v>4.5013033699999996</v>
      </c>
      <c r="M265" s="186">
        <f ca="1">[1]!s_fa_gr_ttm2(E265,$C$3,100000000)</f>
        <v>22.3062972225</v>
      </c>
      <c r="N265" s="187">
        <f ca="1">[1]!s_fa_netprofit_ttm2(E265,$C$3,100000000)</f>
        <v>0.31802251059999997</v>
      </c>
      <c r="O265" s="186"/>
      <c r="P265" s="187">
        <f ca="1">[1]!s_val_pe_ttm(E265,[1]!td($B$2-1))</f>
        <v>74.860984802246094</v>
      </c>
      <c r="Q265" s="187">
        <f ca="1">[1]!i_val_pe_percentile(E265,[1]!td($B$2-1),$B$2-365*5,[1]!td($B$2-1))</f>
        <v>75.548245614035096</v>
      </c>
      <c r="R265" s="187">
        <f ca="1">[1]!pb_mrq(E265,[1]!td($B$2-1))</f>
        <v>6.823063293292245</v>
      </c>
      <c r="S265" s="187">
        <f ca="1">[1]!i_val_pb_percentile(E265,[1]!td($B$2-1),$B$2-365*5,[1]!td($B$2-1))</f>
        <v>75.438596491228068</v>
      </c>
      <c r="T265" s="187">
        <f ca="1">[1]!s_val_pe_ttm([1]!to_windcode_index(H265&amp;"(申万)"),[1]!td($B$2-1))</f>
        <v>46.459999084472656</v>
      </c>
      <c r="U265" s="187"/>
      <c r="V265" s="187">
        <f ca="1">[1]!s_fa_roe(E265,$C$3)</f>
        <v>2.4196</v>
      </c>
      <c r="W265" s="187">
        <f ca="1">[1]!s_fa_grossprofitmargin(E265,$C$3)</f>
        <v>9.5135000000000005</v>
      </c>
      <c r="X265" s="187">
        <f ca="1">[1]!s_fa_netprofitmargin(E265,$C$3)</f>
        <v>2.1516999999999999</v>
      </c>
      <c r="Y265" s="187">
        <f ca="1">[1]!s_fa_roic(E265,$C$3)</f>
        <v>1.7683</v>
      </c>
      <c r="Z265" s="187">
        <f ca="1">[1]!s_fa_operateincometoebt_ttm2(E265,$C$3)</f>
        <v>31.6602</v>
      </c>
      <c r="AA265" s="186"/>
      <c r="AB265" s="342"/>
      <c r="AC265" s="186">
        <f ca="1">[1]!s_fa_cagr_tr($E265,AC$6,3)</f>
        <v>0</v>
      </c>
      <c r="AD265" s="186">
        <f ca="1">[1]!s_fa_cagr_tr($E265,AD$6,3)</f>
        <v>-3.9077569741317597</v>
      </c>
      <c r="AE265" s="187">
        <f ca="1">[1]!s_fa_cagr_tr($E265,AE$6,3)</f>
        <v>7.8309264890125352</v>
      </c>
      <c r="AF265" s="187">
        <f ca="1">[1]!s_fa_cagr_tr($E265,AF$6,3)</f>
        <v>9.658465151830109</v>
      </c>
      <c r="AG265" s="187">
        <f ca="1">[1]!s_fa_cagr_tr($E265,AG$6,3)</f>
        <v>-5.3290448314160859</v>
      </c>
      <c r="AH265" s="187">
        <f ca="1">[1]!s_fa_cagr_tr($E265,AH$6,3)</f>
        <v>-6.399023557968075</v>
      </c>
      <c r="AI265" s="194"/>
      <c r="AJ265" s="187">
        <f ca="1">[1]!s_fa_cagr_netprofit($E265,AJ$6,3)</f>
        <v>0</v>
      </c>
      <c r="AK265" s="187">
        <f ca="1">[1]!s_fa_cagr_netprofit($E265,AK$6,3)</f>
        <v>-14.02585325381207</v>
      </c>
      <c r="AL265" s="187">
        <f ca="1">[1]!s_fa_cagr_netprofit($E265,AL$6,3)</f>
        <v>-6.742225787936218</v>
      </c>
      <c r="AM265" s="187">
        <f ca="1">[1]!s_fa_cagr_netprofit($E265,AM$6,3)</f>
        <v>20.733425693917273</v>
      </c>
      <c r="AN265" s="187">
        <f ca="1">[1]!s_fa_cagr_netprofit($E265,AN$6,3)</f>
        <v>24.01905165321643</v>
      </c>
      <c r="AO265" s="187">
        <f ca="1">[1]!s_fa_cagr_netprofit($E265,AO$6,3)</f>
        <v>25.847524198700778</v>
      </c>
      <c r="AP265" s="189"/>
      <c r="AQ265" s="202">
        <f ca="1">[1]!s_fa_dupont_roe(E265,$C$3)</f>
        <v>2.4196</v>
      </c>
      <c r="AR265" s="202">
        <f ca="1">[1]!s_fa_dupont_nptosales(B265,$C$3)</f>
        <v>2.1516999999999999</v>
      </c>
      <c r="AS265" s="237">
        <f ca="1">[1]!s_fa_dupont_faturnover(E265,$C$3)</f>
        <v>0.4798</v>
      </c>
      <c r="AT265" s="202">
        <f ca="1">[1]!s_fa_dupont_assetstoequity(E265,$C$3)</f>
        <v>2.3435999999999999</v>
      </c>
      <c r="AU265" s="189"/>
      <c r="AV265" s="189"/>
      <c r="AW265" s="189"/>
      <c r="AX265" s="189"/>
      <c r="AY265" s="189"/>
      <c r="AZ265" s="189"/>
      <c r="BA265" s="189"/>
      <c r="BB265" s="189"/>
      <c r="BC265" s="189"/>
      <c r="BD265" s="189"/>
      <c r="BE265" s="189"/>
    </row>
    <row r="266" spans="1:57" s="130" customFormat="1" ht="12" customHeight="1" x14ac:dyDescent="0.35">
      <c r="A266" s="121" t="s">
        <v>5</v>
      </c>
      <c r="B266" s="121" t="s">
        <v>579</v>
      </c>
      <c r="C266" s="121" t="s">
        <v>580</v>
      </c>
      <c r="D266" s="121" t="str">
        <f ca="1">[1]!cb_info_underlyingname(B266)</f>
        <v>川金诺</v>
      </c>
      <c r="E266" s="122" t="str">
        <f ca="1">[1]!cb_info_underlyingcode(B266)</f>
        <v>300505.SZ</v>
      </c>
      <c r="F266" s="123" t="str">
        <f ca="1">[1]!s_info_industry_sw(B266,1)</f>
        <v>化工</v>
      </c>
      <c r="G266" s="123" t="str">
        <f ca="1">[1]!s_info_industry_sw(E266,2)</f>
        <v>化学制品</v>
      </c>
      <c r="H266" s="123" t="str">
        <f ca="1">[1]!s_info_industry_sw(E266,3)</f>
        <v>磷化工及磷酸盐</v>
      </c>
      <c r="I266" s="156" t="str">
        <f ca="1">[1]!s_info_majorproducttype(E266)</f>
        <v>无机化工原料</v>
      </c>
      <c r="J266" s="129">
        <f ca="1">[1]!s_val_ev(E266,$B$2,100000000)</f>
        <v>60.356053778400003</v>
      </c>
      <c r="K266" s="157">
        <f ca="1">[1]!s_share_total(E266,$B$2,100000000)</f>
        <v>1.3069738799999999</v>
      </c>
      <c r="L266" s="157">
        <f ca="1">[1]!s_share_liqa(E266,$B$2,100000000)</f>
        <v>0.89090652999999997</v>
      </c>
      <c r="M266" s="125">
        <f ca="1">[1]!s_fa_gr_ttm2(E266,$C$3,100000000)</f>
        <v>11.089400225999999</v>
      </c>
      <c r="N266" s="126">
        <f ca="1">[1]!s_fa_netprofit_ttm2(E266,$C$3,100000000)</f>
        <v>0.68193915780000003</v>
      </c>
      <c r="O266" s="125"/>
      <c r="P266" s="126">
        <f ca="1">[1]!s_val_pe_ttm(E266,[1]!td($B$2-1))</f>
        <v>131.927734375</v>
      </c>
      <c r="Q266" s="126">
        <f ca="1">[1]!i_val_pe_percentile(E266,[1]!td($B$2-1),$B$2-365*5,[1]!td($B$2-1))</f>
        <v>95.39473684210526</v>
      </c>
      <c r="R266" s="126">
        <f ca="1">[1]!pb_mrq(E266,[1]!td($B$2-1))</f>
        <v>6.143071318941927</v>
      </c>
      <c r="S266" s="126">
        <f ca="1">[1]!i_val_pb_percentile(E266,[1]!td($B$2-1),$B$2-365*5,[1]!td($B$2-1))</f>
        <v>83.004385964912288</v>
      </c>
      <c r="T266" s="126">
        <f ca="1">[1]!s_val_pe_ttm([1]!to_windcode_index(H266&amp;"(申万)"),[1]!td($B$2-1))</f>
        <v>34.819999694824219</v>
      </c>
      <c r="U266" s="126"/>
      <c r="V266" s="126">
        <f ca="1">[1]!s_fa_roe(E266,$C$3)</f>
        <v>5.3129</v>
      </c>
      <c r="W266" s="126">
        <f ca="1">[1]!s_fa_grossprofitmargin(E266,$C$3)</f>
        <v>25.122199999999999</v>
      </c>
      <c r="X266" s="126">
        <f ca="1">[1]!s_fa_netprofitmargin(E266,$C$3)</f>
        <v>6.2891000000000004</v>
      </c>
      <c r="Y266" s="126">
        <f ca="1">[1]!s_fa_roic(E266,$C$3)</f>
        <v>4.1944999999999997</v>
      </c>
      <c r="Z266" s="126">
        <f ca="1">[1]!s_fa_operateincometoebt_ttm2(E266,$C$3)</f>
        <v>86.036299999999997</v>
      </c>
      <c r="AA266" s="125"/>
      <c r="AB266" s="343"/>
      <c r="AC266" s="125">
        <f ca="1">[1]!s_fa_cagr_tr($E266,AC$6,3)</f>
        <v>0</v>
      </c>
      <c r="AD266" s="125">
        <f ca="1">[1]!s_fa_cagr_tr($E266,AD$6,3)</f>
        <v>9.4898282231629327</v>
      </c>
      <c r="AE266" s="126">
        <f ca="1">[1]!s_fa_cagr_tr($E266,AE$6,3)</f>
        <v>20.296933656054627</v>
      </c>
      <c r="AF266" s="126">
        <f ca="1">[1]!s_fa_cagr_tr($E266,AF$6,3)</f>
        <v>20.932929625671083</v>
      </c>
      <c r="AG266" s="126">
        <f ca="1">[1]!s_fa_cagr_tr($E266,AG$6,3)</f>
        <v>20.246613809047641</v>
      </c>
      <c r="AH266" s="126">
        <f ca="1">[1]!s_fa_cagr_tr($E266,AH$6,3)</f>
        <v>6.6543131504776643</v>
      </c>
      <c r="AI266" s="169"/>
      <c r="AJ266" s="126">
        <f ca="1">[1]!s_fa_cagr_netprofit($E266,AJ$6,3)</f>
        <v>0</v>
      </c>
      <c r="AK266" s="126">
        <f ca="1">[1]!s_fa_cagr_netprofit($E266,AK$6,3)</f>
        <v>-11.862638554388749</v>
      </c>
      <c r="AL266" s="126">
        <f ca="1">[1]!s_fa_cagr_netprofit($E266,AL$6,3)</f>
        <v>7.8216214062755807</v>
      </c>
      <c r="AM266" s="126">
        <f ca="1">[1]!s_fa_cagr_netprofit($E266,AM$6,3)</f>
        <v>14.956794457636136</v>
      </c>
      <c r="AN266" s="126">
        <f ca="1">[1]!s_fa_cagr_netprofit($E266,AN$6,3)</f>
        <v>14.107678056951034</v>
      </c>
      <c r="AO266" s="126">
        <f ca="1">[1]!s_fa_cagr_netprofit($E266,AO$6,3)</f>
        <v>0.14948178004525747</v>
      </c>
      <c r="AP266" s="129"/>
      <c r="AQ266" s="203">
        <f ca="1">[1]!s_fa_dupont_roe(E266,$C$3)</f>
        <v>5.3129</v>
      </c>
      <c r="AR266" s="203">
        <f ca="1">[1]!s_fa_dupont_nptosales(B266,$C$3)</f>
        <v>6.2891000000000004</v>
      </c>
      <c r="AS266" s="238">
        <f ca="1">[1]!s_fa_dupont_faturnover(E266,$C$3)</f>
        <v>0.53390000000000004</v>
      </c>
      <c r="AT266" s="203">
        <f ca="1">[1]!s_fa_dupont_assetstoequity(E266,$C$3)</f>
        <v>1.5751999999999999</v>
      </c>
      <c r="AU266" s="129"/>
      <c r="AV266" s="129"/>
      <c r="AW266" s="129"/>
      <c r="AX266" s="129"/>
      <c r="AY266" s="129"/>
      <c r="AZ266" s="129"/>
      <c r="BA266" s="129"/>
      <c r="BB266" s="129"/>
      <c r="BC266" s="129"/>
      <c r="BD266" s="129"/>
      <c r="BE266" s="129"/>
    </row>
    <row r="267" spans="1:57" s="191" customFormat="1" ht="12" customHeight="1" x14ac:dyDescent="0.35">
      <c r="A267" s="182" t="s">
        <v>5</v>
      </c>
      <c r="B267" s="182" t="s">
        <v>306</v>
      </c>
      <c r="C267" s="182" t="s">
        <v>307</v>
      </c>
      <c r="D267" s="182" t="str">
        <f ca="1">[1]!cb_info_underlyingname(B267)</f>
        <v>清水源</v>
      </c>
      <c r="E267" s="183" t="str">
        <f ca="1">[1]!cb_info_underlyingcode(B267)</f>
        <v>300437.SZ</v>
      </c>
      <c r="F267" s="184" t="str">
        <f ca="1">[1]!s_info_industry_sw(B267,1)</f>
        <v>化工</v>
      </c>
      <c r="G267" s="184" t="str">
        <f ca="1">[1]!s_info_industry_sw(E267,2)</f>
        <v>化学制品</v>
      </c>
      <c r="H267" s="184" t="str">
        <f ca="1">[1]!s_info_industry_sw(E267,3)</f>
        <v>其他化学制品</v>
      </c>
      <c r="I267" s="192" t="str">
        <f ca="1">[1]!s_info_majorproducttype(E267)</f>
        <v>催化剂及化学助剂</v>
      </c>
      <c r="J267" s="189">
        <f ca="1">[1]!s_val_ev(E267,$B$2,100000000)</f>
        <v>22.857063217899999</v>
      </c>
      <c r="K267" s="193">
        <f ca="1">[1]!s_share_total(E267,$B$2,100000000)</f>
        <v>2.21268763</v>
      </c>
      <c r="L267" s="193">
        <f ca="1">[1]!s_share_liqa(E267,$B$2,100000000)</f>
        <v>1.4001626300000001</v>
      </c>
      <c r="M267" s="186">
        <f ca="1">[1]!s_fa_gr_ttm2(E267,$C$3,100000000)</f>
        <v>14.666891167100001</v>
      </c>
      <c r="N267" s="187">
        <f ca="1">[1]!s_fa_netprofit_ttm2(E267,$C$3,100000000)</f>
        <v>0.83905940879999996</v>
      </c>
      <c r="O267" s="186"/>
      <c r="P267" s="187">
        <f ca="1">[1]!s_val_pe_ttm(E267,[1]!td($B$2-1))</f>
        <v>-5.1832571029663086</v>
      </c>
      <c r="Q267" s="187">
        <f ca="1">[1]!i_val_pe_percentile(E267,[1]!td($B$2-1),$B$2-365*5,[1]!td($B$2-1))</f>
        <v>0</v>
      </c>
      <c r="R267" s="187">
        <f ca="1">[1]!pb_mrq(E267,[1]!td($B$2-1))</f>
        <v>2.1944993978833751</v>
      </c>
      <c r="S267" s="187">
        <f ca="1">[1]!i_val_pb_percentile(E267,[1]!td($B$2-1),$B$2-365*5,[1]!td($B$2-1))</f>
        <v>52.412280701754391</v>
      </c>
      <c r="T267" s="187">
        <f ca="1">[1]!s_val_pe_ttm([1]!to_windcode_index(H267&amp;"(申万)"),[1]!td($B$2-1))</f>
        <v>46.459999084472656</v>
      </c>
      <c r="U267" s="187"/>
      <c r="V267" s="187">
        <f ca="1">[1]!s_fa_roe(E267,$C$3)</f>
        <v>4.4128999999999996</v>
      </c>
      <c r="W267" s="187">
        <f ca="1">[1]!s_fa_grossprofitmargin(E267,$C$3)</f>
        <v>29.098199999999999</v>
      </c>
      <c r="X267" s="187">
        <f ca="1">[1]!s_fa_netprofitmargin(E267,$C$3)</f>
        <v>8.1674000000000007</v>
      </c>
      <c r="Y267" s="187">
        <f ca="1">[1]!s_fa_roic(E267,$C$3)</f>
        <v>3.0062000000000002</v>
      </c>
      <c r="Z267" s="187">
        <f ca="1">[1]!s_fa_operateincometoebt_ttm2(E267,$C$3)</f>
        <v>90.0501</v>
      </c>
      <c r="AA267" s="186"/>
      <c r="AB267" s="342"/>
      <c r="AC267" s="186">
        <f ca="1">[1]!s_fa_cagr_tr($E267,AC$6,3)</f>
        <v>0</v>
      </c>
      <c r="AD267" s="186">
        <f ca="1">[1]!s_fa_cagr_tr($E267,AD$6,3)</f>
        <v>13.731307373169743</v>
      </c>
      <c r="AE267" s="187">
        <f ca="1">[1]!s_fa_cagr_tr($E267,AE$6,3)</f>
        <v>52.792738684952198</v>
      </c>
      <c r="AF267" s="187">
        <f ca="1">[1]!s_fa_cagr_tr($E267,AF$6,3)</f>
        <v>62.631481213589879</v>
      </c>
      <c r="AG267" s="187">
        <f ca="1">[1]!s_fa_cagr_tr($E267,AG$6,3)</f>
        <v>25.596455196594082</v>
      </c>
      <c r="AH267" s="187">
        <f ca="1">[1]!s_fa_cagr_tr($E267,AH$6,3)</f>
        <v>7.7591859498700622</v>
      </c>
      <c r="AI267" s="194"/>
      <c r="AJ267" s="187">
        <f ca="1">[1]!s_fa_cagr_netprofit($E267,AJ$6,3)</f>
        <v>0</v>
      </c>
      <c r="AK267" s="187">
        <f ca="1">[1]!s_fa_cagr_netprofit($E267,AK$6,3)</f>
        <v>-248.7886991054323</v>
      </c>
      <c r="AL267" s="187">
        <f ca="1">[1]!s_fa_cagr_netprofit($E267,AL$6,3)</f>
        <v>36.588984769757118</v>
      </c>
      <c r="AM267" s="187">
        <f ca="1">[1]!s_fa_cagr_netprofit($E267,AM$6,3)</f>
        <v>84.827930697314713</v>
      </c>
      <c r="AN267" s="187">
        <f ca="1">[1]!s_fa_cagr_netprofit($E267,AN$6,3)</f>
        <v>45.257088310506212</v>
      </c>
      <c r="AO267" s="187">
        <f ca="1">[1]!s_fa_cagr_netprofit($E267,AO$6,3)</f>
        <v>12.941154715459513</v>
      </c>
      <c r="AP267" s="189"/>
      <c r="AQ267" s="202">
        <f ca="1">[1]!s_fa_dupont_roe(E267,$C$3)</f>
        <v>4.4128999999999996</v>
      </c>
      <c r="AR267" s="202">
        <f ca="1">[1]!s_fa_dupont_nptosales(B267,$C$3)</f>
        <v>8.1674000000000007</v>
      </c>
      <c r="AS267" s="237">
        <f ca="1">[1]!s_fa_dupont_faturnover(E267,$C$3)</f>
        <v>0.18609999999999999</v>
      </c>
      <c r="AT267" s="202">
        <f ca="1">[1]!s_fa_dupont_assetstoequity(E267,$C$3)</f>
        <v>2.9167000000000001</v>
      </c>
      <c r="AU267" s="189"/>
      <c r="AV267" s="201"/>
      <c r="AW267" s="189"/>
      <c r="AX267" s="189"/>
      <c r="AY267" s="189"/>
      <c r="AZ267" s="189"/>
      <c r="BA267" s="189"/>
      <c r="BB267" s="189"/>
      <c r="BC267" s="189"/>
      <c r="BD267" s="189"/>
      <c r="BE267" s="189"/>
    </row>
    <row r="268" spans="1:57" s="130" customFormat="1" ht="12" customHeight="1" x14ac:dyDescent="0.35">
      <c r="A268" s="121" t="s">
        <v>5</v>
      </c>
      <c r="B268" s="121" t="s">
        <v>409</v>
      </c>
      <c r="C268" s="121" t="s">
        <v>410</v>
      </c>
      <c r="D268" s="121" t="str">
        <f ca="1">[1]!cb_info_underlyingname(B268)</f>
        <v>横河精密</v>
      </c>
      <c r="E268" s="122" t="str">
        <f ca="1">[1]!cb_info_underlyingcode(B268)</f>
        <v>300539.SZ</v>
      </c>
      <c r="F268" s="123" t="str">
        <f ca="1">[1]!s_info_industry_sw(B268,1)</f>
        <v>化工</v>
      </c>
      <c r="G268" s="123" t="str">
        <f ca="1">[1]!s_info_industry_sw(E268,2)</f>
        <v>塑料</v>
      </c>
      <c r="H268" s="123" t="str">
        <f ca="1">[1]!s_info_industry_sw(E268,3)</f>
        <v>其他塑料制品</v>
      </c>
      <c r="I268" s="156" t="str">
        <f ca="1">[1]!s_info_majorproducttype(E268)</f>
        <v>专用设备与零部件</v>
      </c>
      <c r="J268" s="129">
        <f ca="1">[1]!s_val_ev(E268,$B$2,100000000)</f>
        <v>19.326062288999999</v>
      </c>
      <c r="K268" s="157">
        <f ca="1">[1]!s_share_total(E268,$B$2,100000000)</f>
        <v>2.2213864699999997</v>
      </c>
      <c r="L268" s="157">
        <f ca="1">[1]!s_share_liqa(E268,$B$2,100000000)</f>
        <v>1.1369634</v>
      </c>
      <c r="M268" s="125">
        <f ca="1">[1]!s_fa_gr_ttm2(E268,$C$3,100000000)</f>
        <v>5.6451018635999999</v>
      </c>
      <c r="N268" s="126">
        <f ca="1">[1]!s_fa_netprofit_ttm2(E268,$C$3,100000000)</f>
        <v>0.11165684699999999</v>
      </c>
      <c r="O268" s="125"/>
      <c r="P268" s="126">
        <f ca="1">[1]!s_val_pe_ttm(E268,[1]!td($B$2-1))</f>
        <v>90.851661682128906</v>
      </c>
      <c r="Q268" s="126">
        <f ca="1">[1]!i_val_pe_percentile(E268,[1]!td($B$2-1),$B$2-365*5,[1]!td($B$2-1))</f>
        <v>34.320175438596493</v>
      </c>
      <c r="R268" s="126">
        <f ca="1">[1]!pb_mrq(E268,[1]!td($B$2-1))</f>
        <v>3.9875768236781433</v>
      </c>
      <c r="S268" s="126">
        <f ca="1">[1]!i_val_pb_percentile(E268,[1]!td($B$2-1),$B$2-365*5,[1]!td($B$2-1))</f>
        <v>38.925438596491233</v>
      </c>
      <c r="T268" s="126">
        <f ca="1">[1]!s_val_pe_ttm([1]!to_windcode_index(H268&amp;"(申万)"),[1]!td($B$2-1))</f>
        <v>41.240001678466797</v>
      </c>
      <c r="U268" s="126"/>
      <c r="V268" s="126">
        <f ca="1">[1]!s_fa_roe(E268,$C$3)</f>
        <v>1.6660999999999999</v>
      </c>
      <c r="W268" s="126">
        <f ca="1">[1]!s_fa_grossprofitmargin(E268,$C$3)</f>
        <v>19.966899999999999</v>
      </c>
      <c r="X268" s="126">
        <f ca="1">[1]!s_fa_netprofitmargin(E268,$C$3)</f>
        <v>1.8092999999999999</v>
      </c>
      <c r="Y268" s="126">
        <f ca="1">[1]!s_fa_roic(E268,$C$3)</f>
        <v>1.7241</v>
      </c>
      <c r="Z268" s="126">
        <f ca="1">[1]!s_fa_operateincometoebt_ttm2(E268,$C$3)</f>
        <v>81.469099999999997</v>
      </c>
      <c r="AA268" s="125"/>
      <c r="AB268" s="343"/>
      <c r="AC268" s="125">
        <f ca="1">[1]!s_fa_cagr_tr($E268,AC$6,3)</f>
        <v>0</v>
      </c>
      <c r="AD268" s="125">
        <f ca="1">[1]!s_fa_cagr_tr($E268,AD$6,3)</f>
        <v>5.526778949008837</v>
      </c>
      <c r="AE268" s="126">
        <f ca="1">[1]!s_fa_cagr_tr($E268,AE$6,3)</f>
        <v>11.773540121939963</v>
      </c>
      <c r="AF268" s="126">
        <f ca="1">[1]!s_fa_cagr_tr($E268,AF$6,3)</f>
        <v>14.059853721681769</v>
      </c>
      <c r="AG268" s="126">
        <f ca="1">[1]!s_fa_cagr_tr($E268,AG$6,3)</f>
        <v>9.4552499132712686</v>
      </c>
      <c r="AH268" s="126">
        <f ca="1">[1]!s_fa_cagr_tr($E268,AH$6,3)</f>
        <v>-0.36669476082783481</v>
      </c>
      <c r="AI268" s="169"/>
      <c r="AJ268" s="126">
        <f ca="1">[1]!s_fa_cagr_netprofit($E268,AJ$6,3)</f>
        <v>0</v>
      </c>
      <c r="AK268" s="126">
        <f ca="1">[1]!s_fa_cagr_netprofit($E268,AK$6,3)</f>
        <v>-22.742704696168779</v>
      </c>
      <c r="AL268" s="126">
        <f ca="1">[1]!s_fa_cagr_netprofit($E268,AL$6,3)</f>
        <v>-36.171519335051897</v>
      </c>
      <c r="AM268" s="126">
        <f ca="1">[1]!s_fa_cagr_netprofit($E268,AM$6,3)</f>
        <v>-27.507407144223549</v>
      </c>
      <c r="AN268" s="126">
        <f ca="1">[1]!s_fa_cagr_netprofit($E268,AN$6,3)</f>
        <v>12.687620000578947</v>
      </c>
      <c r="AO268" s="126">
        <f ca="1">[1]!s_fa_cagr_netprofit($E268,AO$6,3)</f>
        <v>9.1292945908388425</v>
      </c>
      <c r="AP268" s="129"/>
      <c r="AQ268" s="203">
        <f ca="1">[1]!s_fa_dupont_roe(E268,$C$3)</f>
        <v>1.6660999999999999</v>
      </c>
      <c r="AR268" s="203">
        <f ca="1">[1]!s_fa_dupont_nptosales(B268,$C$3)</f>
        <v>1.8092999999999999</v>
      </c>
      <c r="AS268" s="238">
        <f ca="1">[1]!s_fa_dupont_faturnover(E268,$C$3)</f>
        <v>0.40610000000000002</v>
      </c>
      <c r="AT268" s="203">
        <f ca="1">[1]!s_fa_dupont_assetstoequity(E268,$C$3)</f>
        <v>2.0160999999999998</v>
      </c>
      <c r="AU268" s="129"/>
      <c r="AV268" s="129"/>
      <c r="AW268" s="129"/>
      <c r="AX268" s="129"/>
      <c r="AY268" s="129"/>
      <c r="AZ268" s="129"/>
      <c r="BA268" s="129"/>
      <c r="BB268" s="129"/>
      <c r="BC268" s="129"/>
      <c r="BD268" s="129"/>
      <c r="BE268" s="129"/>
    </row>
    <row r="269" spans="1:57" s="191" customFormat="1" ht="12" customHeight="1" x14ac:dyDescent="0.35">
      <c r="A269" s="182" t="s">
        <v>0</v>
      </c>
      <c r="B269" s="182" t="s">
        <v>479</v>
      </c>
      <c r="C269" s="182" t="s">
        <v>480</v>
      </c>
      <c r="D269" s="182" t="str">
        <f ca="1">[1]!cb_info_underlyingname(B269)</f>
        <v>嘉澳环保</v>
      </c>
      <c r="E269" s="183" t="str">
        <f ca="1">[1]!cb_info_underlyingcode(B269)</f>
        <v>603822.SH</v>
      </c>
      <c r="F269" s="184" t="str">
        <f ca="1">[1]!s_info_industry_sw(B269,1)</f>
        <v>化工</v>
      </c>
      <c r="G269" s="184" t="str">
        <f ca="1">[1]!s_info_industry_sw(E269,2)</f>
        <v>化学制品</v>
      </c>
      <c r="H269" s="184" t="str">
        <f ca="1">[1]!s_info_industry_sw(E269,3)</f>
        <v>其他化学制品</v>
      </c>
      <c r="I269" s="192" t="str">
        <f ca="1">[1]!s_info_majorproducttype(E269)</f>
        <v>催化剂及化学助剂</v>
      </c>
      <c r="J269" s="189">
        <f ca="1">[1]!s_val_ev(E269,$B$2,100000000)</f>
        <v>33.444937063200001</v>
      </c>
      <c r="K269" s="193">
        <f ca="1">[1]!s_share_total(E269,$B$2,100000000)</f>
        <v>0.73360247999999995</v>
      </c>
      <c r="L269" s="193">
        <f ca="1">[1]!s_share_liqa(E269,$B$2,100000000)</f>
        <v>0.73360247999999995</v>
      </c>
      <c r="M269" s="186">
        <f ca="1">[1]!s_fa_gr_ttm2(E269,$C$3,100000000)</f>
        <v>12.2364368834</v>
      </c>
      <c r="N269" s="187">
        <f ca="1">[1]!s_fa_netprofit_ttm2(E269,$C$3,100000000)</f>
        <v>0.48672745079999996</v>
      </c>
      <c r="O269" s="186"/>
      <c r="P269" s="187">
        <f ca="1">[1]!s_val_pe_ttm(E269,[1]!td($B$2-1))</f>
        <v>57.175277709960938</v>
      </c>
      <c r="Q269" s="187">
        <f ca="1">[1]!i_val_pe_percentile(E269,[1]!td($B$2-1),$B$2-365*5,[1]!td($B$2-1))</f>
        <v>68.311403508771932</v>
      </c>
      <c r="R269" s="187">
        <f ca="1">[1]!pb_mrq(E269,[1]!td($B$2-1))</f>
        <v>4.1072292369800625</v>
      </c>
      <c r="S269" s="187">
        <f ca="1">[1]!i_val_pb_percentile(E269,[1]!td($B$2-1),$B$2-365*5,[1]!td($B$2-1))</f>
        <v>74.671052631578945</v>
      </c>
      <c r="T269" s="187">
        <f ca="1">[1]!s_val_pe_ttm([1]!to_windcode_index(H269&amp;"(申万)"),[1]!td($B$2-1))</f>
        <v>46.459999084472656</v>
      </c>
      <c r="U269" s="186"/>
      <c r="V269" s="186">
        <f ca="1">[1]!s_fa_roe(E269,$C$3)</f>
        <v>4.0286999999999997</v>
      </c>
      <c r="W269" s="186">
        <f ca="1">[1]!s_fa_grossprofitmargin(E269,$C$3)</f>
        <v>13.246700000000001</v>
      </c>
      <c r="X269" s="186">
        <f ca="1">[1]!s_fa_netprofitmargin(E269,$C$3)</f>
        <v>3.4051</v>
      </c>
      <c r="Y269" s="186">
        <f ca="1">[1]!s_fa_roic(E269,$C$3)</f>
        <v>3.1709999999999998</v>
      </c>
      <c r="Z269" s="186">
        <f ca="1">[1]!s_fa_operateincometoebt_ttm2(E269,$C$3)</f>
        <v>74.673199999999994</v>
      </c>
      <c r="AA269" s="186"/>
      <c r="AB269" s="342"/>
      <c r="AC269" s="186">
        <f ca="1">[1]!s_fa_cagr_tr($E269,AC$6,3)</f>
        <v>0</v>
      </c>
      <c r="AD269" s="186">
        <f ca="1">[1]!s_fa_cagr_tr($E269,AD$6,3)</f>
        <v>11.703817073179778</v>
      </c>
      <c r="AE269" s="187">
        <f ca="1">[1]!s_fa_cagr_tr($E269,AE$6,3)</f>
        <v>28.555025847669558</v>
      </c>
      <c r="AF269" s="187">
        <f ca="1">[1]!s_fa_cagr_tr($E269,AF$6,3)</f>
        <v>26.639678350328722</v>
      </c>
      <c r="AG269" s="187">
        <f ca="1">[1]!s_fa_cagr_tr($E269,AG$6,3)</f>
        <v>14.554889211384348</v>
      </c>
      <c r="AH269" s="187">
        <f ca="1">[1]!s_fa_cagr_tr($E269,AH$6,3)</f>
        <v>-5.3773459423449914</v>
      </c>
      <c r="AI269" s="194"/>
      <c r="AJ269" s="187">
        <f ca="1">[1]!s_fa_cagr_netprofit($E269,AJ$6,3)</f>
        <v>0</v>
      </c>
      <c r="AK269" s="187">
        <f ca="1">[1]!s_fa_cagr_netprofit($E269,AK$6,3)</f>
        <v>-10.003231220404629</v>
      </c>
      <c r="AL269" s="187">
        <f ca="1">[1]!s_fa_cagr_netprofit($E269,AL$6,3)</f>
        <v>13.182475467385956</v>
      </c>
      <c r="AM269" s="187">
        <f ca="1">[1]!s_fa_cagr_netprofit($E269,AM$6,3)</f>
        <v>11.422964600663853</v>
      </c>
      <c r="AN269" s="187">
        <f ca="1">[1]!s_fa_cagr_netprofit($E269,AN$6,3)</f>
        <v>12.133517376473101</v>
      </c>
      <c r="AO269" s="187">
        <f ca="1">[1]!s_fa_cagr_netprofit($E269,AO$6,3)</f>
        <v>10.090294048749172</v>
      </c>
      <c r="AP269" s="189"/>
      <c r="AQ269" s="202">
        <f ca="1">[1]!s_fa_dupont_roe(E269,$C$3)</f>
        <v>4.0286999999999997</v>
      </c>
      <c r="AR269" s="202">
        <f ca="1">[1]!s_fa_dupont_nptosales(B269,$C$3)</f>
        <v>3.4051</v>
      </c>
      <c r="AS269" s="237">
        <f ca="1">[1]!s_fa_dupont_faturnover(E269,$C$3)</f>
        <v>0.56169999999999998</v>
      </c>
      <c r="AT269" s="202">
        <f ca="1">[1]!s_fa_dupont_assetstoequity(E269,$C$3)</f>
        <v>2.2504</v>
      </c>
      <c r="AU269" s="189"/>
      <c r="AV269" s="189"/>
      <c r="AW269" s="189"/>
      <c r="AX269" s="189"/>
      <c r="AY269" s="189"/>
      <c r="AZ269" s="189"/>
      <c r="BA269" s="189"/>
      <c r="BB269" s="189"/>
      <c r="BC269" s="189"/>
      <c r="BD269" s="189"/>
      <c r="BE269" s="189"/>
    </row>
    <row r="270" spans="1:57" s="130" customFormat="1" ht="12" customHeight="1" x14ac:dyDescent="0.35">
      <c r="A270" s="121" t="s">
        <v>5</v>
      </c>
      <c r="B270" s="121" t="s">
        <v>126</v>
      </c>
      <c r="C270" s="121" t="s">
        <v>127</v>
      </c>
      <c r="D270" s="121" t="str">
        <f ca="1">[1]!cb_info_underlyingname(B270)</f>
        <v>飞鹿股份</v>
      </c>
      <c r="E270" s="122" t="str">
        <f ca="1">[1]!cb_info_underlyingcode(B270)</f>
        <v>300665.SZ</v>
      </c>
      <c r="F270" s="123" t="str">
        <f ca="1">[1]!s_info_industry_sw(B270,1)</f>
        <v>化工</v>
      </c>
      <c r="G270" s="123" t="str">
        <f ca="1">[1]!s_info_industry_sw(E270,2)</f>
        <v>化学制品</v>
      </c>
      <c r="H270" s="123" t="str">
        <f ca="1">[1]!s_info_industry_sw(E270,3)</f>
        <v>涂料油漆油墨制造</v>
      </c>
      <c r="I270" s="156" t="str">
        <f ca="1">[1]!s_info_majorproducttype(E270)</f>
        <v>涂料与油漆、装修工程</v>
      </c>
      <c r="J270" s="129">
        <f ca="1">[1]!s_val_ev(E270,$B$2,100000000)</f>
        <v>17.3091250485</v>
      </c>
      <c r="K270" s="157">
        <f ca="1">[1]!s_share_total(E270,$B$2,100000000)</f>
        <v>1.73264515</v>
      </c>
      <c r="L270" s="157">
        <f ca="1">[1]!s_share_liqa(E270,$B$2,100000000)</f>
        <v>1.28818045</v>
      </c>
      <c r="M270" s="125">
        <f ca="1">[1]!s_fa_gr_ttm2(E270,$C$3,100000000)</f>
        <v>5.4110095615999994</v>
      </c>
      <c r="N270" s="126">
        <f ca="1">[1]!s_fa_netprofit_ttm2(E270,$C$3,100000000)</f>
        <v>0.25499345439999999</v>
      </c>
      <c r="O270" s="125"/>
      <c r="P270" s="126">
        <f ca="1">[1]!s_val_pe_ttm(E270,[1]!td($B$2-1))</f>
        <v>66.750442504882813</v>
      </c>
      <c r="Q270" s="126">
        <f ca="1">[1]!i_val_pe_percentile(E270,[1]!td($B$2-1),$B$2-365*5,[1]!td($B$2-1))</f>
        <v>72.20426632191338</v>
      </c>
      <c r="R270" s="126">
        <f ca="1">[1]!pb_mrq(E270,[1]!td($B$2-1))</f>
        <v>3.4446008499931255</v>
      </c>
      <c r="S270" s="126">
        <f ca="1">[1]!i_val_pb_percentile(E270,[1]!td($B$2-1),$B$2-365*5,[1]!td($B$2-1))</f>
        <v>69.424692954104714</v>
      </c>
      <c r="T270" s="126">
        <f ca="1">[1]!s_val_pe_ttm([1]!to_windcode_index(H270&amp;"(申万)"),[1]!td($B$2-1))</f>
        <v>58.509998321533203</v>
      </c>
      <c r="U270" s="125"/>
      <c r="V270" s="125">
        <f ca="1">[1]!s_fa_roe(E270,$C$3)</f>
        <v>3.2212999999999998</v>
      </c>
      <c r="W270" s="125">
        <f ca="1">[1]!s_fa_grossprofitmargin(E270,$C$3)</f>
        <v>24.254000000000001</v>
      </c>
      <c r="X270" s="125">
        <f ca="1">[1]!s_fa_netprofitmargin(E270,$C$3)</f>
        <v>4.3823999999999996</v>
      </c>
      <c r="Y270" s="125">
        <f ca="1">[1]!s_fa_roic(E270,$C$3)</f>
        <v>3.2894999999999999</v>
      </c>
      <c r="Z270" s="125">
        <f ca="1">[1]!s_fa_operateincometoebt_ttm2(E270,$C$3)</f>
        <v>39.659399999999998</v>
      </c>
      <c r="AA270" s="125"/>
      <c r="AB270" s="343"/>
      <c r="AC270" s="125">
        <f ca="1">[1]!s_fa_cagr_tr($E270,AC$6,3)</f>
        <v>0</v>
      </c>
      <c r="AD270" s="125">
        <f ca="1">[1]!s_fa_cagr_tr($E270,AD$6,3)</f>
        <v>28.771855687568614</v>
      </c>
      <c r="AE270" s="126">
        <f ca="1">[1]!s_fa_cagr_tr($E270,AE$6,3)</f>
        <v>24.974489908972441</v>
      </c>
      <c r="AF270" s="126">
        <f ca="1">[1]!s_fa_cagr_tr($E270,AF$6,3)</f>
        <v>22.290821008357842</v>
      </c>
      <c r="AG270" s="126">
        <f ca="1">[1]!s_fa_cagr_tr($E270,AG$6,3)</f>
        <v>6.4365420535213103</v>
      </c>
      <c r="AH270" s="126">
        <f ca="1">[1]!s_fa_cagr_tr($E270,AH$6,3)</f>
        <v>-1.8467085401081662</v>
      </c>
      <c r="AI270" s="169"/>
      <c r="AJ270" s="126">
        <f ca="1">[1]!s_fa_cagr_netprofit($E270,AJ$6,3)</f>
        <v>0</v>
      </c>
      <c r="AK270" s="126">
        <f ca="1">[1]!s_fa_cagr_netprofit($E270,AK$6,3)</f>
        <v>-7.6353024347118437</v>
      </c>
      <c r="AL270" s="126">
        <f ca="1">[1]!s_fa_cagr_netprofit($E270,AL$6,3)</f>
        <v>-16.684591903233681</v>
      </c>
      <c r="AM270" s="126">
        <f ca="1">[1]!s_fa_cagr_netprofit($E270,AM$6,3)</f>
        <v>-7.8237261225037935</v>
      </c>
      <c r="AN270" s="126">
        <f ca="1">[1]!s_fa_cagr_netprofit($E270,AN$6,3)</f>
        <v>-2.2178978796351556</v>
      </c>
      <c r="AO270" s="126">
        <f ca="1">[1]!s_fa_cagr_netprofit($E270,AO$6,3)</f>
        <v>7.2462801688644385</v>
      </c>
      <c r="AP270" s="129"/>
      <c r="AQ270" s="203">
        <f ca="1">[1]!s_fa_dupont_roe(E270,$C$3)</f>
        <v>3.2212999999999998</v>
      </c>
      <c r="AR270" s="203">
        <f ca="1">[1]!s_fa_dupont_nptosales(B270,$C$3)</f>
        <v>4.3823999999999996</v>
      </c>
      <c r="AS270" s="238">
        <f ca="1">[1]!s_fa_dupont_faturnover(E270,$C$3)</f>
        <v>0.31309999999999999</v>
      </c>
      <c r="AT270" s="203">
        <f ca="1">[1]!s_fa_dupont_assetstoequity(E270,$C$3)</f>
        <v>2.3056999999999999</v>
      </c>
      <c r="AU270" s="129"/>
      <c r="AV270" s="129"/>
      <c r="AW270" s="129"/>
      <c r="AX270" s="129"/>
      <c r="AY270" s="129"/>
      <c r="AZ270" s="129"/>
      <c r="BA270" s="129"/>
      <c r="BB270" s="129"/>
      <c r="BC270" s="129"/>
      <c r="BD270" s="129"/>
      <c r="BE270" s="129"/>
    </row>
    <row r="271" spans="1:57" s="191" customFormat="1" ht="12" customHeight="1" x14ac:dyDescent="0.35">
      <c r="A271" s="182" t="s">
        <v>0</v>
      </c>
      <c r="B271" s="182" t="s">
        <v>138</v>
      </c>
      <c r="C271" s="182" t="s">
        <v>139</v>
      </c>
      <c r="D271" s="182" t="str">
        <f ca="1">[1]!cb_info_underlyingname(B271)</f>
        <v>火炬电子</v>
      </c>
      <c r="E271" s="183" t="str">
        <f ca="1">[1]!cb_info_underlyingcode(B271)</f>
        <v>603678.SH</v>
      </c>
      <c r="F271" s="184" t="str">
        <f ca="1">[1]!s_info_industry_sw(B271,1)</f>
        <v>国防军工</v>
      </c>
      <c r="G271" s="184" t="str">
        <f ca="1">[1]!s_info_industry_sw(E271,2)</f>
        <v>航天装备Ⅱ</v>
      </c>
      <c r="H271" s="184" t="str">
        <f ca="1">[1]!s_info_industry_sw(E271,3)</f>
        <v>航天装备Ⅲ</v>
      </c>
      <c r="I271" s="192" t="str">
        <f ca="1">[1]!s_info_majorproducttype(E271)</f>
        <v>电子元器件</v>
      </c>
      <c r="J271" s="189">
        <f ca="1">[1]!s_val_ev(E271,$B$2,100000000)</f>
        <v>339.83306078800001</v>
      </c>
      <c r="K271" s="193">
        <f ca="1">[1]!s_share_total(E271,$B$2,100000000)</f>
        <v>4.5985529200000004</v>
      </c>
      <c r="L271" s="193">
        <f ca="1">[1]!s_share_liqa(E271,$B$2,100000000)</f>
        <v>4.5902849199999993</v>
      </c>
      <c r="M271" s="186">
        <f ca="1">[1]!s_fa_gr_ttm2(E271,$C$3,100000000)</f>
        <v>33.168170323600002</v>
      </c>
      <c r="N271" s="187">
        <f ca="1">[1]!s_fa_netprofit_ttm2(E271,$C$3,100000000)</f>
        <v>5.1597980549000004</v>
      </c>
      <c r="O271" s="186"/>
      <c r="P271" s="187">
        <f ca="1">[1]!s_val_pe_ttm(E271,[1]!td($B$2-1))</f>
        <v>38.374607086181641</v>
      </c>
      <c r="Q271" s="187">
        <f ca="1">[1]!i_val_pe_percentile(E271,[1]!td($B$2-1),$B$2-365*5,[1]!td($B$2-1))</f>
        <v>41.776315789473685</v>
      </c>
      <c r="R271" s="187">
        <f ca="1">[1]!pb_mrq(E271,[1]!td($B$2-1))</f>
        <v>8.0916437165308643</v>
      </c>
      <c r="S271" s="187">
        <f ca="1">[1]!i_val_pb_percentile(E271,[1]!td($B$2-1),$B$2-365*5,[1]!td($B$2-1))</f>
        <v>93.859649122807014</v>
      </c>
      <c r="T271" s="187">
        <f ca="1">[1]!s_val_pe_ttm([1]!to_windcode_index(H271&amp;"(申万)"),[1]!td($B$2-1))</f>
        <v>64.529998779296875</v>
      </c>
      <c r="U271" s="186"/>
      <c r="V271" s="186">
        <f ca="1">[1]!s_fa_roe(E271,$C$3)</f>
        <v>12.7308</v>
      </c>
      <c r="W271" s="186">
        <f ca="1">[1]!s_fa_grossprofitmargin(E271,$C$3)</f>
        <v>31.425699999999999</v>
      </c>
      <c r="X271" s="186">
        <f ca="1">[1]!s_fa_netprofitmargin(E271,$C$3)</f>
        <v>17.690100000000001</v>
      </c>
      <c r="Y271" s="186">
        <f ca="1">[1]!s_fa_roic(E271,$C$3)</f>
        <v>10.830500000000001</v>
      </c>
      <c r="Z271" s="186">
        <f ca="1">[1]!s_fa_operateincometoebt_ttm2(E271,$C$3)</f>
        <v>95.689800000000005</v>
      </c>
      <c r="AA271" s="186"/>
      <c r="AB271" s="342"/>
      <c r="AC271" s="186">
        <f ca="1">[1]!s_fa_cagr_tr($E271,AC$6,3)</f>
        <v>0</v>
      </c>
      <c r="AD271" s="186">
        <f ca="1">[1]!s_fa_cagr_tr($E271,AD$6,3)</f>
        <v>24.64292858141701</v>
      </c>
      <c r="AE271" s="187">
        <f ca="1">[1]!s_fa_cagr_tr($E271,AE$6,3)</f>
        <v>19.583242175197757</v>
      </c>
      <c r="AF271" s="187">
        <f ca="1">[1]!s_fa_cagr_tr($E271,AF$6,3)</f>
        <v>23.133301142761443</v>
      </c>
      <c r="AG271" s="187">
        <f ca="1">[1]!s_fa_cagr_tr($E271,AG$6,3)</f>
        <v>28.4484249852079</v>
      </c>
      <c r="AH271" s="187">
        <f ca="1">[1]!s_fa_cagr_tr($E271,AH$6,3)</f>
        <v>23.152333190188259</v>
      </c>
      <c r="AI271" s="194"/>
      <c r="AJ271" s="187">
        <f ca="1">[1]!s_fa_cagr_netprofit($E271,AJ$6,3)</f>
        <v>0</v>
      </c>
      <c r="AK271" s="187">
        <f ca="1">[1]!s_fa_cagr_netprofit($E271,AK$6,3)</f>
        <v>37.049641128200193</v>
      </c>
      <c r="AL271" s="187">
        <f ca="1">[1]!s_fa_cagr_netprofit($E271,AL$6,3)</f>
        <v>25.390238862056002</v>
      </c>
      <c r="AM271" s="187">
        <f ca="1">[1]!s_fa_cagr_netprofit($E271,AM$6,3)</f>
        <v>29.46963743753248</v>
      </c>
      <c r="AN271" s="187">
        <f ca="1">[1]!s_fa_cagr_netprofit($E271,AN$6,3)</f>
        <v>19.965265598743564</v>
      </c>
      <c r="AO271" s="187">
        <f ca="1">[1]!s_fa_cagr_netprofit($E271,AO$6,3)</f>
        <v>16.969386488131356</v>
      </c>
      <c r="AP271" s="189"/>
      <c r="AQ271" s="202">
        <f ca="1">[1]!s_fa_dupont_roe(E271,$C$3)</f>
        <v>12.7308</v>
      </c>
      <c r="AR271" s="202">
        <f ca="1">[1]!s_fa_dupont_nptosales(B271,$C$3)</f>
        <v>17.690100000000001</v>
      </c>
      <c r="AS271" s="237">
        <f ca="1">[1]!s_fa_dupont_faturnover(E271,$C$3)</f>
        <v>0.50680000000000003</v>
      </c>
      <c r="AT271" s="202">
        <f ca="1">[1]!s_fa_dupont_assetstoequity(E271,$C$3)</f>
        <v>1.4617</v>
      </c>
      <c r="AU271" s="189"/>
      <c r="AV271" s="201"/>
      <c r="AW271" s="189"/>
      <c r="AX271" s="189"/>
      <c r="AY271" s="189"/>
      <c r="AZ271" s="189"/>
      <c r="BA271" s="189"/>
      <c r="BB271" s="189"/>
      <c r="BC271" s="189"/>
      <c r="BD271" s="189"/>
      <c r="BE271" s="189"/>
    </row>
    <row r="272" spans="1:57" s="130" customFormat="1" ht="12" customHeight="1" x14ac:dyDescent="0.35">
      <c r="A272" s="121" t="s">
        <v>5</v>
      </c>
      <c r="B272" s="121" t="s">
        <v>148</v>
      </c>
      <c r="C272" s="121" t="s">
        <v>149</v>
      </c>
      <c r="D272" s="121" t="str">
        <f ca="1">[1]!cb_info_underlyingname(B272)</f>
        <v>中船应急</v>
      </c>
      <c r="E272" s="122" t="str">
        <f ca="1">[1]!cb_info_underlyingcode(B272)</f>
        <v>300527.SZ</v>
      </c>
      <c r="F272" s="123" t="str">
        <f ca="1">[1]!s_info_industry_sw(B272,1)</f>
        <v>国防军工</v>
      </c>
      <c r="G272" s="123" t="str">
        <f ca="1">[1]!s_info_industry_sw(E272,2)</f>
        <v>地面兵装Ⅱ</v>
      </c>
      <c r="H272" s="123" t="str">
        <f ca="1">[1]!s_info_industry_sw(E272,3)</f>
        <v>地面兵装Ⅲ</v>
      </c>
      <c r="I272" s="156" t="str">
        <f ca="1">[1]!s_info_majorproducttype(E272)</f>
        <v>专用设备与零部件</v>
      </c>
      <c r="J272" s="129">
        <f ca="1">[1]!s_val_ev(E272,$B$2,100000000)</f>
        <v>97.667114446200003</v>
      </c>
      <c r="K272" s="157">
        <f ca="1">[1]!s_share_total(E272,$B$2,100000000)</f>
        <v>9.6318653300000001</v>
      </c>
      <c r="L272" s="157">
        <f ca="1">[1]!s_share_liqa(E272,$B$2,100000000)</f>
        <v>9.631821829999998</v>
      </c>
      <c r="M272" s="125">
        <f ca="1">[1]!s_fa_gr_ttm2(E272,$C$3,100000000)</f>
        <v>15.9185018065</v>
      </c>
      <c r="N272" s="126">
        <f ca="1">[1]!s_fa_netprofit_ttm2(E272,$C$3,100000000)</f>
        <v>0.50533455230000002</v>
      </c>
      <c r="O272" s="125"/>
      <c r="P272" s="126">
        <f ca="1">[1]!s_val_pe_ttm(E272,[1]!td($B$2-1))</f>
        <v>70.554855346679688</v>
      </c>
      <c r="Q272" s="126">
        <f ca="1">[1]!i_val_pe_percentile(E272,[1]!td($B$2-1),$B$2-365*5,[1]!td($B$2-1))</f>
        <v>69.73684210526315</v>
      </c>
      <c r="R272" s="126">
        <f ca="1">[1]!pb_mrq(E272,[1]!td($B$2-1))</f>
        <v>3.6556008403865903</v>
      </c>
      <c r="S272" s="126">
        <f ca="1">[1]!i_val_pb_percentile(E272,[1]!td($B$2-1),$B$2-365*5,[1]!td($B$2-1))</f>
        <v>25.493421052631575</v>
      </c>
      <c r="T272" s="126">
        <f ca="1">[1]!s_val_pe_ttm([1]!to_windcode_index(H272&amp;"(申万)"),[1]!td($B$2-1))</f>
        <v>38.270000457763672</v>
      </c>
      <c r="U272" s="126"/>
      <c r="V272" s="126">
        <f ca="1">[1]!s_fa_roe(E272,$C$3)</f>
        <v>-0.1734</v>
      </c>
      <c r="W272" s="126">
        <f ca="1">[1]!s_fa_grossprofitmargin(E272,$C$3)</f>
        <v>18.1477</v>
      </c>
      <c r="X272" s="126">
        <f ca="1">[1]!s_fa_netprofitmargin(E272,$C$3)</f>
        <v>-0.66839999999999999</v>
      </c>
      <c r="Y272" s="126">
        <f ca="1">[1]!s_fa_roic(E272,$C$3)</f>
        <v>0.8377</v>
      </c>
      <c r="Z272" s="126">
        <f ca="1">[1]!s_fa_operateincometoebt_ttm2(E272,$C$3)</f>
        <v>86.701599999999999</v>
      </c>
      <c r="AA272" s="125"/>
      <c r="AB272" s="343"/>
      <c r="AC272" s="125">
        <f ca="1">[1]!s_fa_cagr_tr($E272,AC$6,3)</f>
        <v>0</v>
      </c>
      <c r="AD272" s="125">
        <f ca="1">[1]!s_fa_cagr_tr($E272,AD$6,3)</f>
        <v>-6.1562568820113679</v>
      </c>
      <c r="AE272" s="126">
        <f ca="1">[1]!s_fa_cagr_tr($E272,AE$6,3)</f>
        <v>7.9410269919933274</v>
      </c>
      <c r="AF272" s="126">
        <f ca="1">[1]!s_fa_cagr_tr($E272,AF$6,3)</f>
        <v>15.532541899760965</v>
      </c>
      <c r="AG272" s="126">
        <f ca="1">[1]!s_fa_cagr_tr($E272,AG$6,3)</f>
        <v>16.652215362941725</v>
      </c>
      <c r="AH272" s="126">
        <f ca="1">[1]!s_fa_cagr_tr($E272,AH$6,3)</f>
        <v>19.669446520134759</v>
      </c>
      <c r="AI272" s="169"/>
      <c r="AJ272" s="126">
        <f ca="1">[1]!s_fa_cagr_netprofit($E272,AJ$6,3)</f>
        <v>0</v>
      </c>
      <c r="AK272" s="126">
        <f ca="1">[1]!s_fa_cagr_netprofit($E272,AK$6,3)</f>
        <v>-26.126177097242309</v>
      </c>
      <c r="AL272" s="126">
        <f ca="1">[1]!s_fa_cagr_netprofit($E272,AL$6,3)</f>
        <v>0.99681312804975608</v>
      </c>
      <c r="AM272" s="126">
        <f ca="1">[1]!s_fa_cagr_netprofit($E272,AM$6,3)</f>
        <v>18.048532557903442</v>
      </c>
      <c r="AN272" s="126">
        <f ca="1">[1]!s_fa_cagr_netprofit($E272,AN$6,3)</f>
        <v>22.359936847866013</v>
      </c>
      <c r="AO272" s="126">
        <f ca="1">[1]!s_fa_cagr_netprofit($E272,AO$6,3)</f>
        <v>19.95756556741366</v>
      </c>
      <c r="AP272" s="129"/>
      <c r="AQ272" s="203">
        <f ca="1">[1]!s_fa_dupont_roe(E272,$C$3)</f>
        <v>-0.1734</v>
      </c>
      <c r="AR272" s="203">
        <f ca="1">[1]!s_fa_dupont_nptosales(B272,$C$3)</f>
        <v>-0.66839999999999999</v>
      </c>
      <c r="AS272" s="238">
        <f ca="1">[1]!s_fa_dupont_faturnover(E272,$C$3)</f>
        <v>0.2011</v>
      </c>
      <c r="AT272" s="203">
        <f ca="1">[1]!s_fa_dupont_assetstoequity(E272,$C$3)</f>
        <v>1.77</v>
      </c>
      <c r="AU272" s="129"/>
      <c r="AV272" s="129"/>
      <c r="AW272" s="129"/>
      <c r="AX272" s="129"/>
      <c r="AY272" s="129"/>
      <c r="AZ272" s="129"/>
      <c r="BA272" s="129"/>
      <c r="BB272" s="129"/>
      <c r="BC272" s="129"/>
      <c r="BD272" s="129"/>
      <c r="BE272" s="129"/>
    </row>
    <row r="273" spans="1:57" s="191" customFormat="1" ht="12" customHeight="1" x14ac:dyDescent="0.35">
      <c r="A273" s="182" t="s">
        <v>5</v>
      </c>
      <c r="B273" s="182" t="s">
        <v>613</v>
      </c>
      <c r="C273" s="182" t="s">
        <v>614</v>
      </c>
      <c r="D273" s="182" t="str">
        <f ca="1">[1]!cb_info_underlyingname(B273)</f>
        <v>海兰信</v>
      </c>
      <c r="E273" s="183" t="str">
        <f ca="1">[1]!cb_info_underlyingcode(B273)</f>
        <v>300065.SZ</v>
      </c>
      <c r="F273" s="184" t="str">
        <f ca="1">[1]!s_info_industry_sw(B273,1)</f>
        <v>国防军工</v>
      </c>
      <c r="G273" s="184" t="str">
        <f ca="1">[1]!s_info_industry_sw(E273,2)</f>
        <v>船舶制造Ⅱ</v>
      </c>
      <c r="H273" s="184" t="str">
        <f ca="1">[1]!s_info_industry_sw(E273,3)</f>
        <v>船舶制造Ⅲ</v>
      </c>
      <c r="I273" s="192" t="str">
        <f ca="1">[1]!s_info_majorproducttype(E273)</f>
        <v>电子测试和测量仪器</v>
      </c>
      <c r="J273" s="189">
        <f ca="1">[1]!s_val_ev(E273,$B$2,100000000)</f>
        <v>69.9481756072</v>
      </c>
      <c r="K273" s="193">
        <f ca="1">[1]!s_share_total(E273,$B$2,100000000)</f>
        <v>6.1250591600000002</v>
      </c>
      <c r="L273" s="193">
        <f ca="1">[1]!s_share_liqa(E273,$B$2,100000000)</f>
        <v>5.1335803200000001</v>
      </c>
      <c r="M273" s="186">
        <f ca="1">[1]!s_fa_gr_ttm2(E273,$C$3,100000000)</f>
        <v>7.7355388046</v>
      </c>
      <c r="N273" s="187">
        <f ca="1">[1]!s_fa_netprofit_ttm2(E273,$C$3,100000000)</f>
        <v>0.47853866579999998</v>
      </c>
      <c r="O273" s="186"/>
      <c r="P273" s="187">
        <f ca="1">[1]!s_val_pe_ttm(E273,[1]!td($B$2-1))</f>
        <v>114.66240692138672</v>
      </c>
      <c r="Q273" s="187">
        <f ca="1">[1]!i_val_pe_percentile(E273,[1]!td($B$2-1),$B$2-365*5,[1]!td($B$2-1))</f>
        <v>82.182017543859658</v>
      </c>
      <c r="R273" s="187">
        <f ca="1">[1]!pb_mrq(E273,[1]!td($B$2-1))</f>
        <v>4.6165288359488681</v>
      </c>
      <c r="S273" s="187">
        <f ca="1">[1]!i_val_pb_percentile(E273,[1]!td($B$2-1),$B$2-365*5,[1]!td($B$2-1))</f>
        <v>62.445175438596493</v>
      </c>
      <c r="T273" s="187">
        <f ca="1">[1]!s_val_pe_ttm([1]!to_windcode_index(H273&amp;"(申万)"),[1]!td($B$2-1))</f>
        <v>0</v>
      </c>
      <c r="U273" s="186"/>
      <c r="V273" s="186">
        <f ca="1">[1]!s_fa_roe(E273,$C$3)</f>
        <v>2.214</v>
      </c>
      <c r="W273" s="186">
        <f ca="1">[1]!s_fa_grossprofitmargin(E273,$C$3)</f>
        <v>36.891199999999998</v>
      </c>
      <c r="X273" s="186">
        <f ca="1">[1]!s_fa_netprofitmargin(E273,$C$3)</f>
        <v>7.3731999999999998</v>
      </c>
      <c r="Y273" s="186">
        <f ca="1">[1]!s_fa_roic(E273,$C$3)</f>
        <v>2.1398999999999999</v>
      </c>
      <c r="Z273" s="186">
        <f ca="1">[1]!s_fa_operateincometoebt_ttm2(E273,$C$3)</f>
        <v>56.523200000000003</v>
      </c>
      <c r="AA273" s="186"/>
      <c r="AB273" s="342"/>
      <c r="AC273" s="186">
        <f ca="1">[1]!s_fa_cagr_tr($E273,AC$6,3)</f>
        <v>0</v>
      </c>
      <c r="AD273" s="186">
        <f ca="1">[1]!s_fa_cagr_tr($E273,AD$6,3)</f>
        <v>2.6524999880656042</v>
      </c>
      <c r="AE273" s="187">
        <f ca="1">[1]!s_fa_cagr_tr($E273,AE$6,3)</f>
        <v>4.2622620948059575</v>
      </c>
      <c r="AF273" s="187">
        <f ca="1">[1]!s_fa_cagr_tr($E273,AF$6,3)</f>
        <v>32.906798166966709</v>
      </c>
      <c r="AG273" s="187">
        <f ca="1">[1]!s_fa_cagr_tr($E273,AG$6,3)</f>
        <v>27.02628415634727</v>
      </c>
      <c r="AH273" s="187">
        <f ca="1">[1]!s_fa_cagr_tr($E273,AH$6,3)</f>
        <v>25.966737109888015</v>
      </c>
      <c r="AI273" s="194"/>
      <c r="AJ273" s="187">
        <f ca="1">[1]!s_fa_cagr_netprofit($E273,AJ$6,3)</f>
        <v>0</v>
      </c>
      <c r="AK273" s="187">
        <f ca="1">[1]!s_fa_cagr_netprofit($E273,AK$6,3)</f>
        <v>-17.945765930245305</v>
      </c>
      <c r="AL273" s="187">
        <f ca="1">[1]!s_fa_cagr_netprofit($E273,AL$6,3)</f>
        <v>7.9402426990324626</v>
      </c>
      <c r="AM273" s="187">
        <f ca="1">[1]!s_fa_cagr_netprofit($E273,AM$6,3)</f>
        <v>43.943916053883683</v>
      </c>
      <c r="AN273" s="187">
        <f ca="1">[1]!s_fa_cagr_netprofit($E273,AN$6,3)</f>
        <v>78.863056671195423</v>
      </c>
      <c r="AO273" s="187">
        <f ca="1">[1]!s_fa_cagr_netprofit($E273,AO$6,3)</f>
        <v>90.348475018824701</v>
      </c>
      <c r="AP273" s="189"/>
      <c r="AQ273" s="202">
        <f ca="1">[1]!s_fa_dupont_roe(E273,$C$3)</f>
        <v>2.214</v>
      </c>
      <c r="AR273" s="202">
        <f ca="1">[1]!s_fa_dupont_nptosales(B273,$C$3)</f>
        <v>7.3731999999999998</v>
      </c>
      <c r="AS273" s="237">
        <f ca="1">[1]!s_fa_dupont_faturnover(E273,$C$3)</f>
        <v>0.22819999999999999</v>
      </c>
      <c r="AT273" s="202">
        <f ca="1">[1]!s_fa_dupont_assetstoequity(E273,$C$3)</f>
        <v>1.2957000000000001</v>
      </c>
      <c r="AU273" s="189"/>
      <c r="AV273" s="189"/>
      <c r="AW273" s="189"/>
      <c r="AX273" s="189"/>
      <c r="AY273" s="189"/>
      <c r="AZ273" s="189"/>
      <c r="BA273" s="189"/>
      <c r="BB273" s="189"/>
      <c r="BC273" s="189"/>
      <c r="BD273" s="189"/>
      <c r="BE273" s="189"/>
    </row>
    <row r="274" spans="1:57" s="130" customFormat="1" ht="12" customHeight="1" x14ac:dyDescent="0.35">
      <c r="A274" s="121" t="s">
        <v>5</v>
      </c>
      <c r="B274" s="121" t="s">
        <v>70</v>
      </c>
      <c r="C274" s="121" t="s">
        <v>71</v>
      </c>
      <c r="D274" s="121" t="str">
        <f ca="1">[1]!cb_info_underlyingname(B274)</f>
        <v>航新科技</v>
      </c>
      <c r="E274" s="122" t="str">
        <f ca="1">[1]!cb_info_underlyingcode(B274)</f>
        <v>300424.SZ</v>
      </c>
      <c r="F274" s="123" t="str">
        <f ca="1">[1]!s_info_industry_sw(B274,1)</f>
        <v>国防军工</v>
      </c>
      <c r="G274" s="123" t="str">
        <f ca="1">[1]!s_info_industry_sw(E274,2)</f>
        <v>航空装备Ⅱ</v>
      </c>
      <c r="H274" s="123" t="str">
        <f ca="1">[1]!s_info_industry_sw(E274,3)</f>
        <v>航空装备Ⅲ</v>
      </c>
      <c r="I274" s="156" t="str">
        <f ca="1">[1]!s_info_majorproducttype(E274)</f>
        <v>航空检测维修</v>
      </c>
      <c r="J274" s="129">
        <f ca="1">[1]!s_val_ev(E274,$B$2,100000000)</f>
        <v>42.483244234200001</v>
      </c>
      <c r="K274" s="157">
        <f ca="1">[1]!s_share_total(E274,$B$2,100000000)</f>
        <v>2.3988280199999998</v>
      </c>
      <c r="L274" s="157">
        <f ca="1">[1]!s_share_liqa(E274,$B$2,100000000)</f>
        <v>2.0052379600000001</v>
      </c>
      <c r="M274" s="125">
        <f ca="1">[1]!s_fa_gr_ttm2(E274,$C$3,100000000)</f>
        <v>13.582202994000001</v>
      </c>
      <c r="N274" s="126">
        <f ca="1">[1]!s_fa_netprofit_ttm2(E274,$C$3,100000000)</f>
        <v>0.36004916640000001</v>
      </c>
      <c r="O274" s="125"/>
      <c r="P274" s="126">
        <f ca="1">[1]!s_val_pe_ttm(E274,[1]!td($B$2-1))</f>
        <v>-13.318949699401855</v>
      </c>
      <c r="Q274" s="126">
        <f ca="1">[1]!i_val_pe_percentile(E274,[1]!td($B$2-1),$B$2-365*5,[1]!td($B$2-1))</f>
        <v>0</v>
      </c>
      <c r="R274" s="126">
        <f ca="1">[1]!pb_mrq(E274,[1]!td($B$2-1))</f>
        <v>6.3038483376853209</v>
      </c>
      <c r="S274" s="126">
        <f ca="1">[1]!i_val_pb_percentile(E274,[1]!td($B$2-1),$B$2-365*5,[1]!td($B$2-1))</f>
        <v>67.406798245614027</v>
      </c>
      <c r="T274" s="126">
        <f ca="1">[1]!s_val_pe_ttm([1]!to_windcode_index(H274&amp;"(申万)"),[1]!td($B$2-1))</f>
        <v>70.260002136230469</v>
      </c>
      <c r="U274" s="126"/>
      <c r="V274" s="126">
        <f ca="1">[1]!s_fa_roe(E274,$C$3)</f>
        <v>1.9631000000000001</v>
      </c>
      <c r="W274" s="126">
        <f ca="1">[1]!s_fa_grossprofitmargin(E274,$C$3)</f>
        <v>25.839500000000001</v>
      </c>
      <c r="X274" s="126">
        <f ca="1">[1]!s_fa_netprofitmargin(E274,$C$3)</f>
        <v>2.3860000000000001</v>
      </c>
      <c r="Y274" s="126">
        <f ca="1">[1]!s_fa_roic(E274,$C$3)</f>
        <v>1.8125</v>
      </c>
      <c r="Z274" s="126">
        <f ca="1">[1]!s_fa_operateincometoebt_ttm2(E274,$C$3)</f>
        <v>-28.980799999999999</v>
      </c>
      <c r="AA274" s="125"/>
      <c r="AB274" s="343"/>
      <c r="AC274" s="125">
        <f ca="1">[1]!s_fa_cagr_tr($E274,AC$6,3)</f>
        <v>0</v>
      </c>
      <c r="AD274" s="125">
        <f ca="1">[1]!s_fa_cagr_tr($E274,AD$6,3)</f>
        <v>37.239919291995641</v>
      </c>
      <c r="AE274" s="126">
        <f ca="1">[1]!s_fa_cagr_tr($E274,AE$6,3)</f>
        <v>52.128436393212077</v>
      </c>
      <c r="AF274" s="126">
        <f ca="1">[1]!s_fa_cagr_tr($E274,AF$6,3)</f>
        <v>22.286235253786501</v>
      </c>
      <c r="AG274" s="126">
        <f ca="1">[1]!s_fa_cagr_tr($E274,AG$6,3)</f>
        <v>-2.3964041741221687</v>
      </c>
      <c r="AH274" s="126">
        <f ca="1">[1]!s_fa_cagr_tr($E274,AH$6,3)</f>
        <v>-3.7234337190479194</v>
      </c>
      <c r="AI274" s="169"/>
      <c r="AJ274" s="126">
        <f ca="1">[1]!s_fa_cagr_netprofit($E274,AJ$6,3)</f>
        <v>0</v>
      </c>
      <c r="AK274" s="126">
        <f ca="1">[1]!s_fa_cagr_netprofit($E274,AK$6,3)</f>
        <v>-269.87754371357494</v>
      </c>
      <c r="AL274" s="126">
        <f ca="1">[1]!s_fa_cagr_netprofit($E274,AL$6,3)</f>
        <v>4.1756584768509075</v>
      </c>
      <c r="AM274" s="126">
        <f ca="1">[1]!s_fa_cagr_netprofit($E274,AM$6,3)</f>
        <v>-11.350699816944331</v>
      </c>
      <c r="AN274" s="126">
        <f ca="1">[1]!s_fa_cagr_netprofit($E274,AN$6,3)</f>
        <v>-6.0537022171394561</v>
      </c>
      <c r="AO274" s="126">
        <f ca="1">[1]!s_fa_cagr_netprofit($E274,AO$6,3)</f>
        <v>-6.6306306132387638</v>
      </c>
      <c r="AP274" s="129"/>
      <c r="AQ274" s="203">
        <f ca="1">[1]!s_fa_dupont_roe(E274,$C$3)</f>
        <v>1.9631000000000001</v>
      </c>
      <c r="AR274" s="203">
        <f ca="1">[1]!s_fa_dupont_nptosales(B274,$C$3)</f>
        <v>2.3860000000000001</v>
      </c>
      <c r="AS274" s="238">
        <f ca="1">[1]!s_fa_dupont_faturnover(E274,$C$3)</f>
        <v>0.32440000000000002</v>
      </c>
      <c r="AT274" s="203">
        <f ca="1">[1]!s_fa_dupont_assetstoequity(E274,$C$3)</f>
        <v>2.3826000000000001</v>
      </c>
      <c r="AU274" s="129"/>
      <c r="AV274" s="129"/>
      <c r="AW274" s="129"/>
      <c r="AX274" s="129"/>
      <c r="AY274" s="129"/>
      <c r="AZ274" s="129"/>
      <c r="BA274" s="129"/>
      <c r="BB274" s="129"/>
      <c r="BC274" s="129"/>
      <c r="BD274" s="129"/>
      <c r="BE274" s="129"/>
    </row>
    <row r="275" spans="1:57" s="191" customFormat="1" ht="12" customHeight="1" x14ac:dyDescent="0.35">
      <c r="A275" s="182" t="s">
        <v>396</v>
      </c>
      <c r="B275" s="182" t="s">
        <v>435</v>
      </c>
      <c r="C275" s="182" t="s">
        <v>436</v>
      </c>
      <c r="D275" s="182" t="str">
        <f ca="1">[1]!cb_info_underlyingname(B275)</f>
        <v>长江电力</v>
      </c>
      <c r="E275" s="183" t="str">
        <f ca="1">[1]!cb_info_underlyingcode(B275)</f>
        <v>600900.SH</v>
      </c>
      <c r="F275" s="184" t="str">
        <f ca="1">[1]!s_info_industry_sw(B275,1)</f>
        <v>公用事业</v>
      </c>
      <c r="G275" s="184" t="str">
        <f ca="1">[1]!s_info_industry_sw(E275,2)</f>
        <v>电力</v>
      </c>
      <c r="H275" s="184" t="str">
        <f ca="1">[1]!s_info_industry_sw(E275,3)</f>
        <v>水电</v>
      </c>
      <c r="I275" s="192" t="str">
        <f ca="1">[1]!s_info_majorproducttype(E275)</f>
        <v>水电</v>
      </c>
      <c r="J275" s="189">
        <f ca="1">[1]!s_val_ev(E275,$B$2,100000000)</f>
        <v>4555.194403769</v>
      </c>
      <c r="K275" s="193">
        <f ca="1">[1]!s_share_total(E275,$B$2,100000000)</f>
        <v>227.4185923</v>
      </c>
      <c r="L275" s="193">
        <f ca="1">[1]!s_share_liqa(E275,$B$2,100000000)</f>
        <v>227.4185923</v>
      </c>
      <c r="M275" s="186">
        <f ca="1">[1]!s_fa_gr_ttm2(E275,$C$3,100000000)</f>
        <v>546.49804585430002</v>
      </c>
      <c r="N275" s="187">
        <f ca="1">[1]!s_fa_netprofit_ttm2(E275,$C$3,100000000)</f>
        <v>239.6168418995</v>
      </c>
      <c r="O275" s="186"/>
      <c r="P275" s="187">
        <f ca="1">[1]!s_val_pe_ttm(E275,[1]!td($B$2-1))</f>
        <v>16.885250091552734</v>
      </c>
      <c r="Q275" s="187">
        <f ca="1">[1]!i_val_pe_percentile(E275,[1]!td($B$2-1),$B$2-365*5,[1]!td($B$2-1))</f>
        <v>56.25</v>
      </c>
      <c r="R275" s="187">
        <f ca="1">[1]!pb_mrq(E275,[1]!td($B$2-1))</f>
        <v>2.7621720315879394</v>
      </c>
      <c r="S275" s="187">
        <f ca="1">[1]!i_val_pb_percentile(E275,[1]!td($B$2-1),$B$2-365*5,[1]!td($B$2-1))</f>
        <v>71.271929824561411</v>
      </c>
      <c r="T275" s="187">
        <f ca="1">[1]!s_val_pe_ttm([1]!to_windcode_index(H275&amp;"(申万)"),[1]!td($B$2-1))</f>
        <v>18.120000839233398</v>
      </c>
      <c r="U275" s="186"/>
      <c r="V275" s="186">
        <f ca="1">[1]!s_fa_roe(E275,$C$3)</f>
        <v>12.857699999999999</v>
      </c>
      <c r="W275" s="186">
        <f ca="1">[1]!s_fa_grossprofitmargin(E275,$C$3)</f>
        <v>63.913800000000002</v>
      </c>
      <c r="X275" s="186">
        <f ca="1">[1]!s_fa_netprofitmargin(E275,$C$3)</f>
        <v>47.483199999999997</v>
      </c>
      <c r="Y275" s="186">
        <f ca="1">[1]!s_fa_roic(E275,$C$3)</f>
        <v>8.6743000000000006</v>
      </c>
      <c r="Z275" s="186">
        <f ca="1">[1]!s_fa_operateincometoebt_ttm2(E275,$C$3)</f>
        <v>89.127799999999993</v>
      </c>
      <c r="AA275" s="186"/>
      <c r="AB275" s="342"/>
      <c r="AC275" s="186">
        <f ca="1">[1]!s_fa_cagr_tr($E275,AC$6,3)</f>
        <v>0</v>
      </c>
      <c r="AD275" s="186">
        <f ca="1">[1]!s_fa_cagr_tr($E275,AD$6,3)</f>
        <v>4.8382427891040081</v>
      </c>
      <c r="AE275" s="187">
        <f ca="1">[1]!s_fa_cagr_tr($E275,AE$6,3)</f>
        <v>0.6326259898483011</v>
      </c>
      <c r="AF275" s="187">
        <f ca="1">[1]!s_fa_cagr_tr($E275,AF$6,3)</f>
        <v>28.318951392011549</v>
      </c>
      <c r="AG275" s="187">
        <f ca="1">[1]!s_fa_cagr_tr($E275,AG$6,3)</f>
        <v>23.07665036470614</v>
      </c>
      <c r="AH275" s="187">
        <f ca="1">[1]!s_fa_cagr_tr($E275,AH$6,3)</f>
        <v>29.189126671957343</v>
      </c>
      <c r="AI275" s="194"/>
      <c r="AJ275" s="187">
        <f ca="1">[1]!s_fa_cagr_netprofit($E275,AJ$6,3)</f>
        <v>0</v>
      </c>
      <c r="AK275" s="187">
        <f ca="1">[1]!s_fa_cagr_netprofit($E275,AK$6,3)</f>
        <v>5.7124138057329299</v>
      </c>
      <c r="AL275" s="187">
        <f ca="1">[1]!s_fa_cagr_netprofit($E275,AL$6,3)</f>
        <v>1.2081045719665173</v>
      </c>
      <c r="AM275" s="187">
        <f ca="1">[1]!s_fa_cagr_netprofit($E275,AM$6,3)</f>
        <v>25.205186538581682</v>
      </c>
      <c r="AN275" s="187">
        <f ca="1">[1]!s_fa_cagr_netprofit($E275,AN$6,3)</f>
        <v>23.45809543147692</v>
      </c>
      <c r="AO275" s="187">
        <f ca="1">[1]!s_fa_cagr_netprofit($E275,AO$6,3)</f>
        <v>31.828455074271169</v>
      </c>
      <c r="AP275" s="189"/>
      <c r="AQ275" s="202">
        <f ca="1">[1]!s_fa_dupont_roe(E275,$C$3)</f>
        <v>12.857699999999999</v>
      </c>
      <c r="AR275" s="202">
        <f ca="1">[1]!s_fa_dupont_nptosales(B275,$C$3)</f>
        <v>46.878100000000003</v>
      </c>
      <c r="AS275" s="237">
        <f ca="1">[1]!s_fa_dupont_faturnover(E275,$C$3)</f>
        <v>0.1336</v>
      </c>
      <c r="AT275" s="202">
        <f ca="1">[1]!s_fa_dupont_assetstoequity(E275,$C$3)</f>
        <v>2.0364</v>
      </c>
      <c r="AU275" s="189"/>
      <c r="AV275" s="201"/>
      <c r="AW275" s="189"/>
      <c r="AX275" s="189"/>
      <c r="AY275" s="189"/>
      <c r="AZ275" s="189"/>
      <c r="BA275" s="189"/>
      <c r="BB275" s="189"/>
      <c r="BC275" s="189"/>
      <c r="BD275" s="189"/>
      <c r="BE275" s="189"/>
    </row>
    <row r="276" spans="1:57" s="130" customFormat="1" ht="12" customHeight="1" x14ac:dyDescent="0.35">
      <c r="A276" s="121" t="s">
        <v>0</v>
      </c>
      <c r="B276" s="121" t="s">
        <v>320</v>
      </c>
      <c r="C276" s="121" t="s">
        <v>321</v>
      </c>
      <c r="D276" s="121" t="str">
        <f ca="1">[1]!cb_info_underlyingname(B276)</f>
        <v>中国核电</v>
      </c>
      <c r="E276" s="122" t="str">
        <f ca="1">[1]!cb_info_underlyingcode(B276)</f>
        <v>601985.SH</v>
      </c>
      <c r="F276" s="123" t="str">
        <f ca="1">[1]!s_info_industry_sw(B276,1)</f>
        <v>公用事业</v>
      </c>
      <c r="G276" s="123" t="str">
        <f ca="1">[1]!s_info_industry_sw(E276,2)</f>
        <v>电力</v>
      </c>
      <c r="H276" s="123" t="str">
        <f ca="1">[1]!s_info_industry_sw(E276,3)</f>
        <v>新能源发电</v>
      </c>
      <c r="I276" s="156" t="str">
        <f ca="1">[1]!s_info_majorproducttype(E276)</f>
        <v>核电</v>
      </c>
      <c r="J276" s="129">
        <f ca="1">[1]!s_val_ev(E276,$B$2,100000000)</f>
        <v>1028.1595285828998</v>
      </c>
      <c r="K276" s="157">
        <f ca="1">[1]!s_share_total(E276,$B$2,100000000)</f>
        <v>174.56019161</v>
      </c>
      <c r="L276" s="157">
        <f ca="1">[1]!s_share_liqa(E276,$B$2,100000000)</f>
        <v>170.08257967999998</v>
      </c>
      <c r="M276" s="125">
        <f ca="1">[1]!s_fa_gr_ttm2(E276,$C$3,100000000)</f>
        <v>491.23050648339995</v>
      </c>
      <c r="N276" s="126">
        <f ca="1">[1]!s_fa_netprofit_ttm2(E276,$C$3,100000000)</f>
        <v>58.365652736999998</v>
      </c>
      <c r="O276" s="125"/>
      <c r="P276" s="126">
        <f ca="1">[1]!s_val_pe_ttm(E276,[1]!td($B$2-1))</f>
        <v>13.7178955078125</v>
      </c>
      <c r="Q276" s="126">
        <f ca="1">[1]!i_val_pe_percentile(E276,[1]!td($B$2-1),$B$2-365*5,[1]!td($B$2-1))</f>
        <v>10.910087719298247</v>
      </c>
      <c r="R276" s="126">
        <f ca="1">[1]!pb_mrq(E276,[1]!td($B$2-1))</f>
        <v>1.6482628711664464</v>
      </c>
      <c r="S276" s="126">
        <f ca="1">[1]!i_val_pb_percentile(E276,[1]!td($B$2-1),$B$2-365*5,[1]!td($B$2-1))</f>
        <v>36.129385964912281</v>
      </c>
      <c r="T276" s="126">
        <f ca="1">[1]!s_val_pe_ttm([1]!to_windcode_index(H276&amp;"(申万)"),[1]!td($B$2-1))</f>
        <v>28.909999847412109</v>
      </c>
      <c r="U276" s="125"/>
      <c r="V276" s="125">
        <f ca="1">[1]!s_fa_roe(E276,$C$3)</f>
        <v>9.0592000000000006</v>
      </c>
      <c r="W276" s="125">
        <f ca="1">[1]!s_fa_grossprofitmargin(E276,$C$3)</f>
        <v>46.459899999999998</v>
      </c>
      <c r="X276" s="125">
        <f ca="1">[1]!s_fa_netprofitmargin(E276,$C$3)</f>
        <v>23.585100000000001</v>
      </c>
      <c r="Y276" s="125">
        <f ca="1">[1]!s_fa_roic(E276,$C$3)</f>
        <v>4.0678000000000001</v>
      </c>
      <c r="Z276" s="125">
        <f ca="1">[1]!s_fa_operateincometoebt_ttm2(E276,$C$3)</f>
        <v>89.789199999999994</v>
      </c>
      <c r="AA276" s="125"/>
      <c r="AB276" s="343"/>
      <c r="AC276" s="125">
        <f ca="1">[1]!s_fa_cagr_tr($E276,AC$6,3)</f>
        <v>0</v>
      </c>
      <c r="AD276" s="125">
        <f ca="1">[1]!s_fa_cagr_tr($E276,AD$6,3)</f>
        <v>15.886387756205034</v>
      </c>
      <c r="AE276" s="126">
        <f ca="1">[1]!s_fa_cagr_tr($E276,AE$6,3)</f>
        <v>15.35804021434728</v>
      </c>
      <c r="AF276" s="126">
        <f ca="1">[1]!s_fa_cagr_tr($E276,AF$6,3)</f>
        <v>14.473711133337353</v>
      </c>
      <c r="AG276" s="126">
        <f ca="1">[1]!s_fa_cagr_tr($E276,AG$6,3)</f>
        <v>21.342032720082326</v>
      </c>
      <c r="AH276" s="126">
        <f ca="1">[1]!s_fa_cagr_tr($E276,AH$6,3)</f>
        <v>18.397447641984478</v>
      </c>
      <c r="AI276" s="169"/>
      <c r="AJ276" s="126">
        <f ca="1">[1]!s_fa_cagr_netprofit($E276,AJ$6,3)</f>
        <v>0</v>
      </c>
      <c r="AK276" s="126">
        <f ca="1">[1]!s_fa_cagr_netprofit($E276,AK$6,3)</f>
        <v>10.055055918829513</v>
      </c>
      <c r="AL276" s="126">
        <f ca="1">[1]!s_fa_cagr_netprofit($E276,AL$6,3)</f>
        <v>0.91164604018303397</v>
      </c>
      <c r="AM276" s="126">
        <f ca="1">[1]!s_fa_cagr_netprofit($E276,AM$6,3)</f>
        <v>7.8008624547362126</v>
      </c>
      <c r="AN276" s="126">
        <f ca="1">[1]!s_fa_cagr_netprofit($E276,AN$6,3)</f>
        <v>22.085176484433731</v>
      </c>
      <c r="AO276" s="126">
        <f ca="1">[1]!s_fa_cagr_netprofit($E276,AO$6,3)</f>
        <v>21.93443118637337</v>
      </c>
      <c r="AP276" s="129"/>
      <c r="AQ276" s="203">
        <f ca="1">[1]!s_fa_dupont_roe(E276,$C$3)</f>
        <v>9.0592000000000006</v>
      </c>
      <c r="AR276" s="203">
        <f ca="1">[1]!s_fa_dupont_nptosales(B276,$C$3)</f>
        <v>23.585100000000001</v>
      </c>
      <c r="AS276" s="238">
        <f ca="1">[1]!s_fa_dupont_faturnover(E276,$C$3)</f>
        <v>0.10440000000000001</v>
      </c>
      <c r="AT276" s="203">
        <f ca="1">[1]!s_fa_dupont_assetstoequity(E276,$C$3)</f>
        <v>6.5293999999999999</v>
      </c>
      <c r="AU276" s="129"/>
      <c r="AV276" s="129"/>
      <c r="AW276" s="129"/>
      <c r="AX276" s="129"/>
      <c r="AY276" s="129"/>
      <c r="AZ276" s="129"/>
      <c r="BA276" s="129"/>
      <c r="BB276" s="129"/>
      <c r="BC276" s="129"/>
      <c r="BD276" s="129"/>
      <c r="BE276" s="129"/>
    </row>
    <row r="277" spans="1:57" s="191" customFormat="1" ht="12" customHeight="1" x14ac:dyDescent="0.35">
      <c r="A277" s="182" t="s">
        <v>0</v>
      </c>
      <c r="B277" s="182" t="s">
        <v>256</v>
      </c>
      <c r="C277" s="182" t="s">
        <v>257</v>
      </c>
      <c r="D277" s="182" t="str">
        <f ca="1">[1]!cb_info_underlyingname(B277)</f>
        <v>川投能源</v>
      </c>
      <c r="E277" s="183" t="str">
        <f ca="1">[1]!cb_info_underlyingcode(B277)</f>
        <v>600674.SH</v>
      </c>
      <c r="F277" s="184" t="str">
        <f ca="1">[1]!s_info_industry_sw(B277,1)</f>
        <v>公用事业</v>
      </c>
      <c r="G277" s="184" t="str">
        <f ca="1">[1]!s_info_industry_sw(E277,2)</f>
        <v>电力</v>
      </c>
      <c r="H277" s="184" t="str">
        <f ca="1">[1]!s_info_industry_sw(E277,3)</f>
        <v>水电</v>
      </c>
      <c r="I277" s="192" t="str">
        <f ca="1">[1]!s_info_majorproducttype(E277)</f>
        <v>半导体太阳能光伏、电子设备及加工、水电、通信线缆</v>
      </c>
      <c r="J277" s="189">
        <f ca="1">[1]!s_val_ev(E277,$B$2,100000000)</f>
        <v>536.65850701680006</v>
      </c>
      <c r="K277" s="193">
        <f ca="1">[1]!s_share_total(E277,$B$2,100000000)</f>
        <v>44.060632759999997</v>
      </c>
      <c r="L277" s="193">
        <f ca="1">[1]!s_share_liqa(E277,$B$2,100000000)</f>
        <v>44.060632759999997</v>
      </c>
      <c r="M277" s="186">
        <f ca="1">[1]!s_fa_gr_ttm2(E277,$C$3,100000000)</f>
        <v>9.1093231663999994</v>
      </c>
      <c r="N277" s="187">
        <f ca="1">[1]!s_fa_netprofit_ttm2(E277,$C$3,100000000)</f>
        <v>30.254530227199997</v>
      </c>
      <c r="O277" s="186"/>
      <c r="P277" s="187">
        <f ca="1">[1]!s_val_pe_ttm(E277,[1]!td($B$2-1))</f>
        <v>16.617042541503906</v>
      </c>
      <c r="Q277" s="187">
        <f ca="1">[1]!i_val_pe_percentile(E277,[1]!td($B$2-1),$B$2-365*5,[1]!td($B$2-1))</f>
        <v>96.984649122807014</v>
      </c>
      <c r="R277" s="187">
        <f ca="1">[1]!pb_mrq(E277,[1]!td($B$2-1))</f>
        <v>1.8554346435737219</v>
      </c>
      <c r="S277" s="187">
        <f ca="1">[1]!i_val_pb_percentile(E277,[1]!td($B$2-1),$B$2-365*5,[1]!td($B$2-1))</f>
        <v>66.392543859649123</v>
      </c>
      <c r="T277" s="187">
        <f ca="1">[1]!s_val_pe_ttm([1]!to_windcode_index(H277&amp;"(申万)"),[1]!td($B$2-1))</f>
        <v>18.120000839233398</v>
      </c>
      <c r="U277" s="186"/>
      <c r="V277" s="186">
        <f ca="1">[1]!s_fa_roe(E277,$C$3)</f>
        <v>9.7669999999999995</v>
      </c>
      <c r="W277" s="186">
        <f ca="1">[1]!s_fa_grossprofitmargin(E277,$C$3)</f>
        <v>46.869700000000002</v>
      </c>
      <c r="X277" s="186">
        <f ca="1">[1]!s_fa_netprofitmargin(E277,$C$3)</f>
        <v>421.90109999999999</v>
      </c>
      <c r="Y277" s="186">
        <f ca="1">[1]!s_fa_roic(E277,$C$3)</f>
        <v>8.0326000000000004</v>
      </c>
      <c r="Z277" s="186">
        <f ca="1">[1]!s_fa_operateincometoebt_ttm2(E277,$C$3)</f>
        <v>-2.8441000000000001</v>
      </c>
      <c r="AA277" s="186"/>
      <c r="AB277" s="342"/>
      <c r="AC277" s="186">
        <f ca="1">[1]!s_fa_cagr_tr($E277,AC$6,3)</f>
        <v>0</v>
      </c>
      <c r="AD277" s="186">
        <f ca="1">[1]!s_fa_cagr_tr($E277,AD$6,3)</f>
        <v>8.8459739078783564</v>
      </c>
      <c r="AE277" s="187">
        <f ca="1">[1]!s_fa_cagr_tr($E277,AE$6,3)</f>
        <v>-5.7493002029637363</v>
      </c>
      <c r="AF277" s="187">
        <f ca="1">[1]!s_fa_cagr_tr($E277,AF$6,3)</f>
        <v>-8.2094470049972283</v>
      </c>
      <c r="AG277" s="187">
        <f ca="1">[1]!s_fa_cagr_tr($E277,AG$6,3)</f>
        <v>-10.161635739237607</v>
      </c>
      <c r="AH277" s="187">
        <f ca="1">[1]!s_fa_cagr_tr($E277,AH$6,3)</f>
        <v>-4.457819266049956</v>
      </c>
      <c r="AI277" s="194"/>
      <c r="AJ277" s="187">
        <f ca="1">[1]!s_fa_cagr_netprofit($E277,AJ$6,3)</f>
        <v>0</v>
      </c>
      <c r="AK277" s="187">
        <f ca="1">[1]!s_fa_cagr_netprofit($E277,AK$6,3)</f>
        <v>-1.0638099879385909</v>
      </c>
      <c r="AL277" s="187">
        <f ca="1">[1]!s_fa_cagr_netprofit($E277,AL$6,3)</f>
        <v>-5.7175343244194039</v>
      </c>
      <c r="AM277" s="187">
        <f ca="1">[1]!s_fa_cagr_netprofit($E277,AM$6,3)</f>
        <v>-2.6778097261291101</v>
      </c>
      <c r="AN277" s="187">
        <f ca="1">[1]!s_fa_cagr_netprofit($E277,AN$6,3)</f>
        <v>-2.0778322750748202</v>
      </c>
      <c r="AO277" s="187">
        <f ca="1">[1]!s_fa_cagr_netprofit($E277,AO$6,3)</f>
        <v>37.03803834571675</v>
      </c>
      <c r="AP277" s="189"/>
      <c r="AQ277" s="202">
        <f ca="1">[1]!s_fa_dupont_roe(E277,$C$3)</f>
        <v>9.7669999999999995</v>
      </c>
      <c r="AR277" s="202">
        <f ca="1">[1]!s_fa_dupont_nptosales(B277,$C$3)</f>
        <v>421.90109999999999</v>
      </c>
      <c r="AS277" s="237">
        <f ca="1">[1]!s_fa_dupont_faturnover(E277,$C$3)</f>
        <v>1.6500000000000001E-2</v>
      </c>
      <c r="AT277" s="202">
        <f ca="1">[1]!s_fa_dupont_assetstoequity(E277,$C$3)</f>
        <v>1.4212</v>
      </c>
      <c r="AU277" s="189"/>
      <c r="AV277" s="189"/>
      <c r="AW277" s="189"/>
      <c r="AX277" s="189"/>
      <c r="AY277" s="189"/>
      <c r="AZ277" s="189"/>
      <c r="BA277" s="189"/>
      <c r="BB277" s="189"/>
      <c r="BC277" s="189"/>
      <c r="BD277" s="189"/>
      <c r="BE277" s="189"/>
    </row>
    <row r="278" spans="1:57" s="130" customFormat="1" ht="12" customHeight="1" x14ac:dyDescent="0.35">
      <c r="A278" s="121" t="s">
        <v>0</v>
      </c>
      <c r="B278" s="121" t="s">
        <v>559</v>
      </c>
      <c r="C278" s="121" t="s">
        <v>560</v>
      </c>
      <c r="D278" s="121" t="str">
        <f ca="1">[1]!cb_info_underlyingname(B278)</f>
        <v>伟明环保</v>
      </c>
      <c r="E278" s="122" t="str">
        <f ca="1">[1]!cb_info_underlyingcode(B278)</f>
        <v>603568.SH</v>
      </c>
      <c r="F278" s="123" t="str">
        <f ca="1">[1]!s_info_industry_sw(B278,1)</f>
        <v>公用事业</v>
      </c>
      <c r="G278" s="123" t="str">
        <f ca="1">[1]!s_info_industry_sw(E278,2)</f>
        <v>环保工程及服务Ⅱ</v>
      </c>
      <c r="H278" s="123" t="str">
        <f ca="1">[1]!s_info_industry_sw(E278,3)</f>
        <v>环保工程及服务Ⅲ</v>
      </c>
      <c r="I278" s="156" t="str">
        <f ca="1">[1]!s_info_majorproducttype(E278)</f>
        <v>火电</v>
      </c>
      <c r="J278" s="129">
        <f ca="1">[1]!s_val_ev(E278,$B$2,100000000)</f>
        <v>369.67481850420006</v>
      </c>
      <c r="K278" s="157">
        <f ca="1">[1]!s_share_total(E278,$B$2,100000000)</f>
        <v>12.565425510000001</v>
      </c>
      <c r="L278" s="157">
        <f ca="1">[1]!s_share_liqa(E278,$B$2,100000000)</f>
        <v>12.565425510000001</v>
      </c>
      <c r="M278" s="125">
        <f ca="1">[1]!s_fa_gr_ttm2(E278,$C$3,100000000)</f>
        <v>26.320105318200003</v>
      </c>
      <c r="N278" s="126">
        <f ca="1">[1]!s_fa_netprofit_ttm2(E278,$C$3,100000000)</f>
        <v>11.366258614500001</v>
      </c>
      <c r="O278" s="125"/>
      <c r="P278" s="126">
        <f ca="1">[1]!s_val_pe_ttm(E278,[1]!td($B$2-1))</f>
        <v>24.11341667175293</v>
      </c>
      <c r="Q278" s="126">
        <f ca="1">[1]!i_val_pe_percentile(E278,[1]!td($B$2-1),$B$2-365*5,[1]!td($B$2-1))</f>
        <v>34.594298245614034</v>
      </c>
      <c r="R278" s="126">
        <f ca="1">[1]!pb_mrq(E278,[1]!td($B$2-1))</f>
        <v>6.5258693039007225</v>
      </c>
      <c r="S278" s="126">
        <f ca="1">[1]!i_val_pb_percentile(E278,[1]!td($B$2-1),$B$2-365*5,[1]!td($B$2-1))</f>
        <v>55.701754385964911</v>
      </c>
      <c r="T278" s="126">
        <f ca="1">[1]!s_val_pe_ttm([1]!to_windcode_index(H278&amp;"(申万)"),[1]!td($B$2-1))</f>
        <v>24.350000381469727</v>
      </c>
      <c r="U278" s="125"/>
      <c r="V278" s="125">
        <f ca="1">[1]!s_fa_roe(E278,$C$3)</f>
        <v>19.6601</v>
      </c>
      <c r="W278" s="125">
        <f ca="1">[1]!s_fa_grossprofitmargin(E278,$C$3)</f>
        <v>55.770600000000002</v>
      </c>
      <c r="X278" s="125">
        <f ca="1">[1]!s_fa_netprofitmargin(E278,$C$3)</f>
        <v>42.521299999999997</v>
      </c>
      <c r="Y278" s="125">
        <f ca="1">[1]!s_fa_roic(E278,$C$3)</f>
        <v>15.67</v>
      </c>
      <c r="Z278" s="125">
        <f ca="1">[1]!s_fa_operateincometoebt_ttm2(E278,$C$3)</f>
        <v>92.712100000000007</v>
      </c>
      <c r="AA278" s="125"/>
      <c r="AB278" s="343"/>
      <c r="AC278" s="125">
        <f ca="1">[1]!s_fa_cagr_tr($E278,AC$6,3)</f>
        <v>0</v>
      </c>
      <c r="AD278" s="125">
        <f ca="1">[1]!s_fa_cagr_tr($E278,AD$6,3)</f>
        <v>44.769547300985543</v>
      </c>
      <c r="AE278" s="126">
        <f ca="1">[1]!s_fa_cagr_tr($E278,AE$6,3)</f>
        <v>43.261397608516859</v>
      </c>
      <c r="AF278" s="126">
        <f ca="1">[1]!s_fa_cagr_tr($E278,AF$6,3)</f>
        <v>31.84421469942189</v>
      </c>
      <c r="AG278" s="126">
        <f ca="1">[1]!s_fa_cagr_tr($E278,AG$6,3)</f>
        <v>15.564306716934162</v>
      </c>
      <c r="AH278" s="126">
        <f ca="1">[1]!s_fa_cagr_tr($E278,AH$6,3)</f>
        <v>9.3231196786413442</v>
      </c>
      <c r="AI278" s="169"/>
      <c r="AJ278" s="126">
        <f ca="1">[1]!s_fa_cagr_netprofit($E278,AJ$6,3)</f>
        <v>0</v>
      </c>
      <c r="AK278" s="126">
        <f ca="1">[1]!s_fa_cagr_netprofit($E278,AK$6,3)</f>
        <v>35.366985871087664</v>
      </c>
      <c r="AL278" s="126">
        <f ca="1">[1]!s_fa_cagr_netprofit($E278,AL$6,3)</f>
        <v>43.675549782469481</v>
      </c>
      <c r="AM278" s="126">
        <f ca="1">[1]!s_fa_cagr_netprofit($E278,AM$6,3)</f>
        <v>36.442131469488224</v>
      </c>
      <c r="AN278" s="126">
        <f ca="1">[1]!s_fa_cagr_netprofit($E278,AN$6,3)</f>
        <v>31.55693242108153</v>
      </c>
      <c r="AO278" s="126">
        <f ca="1">[1]!s_fa_cagr_netprofit($E278,AO$6,3)</f>
        <v>24.327268853291905</v>
      </c>
      <c r="AP278" s="129"/>
      <c r="AQ278" s="203">
        <f ca="1">[1]!s_fa_dupont_roe(E278,$C$3)</f>
        <v>19.6601</v>
      </c>
      <c r="AR278" s="203">
        <f ca="1">[1]!s_fa_dupont_nptosales(B278,$C$3)</f>
        <v>42.521299999999997</v>
      </c>
      <c r="AS278" s="238">
        <f ca="1">[1]!s_fa_dupont_faturnover(E278,$C$3)</f>
        <v>0.27800000000000002</v>
      </c>
      <c r="AT278" s="203">
        <f ca="1">[1]!s_fa_dupont_assetstoequity(E278,$C$3)</f>
        <v>1.6617</v>
      </c>
      <c r="AU278" s="129"/>
      <c r="AV278" s="129"/>
      <c r="AW278" s="129"/>
      <c r="AX278" s="129"/>
      <c r="AY278" s="129"/>
      <c r="AZ278" s="129"/>
      <c r="BA278" s="129"/>
      <c r="BB278" s="129"/>
      <c r="BC278" s="129"/>
      <c r="BD278" s="129"/>
      <c r="BE278" s="129"/>
    </row>
    <row r="279" spans="1:57" s="191" customFormat="1" ht="12" customHeight="1" x14ac:dyDescent="0.35">
      <c r="A279" s="182" t="s">
        <v>5</v>
      </c>
      <c r="B279" s="182" t="s">
        <v>630</v>
      </c>
      <c r="C279" s="182" t="s">
        <v>631</v>
      </c>
      <c r="D279" s="182" t="str">
        <f ca="1">[1]!cb_info_underlyingname(B279)</f>
        <v>盈峰环境</v>
      </c>
      <c r="E279" s="183" t="str">
        <f ca="1">[1]!cb_info_underlyingcode(B279)</f>
        <v>000967.SZ</v>
      </c>
      <c r="F279" s="184" t="str">
        <f ca="1">[1]!s_info_industry_sw(B279,1)</f>
        <v>公用事业</v>
      </c>
      <c r="G279" s="184" t="str">
        <f ca="1">[1]!s_info_industry_sw(E279,2)</f>
        <v>环保工程及服务Ⅱ</v>
      </c>
      <c r="H279" s="184" t="str">
        <f ca="1">[1]!s_info_industry_sw(E279,3)</f>
        <v>环保工程及服务Ⅲ</v>
      </c>
      <c r="I279" s="192" t="str">
        <f ca="1">[1]!s_info_majorproducttype(E279)</f>
        <v>风泵机械、环保机械、环卫服务、输电设备</v>
      </c>
      <c r="J279" s="189">
        <f ca="1">[1]!s_val_ev(E279,$B$2,100000000)</f>
        <v>205.60059032500001</v>
      </c>
      <c r="K279" s="193">
        <f ca="1">[1]!s_share_total(E279,$B$2,100000000)</f>
        <v>31.630860049999999</v>
      </c>
      <c r="L279" s="193">
        <f ca="1">[1]!s_share_liqa(E279,$B$2,100000000)</f>
        <v>20.234866870000001</v>
      </c>
      <c r="M279" s="186">
        <f ca="1">[1]!s_fa_gr_ttm2(E279,$C$3,100000000)</f>
        <v>134.2445666516</v>
      </c>
      <c r="N279" s="187">
        <f ca="1">[1]!s_fa_netprofit_ttm2(E279,$C$3,100000000)</f>
        <v>12.9500897501</v>
      </c>
      <c r="O279" s="186"/>
      <c r="P279" s="187">
        <f ca="1">[1]!s_val_pe_ttm(E279,[1]!td($B$2-1))</f>
        <v>16.699806213378906</v>
      </c>
      <c r="Q279" s="187">
        <f ca="1">[1]!i_val_pe_percentile(E279,[1]!td($B$2-1),$B$2-365*5,[1]!td($B$2-1))</f>
        <v>18.338815789473685</v>
      </c>
      <c r="R279" s="187">
        <f ca="1">[1]!pb_mrq(E279,[1]!td($B$2-1))</f>
        <v>1.2681456064337682</v>
      </c>
      <c r="S279" s="187">
        <f ca="1">[1]!i_val_pb_percentile(E279,[1]!td($B$2-1),$B$2-365*5,[1]!td($B$2-1))</f>
        <v>12.088815789473683</v>
      </c>
      <c r="T279" s="187">
        <f ca="1">[1]!s_val_pe_ttm([1]!to_windcode_index(H279&amp;"(申万)"),[1]!td($B$2-1))</f>
        <v>24.350000381469727</v>
      </c>
      <c r="U279" s="187"/>
      <c r="V279" s="187">
        <f ca="1">[1]!s_fa_roe(E279,$C$3)</f>
        <v>5.6692999999999998</v>
      </c>
      <c r="W279" s="187">
        <f ca="1">[1]!s_fa_grossprofitmargin(E279,$C$3)</f>
        <v>24.666599999999999</v>
      </c>
      <c r="X279" s="187">
        <f ca="1">[1]!s_fa_netprofitmargin(E279,$C$3)</f>
        <v>9.9176000000000002</v>
      </c>
      <c r="Y279" s="187">
        <f ca="1">[1]!s_fa_roic(E279,$C$3)</f>
        <v>5.2450999999999999</v>
      </c>
      <c r="Z279" s="187">
        <f ca="1">[1]!s_fa_operateincometoebt_ttm2(E279,$C$3)</f>
        <v>103.8009</v>
      </c>
      <c r="AA279" s="186"/>
      <c r="AB279" s="342"/>
      <c r="AC279" s="186">
        <f ca="1">[1]!s_fa_cagr_tr($E279,AC$6,3)</f>
        <v>0</v>
      </c>
      <c r="AD279" s="186">
        <f ca="1">[1]!s_fa_cagr_tr($E279,AD$6,3)</f>
        <v>43.027022002370209</v>
      </c>
      <c r="AE279" s="187">
        <f ca="1">[1]!s_fa_cagr_tr($E279,AE$6,3)</f>
        <v>55.03207280983704</v>
      </c>
      <c r="AF279" s="187">
        <f ca="1">[1]!s_fa_cagr_tr($E279,AF$6,3)</f>
        <v>62.453956461646513</v>
      </c>
      <c r="AG279" s="187">
        <f ca="1">[1]!s_fa_cagr_tr($E279,AG$6,3)</f>
        <v>17.505988158785414</v>
      </c>
      <c r="AH279" s="187">
        <f ca="1">[1]!s_fa_cagr_tr($E279,AH$6,3)</f>
        <v>7.9933144999977168</v>
      </c>
      <c r="AI279" s="194"/>
      <c r="AJ279" s="187">
        <f ca="1">[1]!s_fa_cagr_netprofit($E279,AJ$6,3)</f>
        <v>0</v>
      </c>
      <c r="AK279" s="187">
        <f ca="1">[1]!s_fa_cagr_netprofit($E279,AK$6,3)</f>
        <v>57.829001700912698</v>
      </c>
      <c r="AL279" s="187">
        <f ca="1">[1]!s_fa_cagr_netprofit($E279,AL$6,3)</f>
        <v>76.934680878215616</v>
      </c>
      <c r="AM279" s="187">
        <f ca="1">[1]!s_fa_cagr_netprofit($E279,AM$6,3)</f>
        <v>102.334048273562</v>
      </c>
      <c r="AN279" s="187">
        <f ca="1">[1]!s_fa_cagr_netprofit($E279,AN$6,3)</f>
        <v>79.952365273501542</v>
      </c>
      <c r="AO279" s="187">
        <f ca="1">[1]!s_fa_cagr_netprofit($E279,AO$6,3)</f>
        <v>66.641231366350468</v>
      </c>
      <c r="AP279" s="189"/>
      <c r="AQ279" s="202">
        <f ca="1">[1]!s_fa_dupont_roe(E279,$C$3)</f>
        <v>5.6692999999999998</v>
      </c>
      <c r="AR279" s="202">
        <f ca="1">[1]!s_fa_dupont_nptosales(B279,$C$3)</f>
        <v>9.9176000000000002</v>
      </c>
      <c r="AS279" s="237">
        <f ca="1">[1]!s_fa_dupont_faturnover(E279,$C$3)</f>
        <v>0.36599999999999999</v>
      </c>
      <c r="AT279" s="202">
        <f ca="1">[1]!s_fa_dupont_assetstoequity(E279,$C$3)</f>
        <v>1.6313</v>
      </c>
      <c r="AU279" s="189"/>
      <c r="AV279" s="201"/>
      <c r="AW279" s="189"/>
      <c r="AX279" s="189"/>
      <c r="AY279" s="189"/>
      <c r="AZ279" s="189"/>
      <c r="BA279" s="189"/>
      <c r="BB279" s="189"/>
      <c r="BC279" s="189"/>
      <c r="BD279" s="189"/>
      <c r="BE279" s="189"/>
    </row>
    <row r="280" spans="1:57" s="130" customFormat="1" ht="12" customHeight="1" x14ac:dyDescent="0.35">
      <c r="A280" s="121" t="s">
        <v>0</v>
      </c>
      <c r="B280" s="121" t="s">
        <v>158</v>
      </c>
      <c r="C280" s="121" t="s">
        <v>159</v>
      </c>
      <c r="D280" s="121" t="str">
        <f ca="1">[1]!cb_info_underlyingname(B280)</f>
        <v>瀚蓝环境</v>
      </c>
      <c r="E280" s="122" t="str">
        <f ca="1">[1]!cb_info_underlyingcode(B280)</f>
        <v>600323.SH</v>
      </c>
      <c r="F280" s="123" t="str">
        <f ca="1">[1]!s_info_industry_sw(B280,1)</f>
        <v>公用事业</v>
      </c>
      <c r="G280" s="123" t="str">
        <f ca="1">[1]!s_info_industry_sw(E280,2)</f>
        <v>环保工程及服务Ⅱ</v>
      </c>
      <c r="H280" s="123" t="str">
        <f ca="1">[1]!s_info_industry_sw(E280,3)</f>
        <v>环保工程及服务Ⅲ</v>
      </c>
      <c r="I280" s="156" t="str">
        <f ca="1">[1]!s_info_majorproducttype(E280)</f>
        <v>市政供水、污水处理、余热发电</v>
      </c>
      <c r="J280" s="129">
        <f ca="1">[1]!s_val_ev(E280,$B$2,100000000)</f>
        <v>195.60178032539997</v>
      </c>
      <c r="K280" s="157">
        <f ca="1">[1]!s_share_total(E280,$B$2,100000000)</f>
        <v>8.1534714600000004</v>
      </c>
      <c r="L280" s="157">
        <f ca="1">[1]!s_share_liqa(E280,$B$2,100000000)</f>
        <v>8.1534714600000004</v>
      </c>
      <c r="M280" s="125">
        <f ca="1">[1]!s_fa_gr_ttm2(E280,$C$3,100000000)</f>
        <v>70.384178812900004</v>
      </c>
      <c r="N280" s="126">
        <f ca="1">[1]!s_fa_netprofit_ttm2(E280,$C$3,100000000)</f>
        <v>9.4483760782000008</v>
      </c>
      <c r="O280" s="125"/>
      <c r="P280" s="126">
        <f ca="1">[1]!s_val_pe_ttm(E280,[1]!td($B$2-1))</f>
        <v>15.986950874328613</v>
      </c>
      <c r="Q280" s="126">
        <f ca="1">[1]!i_val_pe_percentile(E280,[1]!td($B$2-1),$B$2-365*5,[1]!td($B$2-1))</f>
        <v>30.372807017543856</v>
      </c>
      <c r="R280" s="126">
        <f ca="1">[1]!pb_mrq(E280,[1]!td($B$2-1))</f>
        <v>2.1899918829038989</v>
      </c>
      <c r="S280" s="126">
        <f ca="1">[1]!i_val_pb_percentile(E280,[1]!td($B$2-1),$B$2-365*5,[1]!td($B$2-1))</f>
        <v>34.210526315789473</v>
      </c>
      <c r="T280" s="126">
        <f ca="1">[1]!s_val_pe_ttm([1]!to_windcode_index(H280&amp;"(申万)"),[1]!td($B$2-1))</f>
        <v>24.350000381469727</v>
      </c>
      <c r="U280" s="126"/>
      <c r="V280" s="126">
        <f ca="1">[1]!s_fa_roe(E280,$C$3)</f>
        <v>11.1343</v>
      </c>
      <c r="W280" s="126">
        <f ca="1">[1]!s_fa_grossprofitmargin(E280,$C$3)</f>
        <v>30.23</v>
      </c>
      <c r="X280" s="126">
        <f ca="1">[1]!s_fa_netprofitmargin(E280,$C$3)</f>
        <v>14.963800000000001</v>
      </c>
      <c r="Y280" s="126">
        <f ca="1">[1]!s_fa_roic(E280,$C$3)</f>
        <v>6.0217999999999998</v>
      </c>
      <c r="Z280" s="126">
        <f ca="1">[1]!s_fa_operateincometoebt_ttm2(E280,$C$3)</f>
        <v>84.475899999999996</v>
      </c>
      <c r="AA280" s="125"/>
      <c r="AB280" s="343"/>
      <c r="AC280" s="125">
        <f ca="1">[1]!s_fa_cagr_tr($E280,AC$6,3)</f>
        <v>0</v>
      </c>
      <c r="AD280" s="125">
        <f ca="1">[1]!s_fa_cagr_tr($E280,AD$6,3)</f>
        <v>21.201180465531209</v>
      </c>
      <c r="AE280" s="126">
        <f ca="1">[1]!s_fa_cagr_tr($E280,AE$6,3)</f>
        <v>18.623844621206143</v>
      </c>
      <c r="AF280" s="126">
        <f ca="1">[1]!s_fa_cagr_tr($E280,AF$6,3)</f>
        <v>13.036823135331876</v>
      </c>
      <c r="AG280" s="126">
        <f ca="1">[1]!s_fa_cagr_tr($E280,AG$6,3)</f>
        <v>19.941888573325016</v>
      </c>
      <c r="AH280" s="126">
        <f ca="1">[1]!s_fa_cagr_tr($E280,AH$6,3)</f>
        <v>54.458792293383731</v>
      </c>
      <c r="AI280" s="169"/>
      <c r="AJ280" s="126">
        <f ca="1">[1]!s_fa_cagr_netprofit($E280,AJ$6,3)</f>
        <v>0</v>
      </c>
      <c r="AK280" s="126">
        <f ca="1">[1]!s_fa_cagr_netprofit($E280,AK$6,3)</f>
        <v>17.477761088692656</v>
      </c>
      <c r="AL280" s="126">
        <f ca="1">[1]!s_fa_cagr_netprofit($E280,AL$6,3)</f>
        <v>21.519145486103607</v>
      </c>
      <c r="AM280" s="126">
        <f ca="1">[1]!s_fa_cagr_netprofit($E280,AM$6,3)</f>
        <v>29.525271066911806</v>
      </c>
      <c r="AN280" s="126">
        <f ca="1">[1]!s_fa_cagr_netprofit($E280,AN$6,3)</f>
        <v>28.316884439877455</v>
      </c>
      <c r="AO280" s="126">
        <f ca="1">[1]!s_fa_cagr_netprofit($E280,AO$6,3)</f>
        <v>29.554646154441965</v>
      </c>
      <c r="AP280" s="129"/>
      <c r="AQ280" s="203">
        <f ca="1">[1]!s_fa_dupont_roe(E280,$C$3)</f>
        <v>11.1343</v>
      </c>
      <c r="AR280" s="203">
        <f ca="1">[1]!s_fa_dupont_nptosales(B280,$C$3)</f>
        <v>14.963800000000001</v>
      </c>
      <c r="AS280" s="238">
        <f ca="1">[1]!s_fa_dupont_faturnover(E280,$C$3)</f>
        <v>0.22969999999999999</v>
      </c>
      <c r="AT280" s="203">
        <f ca="1">[1]!s_fa_dupont_assetstoequity(E280,$C$3)</f>
        <v>3.2465000000000002</v>
      </c>
      <c r="AU280" s="129"/>
      <c r="AV280" s="129"/>
      <c r="AW280" s="129"/>
      <c r="AX280" s="129"/>
      <c r="AY280" s="129"/>
      <c r="AZ280" s="129"/>
      <c r="BA280" s="129"/>
      <c r="BB280" s="129"/>
      <c r="BC280" s="129"/>
      <c r="BD280" s="129"/>
      <c r="BE280" s="129"/>
    </row>
    <row r="281" spans="1:57" s="191" customFormat="1" ht="12" customHeight="1" x14ac:dyDescent="0.35">
      <c r="A281" s="182" t="s">
        <v>0</v>
      </c>
      <c r="B281" s="182" t="s">
        <v>386</v>
      </c>
      <c r="C281" s="182" t="s">
        <v>387</v>
      </c>
      <c r="D281" s="182" t="str">
        <f ca="1">[1]!cb_info_underlyingname(B281)</f>
        <v>福能股份</v>
      </c>
      <c r="E281" s="183" t="str">
        <f ca="1">[1]!cb_info_underlyingcode(B281)</f>
        <v>600483.SH</v>
      </c>
      <c r="F281" s="184" t="str">
        <f ca="1">[1]!s_info_industry_sw(B281,1)</f>
        <v>公用事业</v>
      </c>
      <c r="G281" s="184" t="str">
        <f ca="1">[1]!s_info_industry_sw(E281,2)</f>
        <v>电力</v>
      </c>
      <c r="H281" s="184" t="str">
        <f ca="1">[1]!s_info_industry_sw(E281,3)</f>
        <v>火电</v>
      </c>
      <c r="I281" s="192" t="str">
        <f ca="1">[1]!s_info_majorproducttype(E281)</f>
        <v>产业用纺织品、其他纺织品及原料、热力、衣着用纺织品、余热发电</v>
      </c>
      <c r="J281" s="189">
        <f ca="1">[1]!s_val_ev(E281,$B$2,100000000)</f>
        <v>281.08318431039999</v>
      </c>
      <c r="K281" s="193">
        <f ca="1">[1]!s_share_total(E281,$B$2,100000000)</f>
        <v>18.689041510000003</v>
      </c>
      <c r="L281" s="193">
        <f ca="1">[1]!s_share_liqa(E281,$B$2,100000000)</f>
        <v>16.603631950000004</v>
      </c>
      <c r="M281" s="186">
        <f ca="1">[1]!s_fa_gr_ttm2(E281,$C$3,100000000)</f>
        <v>87.139017592399995</v>
      </c>
      <c r="N281" s="187">
        <f ca="1">[1]!s_fa_netprofit_ttm2(E281,$C$3,100000000)</f>
        <v>10.730446280800001</v>
      </c>
      <c r="O281" s="186"/>
      <c r="P281" s="187">
        <f ca="1">[1]!s_val_pe_ttm(E281,[1]!td($B$2-1))</f>
        <v>13.622525215148926</v>
      </c>
      <c r="Q281" s="187">
        <f ca="1">[1]!i_val_pe_percentile(E281,[1]!td($B$2-1),$B$2-365*5,[1]!td($B$2-1))</f>
        <v>60.307017543859651</v>
      </c>
      <c r="R281" s="187">
        <f ca="1">[1]!pb_mrq(E281,[1]!td($B$2-1))</f>
        <v>1.7124857555330573</v>
      </c>
      <c r="S281" s="187">
        <f ca="1">[1]!i_val_pb_percentile(E281,[1]!td($B$2-1),$B$2-365*5,[1]!td($B$2-1))</f>
        <v>88.212719298245617</v>
      </c>
      <c r="T281" s="187">
        <f ca="1">[1]!s_val_pe_ttm([1]!to_windcode_index(H281&amp;"(申万)"),[1]!td($B$2-1))</f>
        <v>15.300000190734863</v>
      </c>
      <c r="U281" s="187"/>
      <c r="V281" s="187">
        <f ca="1">[1]!s_fa_roe(E281,$C$3)</f>
        <v>5.9550000000000001</v>
      </c>
      <c r="W281" s="187">
        <f ca="1">[1]!s_fa_grossprofitmargin(E281,$C$3)</f>
        <v>17.662299999999998</v>
      </c>
      <c r="X281" s="187">
        <f ca="1">[1]!s_fa_netprofitmargin(E281,$C$3)</f>
        <v>12.8147</v>
      </c>
      <c r="Y281" s="187">
        <f ca="1">[1]!s_fa_roic(E281,$C$3)</f>
        <v>3.7435999999999998</v>
      </c>
      <c r="Z281" s="187">
        <f ca="1">[1]!s_fa_operateincometoebt_ttm2(E281,$C$3)</f>
        <v>64.214399999999998</v>
      </c>
      <c r="AA281" s="186"/>
      <c r="AB281" s="342"/>
      <c r="AC281" s="186">
        <f ca="1">[1]!s_fa_cagr_tr($E281,AC$6,3)</f>
        <v>0</v>
      </c>
      <c r="AD281" s="186">
        <f ca="1">[1]!s_fa_cagr_tr($E281,AD$6,3)</f>
        <v>12.018109454053615</v>
      </c>
      <c r="AE281" s="187">
        <f ca="1">[1]!s_fa_cagr_tr($E281,AE$6,3)</f>
        <v>16.060089165064049</v>
      </c>
      <c r="AF281" s="187">
        <f ca="1">[1]!s_fa_cagr_tr($E281,AF$6,3)</f>
        <v>9.3308562116471769</v>
      </c>
      <c r="AG281" s="187">
        <f ca="1">[1]!s_fa_cagr_tr($E281,AG$6,3)</f>
        <v>5.3861969052266589</v>
      </c>
      <c r="AH281" s="187">
        <f ca="1">[1]!s_fa_cagr_tr($E281,AH$6,3)</f>
        <v>75.360953902272087</v>
      </c>
      <c r="AI281" s="194"/>
      <c r="AJ281" s="187">
        <f ca="1">[1]!s_fa_cagr_netprofit($E281,AJ$6,3)</f>
        <v>0</v>
      </c>
      <c r="AK281" s="187">
        <f ca="1">[1]!s_fa_cagr_netprofit($E281,AK$6,3)</f>
        <v>21.02440753138881</v>
      </c>
      <c r="AL281" s="187">
        <f ca="1">[1]!s_fa_cagr_netprofit($E281,AL$6,3)</f>
        <v>7.0259436746273218</v>
      </c>
      <c r="AM281" s="187">
        <f ca="1">[1]!s_fa_cagr_netprofit($E281,AM$6,3)</f>
        <v>-0.40709402604948153</v>
      </c>
      <c r="AN281" s="187">
        <f ca="1">[1]!s_fa_cagr_netprofit($E281,AN$6,3)</f>
        <v>1.9778530466443733</v>
      </c>
      <c r="AO281" s="187">
        <f ca="1">[1]!s_fa_cagr_netprofit($E281,AO$6,3)</f>
        <v>261.66357876048545</v>
      </c>
      <c r="AP281" s="189"/>
      <c r="AQ281" s="202">
        <f ca="1">[1]!s_fa_dupont_roe(E281,$C$3)</f>
        <v>5.9550000000000001</v>
      </c>
      <c r="AR281" s="202">
        <f ca="1">[1]!s_fa_dupont_nptosales(B281,$C$3)</f>
        <v>12.8147</v>
      </c>
      <c r="AS281" s="237">
        <f ca="1">[1]!s_fa_dupont_faturnover(E281,$C$3)</f>
        <v>0.20349999999999999</v>
      </c>
      <c r="AT281" s="202">
        <f ca="1">[1]!s_fa_dupont_assetstoequity(E281,$C$3)</f>
        <v>2.2271999999999998</v>
      </c>
      <c r="AU281" s="189"/>
      <c r="AV281" s="189"/>
      <c r="AW281" s="189"/>
      <c r="AX281" s="189"/>
      <c r="AY281" s="189"/>
      <c r="AZ281" s="189"/>
      <c r="BA281" s="189"/>
      <c r="BB281" s="189"/>
      <c r="BC281" s="189"/>
      <c r="BD281" s="189"/>
      <c r="BE281" s="189"/>
    </row>
    <row r="282" spans="1:57" s="130" customFormat="1" ht="12" customHeight="1" x14ac:dyDescent="0.35">
      <c r="A282" s="121" t="s">
        <v>0</v>
      </c>
      <c r="B282" s="121" t="s">
        <v>461</v>
      </c>
      <c r="C282" s="121" t="s">
        <v>462</v>
      </c>
      <c r="D282" s="121" t="str">
        <f ca="1">[1]!cb_info_underlyingname(B282)</f>
        <v>内蒙华电</v>
      </c>
      <c r="E282" s="122" t="str">
        <f ca="1">[1]!cb_info_underlyingcode(B282)</f>
        <v>600863.SH</v>
      </c>
      <c r="F282" s="123" t="str">
        <f ca="1">[1]!s_info_industry_sw(B282,1)</f>
        <v>公用事业</v>
      </c>
      <c r="G282" s="123" t="str">
        <f ca="1">[1]!s_info_industry_sw(E282,2)</f>
        <v>电力</v>
      </c>
      <c r="H282" s="123" t="str">
        <f ca="1">[1]!s_info_industry_sw(E282,3)</f>
        <v>火电</v>
      </c>
      <c r="I282" s="156" t="str">
        <f ca="1">[1]!s_info_majorproducttype(E282)</f>
        <v>火电、热力、市政供水</v>
      </c>
      <c r="J282" s="129">
        <f ca="1">[1]!s_val_ev(E282,$B$2,100000000)</f>
        <v>199.8139324512</v>
      </c>
      <c r="K282" s="157">
        <f ca="1">[1]!s_share_total(E282,$B$2,100000000)</f>
        <v>58.08544547999999</v>
      </c>
      <c r="L282" s="157">
        <f ca="1">[1]!s_share_liqa(E282,$B$2,100000000)</f>
        <v>58.08544547999999</v>
      </c>
      <c r="M282" s="125">
        <f ca="1">[1]!s_fa_gr_ttm2(E282,$C$3,100000000)</f>
        <v>152.79893995959998</v>
      </c>
      <c r="N282" s="126">
        <f ca="1">[1]!s_fa_netprofit_ttm2(E282,$C$3,100000000)</f>
        <v>10.850733071199999</v>
      </c>
      <c r="O282" s="125"/>
      <c r="P282" s="126">
        <f ca="1">[1]!s_val_pe_ttm(E282,[1]!td($B$2-1))</f>
        <v>38.644283294677734</v>
      </c>
      <c r="Q282" s="126">
        <f ca="1">[1]!i_val_pe_percentile(E282,[1]!td($B$2-1),$B$2-365*5,[1]!td($B$2-1))</f>
        <v>70.010964912280699</v>
      </c>
      <c r="R282" s="126">
        <f ca="1">[1]!pb_mrq(E282,[1]!td($B$2-1))</f>
        <v>1.8031677560417394</v>
      </c>
      <c r="S282" s="126">
        <f ca="1">[1]!i_val_pb_percentile(E282,[1]!td($B$2-1),$B$2-365*5,[1]!td($B$2-1))</f>
        <v>94.024122807017534</v>
      </c>
      <c r="T282" s="126">
        <f ca="1">[1]!s_val_pe_ttm([1]!to_windcode_index(H282&amp;"(申万)"),[1]!td($B$2-1))</f>
        <v>15.300000190734863</v>
      </c>
      <c r="U282" s="125"/>
      <c r="V282" s="125">
        <f ca="1">[1]!s_fa_roe(E282,$C$3)</f>
        <v>7.0461999999999998</v>
      </c>
      <c r="W282" s="125">
        <f ca="1">[1]!s_fa_grossprofitmargin(E282,$C$3)</f>
        <v>17.328900000000001</v>
      </c>
      <c r="X282" s="125">
        <f ca="1">[1]!s_fa_netprofitmargin(E282,$C$3)</f>
        <v>9.7647999999999993</v>
      </c>
      <c r="Y282" s="125">
        <f ca="1">[1]!s_fa_roic(E282,$C$3)</f>
        <v>4.3063000000000002</v>
      </c>
      <c r="Z282" s="125">
        <f ca="1">[1]!s_fa_operateincometoebt_ttm2(E282,$C$3)</f>
        <v>73.255499999999998</v>
      </c>
      <c r="AA282" s="125"/>
      <c r="AB282" s="343"/>
      <c r="AC282" s="125">
        <f ca="1">[1]!s_fa_cagr_tr($E282,AC$6,3)</f>
        <v>0</v>
      </c>
      <c r="AD282" s="125">
        <f ca="1">[1]!s_fa_cagr_tr($E282,AD$6,3)</f>
        <v>9.2418187682025597</v>
      </c>
      <c r="AE282" s="126">
        <f ca="1">[1]!s_fa_cagr_tr($E282,AE$6,3)</f>
        <v>16.373721673856089</v>
      </c>
      <c r="AF282" s="126">
        <f ca="1">[1]!s_fa_cagr_tr($E282,AF$6,3)</f>
        <v>8.2663900780480581</v>
      </c>
      <c r="AG282" s="126">
        <f ca="1">[1]!s_fa_cagr_tr($E282,AG$6,3)</f>
        <v>-4.7482496278643644</v>
      </c>
      <c r="AH282" s="126">
        <f ca="1">[1]!s_fa_cagr_tr($E282,AH$6,3)</f>
        <v>-8.9083818436195052</v>
      </c>
      <c r="AI282" s="169"/>
      <c r="AJ282" s="126">
        <f ca="1">[1]!s_fa_cagr_netprofit($E282,AJ$6,3)</f>
        <v>0</v>
      </c>
      <c r="AK282" s="126">
        <f ca="1">[1]!s_fa_cagr_netprofit($E282,AK$6,3)</f>
        <v>13.86734534787546</v>
      </c>
      <c r="AL282" s="126">
        <f ca="1">[1]!s_fa_cagr_netprofit($E282,AL$6,3)</f>
        <v>49.155845241962439</v>
      </c>
      <c r="AM282" s="126">
        <f ca="1">[1]!s_fa_cagr_netprofit($E282,AM$6,3)</f>
        <v>3.8328558448996297</v>
      </c>
      <c r="AN282" s="126">
        <f ca="1">[1]!s_fa_cagr_netprofit($E282,AN$6,3)</f>
        <v>-27.737237530509063</v>
      </c>
      <c r="AO282" s="126">
        <f ca="1">[1]!s_fa_cagr_netprofit($E282,AO$6,3)</f>
        <v>-37.694969327940719</v>
      </c>
      <c r="AP282" s="129"/>
      <c r="AQ282" s="203">
        <f ca="1">[1]!s_fa_dupont_roe(E282,$C$3)</f>
        <v>7.0461999999999998</v>
      </c>
      <c r="AR282" s="203">
        <f ca="1">[1]!s_fa_dupont_nptosales(B282,$C$3)</f>
        <v>9.7647999999999993</v>
      </c>
      <c r="AS282" s="238">
        <f ca="1">[1]!s_fa_dupont_faturnover(E282,$C$3)</f>
        <v>0.25490000000000002</v>
      </c>
      <c r="AT282" s="203">
        <f ca="1">[1]!s_fa_dupont_assetstoequity(E282,$C$3)</f>
        <v>3.1427</v>
      </c>
      <c r="AU282" s="129"/>
      <c r="AV282" s="129"/>
      <c r="AW282" s="129"/>
      <c r="AX282" s="129"/>
      <c r="AY282" s="129"/>
      <c r="AZ282" s="129"/>
      <c r="BA282" s="129"/>
      <c r="BB282" s="129"/>
      <c r="BC282" s="129"/>
      <c r="BD282" s="129"/>
      <c r="BE282" s="129"/>
    </row>
    <row r="283" spans="1:57" s="191" customFormat="1" ht="12" customHeight="1" x14ac:dyDescent="0.35">
      <c r="A283" s="182" t="s">
        <v>5</v>
      </c>
      <c r="B283" s="182" t="s">
        <v>650</v>
      </c>
      <c r="C283" s="182" t="s">
        <v>651</v>
      </c>
      <c r="D283" s="182" t="str">
        <f ca="1">[1]!cb_info_underlyingname(B283)</f>
        <v>侨银股份</v>
      </c>
      <c r="E283" s="183" t="str">
        <f ca="1">[1]!cb_info_underlyingcode(B283)</f>
        <v>002973.SZ</v>
      </c>
      <c r="F283" s="184" t="str">
        <f ca="1">[1]!s_info_industry_sw(B283,1)</f>
        <v>公用事业</v>
      </c>
      <c r="G283" s="184" t="str">
        <f ca="1">[1]!s_info_industry_sw(E283,2)</f>
        <v>环保工程及服务Ⅱ</v>
      </c>
      <c r="H283" s="184" t="str">
        <f ca="1">[1]!s_info_industry_sw(E283,3)</f>
        <v>环保工程及服务Ⅲ</v>
      </c>
      <c r="I283" s="192" t="str">
        <f ca="1">[1]!s_info_majorproducttype(E283)</f>
        <v>环卫服务</v>
      </c>
      <c r="J283" s="189">
        <f ca="1">[1]!s_val_ev(E283,$B$2,100000000)</f>
        <v>66.244041955900002</v>
      </c>
      <c r="K283" s="193">
        <f ca="1">[1]!s_share_total(E283,$B$2,100000000)</f>
        <v>4.0866157899999997</v>
      </c>
      <c r="L283" s="193">
        <f ca="1">[1]!s_share_liqa(E283,$B$2,100000000)</f>
        <v>1.06472601</v>
      </c>
      <c r="M283" s="186">
        <f ca="1">[1]!s_fa_gr_ttm2(E283,$C$3,100000000)</f>
        <v>28.133635597199998</v>
      </c>
      <c r="N283" s="187">
        <f ca="1">[1]!s_fa_netprofit_ttm2(E283,$C$3,100000000)</f>
        <v>3.2474242341000004</v>
      </c>
      <c r="O283" s="186"/>
      <c r="P283" s="187">
        <f ca="1">[1]!s_val_pe_ttm(E283,[1]!td($B$2-1))</f>
        <v>19.508901596069336</v>
      </c>
      <c r="Q283" s="187">
        <f ca="1">[1]!i_val_pe_percentile(E283,[1]!td($B$2-1),$B$2-365*5,[1]!td($B$2-1))</f>
        <v>20.491803278688526</v>
      </c>
      <c r="R283" s="187">
        <f ca="1">[1]!pb_mrq(E283,[1]!td($B$2-1))</f>
        <v>4.3341836323202987</v>
      </c>
      <c r="S283" s="187">
        <f ca="1">[1]!i_val_pb_percentile(E283,[1]!td($B$2-1),$B$2-365*5,[1]!td($B$2-1))</f>
        <v>6.2295081967213122</v>
      </c>
      <c r="T283" s="187">
        <f ca="1">[1]!s_val_pe_ttm([1]!to_windcode_index(H283&amp;"(申万)"),[1]!td($B$2-1))</f>
        <v>24.350000381469727</v>
      </c>
      <c r="U283" s="187"/>
      <c r="V283" s="187">
        <f ca="1">[1]!s_fa_roe(E283,$C$3)</f>
        <v>24.5061</v>
      </c>
      <c r="W283" s="187">
        <f ca="1">[1]!s_fa_grossprofitmargin(E283,$C$3)</f>
        <v>29.067399999999999</v>
      </c>
      <c r="X283" s="187">
        <f ca="1">[1]!s_fa_netprofitmargin(E283,$C$3)</f>
        <v>14.962199999999999</v>
      </c>
      <c r="Y283" s="187">
        <f ca="1">[1]!s_fa_roic(E283,$C$3)</f>
        <v>12.7287</v>
      </c>
      <c r="Z283" s="187">
        <f ca="1">[1]!s_fa_operateincometoebt_ttm2(E283,$C$3)</f>
        <v>95.6785</v>
      </c>
      <c r="AA283" s="186"/>
      <c r="AB283" s="342"/>
      <c r="AC283" s="186">
        <f ca="1">[1]!s_fa_cagr_tr($E283,AC$6,3)</f>
        <v>0</v>
      </c>
      <c r="AD283" s="186">
        <f ca="1">[1]!s_fa_cagr_tr($E283,AD$6,3)</f>
        <v>33.579128507457568</v>
      </c>
      <c r="AE283" s="187">
        <f ca="1">[1]!s_fa_cagr_tr($E283,AE$6,3)</f>
        <v>36.551459649491449</v>
      </c>
      <c r="AF283" s="187">
        <f ca="1">[1]!s_fa_cagr_tr($E283,AF$6,3)</f>
        <v>44.126940135852323</v>
      </c>
      <c r="AG283" s="187">
        <f ca="1">[1]!s_fa_cagr_tr($E283,AG$6,3)</f>
        <v>0</v>
      </c>
      <c r="AH283" s="187">
        <f ca="1">[1]!s_fa_cagr_tr($E283,AH$6,3)</f>
        <v>0</v>
      </c>
      <c r="AI283" s="194"/>
      <c r="AJ283" s="187">
        <f ca="1">[1]!s_fa_cagr_netprofit($E283,AJ$6,3)</f>
        <v>0</v>
      </c>
      <c r="AK283" s="187">
        <f ca="1">[1]!s_fa_cagr_netprofit($E283,AK$6,3)</f>
        <v>61.163497853743308</v>
      </c>
      <c r="AL283" s="187">
        <f ca="1">[1]!s_fa_cagr_netprofit($E283,AL$6,3)</f>
        <v>9.6718976231834795</v>
      </c>
      <c r="AM283" s="187">
        <f ca="1">[1]!s_fa_cagr_netprofit($E283,AM$6,3)</f>
        <v>23.800850175909538</v>
      </c>
      <c r="AN283" s="187">
        <f ca="1">[1]!s_fa_cagr_netprofit($E283,AN$6,3)</f>
        <v>0</v>
      </c>
      <c r="AO283" s="187">
        <f ca="1">[1]!s_fa_cagr_netprofit($E283,AO$6,3)</f>
        <v>0</v>
      </c>
      <c r="AP283" s="189"/>
      <c r="AQ283" s="202">
        <f ca="1">[1]!s_fa_dupont_roe(E283,$C$3)</f>
        <v>24.5061</v>
      </c>
      <c r="AR283" s="202">
        <f ca="1">[1]!s_fa_dupont_nptosales(B283,$C$3)</f>
        <v>14.962199999999999</v>
      </c>
      <c r="AS283" s="237">
        <f ca="1">[1]!s_fa_dupont_faturnover(E283,$C$3)</f>
        <v>0.61890000000000001</v>
      </c>
      <c r="AT283" s="202">
        <f ca="1">[1]!s_fa_dupont_assetstoequity(E283,$C$3)</f>
        <v>2.9628000000000001</v>
      </c>
      <c r="AU283" s="189"/>
      <c r="AV283" s="201"/>
      <c r="AW283" s="189"/>
      <c r="AX283" s="189"/>
      <c r="AY283" s="189"/>
      <c r="AZ283" s="189"/>
      <c r="BA283" s="189"/>
      <c r="BB283" s="189"/>
      <c r="BC283" s="189"/>
      <c r="BD283" s="189"/>
      <c r="BE283" s="189"/>
    </row>
    <row r="284" spans="1:57" s="130" customFormat="1" ht="12" customHeight="1" x14ac:dyDescent="0.35">
      <c r="A284" s="121" t="s">
        <v>0</v>
      </c>
      <c r="B284" s="121" t="s">
        <v>30</v>
      </c>
      <c r="C284" s="121" t="s">
        <v>31</v>
      </c>
      <c r="D284" s="121" t="str">
        <f ca="1">[1]!cb_info_underlyingname(B284)</f>
        <v>嘉泽新能</v>
      </c>
      <c r="E284" s="122" t="str">
        <f ca="1">[1]!cb_info_underlyingcode(B284)</f>
        <v>601619.SH</v>
      </c>
      <c r="F284" s="123" t="str">
        <f ca="1">[1]!s_info_industry_sw(B284,1)</f>
        <v>公用事业</v>
      </c>
      <c r="G284" s="123" t="str">
        <f ca="1">[1]!s_info_industry_sw(E284,2)</f>
        <v>电力</v>
      </c>
      <c r="H284" s="123" t="str">
        <f ca="1">[1]!s_info_industry_sw(E284,3)</f>
        <v>新能源发电</v>
      </c>
      <c r="I284" s="156" t="str">
        <f ca="1">[1]!s_info_majorproducttype(E284)</f>
        <v>半导体太阳能光伏、风电</v>
      </c>
      <c r="J284" s="129">
        <f ca="1">[1]!s_val_ev(E284,$B$2,100000000)</f>
        <v>125.63475515360001</v>
      </c>
      <c r="K284" s="157">
        <f ca="1">[1]!s_share_total(E284,$B$2,100000000)</f>
        <v>23.615555480000001</v>
      </c>
      <c r="L284" s="157">
        <f ca="1">[1]!s_share_liqa(E284,$B$2,100000000)</f>
        <v>22.925855479999999</v>
      </c>
      <c r="M284" s="125">
        <f ca="1">[1]!s_fa_gr_ttm2(E284,$C$3,100000000)</f>
        <v>10.765803688499998</v>
      </c>
      <c r="N284" s="126">
        <f ca="1">[1]!s_fa_netprofit_ttm2(E284,$C$3,100000000)</f>
        <v>2.5147104875999999</v>
      </c>
      <c r="O284" s="125"/>
      <c r="P284" s="126">
        <f ca="1">[1]!s_val_pe_ttm(E284,[1]!td($B$2-1))</f>
        <v>37.725296020507813</v>
      </c>
      <c r="Q284" s="126">
        <f ca="1">[1]!i_val_pe_percentile(E284,[1]!td($B$2-1),$B$2-365*5,[1]!td($B$2-1))</f>
        <v>63.576158940397356</v>
      </c>
      <c r="R284" s="126">
        <f ca="1">[1]!pb_mrq(E284,[1]!td($B$2-1))</f>
        <v>2.878415010548204</v>
      </c>
      <c r="S284" s="126">
        <f ca="1">[1]!i_val_pb_percentile(E284,[1]!td($B$2-1),$B$2-365*5,[1]!td($B$2-1))</f>
        <v>46.88741721854305</v>
      </c>
      <c r="T284" s="126">
        <f ca="1">[1]!s_val_pe_ttm([1]!to_windcode_index(H284&amp;"(申万)"),[1]!td($B$2-1))</f>
        <v>28.909999847412109</v>
      </c>
      <c r="U284" s="126"/>
      <c r="V284" s="126">
        <f ca="1">[1]!s_fa_roe(E284,$C$3)</f>
        <v>5.5263999999999998</v>
      </c>
      <c r="W284" s="126">
        <f ca="1">[1]!s_fa_grossprofitmargin(E284,$C$3)</f>
        <v>54.237400000000001</v>
      </c>
      <c r="X284" s="126">
        <f ca="1">[1]!s_fa_netprofitmargin(E284,$C$3)</f>
        <v>24.114699999999999</v>
      </c>
      <c r="Y284" s="126">
        <f ca="1">[1]!s_fa_roic(E284,$C$3)</f>
        <v>4.4309000000000003</v>
      </c>
      <c r="Z284" s="126">
        <f ca="1">[1]!s_fa_operateincometoebt_ttm2(E284,$C$3)</f>
        <v>94.810900000000004</v>
      </c>
      <c r="AA284" s="125"/>
      <c r="AB284" s="343"/>
      <c r="AC284" s="125">
        <f ca="1">[1]!s_fa_cagr_tr($E284,AC$6,3)</f>
        <v>0</v>
      </c>
      <c r="AD284" s="125">
        <f ca="1">[1]!s_fa_cagr_tr($E284,AD$6,3)</f>
        <v>6.7472813121237207</v>
      </c>
      <c r="AE284" s="126">
        <f ca="1">[1]!s_fa_cagr_tr($E284,AE$6,3)</f>
        <v>17.269168601585115</v>
      </c>
      <c r="AF284" s="126">
        <f ca="1">[1]!s_fa_cagr_tr($E284,AF$6,3)</f>
        <v>41.707006284653005</v>
      </c>
      <c r="AG284" s="126">
        <f ca="1">[1]!s_fa_cagr_tr($E284,AG$6,3)</f>
        <v>28.799302250269676</v>
      </c>
      <c r="AH284" s="126">
        <f ca="1">[1]!s_fa_cagr_tr($E284,AH$6,3)</f>
        <v>42.875481364706822</v>
      </c>
      <c r="AI284" s="169"/>
      <c r="AJ284" s="126">
        <f ca="1">[1]!s_fa_cagr_netprofit($E284,AJ$6,3)</f>
        <v>0</v>
      </c>
      <c r="AK284" s="126">
        <f ca="1">[1]!s_fa_cagr_netprofit($E284,AK$6,3)</f>
        <v>6.2840718816280949</v>
      </c>
      <c r="AL284" s="126">
        <f ca="1">[1]!s_fa_cagr_netprofit($E284,AL$6,3)</f>
        <v>28.880024008568729</v>
      </c>
      <c r="AM284" s="126">
        <f ca="1">[1]!s_fa_cagr_netprofit($E284,AM$6,3)</f>
        <v>72.993731502739294</v>
      </c>
      <c r="AN284" s="126">
        <f ca="1">[1]!s_fa_cagr_netprofit($E284,AN$6,3)</f>
        <v>48.414052987444812</v>
      </c>
      <c r="AO284" s="126">
        <f ca="1">[1]!s_fa_cagr_netprofit($E284,AO$6,3)</f>
        <v>47.178467953378075</v>
      </c>
      <c r="AP284" s="129"/>
      <c r="AQ284" s="203">
        <f ca="1">[1]!s_fa_dupont_roe(E284,$C$3)</f>
        <v>5.5263999999999998</v>
      </c>
      <c r="AR284" s="203">
        <f ca="1">[1]!s_fa_dupont_nptosales(B284,$C$3)</f>
        <v>24.114699999999999</v>
      </c>
      <c r="AS284" s="238">
        <f ca="1">[1]!s_fa_dupont_faturnover(E284,$C$3)</f>
        <v>7.5600000000000001E-2</v>
      </c>
      <c r="AT284" s="203">
        <f ca="1">[1]!s_fa_dupont_assetstoequity(E284,$C$3)</f>
        <v>3.0318999999999998</v>
      </c>
      <c r="AU284" s="129"/>
      <c r="AV284" s="129"/>
      <c r="AW284" s="129"/>
      <c r="AX284" s="129"/>
      <c r="AY284" s="129"/>
      <c r="AZ284" s="129"/>
      <c r="BA284" s="129"/>
      <c r="BB284" s="129"/>
      <c r="BC284" s="129"/>
      <c r="BD284" s="129"/>
      <c r="BE284" s="129"/>
    </row>
    <row r="285" spans="1:57" s="191" customFormat="1" ht="12" customHeight="1" x14ac:dyDescent="0.35">
      <c r="A285" s="182" t="s">
        <v>5</v>
      </c>
      <c r="B285" s="182" t="s">
        <v>656</v>
      </c>
      <c r="C285" s="182" t="s">
        <v>657</v>
      </c>
      <c r="D285" s="182" t="str">
        <f ca="1">[1]!cb_info_underlyingname(B285)</f>
        <v>旺能环境</v>
      </c>
      <c r="E285" s="183" t="str">
        <f ca="1">[1]!cb_info_underlyingcode(B285)</f>
        <v>002034.SZ</v>
      </c>
      <c r="F285" s="184" t="str">
        <f ca="1">[1]!s_info_industry_sw(B285,1)</f>
        <v>公用事业</v>
      </c>
      <c r="G285" s="184" t="str">
        <f ca="1">[1]!s_info_industry_sw(E285,2)</f>
        <v>环保工程及服务Ⅱ</v>
      </c>
      <c r="H285" s="184" t="str">
        <f ca="1">[1]!s_info_industry_sw(E285,3)</f>
        <v>环保工程及服务Ⅲ</v>
      </c>
      <c r="I285" s="192" t="str">
        <f ca="1">[1]!s_info_majorproducttype(E285)</f>
        <v>衣着用纺织品</v>
      </c>
      <c r="J285" s="189">
        <f ca="1">[1]!s_val_ev(E285,$B$2,100000000)</f>
        <v>76.941960409600014</v>
      </c>
      <c r="K285" s="193">
        <f ca="1">[1]!s_share_total(E285,$B$2,100000000)</f>
        <v>4.2136889599999998</v>
      </c>
      <c r="L285" s="193">
        <f ca="1">[1]!s_share_liqa(E285,$B$2,100000000)</f>
        <v>4.1779010799999998</v>
      </c>
      <c r="M285" s="186">
        <f ca="1">[1]!s_fa_gr_ttm2(E285,$C$3,100000000)</f>
        <v>14.6726076729</v>
      </c>
      <c r="N285" s="187">
        <f ca="1">[1]!s_fa_netprofit_ttm2(E285,$C$3,100000000)</f>
        <v>4.7800067975999996</v>
      </c>
      <c r="O285" s="186"/>
      <c r="P285" s="187">
        <f ca="1">[1]!s_val_pe_ttm(E285,[1]!td($B$2-1))</f>
        <v>12.318122863769531</v>
      </c>
      <c r="Q285" s="187">
        <f ca="1">[1]!i_val_pe_percentile(E285,[1]!td($B$2-1),$B$2-365*5,[1]!td($B$2-1))</f>
        <v>9.8135964912280702</v>
      </c>
      <c r="R285" s="187">
        <f ca="1">[1]!pb_mrq(E285,[1]!td($B$2-1))</f>
        <v>1.6320541234523824</v>
      </c>
      <c r="S285" s="187">
        <f ca="1">[1]!i_val_pb_percentile(E285,[1]!td($B$2-1),$B$2-365*5,[1]!td($B$2-1))</f>
        <v>29.605263157894733</v>
      </c>
      <c r="T285" s="187">
        <f ca="1">[1]!s_val_pe_ttm([1]!to_windcode_index(H285&amp;"(申万)"),[1]!td($B$2-1))</f>
        <v>24.350000381469727</v>
      </c>
      <c r="U285" s="187"/>
      <c r="V285" s="187">
        <f ca="1">[1]!s_fa_roe(E285,$C$3)</f>
        <v>8.8583999999999996</v>
      </c>
      <c r="W285" s="187">
        <f ca="1">[1]!s_fa_grossprofitmargin(E285,$C$3)</f>
        <v>52.179299999999998</v>
      </c>
      <c r="X285" s="187">
        <f ca="1">[1]!s_fa_netprofitmargin(E285,$C$3)</f>
        <v>31.881699999999999</v>
      </c>
      <c r="Y285" s="187">
        <f ca="1">[1]!s_fa_roic(E285,$C$3)</f>
        <v>6.1073000000000004</v>
      </c>
      <c r="Z285" s="187">
        <f ca="1">[1]!s_fa_operateincometoebt_ttm2(E285,$C$3)</f>
        <v>82.447900000000004</v>
      </c>
      <c r="AA285" s="186"/>
      <c r="AB285" s="342"/>
      <c r="AC285" s="186">
        <f ca="1">[1]!s_fa_cagr_tr($E285,AC$6,3)</f>
        <v>0</v>
      </c>
      <c r="AD285" s="186">
        <f ca="1">[1]!s_fa_cagr_tr($E285,AD$6,3)</f>
        <v>6.5233835549191488</v>
      </c>
      <c r="AE285" s="187">
        <f ca="1">[1]!s_fa_cagr_tr($E285,AE$6,3)</f>
        <v>11.498246198956297</v>
      </c>
      <c r="AF285" s="187">
        <f ca="1">[1]!s_fa_cagr_tr($E285,AF$6,3)</f>
        <v>-2.3601234734477394</v>
      </c>
      <c r="AG285" s="187">
        <f ca="1">[1]!s_fa_cagr_tr($E285,AG$6,3)</f>
        <v>8.9450215950428014</v>
      </c>
      <c r="AH285" s="187">
        <f ca="1">[1]!s_fa_cagr_tr($E285,AH$6,3)</f>
        <v>-15.197751662866743</v>
      </c>
      <c r="AI285" s="194"/>
      <c r="AJ285" s="187">
        <f ca="1">[1]!s_fa_cagr_netprofit($E285,AJ$6,3)</f>
        <v>0</v>
      </c>
      <c r="AK285" s="187">
        <f ca="1">[1]!s_fa_cagr_netprofit($E285,AK$6,3)</f>
        <v>30.526151459281834</v>
      </c>
      <c r="AL285" s="187">
        <f ca="1">[1]!s_fa_cagr_netprofit($E285,AL$6,3)</f>
        <v>173.09954889220856</v>
      </c>
      <c r="AM285" s="187">
        <f ca="1">[1]!s_fa_cagr_netprofit($E285,AM$6,3)</f>
        <v>98.373979735308879</v>
      </c>
      <c r="AN285" s="187">
        <f ca="1">[1]!s_fa_cagr_netprofit($E285,AN$6,3)</f>
        <v>153.2030232001739</v>
      </c>
      <c r="AO285" s="187">
        <f ca="1">[1]!s_fa_cagr_netprofit($E285,AO$6,3)</f>
        <v>-19.275548174654521</v>
      </c>
      <c r="AP285" s="189"/>
      <c r="AQ285" s="202">
        <f ca="1">[1]!s_fa_dupont_roe(E285,$C$3)</f>
        <v>8.8583999999999996</v>
      </c>
      <c r="AR285" s="202">
        <f ca="1">[1]!s_fa_dupont_nptosales(B285,$C$3)</f>
        <v>31.881699999999999</v>
      </c>
      <c r="AS285" s="237">
        <f ca="1">[1]!s_fa_dupont_faturnover(E285,$C$3)</f>
        <v>0.1226</v>
      </c>
      <c r="AT285" s="202">
        <f ca="1">[1]!s_fa_dupont_assetstoequity(E285,$C$3)</f>
        <v>2.2765</v>
      </c>
      <c r="AU285" s="189"/>
      <c r="AV285" s="189"/>
      <c r="AW285" s="189"/>
      <c r="AX285" s="189"/>
      <c r="AY285" s="189"/>
      <c r="AZ285" s="189"/>
      <c r="BA285" s="189"/>
      <c r="BB285" s="189"/>
      <c r="BC285" s="189"/>
      <c r="BD285" s="189"/>
      <c r="BE285" s="189"/>
    </row>
    <row r="286" spans="1:57" s="130" customFormat="1" ht="12" customHeight="1" x14ac:dyDescent="0.35">
      <c r="A286" s="121" t="s">
        <v>5</v>
      </c>
      <c r="B286" s="121" t="s">
        <v>455</v>
      </c>
      <c r="C286" s="121" t="s">
        <v>456</v>
      </c>
      <c r="D286" s="121" t="str">
        <f ca="1">[1]!cb_info_underlyingname(B286)</f>
        <v>雪迪龙</v>
      </c>
      <c r="E286" s="122" t="str">
        <f ca="1">[1]!cb_info_underlyingcode(B286)</f>
        <v>002658.SZ</v>
      </c>
      <c r="F286" s="123" t="str">
        <f ca="1">[1]!s_info_industry_sw(B286,1)</f>
        <v>公用事业</v>
      </c>
      <c r="G286" s="123" t="str">
        <f ca="1">[1]!s_info_industry_sw(E286,2)</f>
        <v>环保工程及服务Ⅱ</v>
      </c>
      <c r="H286" s="123" t="str">
        <f ca="1">[1]!s_info_industry_sw(E286,3)</f>
        <v>环保工程及服务Ⅲ</v>
      </c>
      <c r="I286" s="156" t="str">
        <f ca="1">[1]!s_info_majorproducttype(E286)</f>
        <v>工程仪器仪表</v>
      </c>
      <c r="J286" s="129">
        <f ca="1">[1]!s_val_ev(E286,$B$2,100000000)</f>
        <v>59.159479899000004</v>
      </c>
      <c r="K286" s="157">
        <f ca="1">[1]!s_share_total(E286,$B$2,100000000)</f>
        <v>6.3002640999999997</v>
      </c>
      <c r="L286" s="157">
        <f ca="1">[1]!s_share_liqa(E286,$B$2,100000000)</f>
        <v>3.3272392000000002</v>
      </c>
      <c r="M286" s="125">
        <f ca="1">[1]!s_fa_gr_ttm2(E286,$C$3,100000000)</f>
        <v>9.7434891430999997</v>
      </c>
      <c r="N286" s="126">
        <f ca="1">[1]!s_fa_netprofit_ttm2(E286,$C$3,100000000)</f>
        <v>1.0454378057</v>
      </c>
      <c r="O286" s="125"/>
      <c r="P286" s="126">
        <f ca="1">[1]!s_val_pe_ttm(E286,[1]!td($B$2-1))</f>
        <v>23.351261138916016</v>
      </c>
      <c r="Q286" s="126">
        <f ca="1">[1]!i_val_pe_percentile(E286,[1]!td($B$2-1),$B$2-365*5,[1]!td($B$2-1))</f>
        <v>14.364035087719298</v>
      </c>
      <c r="R286" s="126">
        <f ca="1">[1]!pb_mrq(E286,[1]!td($B$2-1))</f>
        <v>2.465411194630299</v>
      </c>
      <c r="S286" s="126">
        <f ca="1">[1]!i_val_pb_percentile(E286,[1]!td($B$2-1),$B$2-365*5,[1]!td($B$2-1))</f>
        <v>52.576754385964911</v>
      </c>
      <c r="T286" s="126">
        <f ca="1">[1]!s_val_pe_ttm([1]!to_windcode_index(H286&amp;"(申万)"),[1]!td($B$2-1))</f>
        <v>24.350000381469727</v>
      </c>
      <c r="U286" s="126"/>
      <c r="V286" s="126">
        <f ca="1">[1]!s_fa_roe(E286,$C$3)</f>
        <v>2.8698000000000001</v>
      </c>
      <c r="W286" s="126">
        <f ca="1">[1]!s_fa_grossprofitmargin(E286,$C$3)</f>
        <v>45.016100000000002</v>
      </c>
      <c r="X286" s="126">
        <f ca="1">[1]!s_fa_netprofitmargin(E286,$C$3)</f>
        <v>8.9970999999999997</v>
      </c>
      <c r="Y286" s="126">
        <f ca="1">[1]!s_fa_roic(E286,$C$3)</f>
        <v>1.8686</v>
      </c>
      <c r="Z286" s="126">
        <f ca="1">[1]!s_fa_operateincometoebt_ttm2(E286,$C$3)</f>
        <v>63.522599999999997</v>
      </c>
      <c r="AA286" s="125"/>
      <c r="AB286" s="343"/>
      <c r="AC286" s="125">
        <f ca="1">[1]!s_fa_cagr_tr($E286,AC$6,3)</f>
        <v>0</v>
      </c>
      <c r="AD286" s="125">
        <f ca="1">[1]!s_fa_cagr_tr($E286,AD$6,3)</f>
        <v>3.8053015114295041</v>
      </c>
      <c r="AE286" s="126">
        <f ca="1">[1]!s_fa_cagr_tr($E286,AE$6,3)</f>
        <v>7.5960378135105033</v>
      </c>
      <c r="AF286" s="126">
        <f ca="1">[1]!s_fa_cagr_tr($E286,AF$6,3)</f>
        <v>8.7394593320927036</v>
      </c>
      <c r="AG286" s="126">
        <f ca="1">[1]!s_fa_cagr_tr($E286,AG$6,3)</f>
        <v>13.506176995297459</v>
      </c>
      <c r="AH286" s="126">
        <f ca="1">[1]!s_fa_cagr_tr($E286,AH$6,3)</f>
        <v>19.221976218055104</v>
      </c>
      <c r="AI286" s="169"/>
      <c r="AJ286" s="126">
        <f ca="1">[1]!s_fa_cagr_netprofit($E286,AJ$6,3)</f>
        <v>0</v>
      </c>
      <c r="AK286" s="126">
        <f ca="1">[1]!s_fa_cagr_netprofit($E286,AK$6,3)</f>
        <v>-11.205024666928987</v>
      </c>
      <c r="AL286" s="126">
        <f ca="1">[1]!s_fa_cagr_netprofit($E286,AL$6,3)</f>
        <v>-10.158741244796355</v>
      </c>
      <c r="AM286" s="126">
        <f ca="1">[1]!s_fa_cagr_netprofit($E286,AM$6,3)</f>
        <v>-11.987634585695217</v>
      </c>
      <c r="AN286" s="126">
        <f ca="1">[1]!s_fa_cagr_netprofit($E286,AN$6,3)</f>
        <v>2.6048965278118175</v>
      </c>
      <c r="AO286" s="126">
        <f ca="1">[1]!s_fa_cagr_netprofit($E286,AO$6,3)</f>
        <v>13.066865058898269</v>
      </c>
      <c r="AP286" s="129"/>
      <c r="AQ286" s="203">
        <f ca="1">[1]!s_fa_dupont_roe(E286,$C$3)</f>
        <v>2.8698000000000001</v>
      </c>
      <c r="AR286" s="203">
        <f ca="1">[1]!s_fa_dupont_nptosales(B286,$C$3)</f>
        <v>8.9970999999999997</v>
      </c>
      <c r="AS286" s="238">
        <f ca="1">[1]!s_fa_dupont_faturnover(E286,$C$3)</f>
        <v>0.21790000000000001</v>
      </c>
      <c r="AT286" s="203">
        <f ca="1">[1]!s_fa_dupont_assetstoequity(E286,$C$3)</f>
        <v>1.4498</v>
      </c>
      <c r="AU286" s="129"/>
      <c r="AV286" s="129"/>
      <c r="AW286" s="129"/>
      <c r="AX286" s="129"/>
      <c r="AY286" s="129"/>
      <c r="AZ286" s="129"/>
      <c r="BA286" s="129"/>
      <c r="BB286" s="129"/>
      <c r="BC286" s="129"/>
      <c r="BD286" s="129"/>
      <c r="BE286" s="129"/>
    </row>
    <row r="287" spans="1:57" s="191" customFormat="1" ht="12" customHeight="1" x14ac:dyDescent="0.35">
      <c r="A287" s="182" t="s">
        <v>0</v>
      </c>
      <c r="B287" s="182" t="s">
        <v>543</v>
      </c>
      <c r="C287" s="182" t="s">
        <v>544</v>
      </c>
      <c r="D287" s="182" t="str">
        <f ca="1">[1]!cb_info_underlyingname(B287)</f>
        <v>洪城环境</v>
      </c>
      <c r="E287" s="183" t="str">
        <f ca="1">[1]!cb_info_underlyingcode(B287)</f>
        <v>600461.SH</v>
      </c>
      <c r="F287" s="184" t="str">
        <f ca="1">[1]!s_info_industry_sw(B287,1)</f>
        <v>公用事业</v>
      </c>
      <c r="G287" s="184" t="str">
        <f ca="1">[1]!s_info_industry_sw(E287,2)</f>
        <v>水务Ⅱ</v>
      </c>
      <c r="H287" s="184" t="str">
        <f ca="1">[1]!s_info_industry_sw(E287,3)</f>
        <v>水务Ⅲ</v>
      </c>
      <c r="I287" s="192" t="str">
        <f ca="1">[1]!s_info_majorproducttype(E287)</f>
        <v>燃气、施工及检测设备、市政供水、污水处理、专用设备与零部件</v>
      </c>
      <c r="J287" s="189">
        <f ca="1">[1]!s_val_ev(E287,$B$2,100000000)</f>
        <v>81.44245701349999</v>
      </c>
      <c r="K287" s="193">
        <f ca="1">[1]!s_share_total(E287,$B$2,100000000)</f>
        <v>9.4810776500000014</v>
      </c>
      <c r="L287" s="193">
        <f ca="1">[1]!s_share_liqa(E287,$B$2,100000000)</f>
        <v>9.1063901999999999</v>
      </c>
      <c r="M287" s="186">
        <f ca="1">[1]!s_fa_gr_ttm2(E287,$C$3,100000000)</f>
        <v>63.148777770100004</v>
      </c>
      <c r="N287" s="187">
        <f ca="1">[1]!s_fa_netprofit_ttm2(E287,$C$3,100000000)</f>
        <v>6.5902730312999998</v>
      </c>
      <c r="O287" s="186"/>
      <c r="P287" s="187">
        <f ca="1">[1]!s_val_pe_ttm(E287,[1]!td($B$2-1))</f>
        <v>10.983023643493652</v>
      </c>
      <c r="Q287" s="187">
        <f ca="1">[1]!i_val_pe_percentile(E287,[1]!td($B$2-1),$B$2-365*5,[1]!td($B$2-1))</f>
        <v>20.614035087719298</v>
      </c>
      <c r="R287" s="187">
        <f ca="1">[1]!pb_mrq(E287,[1]!td($B$2-1))</f>
        <v>1.579393994311741</v>
      </c>
      <c r="S287" s="187">
        <f ca="1">[1]!i_val_pb_percentile(E287,[1]!td($B$2-1),$B$2-365*5,[1]!td($B$2-1))</f>
        <v>72.368421052631575</v>
      </c>
      <c r="T287" s="187">
        <f ca="1">[1]!s_val_pe_ttm([1]!to_windcode_index(H287&amp;"(申万)"),[1]!td($B$2-1))</f>
        <v>14.649999618530273</v>
      </c>
      <c r="U287" s="187"/>
      <c r="V287" s="187">
        <f ca="1">[1]!s_fa_roe(E287,$C$3)</f>
        <v>10.636799999999999</v>
      </c>
      <c r="W287" s="187">
        <f ca="1">[1]!s_fa_grossprofitmargin(E287,$C$3)</f>
        <v>25.275300000000001</v>
      </c>
      <c r="X287" s="187">
        <f ca="1">[1]!s_fa_netprofitmargin(E287,$C$3)</f>
        <v>13.023199999999999</v>
      </c>
      <c r="Y287" s="187">
        <f ca="1">[1]!s_fa_roic(E287,$C$3)</f>
        <v>7.0018000000000002</v>
      </c>
      <c r="Z287" s="187">
        <f ca="1">[1]!s_fa_operateincometoebt_ttm2(E287,$C$3)</f>
        <v>90.687200000000004</v>
      </c>
      <c r="AA287" s="186"/>
      <c r="AB287" s="342"/>
      <c r="AC287" s="186">
        <f ca="1">[1]!s_fa_cagr_tr($E287,AC$6,3)</f>
        <v>0</v>
      </c>
      <c r="AD287" s="186">
        <f ca="1">[1]!s_fa_cagr_tr($E287,AD$6,3)</f>
        <v>23.036881039009138</v>
      </c>
      <c r="AE287" s="187">
        <f ca="1">[1]!s_fa_cagr_tr($E287,AE$6,3)</f>
        <v>20.294142135506487</v>
      </c>
      <c r="AF287" s="187">
        <f ca="1">[1]!s_fa_cagr_tr($E287,AF$6,3)</f>
        <v>39.354163439799585</v>
      </c>
      <c r="AG287" s="187">
        <f ca="1">[1]!s_fa_cagr_tr($E287,AG$6,3)</f>
        <v>34.751688443522191</v>
      </c>
      <c r="AH287" s="187">
        <f ca="1">[1]!s_fa_cagr_tr($E287,AH$6,3)</f>
        <v>37.555550238799817</v>
      </c>
      <c r="AI287" s="194"/>
      <c r="AJ287" s="187">
        <f ca="1">[1]!s_fa_cagr_netprofit($E287,AJ$6,3)</f>
        <v>0</v>
      </c>
      <c r="AK287" s="187">
        <f ca="1">[1]!s_fa_cagr_netprofit($E287,AK$6,3)</f>
        <v>34.318408896362307</v>
      </c>
      <c r="AL287" s="187">
        <f ca="1">[1]!s_fa_cagr_netprofit($E287,AL$6,3)</f>
        <v>28.123407697395962</v>
      </c>
      <c r="AM287" s="187">
        <f ca="1">[1]!s_fa_cagr_netprofit($E287,AM$6,3)</f>
        <v>21.026511006001481</v>
      </c>
      <c r="AN287" s="187">
        <f ca="1">[1]!s_fa_cagr_netprofit($E287,AN$6,3)</f>
        <v>22.696149684638868</v>
      </c>
      <c r="AO287" s="187">
        <f ca="1">[1]!s_fa_cagr_netprofit($E287,AO$6,3)</f>
        <v>32.643733209011195</v>
      </c>
      <c r="AP287" s="189"/>
      <c r="AQ287" s="202">
        <f ca="1">[1]!s_fa_dupont_roe(E287,$C$3)</f>
        <v>10.636799999999999</v>
      </c>
      <c r="AR287" s="202">
        <f ca="1">[1]!s_fa_dupont_nptosales(B287,$C$3)</f>
        <v>13.023199999999999</v>
      </c>
      <c r="AS287" s="237">
        <f ca="1">[1]!s_fa_dupont_faturnover(E287,$C$3)</f>
        <v>0.35039999999999999</v>
      </c>
      <c r="AT287" s="202">
        <f ca="1">[1]!s_fa_dupont_assetstoequity(E287,$C$3)</f>
        <v>2.6846000000000001</v>
      </c>
      <c r="AU287" s="189"/>
      <c r="AV287" s="201"/>
      <c r="AW287" s="189"/>
      <c r="AX287" s="189"/>
      <c r="AY287" s="189"/>
      <c r="AZ287" s="189"/>
      <c r="BA287" s="189"/>
      <c r="BB287" s="189"/>
      <c r="BC287" s="189"/>
      <c r="BD287" s="189"/>
      <c r="BE287" s="189"/>
    </row>
    <row r="288" spans="1:57" s="130" customFormat="1" ht="12" customHeight="1" x14ac:dyDescent="0.35">
      <c r="A288" s="121" t="s">
        <v>5</v>
      </c>
      <c r="B288" s="121" t="s">
        <v>142</v>
      </c>
      <c r="C288" s="121" t="s">
        <v>143</v>
      </c>
      <c r="D288" s="121" t="str">
        <f ca="1">[1]!cb_info_underlyingname(B288)</f>
        <v>维尔利</v>
      </c>
      <c r="E288" s="122" t="str">
        <f ca="1">[1]!cb_info_underlyingcode(B288)</f>
        <v>300190.SZ</v>
      </c>
      <c r="F288" s="123" t="str">
        <f ca="1">[1]!s_info_industry_sw(B288,1)</f>
        <v>公用事业</v>
      </c>
      <c r="G288" s="123" t="str">
        <f ca="1">[1]!s_info_industry_sw(E288,2)</f>
        <v>环保工程及服务Ⅱ</v>
      </c>
      <c r="H288" s="123" t="str">
        <f ca="1">[1]!s_info_industry_sw(E288,3)</f>
        <v>环保工程及服务Ⅲ</v>
      </c>
      <c r="I288" s="156" t="str">
        <f ca="1">[1]!s_info_majorproducttype(E288)</f>
        <v>环保机械</v>
      </c>
      <c r="J288" s="129">
        <f ca="1">[1]!s_val_ev(E288,$B$2,100000000)</f>
        <v>51.975531842499997</v>
      </c>
      <c r="K288" s="157">
        <f ca="1">[1]!s_share_total(E288,$B$2,100000000)</f>
        <v>7.8158694500000001</v>
      </c>
      <c r="L288" s="157">
        <f ca="1">[1]!s_share_liqa(E288,$B$2,100000000)</f>
        <v>7.7855797100000004</v>
      </c>
      <c r="M288" s="125">
        <f ca="1">[1]!s_fa_gr_ttm2(E288,$C$3,100000000)</f>
        <v>29.906576239899998</v>
      </c>
      <c r="N288" s="126">
        <f ca="1">[1]!s_fa_netprofit_ttm2(E288,$C$3,100000000)</f>
        <v>3.874776003</v>
      </c>
      <c r="O288" s="125"/>
      <c r="P288" s="126">
        <f ca="1">[1]!s_val_pe_ttm(E288,[1]!td($B$2-1))</f>
        <v>15.973280906677246</v>
      </c>
      <c r="Q288" s="126">
        <f ca="1">[1]!i_val_pe_percentile(E288,[1]!td($B$2-1),$B$2-365*5,[1]!td($B$2-1))</f>
        <v>12.828947368421053</v>
      </c>
      <c r="R288" s="126">
        <f ca="1">[1]!pb_mrq(E288,[1]!td($B$2-1))</f>
        <v>1.2015169308370677</v>
      </c>
      <c r="S288" s="126">
        <f ca="1">[1]!i_val_pb_percentile(E288,[1]!td($B$2-1),$B$2-365*5,[1]!td($B$2-1))</f>
        <v>14.692982456140353</v>
      </c>
      <c r="T288" s="126">
        <f ca="1">[1]!s_val_pe_ttm([1]!to_windcode_index(H288&amp;"(申万)"),[1]!td($B$2-1))</f>
        <v>24.350000381469727</v>
      </c>
      <c r="U288" s="126"/>
      <c r="V288" s="126">
        <f ca="1">[1]!s_fa_roe(E288,$C$3)</f>
        <v>7.3594999999999997</v>
      </c>
      <c r="W288" s="126">
        <f ca="1">[1]!s_fa_grossprofitmargin(E288,$C$3)</f>
        <v>30.179300000000001</v>
      </c>
      <c r="X288" s="126">
        <f ca="1">[1]!s_fa_netprofitmargin(E288,$C$3)</f>
        <v>14.899800000000001</v>
      </c>
      <c r="Y288" s="126">
        <f ca="1">[1]!s_fa_roic(E288,$C$3)</f>
        <v>5.4584000000000001</v>
      </c>
      <c r="Z288" s="126">
        <f ca="1">[1]!s_fa_operateincometoebt_ttm2(E288,$C$3)</f>
        <v>81.497200000000007</v>
      </c>
      <c r="AA288" s="125"/>
      <c r="AB288" s="343"/>
      <c r="AC288" s="125">
        <f ca="1">[1]!s_fa_cagr_tr($E288,AC$6,3)</f>
        <v>0</v>
      </c>
      <c r="AD288" s="125">
        <f ca="1">[1]!s_fa_cagr_tr($E288,AD$6,3)</f>
        <v>31.211583551772936</v>
      </c>
      <c r="AE288" s="126">
        <f ca="1">[1]!s_fa_cagr_tr($E288,AE$6,3)</f>
        <v>52.267305169633602</v>
      </c>
      <c r="AF288" s="126">
        <f ca="1">[1]!s_fa_cagr_tr($E288,AF$6,3)</f>
        <v>29.043155179196177</v>
      </c>
      <c r="AG288" s="126">
        <f ca="1">[1]!s_fa_cagr_tr($E288,AG$6,3)</f>
        <v>29.648005862353944</v>
      </c>
      <c r="AH288" s="126">
        <f ca="1">[1]!s_fa_cagr_tr($E288,AH$6,3)</f>
        <v>40.596569551916303</v>
      </c>
      <c r="AI288" s="169"/>
      <c r="AJ288" s="126">
        <f ca="1">[1]!s_fa_cagr_netprofit($E288,AJ$6,3)</f>
        <v>0</v>
      </c>
      <c r="AK288" s="126">
        <f ca="1">[1]!s_fa_cagr_netprofit($E288,AK$6,3)</f>
        <v>37.083769424631541</v>
      </c>
      <c r="AL288" s="126">
        <f ca="1">[1]!s_fa_cagr_netprofit($E288,AL$6,3)</f>
        <v>50.58357592249412</v>
      </c>
      <c r="AM288" s="126">
        <f ca="1">[1]!s_fa_cagr_netprofit($E288,AM$6,3)</f>
        <v>24.448797955310365</v>
      </c>
      <c r="AN288" s="126">
        <f ca="1">[1]!s_fa_cagr_netprofit($E288,AN$6,3)</f>
        <v>13.023027741186599</v>
      </c>
      <c r="AO288" s="126">
        <f ca="1">[1]!s_fa_cagr_netprofit($E288,AO$6,3)</f>
        <v>47.537697510013267</v>
      </c>
      <c r="AP288" s="129"/>
      <c r="AQ288" s="203">
        <f ca="1">[1]!s_fa_dupont_roe(E288,$C$3)</f>
        <v>7.3594999999999997</v>
      </c>
      <c r="AR288" s="203">
        <f ca="1">[1]!s_fa_dupont_nptosales(B288,$C$3)</f>
        <v>14.899800000000001</v>
      </c>
      <c r="AS288" s="238">
        <f ca="1">[1]!s_fa_dupont_faturnover(E288,$C$3)</f>
        <v>0.23180000000000001</v>
      </c>
      <c r="AT288" s="203">
        <f ca="1">[1]!s_fa_dupont_assetstoequity(E288,$C$3)</f>
        <v>2.1396999999999999</v>
      </c>
      <c r="AU288" s="129"/>
      <c r="AV288" s="129"/>
      <c r="AW288" s="129"/>
      <c r="AX288" s="129"/>
      <c r="AY288" s="129"/>
      <c r="AZ288" s="129"/>
      <c r="BA288" s="129"/>
      <c r="BB288" s="129"/>
      <c r="BC288" s="129"/>
      <c r="BD288" s="129"/>
      <c r="BE288" s="129"/>
    </row>
    <row r="289" spans="1:57" s="191" customFormat="1" ht="12" customHeight="1" x14ac:dyDescent="0.35">
      <c r="A289" s="182" t="s">
        <v>5</v>
      </c>
      <c r="B289" s="182" t="s">
        <v>156</v>
      </c>
      <c r="C289" s="182" t="s">
        <v>157</v>
      </c>
      <c r="D289" s="182" t="str">
        <f ca="1">[1]!cb_info_underlyingname(B289)</f>
        <v>长青集团</v>
      </c>
      <c r="E289" s="183" t="str">
        <f ca="1">[1]!cb_info_underlyingcode(B289)</f>
        <v>002616.SZ</v>
      </c>
      <c r="F289" s="184" t="str">
        <f ca="1">[1]!s_info_industry_sw(B289,1)</f>
        <v>公用事业</v>
      </c>
      <c r="G289" s="184" t="str">
        <f ca="1">[1]!s_info_industry_sw(E289,2)</f>
        <v>电力</v>
      </c>
      <c r="H289" s="184" t="str">
        <f ca="1">[1]!s_info_industry_sw(E289,3)</f>
        <v>新能源发电</v>
      </c>
      <c r="I289" s="192" t="str">
        <f ca="1">[1]!s_info_majorproducttype(E289)</f>
        <v>厨房器具、清洁器具、取暖器具、余热发电</v>
      </c>
      <c r="J289" s="189">
        <f ca="1">[1]!s_val_ev(E289,$B$2,100000000)</f>
        <v>42.884238583200002</v>
      </c>
      <c r="K289" s="193">
        <f ca="1">[1]!s_share_total(E289,$B$2,100000000)</f>
        <v>7.4194184400000003</v>
      </c>
      <c r="L289" s="193">
        <f ca="1">[1]!s_share_liqa(E289,$B$2,100000000)</f>
        <v>4.7020574399999999</v>
      </c>
      <c r="M289" s="186">
        <f ca="1">[1]!s_fa_gr_ttm2(E289,$C$3,100000000)</f>
        <v>28.150597979800001</v>
      </c>
      <c r="N289" s="187">
        <f ca="1">[1]!s_fa_netprofit_ttm2(E289,$C$3,100000000)</f>
        <v>3.6470941014999996</v>
      </c>
      <c r="O289" s="186"/>
      <c r="P289" s="187">
        <f ca="1">[1]!s_val_pe_ttm(E289,[1]!td($B$2-1))</f>
        <v>15.191330909729004</v>
      </c>
      <c r="Q289" s="187">
        <f ca="1">[1]!i_val_pe_percentile(E289,[1]!td($B$2-1),$B$2-365*5,[1]!td($B$2-1))</f>
        <v>9.7587719298245617</v>
      </c>
      <c r="R289" s="187">
        <f ca="1">[1]!pb_mrq(E289,[1]!td($B$2-1))</f>
        <v>1.6836363898659454</v>
      </c>
      <c r="S289" s="187">
        <f ca="1">[1]!i_val_pb_percentile(E289,[1]!td($B$2-1),$B$2-365*5,[1]!td($B$2-1))</f>
        <v>0.38377192982456138</v>
      </c>
      <c r="T289" s="187">
        <f ca="1">[1]!s_val_pe_ttm([1]!to_windcode_index(H289&amp;"(申万)"),[1]!td($B$2-1))</f>
        <v>28.909999847412109</v>
      </c>
      <c r="U289" s="187"/>
      <c r="V289" s="187">
        <f ca="1">[1]!s_fa_roe(E289,$C$3)</f>
        <v>10.386900000000001</v>
      </c>
      <c r="W289" s="187">
        <f ca="1">[1]!s_fa_grossprofitmargin(E289,$C$3)</f>
        <v>31.787700000000001</v>
      </c>
      <c r="X289" s="187">
        <f ca="1">[1]!s_fa_netprofitmargin(E289,$C$3)</f>
        <v>12.649699999999999</v>
      </c>
      <c r="Y289" s="187">
        <f ca="1">[1]!s_fa_roic(E289,$C$3)</f>
        <v>5.0468000000000002</v>
      </c>
      <c r="Z289" s="187">
        <f ca="1">[1]!s_fa_operateincometoebt_ttm2(E289,$C$3)</f>
        <v>86.699700000000007</v>
      </c>
      <c r="AA289" s="186"/>
      <c r="AB289" s="342"/>
      <c r="AC289" s="186">
        <f ca="1">[1]!s_fa_cagr_tr($E289,AC$6,3)</f>
        <v>0</v>
      </c>
      <c r="AD289" s="186">
        <f ca="1">[1]!s_fa_cagr_tr($E289,AD$6,3)</f>
        <v>16.884575364554124</v>
      </c>
      <c r="AE289" s="187">
        <f ca="1">[1]!s_fa_cagr_tr($E289,AE$6,3)</f>
        <v>9.4222606318062887</v>
      </c>
      <c r="AF289" s="187">
        <f ca="1">[1]!s_fa_cagr_tr($E289,AF$6,3)</f>
        <v>7.8336570177728992</v>
      </c>
      <c r="AG289" s="187">
        <f ca="1">[1]!s_fa_cagr_tr($E289,AG$6,3)</f>
        <v>10.957133453896128</v>
      </c>
      <c r="AH289" s="187">
        <f ca="1">[1]!s_fa_cagr_tr($E289,AH$6,3)</f>
        <v>19.488036009410536</v>
      </c>
      <c r="AI289" s="194"/>
      <c r="AJ289" s="187">
        <f ca="1">[1]!s_fa_cagr_netprofit($E289,AJ$6,3)</f>
        <v>0</v>
      </c>
      <c r="AK289" s="187">
        <f ca="1">[1]!s_fa_cagr_netprofit($E289,AK$6,3)</f>
        <v>58.749239748698592</v>
      </c>
      <c r="AL289" s="187">
        <f ca="1">[1]!s_fa_cagr_netprofit($E289,AL$6,3)</f>
        <v>21.862733517752588</v>
      </c>
      <c r="AM289" s="187">
        <f ca="1">[1]!s_fa_cagr_netprofit($E289,AM$6,3)</f>
        <v>15.018570657461815</v>
      </c>
      <c r="AN289" s="187">
        <f ca="1">[1]!s_fa_cagr_netprofit($E289,AN$6,3)</f>
        <v>11.732368033422635</v>
      </c>
      <c r="AO289" s="187">
        <f ca="1">[1]!s_fa_cagr_netprofit($E289,AO$6,3)</f>
        <v>59.976172628581345</v>
      </c>
      <c r="AP289" s="189"/>
      <c r="AQ289" s="202">
        <f ca="1">[1]!s_fa_dupont_roe(E289,$C$3)</f>
        <v>10.386900000000001</v>
      </c>
      <c r="AR289" s="202">
        <f ca="1">[1]!s_fa_dupont_nptosales(B289,$C$3)</f>
        <v>12.649699999999999</v>
      </c>
      <c r="AS289" s="237">
        <f ca="1">[1]!s_fa_dupont_faturnover(E289,$C$3)</f>
        <v>0.27039999999999997</v>
      </c>
      <c r="AT289" s="202">
        <f ca="1">[1]!s_fa_dupont_assetstoequity(E289,$C$3)</f>
        <v>3.0771000000000002</v>
      </c>
      <c r="AU289" s="189"/>
      <c r="AV289" s="189"/>
      <c r="AW289" s="189"/>
      <c r="AX289" s="189"/>
      <c r="AY289" s="189"/>
      <c r="AZ289" s="189"/>
      <c r="BA289" s="189"/>
      <c r="BB289" s="189"/>
      <c r="BC289" s="189"/>
      <c r="BD289" s="189"/>
      <c r="BE289" s="189"/>
    </row>
    <row r="290" spans="1:57" s="130" customFormat="1" ht="12" customHeight="1" x14ac:dyDescent="0.35">
      <c r="A290" s="121" t="s">
        <v>5</v>
      </c>
      <c r="B290" s="121" t="s">
        <v>477</v>
      </c>
      <c r="C290" s="121" t="s">
        <v>478</v>
      </c>
      <c r="D290" s="121" t="str">
        <f ca="1">[1]!cb_info_underlyingname(B290)</f>
        <v>节能国祯</v>
      </c>
      <c r="E290" s="122" t="str">
        <f ca="1">[1]!cb_info_underlyingcode(B290)</f>
        <v>300388.SZ</v>
      </c>
      <c r="F290" s="123" t="str">
        <f ca="1">[1]!s_info_industry_sw(B290,1)</f>
        <v>公用事业</v>
      </c>
      <c r="G290" s="123" t="str">
        <f ca="1">[1]!s_info_industry_sw(E290,2)</f>
        <v>水务Ⅱ</v>
      </c>
      <c r="H290" s="123" t="str">
        <f ca="1">[1]!s_info_industry_sw(E290,3)</f>
        <v>水务Ⅲ</v>
      </c>
      <c r="I290" s="156" t="str">
        <f ca="1">[1]!s_info_majorproducttype(E290)</f>
        <v>专业咨询服务、专用设备与零部件</v>
      </c>
      <c r="J290" s="129">
        <f ca="1">[1]!s_val_ev(E290,$B$2,100000000)</f>
        <v>54.309219272699998</v>
      </c>
      <c r="K290" s="157">
        <f ca="1">[1]!s_share_total(E290,$B$2,100000000)</f>
        <v>6.9896035099999985</v>
      </c>
      <c r="L290" s="157">
        <f ca="1">[1]!s_share_liqa(E290,$B$2,100000000)</f>
        <v>6.9732327999999999</v>
      </c>
      <c r="M290" s="125">
        <f ca="1">[1]!s_fa_gr_ttm2(E290,$C$3,100000000)</f>
        <v>41.2516210593</v>
      </c>
      <c r="N290" s="126">
        <f ca="1">[1]!s_fa_netprofit_ttm2(E290,$C$3,100000000)</f>
        <v>3.4468934523000003</v>
      </c>
      <c r="O290" s="125"/>
      <c r="P290" s="126">
        <f ca="1">[1]!s_val_pe_ttm(E290,[1]!td($B$2-1))</f>
        <v>15.900367736816406</v>
      </c>
      <c r="Q290" s="126">
        <f ca="1">[1]!i_val_pe_percentile(E290,[1]!td($B$2-1),$B$2-365*5,[1]!td($B$2-1))</f>
        <v>11.62280701754386</v>
      </c>
      <c r="R290" s="126">
        <f ca="1">[1]!pb_mrq(E290,[1]!td($B$2-1))</f>
        <v>1.5159533937922323</v>
      </c>
      <c r="S290" s="126">
        <f ca="1">[1]!i_val_pb_percentile(E290,[1]!td($B$2-1),$B$2-365*5,[1]!td($B$2-1))</f>
        <v>8.5526315789473681</v>
      </c>
      <c r="T290" s="126">
        <f ca="1">[1]!s_val_pe_ttm([1]!to_windcode_index(H290&amp;"(申万)"),[1]!td($B$2-1))</f>
        <v>14.649999618530273</v>
      </c>
      <c r="U290" s="125"/>
      <c r="V290" s="125">
        <f ca="1">[1]!s_fa_roe(E290,$C$3)</f>
        <v>7.4538000000000002</v>
      </c>
      <c r="W290" s="125">
        <f ca="1">[1]!s_fa_grossprofitmargin(E290,$C$3)</f>
        <v>31.064399999999999</v>
      </c>
      <c r="X290" s="125">
        <f ca="1">[1]!s_fa_netprofitmargin(E290,$C$3)</f>
        <v>11.463100000000001</v>
      </c>
      <c r="Y290" s="125">
        <f ca="1">[1]!s_fa_roic(E290,$C$3)</f>
        <v>4.4352999999999998</v>
      </c>
      <c r="Z290" s="125">
        <f ca="1">[1]!s_fa_operateincometoebt_ttm2(E290,$C$3)</f>
        <v>77.789699999999996</v>
      </c>
      <c r="AA290" s="125"/>
      <c r="AB290" s="343"/>
      <c r="AC290" s="125">
        <f ca="1">[1]!s_fa_cagr_tr($E290,AC$6,3)</f>
        <v>0</v>
      </c>
      <c r="AD290" s="125">
        <f ca="1">[1]!s_fa_cagr_tr($E290,AD$6,3)</f>
        <v>13.761468475103289</v>
      </c>
      <c r="AE290" s="126">
        <f ca="1">[1]!s_fa_cagr_tr($E290,AE$6,3)</f>
        <v>41.792878737172813</v>
      </c>
      <c r="AF290" s="126">
        <f ca="1">[1]!s_fa_cagr_tr($E290,AF$6,3)</f>
        <v>56.446469054288293</v>
      </c>
      <c r="AG290" s="126">
        <f ca="1">[1]!s_fa_cagr_tr($E290,AG$6,3)</f>
        <v>36.972882704649336</v>
      </c>
      <c r="AH290" s="126">
        <f ca="1">[1]!s_fa_cagr_tr($E290,AH$6,3)</f>
        <v>31.843427085024011</v>
      </c>
      <c r="AI290" s="169"/>
      <c r="AJ290" s="126">
        <f ca="1">[1]!s_fa_cagr_netprofit($E290,AJ$6,3)</f>
        <v>0</v>
      </c>
      <c r="AK290" s="126">
        <f ca="1">[1]!s_fa_cagr_netprofit($E290,AK$6,3)</f>
        <v>19.51611442761947</v>
      </c>
      <c r="AL290" s="126">
        <f ca="1">[1]!s_fa_cagr_netprofit($E290,AL$6,3)</f>
        <v>35.983687025756119</v>
      </c>
      <c r="AM290" s="126">
        <f ca="1">[1]!s_fa_cagr_netprofit($E290,AM$6,3)</f>
        <v>55.301411790778275</v>
      </c>
      <c r="AN290" s="126">
        <f ca="1">[1]!s_fa_cagr_netprofit($E290,AN$6,3)</f>
        <v>55.14097060228891</v>
      </c>
      <c r="AO290" s="126">
        <f ca="1">[1]!s_fa_cagr_netprofit($E290,AO$6,3)</f>
        <v>31.013669341110916</v>
      </c>
      <c r="AP290" s="129"/>
      <c r="AQ290" s="203">
        <f ca="1">[1]!s_fa_dupont_roe(E290,$C$3)</f>
        <v>7.4538000000000002</v>
      </c>
      <c r="AR290" s="203">
        <f ca="1">[1]!s_fa_dupont_nptosales(B290,$C$3)</f>
        <v>11.463100000000001</v>
      </c>
      <c r="AS290" s="238">
        <f ca="1">[1]!s_fa_dupont_faturnover(E290,$C$3)</f>
        <v>0.1762</v>
      </c>
      <c r="AT290" s="203">
        <f ca="1">[1]!s_fa_dupont_assetstoequity(E290,$C$3)</f>
        <v>3.9498000000000002</v>
      </c>
      <c r="AU290" s="129"/>
      <c r="AV290" s="129"/>
      <c r="AW290" s="129"/>
      <c r="AX290" s="129"/>
      <c r="AY290" s="129"/>
      <c r="AZ290" s="129"/>
      <c r="BA290" s="129"/>
      <c r="BB290" s="129"/>
      <c r="BC290" s="129"/>
      <c r="BD290" s="129"/>
      <c r="BE290" s="129"/>
    </row>
    <row r="291" spans="1:57" s="191" customFormat="1" ht="12" customHeight="1" x14ac:dyDescent="0.35">
      <c r="A291" s="182" t="s">
        <v>5</v>
      </c>
      <c r="B291" s="182" t="s">
        <v>624</v>
      </c>
      <c r="C291" s="182" t="s">
        <v>625</v>
      </c>
      <c r="D291" s="182" t="str">
        <f ca="1">[1]!cb_info_underlyingname(B291)</f>
        <v>天壕环境</v>
      </c>
      <c r="E291" s="183" t="str">
        <f ca="1">[1]!cb_info_underlyingcode(B291)</f>
        <v>300332.SZ</v>
      </c>
      <c r="F291" s="184" t="str">
        <f ca="1">[1]!s_info_industry_sw(B291,1)</f>
        <v>公用事业</v>
      </c>
      <c r="G291" s="184" t="str">
        <f ca="1">[1]!s_info_industry_sw(E291,2)</f>
        <v>环保工程及服务Ⅱ</v>
      </c>
      <c r="H291" s="184" t="str">
        <f ca="1">[1]!s_info_industry_sw(E291,3)</f>
        <v>环保工程及服务Ⅲ</v>
      </c>
      <c r="I291" s="192" t="str">
        <f ca="1">[1]!s_info_majorproducttype(E291)</f>
        <v>燃气、余热发电</v>
      </c>
      <c r="J291" s="189">
        <f ca="1">[1]!s_val_ev(E291,$B$2,100000000)</f>
        <v>67.6875213422</v>
      </c>
      <c r="K291" s="193">
        <f ca="1">[1]!s_share_total(E291,$B$2,100000000)</f>
        <v>8.8020183799999998</v>
      </c>
      <c r="L291" s="193">
        <f ca="1">[1]!s_share_liqa(E291,$B$2,100000000)</f>
        <v>8.4077548800000006</v>
      </c>
      <c r="M291" s="186">
        <f ca="1">[1]!s_fa_gr_ttm2(E291,$C$3,100000000)</f>
        <v>17.034863768499999</v>
      </c>
      <c r="N291" s="187">
        <f ca="1">[1]!s_fa_netprofit_ttm2(E291,$C$3,100000000)</f>
        <v>0.345815759</v>
      </c>
      <c r="O291" s="186"/>
      <c r="P291" s="187">
        <f ca="1">[1]!s_val_pe_ttm(E291,[1]!td($B$2-1))</f>
        <v>117.39372253417969</v>
      </c>
      <c r="Q291" s="187">
        <f ca="1">[1]!i_val_pe_percentile(E291,[1]!td($B$2-1),$B$2-365*5,[1]!td($B$2-1))</f>
        <v>67.43421052631578</v>
      </c>
      <c r="R291" s="187">
        <f ca="1">[1]!pb_mrq(E291,[1]!td($B$2-1))</f>
        <v>1.9957764513072527</v>
      </c>
      <c r="S291" s="187">
        <f ca="1">[1]!i_val_pb_percentile(E291,[1]!td($B$2-1),$B$2-365*5,[1]!td($B$2-1))</f>
        <v>77.028508771929822</v>
      </c>
      <c r="T291" s="187">
        <f ca="1">[1]!s_val_pe_ttm([1]!to_windcode_index(H291&amp;"(申万)"),[1]!td($B$2-1))</f>
        <v>24.350000381469727</v>
      </c>
      <c r="U291" s="187"/>
      <c r="V291" s="187">
        <f ca="1">[1]!s_fa_roe(E291,$C$3)</f>
        <v>1.0248999999999999</v>
      </c>
      <c r="W291" s="187">
        <f ca="1">[1]!s_fa_grossprofitmargin(E291,$C$3)</f>
        <v>22.752199999999998</v>
      </c>
      <c r="X291" s="187">
        <f ca="1">[1]!s_fa_netprofitmargin(E291,$C$3)</f>
        <v>3.5619000000000001</v>
      </c>
      <c r="Y291" s="187">
        <f ca="1">[1]!s_fa_roic(E291,$C$3)</f>
        <v>2.2671999999999999</v>
      </c>
      <c r="Z291" s="187">
        <f ca="1">[1]!s_fa_operateincometoebt_ttm2(E291,$C$3)</f>
        <v>-46.055399999999999</v>
      </c>
      <c r="AA291" s="186"/>
      <c r="AB291" s="342"/>
      <c r="AC291" s="186">
        <f ca="1">[1]!s_fa_cagr_tr($E291,AC$6,3)</f>
        <v>0</v>
      </c>
      <c r="AD291" s="186">
        <f ca="1">[1]!s_fa_cagr_tr($E291,AD$6,3)</f>
        <v>-5.135382319549997</v>
      </c>
      <c r="AE291" s="187">
        <f ca="1">[1]!s_fa_cagr_tr($E291,AE$6,3)</f>
        <v>2.2943366943377397</v>
      </c>
      <c r="AF291" s="187">
        <f ca="1">[1]!s_fa_cagr_tr($E291,AF$6,3)</f>
        <v>27.455341292085713</v>
      </c>
      <c r="AG291" s="187">
        <f ca="1">[1]!s_fa_cagr_tr($E291,AG$6,3)</f>
        <v>64.245287413002757</v>
      </c>
      <c r="AH291" s="187">
        <f ca="1">[1]!s_fa_cagr_tr($E291,AH$6,3)</f>
        <v>73.097961504294744</v>
      </c>
      <c r="AI291" s="194"/>
      <c r="AJ291" s="187">
        <f ca="1">[1]!s_fa_cagr_netprofit($E291,AJ$6,3)</f>
        <v>0</v>
      </c>
      <c r="AK291" s="187">
        <f ca="1">[1]!s_fa_cagr_netprofit($E291,AK$6,3)</f>
        <v>-14.777360935469252</v>
      </c>
      <c r="AL291" s="187">
        <f ca="1">[1]!s_fa_cagr_netprofit($E291,AL$6,3)</f>
        <v>-6.8574727367651462</v>
      </c>
      <c r="AM291" s="187">
        <f ca="1">[1]!s_fa_cagr_netprofit($E291,AM$6,3)</f>
        <v>-15.613965667647811</v>
      </c>
      <c r="AN291" s="187">
        <f ca="1">[1]!s_fa_cagr_netprofit($E291,AN$6,3)</f>
        <v>-13.655060946149133</v>
      </c>
      <c r="AO291" s="187">
        <f ca="1">[1]!s_fa_cagr_netprofit($E291,AO$6,3)</f>
        <v>-20.470618186612178</v>
      </c>
      <c r="AP291" s="189"/>
      <c r="AQ291" s="202">
        <f ca="1">[1]!s_fa_dupont_roe(E291,$C$3)</f>
        <v>1.0248999999999999</v>
      </c>
      <c r="AR291" s="202">
        <f ca="1">[1]!s_fa_dupont_nptosales(B291,$C$3)</f>
        <v>3.5619000000000001</v>
      </c>
      <c r="AS291" s="237">
        <f ca="1">[1]!s_fa_dupont_faturnover(E291,$C$3)</f>
        <v>0.13339999999999999</v>
      </c>
      <c r="AT291" s="202">
        <f ca="1">[1]!s_fa_dupont_assetstoequity(E291,$C$3)</f>
        <v>2.3121</v>
      </c>
      <c r="AU291" s="189"/>
      <c r="AV291" s="201"/>
      <c r="AW291" s="189"/>
      <c r="AX291" s="189"/>
      <c r="AY291" s="189"/>
      <c r="AZ291" s="189"/>
      <c r="BA291" s="189"/>
      <c r="BB291" s="189"/>
      <c r="BC291" s="189"/>
      <c r="BD291" s="189"/>
      <c r="BE291" s="189"/>
    </row>
    <row r="292" spans="1:57" s="130" customFormat="1" ht="12" customHeight="1" x14ac:dyDescent="0.35">
      <c r="A292" s="121" t="s">
        <v>5</v>
      </c>
      <c r="B292" s="121" t="s">
        <v>419</v>
      </c>
      <c r="C292" s="121" t="s">
        <v>420</v>
      </c>
      <c r="D292" s="121" t="str">
        <f ca="1">[1]!cb_info_underlyingname(B292)</f>
        <v>博世科</v>
      </c>
      <c r="E292" s="122" t="str">
        <f ca="1">[1]!cb_info_underlyingcode(B292)</f>
        <v>300422.SZ</v>
      </c>
      <c r="F292" s="123" t="str">
        <f ca="1">[1]!s_info_industry_sw(B292,1)</f>
        <v>公用事业</v>
      </c>
      <c r="G292" s="123" t="str">
        <f ca="1">[1]!s_info_industry_sw(E292,2)</f>
        <v>环保工程及服务Ⅱ</v>
      </c>
      <c r="H292" s="123" t="str">
        <f ca="1">[1]!s_info_industry_sw(E292,3)</f>
        <v>环保工程及服务Ⅲ</v>
      </c>
      <c r="I292" s="156" t="str">
        <f ca="1">[1]!s_info_majorproducttype(E292)</f>
        <v>专用设备与零部件</v>
      </c>
      <c r="J292" s="129">
        <f ca="1">[1]!s_val_ev(E292,$B$2,100000000)</f>
        <v>37.975056350400003</v>
      </c>
      <c r="K292" s="157">
        <f ca="1">[1]!s_share_total(E292,$B$2,100000000)</f>
        <v>4.0571641400000003</v>
      </c>
      <c r="L292" s="157">
        <f ca="1">[1]!s_share_liqa(E292,$B$2,100000000)</f>
        <v>3.7665285900000001</v>
      </c>
      <c r="M292" s="125">
        <f ca="1">[1]!s_fa_gr_ttm2(E292,$C$3,100000000)</f>
        <v>31.616143842700001</v>
      </c>
      <c r="N292" s="126">
        <f ca="1">[1]!s_fa_netprofit_ttm2(E292,$C$3,100000000)</f>
        <v>2.1947234705000001</v>
      </c>
      <c r="O292" s="125"/>
      <c r="P292" s="126">
        <f ca="1">[1]!s_val_pe_ttm(E292,[1]!td($B$2-1))</f>
        <v>23.670480728149414</v>
      </c>
      <c r="Q292" s="126">
        <f ca="1">[1]!i_val_pe_percentile(E292,[1]!td($B$2-1),$B$2-365*5,[1]!td($B$2-1))</f>
        <v>60.718201754385973</v>
      </c>
      <c r="R292" s="126">
        <f ca="1">[1]!pb_mrq(E292,[1]!td($B$2-1))</f>
        <v>1.5497904087307495</v>
      </c>
      <c r="S292" s="126">
        <f ca="1">[1]!i_val_pb_percentile(E292,[1]!td($B$2-1),$B$2-365*5,[1]!td($B$2-1))</f>
        <v>8.9638157894736832</v>
      </c>
      <c r="T292" s="126">
        <f ca="1">[1]!s_val_pe_ttm([1]!to_windcode_index(H292&amp;"(申万)"),[1]!td($B$2-1))</f>
        <v>24.350000381469727</v>
      </c>
      <c r="U292" s="126"/>
      <c r="V292" s="126">
        <f ca="1">[1]!s_fa_roe(E292,$C$3)</f>
        <v>8.4334000000000007</v>
      </c>
      <c r="W292" s="126">
        <f ca="1">[1]!s_fa_grossprofitmargin(E292,$C$3)</f>
        <v>27.855799999999999</v>
      </c>
      <c r="X292" s="126">
        <f ca="1">[1]!s_fa_netprofitmargin(E292,$C$3)</f>
        <v>7.6401000000000003</v>
      </c>
      <c r="Y292" s="126">
        <f ca="1">[1]!s_fa_roic(E292,$C$3)</f>
        <v>4.8049999999999997</v>
      </c>
      <c r="Z292" s="126">
        <f ca="1">[1]!s_fa_operateincometoebt_ttm2(E292,$C$3)</f>
        <v>72.093299999999999</v>
      </c>
      <c r="AA292" s="125"/>
      <c r="AB292" s="343"/>
      <c r="AC292" s="125">
        <f ca="1">[1]!s_fa_cagr_tr($E292,AC$6,3)</f>
        <v>0</v>
      </c>
      <c r="AD292" s="125">
        <f ca="1">[1]!s_fa_cagr_tr($E292,AD$6,3)</f>
        <v>34.953210766736007</v>
      </c>
      <c r="AE292" s="126">
        <f ca="1">[1]!s_fa_cagr_tr($E292,AE$6,3)</f>
        <v>57.578333340763123</v>
      </c>
      <c r="AF292" s="126">
        <f ca="1">[1]!s_fa_cagr_tr($E292,AF$6,3)</f>
        <v>75.415046458929893</v>
      </c>
      <c r="AG292" s="126">
        <f ca="1">[1]!s_fa_cagr_tr($E292,AG$6,3)</f>
        <v>73.679058912603551</v>
      </c>
      <c r="AH292" s="126">
        <f ca="1">[1]!s_fa_cagr_tr($E292,AH$6,3)</f>
        <v>58.986349383064642</v>
      </c>
      <c r="AI292" s="169"/>
      <c r="AJ292" s="126">
        <f ca="1">[1]!s_fa_cagr_netprofit($E292,AJ$6,3)</f>
        <v>0</v>
      </c>
      <c r="AK292" s="126">
        <f ca="1">[1]!s_fa_cagr_netprofit($E292,AK$6,3)</f>
        <v>9.9533323874882349</v>
      </c>
      <c r="AL292" s="126">
        <f ca="1">[1]!s_fa_cagr_netprofit($E292,AL$6,3)</f>
        <v>65.172254269314863</v>
      </c>
      <c r="AM292" s="126">
        <f ca="1">[1]!s_fa_cagr_netprofit($E292,AM$6,3)</f>
        <v>76.220117248301534</v>
      </c>
      <c r="AN292" s="126">
        <f ca="1">[1]!s_fa_cagr_netprofit($E292,AN$6,3)</f>
        <v>67.419995274591457</v>
      </c>
      <c r="AO292" s="126">
        <f ca="1">[1]!s_fa_cagr_netprofit($E292,AO$6,3)</f>
        <v>30.804678092642312</v>
      </c>
      <c r="AP292" s="129"/>
      <c r="AQ292" s="203">
        <f ca="1">[1]!s_fa_dupont_roe(E292,$C$3)</f>
        <v>8.4334000000000007</v>
      </c>
      <c r="AR292" s="203">
        <f ca="1">[1]!s_fa_dupont_nptosales(B292,$C$3)</f>
        <v>7.6401000000000003</v>
      </c>
      <c r="AS292" s="238">
        <f ca="1">[1]!s_fa_dupont_faturnover(E292,$C$3)</f>
        <v>0.23219999999999999</v>
      </c>
      <c r="AT292" s="203">
        <f ca="1">[1]!s_fa_dupont_assetstoequity(E292,$C$3)</f>
        <v>4.7123999999999997</v>
      </c>
      <c r="AU292" s="129"/>
      <c r="AV292" s="129"/>
      <c r="AW292" s="129"/>
      <c r="AX292" s="129"/>
      <c r="AY292" s="129"/>
      <c r="AZ292" s="129"/>
      <c r="BA292" s="129"/>
      <c r="BB292" s="129"/>
      <c r="BC292" s="129"/>
      <c r="BD292" s="129"/>
      <c r="BE292" s="129"/>
    </row>
    <row r="293" spans="1:57" s="191" customFormat="1" ht="12" customHeight="1" x14ac:dyDescent="0.35">
      <c r="A293" s="182" t="s">
        <v>0</v>
      </c>
      <c r="B293" s="182" t="s">
        <v>370</v>
      </c>
      <c r="C293" s="182" t="s">
        <v>371</v>
      </c>
      <c r="D293" s="182" t="str">
        <f ca="1">[1]!cb_info_underlyingname(B293)</f>
        <v>联泰环保</v>
      </c>
      <c r="E293" s="183" t="str">
        <f ca="1">[1]!cb_info_underlyingcode(B293)</f>
        <v>603797.SH</v>
      </c>
      <c r="F293" s="184" t="str">
        <f ca="1">[1]!s_info_industry_sw(B293,1)</f>
        <v>公用事业</v>
      </c>
      <c r="G293" s="184" t="str">
        <f ca="1">[1]!s_info_industry_sw(E293,2)</f>
        <v>水务Ⅱ</v>
      </c>
      <c r="H293" s="184" t="str">
        <f ca="1">[1]!s_info_industry_sw(E293,3)</f>
        <v>水务Ⅲ</v>
      </c>
      <c r="I293" s="192" t="str">
        <f ca="1">[1]!s_info_majorproducttype(E293)</f>
        <v>污水处理</v>
      </c>
      <c r="J293" s="189">
        <f ca="1">[1]!s_val_ev(E293,$B$2,100000000)</f>
        <v>41.409889591799995</v>
      </c>
      <c r="K293" s="193">
        <f ca="1">[1]!s_share_total(E293,$B$2,100000000)</f>
        <v>5.8406050199999999</v>
      </c>
      <c r="L293" s="193">
        <f ca="1">[1]!s_share_liqa(E293,$B$2,100000000)</f>
        <v>4.4980686500000004</v>
      </c>
      <c r="M293" s="186">
        <f ca="1">[1]!s_fa_gr_ttm2(E293,$C$3,100000000)</f>
        <v>5.7089117975999999</v>
      </c>
      <c r="N293" s="187">
        <f ca="1">[1]!s_fa_netprofit_ttm2(E293,$C$3,100000000)</f>
        <v>2.2306470477000002</v>
      </c>
      <c r="O293" s="186"/>
      <c r="P293" s="187">
        <f ca="1">[1]!s_val_pe_ttm(E293,[1]!td($B$2-1))</f>
        <v>16.931610107421875</v>
      </c>
      <c r="Q293" s="187">
        <f ca="1">[1]!i_val_pe_percentile(E293,[1]!td($B$2-1),$B$2-365*5,[1]!td($B$2-1))</f>
        <v>17.444029850746269</v>
      </c>
      <c r="R293" s="187">
        <f ca="1">[1]!pb_mrq(E293,[1]!td($B$2-1))</f>
        <v>1.6051802531169455</v>
      </c>
      <c r="S293" s="187">
        <f ca="1">[1]!i_val_pb_percentile(E293,[1]!td($B$2-1),$B$2-365*5,[1]!td($B$2-1))</f>
        <v>2.5186567164179103</v>
      </c>
      <c r="T293" s="187">
        <f ca="1">[1]!s_val_pe_ttm([1]!to_windcode_index(H293&amp;"(申万)"),[1]!td($B$2-1))</f>
        <v>14.649999618530273</v>
      </c>
      <c r="U293" s="187"/>
      <c r="V293" s="187">
        <f ca="1">[1]!s_fa_roe(E293,$C$3)</f>
        <v>11.542299999999999</v>
      </c>
      <c r="W293" s="187">
        <f ca="1">[1]!s_fa_grossprofitmargin(E293,$C$3)</f>
        <v>71.253299999999996</v>
      </c>
      <c r="X293" s="187">
        <f ca="1">[1]!s_fa_netprofitmargin(E293,$C$3)</f>
        <v>39.746000000000002</v>
      </c>
      <c r="Y293" s="187">
        <f ca="1">[1]!s_fa_roic(E293,$C$3)</f>
        <v>4.8620999999999999</v>
      </c>
      <c r="Z293" s="187">
        <f ca="1">[1]!s_fa_operateincometoebt_ttm2(E293,$C$3)</f>
        <v>89.8596</v>
      </c>
      <c r="AA293" s="186"/>
      <c r="AB293" s="342"/>
      <c r="AC293" s="186">
        <f ca="1">[1]!s_fa_cagr_tr($E293,AC$6,3)</f>
        <v>0</v>
      </c>
      <c r="AD293" s="186">
        <f ca="1">[1]!s_fa_cagr_tr($E293,AD$6,3)</f>
        <v>48.407201310159834</v>
      </c>
      <c r="AE293" s="187">
        <f ca="1">[1]!s_fa_cagr_tr($E293,AE$6,3)</f>
        <v>34.335068800044709</v>
      </c>
      <c r="AF293" s="187">
        <f ca="1">[1]!s_fa_cagr_tr($E293,AF$6,3)</f>
        <v>6.0888151542515256</v>
      </c>
      <c r="AG293" s="187">
        <f ca="1">[1]!s_fa_cagr_tr($E293,AG$6,3)</f>
        <v>-5.9179915962165435</v>
      </c>
      <c r="AH293" s="187">
        <f ca="1">[1]!s_fa_cagr_tr($E293,AH$6,3)</f>
        <v>-2.7689892060048349</v>
      </c>
      <c r="AI293" s="194"/>
      <c r="AJ293" s="187">
        <f ca="1">[1]!s_fa_cagr_netprofit($E293,AJ$6,3)</f>
        <v>0</v>
      </c>
      <c r="AK293" s="187">
        <f ca="1">[1]!s_fa_cagr_netprofit($E293,AK$6,3)</f>
        <v>54.546436766122788</v>
      </c>
      <c r="AL293" s="187">
        <f ca="1">[1]!s_fa_cagr_netprofit($E293,AL$6,3)</f>
        <v>40.469082027557612</v>
      </c>
      <c r="AM293" s="187">
        <f ca="1">[1]!s_fa_cagr_netprofit($E293,AM$6,3)</f>
        <v>10.716859759855769</v>
      </c>
      <c r="AN293" s="187">
        <f ca="1">[1]!s_fa_cagr_netprofit($E293,AN$6,3)</f>
        <v>10.476093347446946</v>
      </c>
      <c r="AO293" s="187">
        <f ca="1">[1]!s_fa_cagr_netprofit($E293,AO$6,3)</f>
        <v>13.677330765161489</v>
      </c>
      <c r="AP293" s="189"/>
      <c r="AQ293" s="202">
        <f ca="1">[1]!s_fa_dupont_roe(E293,$C$3)</f>
        <v>11.542299999999999</v>
      </c>
      <c r="AR293" s="202">
        <f ca="1">[1]!s_fa_dupont_nptosales(B293,$C$3)</f>
        <v>39.746000000000002</v>
      </c>
      <c r="AS293" s="237">
        <f ca="1">[1]!s_fa_dupont_faturnover(E293,$C$3)</f>
        <v>7.1199999999999999E-2</v>
      </c>
      <c r="AT293" s="202">
        <f ca="1">[1]!s_fa_dupont_assetstoequity(E293,$C$3)</f>
        <v>4.0770999999999997</v>
      </c>
      <c r="AU293" s="189"/>
      <c r="AV293" s="189"/>
      <c r="AW293" s="189"/>
      <c r="AX293" s="189"/>
      <c r="AY293" s="189"/>
      <c r="AZ293" s="189"/>
      <c r="BA293" s="189"/>
      <c r="BB293" s="189"/>
      <c r="BC293" s="189"/>
      <c r="BD293" s="189"/>
      <c r="BE293" s="189"/>
    </row>
    <row r="294" spans="1:57" s="130" customFormat="1" ht="12" customHeight="1" x14ac:dyDescent="0.35">
      <c r="A294" s="121" t="s">
        <v>0</v>
      </c>
      <c r="B294" s="121" t="s">
        <v>334</v>
      </c>
      <c r="C294" s="121" t="s">
        <v>335</v>
      </c>
      <c r="D294" s="121" t="str">
        <f ca="1">[1]!cb_info_underlyingname(B294)</f>
        <v>海峡环保</v>
      </c>
      <c r="E294" s="122" t="str">
        <f ca="1">[1]!cb_info_underlyingcode(B294)</f>
        <v>603817.SH</v>
      </c>
      <c r="F294" s="123" t="str">
        <f ca="1">[1]!s_info_industry_sw(B294,1)</f>
        <v>公用事业</v>
      </c>
      <c r="G294" s="123" t="str">
        <f ca="1">[1]!s_info_industry_sw(E294,2)</f>
        <v>水务Ⅱ</v>
      </c>
      <c r="H294" s="123" t="str">
        <f ca="1">[1]!s_info_industry_sw(E294,3)</f>
        <v>水务Ⅲ</v>
      </c>
      <c r="I294" s="156" t="str">
        <f ca="1">[1]!s_info_majorproducttype(E294)</f>
        <v>污水处理</v>
      </c>
      <c r="J294" s="129">
        <f ca="1">[1]!s_val_ev(E294,$B$2,100000000)</f>
        <v>26.559871703000002</v>
      </c>
      <c r="K294" s="157">
        <f ca="1">[1]!s_share_total(E294,$B$2,100000000)</f>
        <v>4.5016731699999992</v>
      </c>
      <c r="L294" s="157">
        <f ca="1">[1]!s_share_liqa(E294,$B$2,100000000)</f>
        <v>4.5016731699999992</v>
      </c>
      <c r="M294" s="125">
        <f ca="1">[1]!s_fa_gr_ttm2(E294,$C$3,100000000)</f>
        <v>7.0009884995000009</v>
      </c>
      <c r="N294" s="126">
        <f ca="1">[1]!s_fa_netprofit_ttm2(E294,$C$3,100000000)</f>
        <v>1.348449096</v>
      </c>
      <c r="O294" s="125"/>
      <c r="P294" s="126">
        <f ca="1">[1]!s_val_pe_ttm(E294,[1]!td($B$2-1))</f>
        <v>20.224950790405273</v>
      </c>
      <c r="Q294" s="126">
        <f ca="1">[1]!i_val_pe_percentile(E294,[1]!td($B$2-1),$B$2-365*5,[1]!td($B$2-1))</f>
        <v>14.066265060240966</v>
      </c>
      <c r="R294" s="126">
        <f ca="1">[1]!pb_mrq(E294,[1]!td($B$2-1))</f>
        <v>1.4894582656451234</v>
      </c>
      <c r="S294" s="126">
        <f ca="1">[1]!i_val_pb_percentile(E294,[1]!td($B$2-1),$B$2-365*5,[1]!td($B$2-1))</f>
        <v>8.3433734939759034</v>
      </c>
      <c r="T294" s="126">
        <f ca="1">[1]!s_val_pe_ttm([1]!to_windcode_index(H294&amp;"(申万)"),[1]!td($B$2-1))</f>
        <v>14.649999618530273</v>
      </c>
      <c r="U294" s="126"/>
      <c r="V294" s="126">
        <f ca="1">[1]!s_fa_roe(E294,$C$3)</f>
        <v>5.6315</v>
      </c>
      <c r="W294" s="126">
        <f ca="1">[1]!s_fa_grossprofitmargin(E294,$C$3)</f>
        <v>43.166400000000003</v>
      </c>
      <c r="X294" s="126">
        <f ca="1">[1]!s_fa_netprofitmargin(E294,$C$3)</f>
        <v>18.310300000000002</v>
      </c>
      <c r="Y294" s="126">
        <f ca="1">[1]!s_fa_roic(E294,$C$3)</f>
        <v>3.9245999999999999</v>
      </c>
      <c r="Z294" s="126">
        <f ca="1">[1]!s_fa_operateincometoebt_ttm2(E294,$C$3)</f>
        <v>78.762100000000004</v>
      </c>
      <c r="AA294" s="125"/>
      <c r="AB294" s="343"/>
      <c r="AC294" s="125">
        <f ca="1">[1]!s_fa_cagr_tr($E294,AC$6,3)</f>
        <v>0</v>
      </c>
      <c r="AD294" s="125">
        <f ca="1">[1]!s_fa_cagr_tr($E294,AD$6,3)</f>
        <v>28.090410308902271</v>
      </c>
      <c r="AE294" s="126">
        <f ca="1">[1]!s_fa_cagr_tr($E294,AE$6,3)</f>
        <v>24.704078206696423</v>
      </c>
      <c r="AF294" s="126">
        <f ca="1">[1]!s_fa_cagr_tr($E294,AF$6,3)</f>
        <v>19.80887390391468</v>
      </c>
      <c r="AG294" s="126">
        <f ca="1">[1]!s_fa_cagr_tr($E294,AG$6,3)</f>
        <v>11.778056932426129</v>
      </c>
      <c r="AH294" s="126">
        <f ca="1">[1]!s_fa_cagr_tr($E294,AH$6,3)</f>
        <v>22.369321468144854</v>
      </c>
      <c r="AI294" s="169"/>
      <c r="AJ294" s="126">
        <f ca="1">[1]!s_fa_cagr_netprofit($E294,AJ$6,3)</f>
        <v>0</v>
      </c>
      <c r="AK294" s="126">
        <f ca="1">[1]!s_fa_cagr_netprofit($E294,AK$6,3)</f>
        <v>9.3702931268432543</v>
      </c>
      <c r="AL294" s="126">
        <f ca="1">[1]!s_fa_cagr_netprofit($E294,AL$6,3)</f>
        <v>10.484481705034865</v>
      </c>
      <c r="AM294" s="126">
        <f ca="1">[1]!s_fa_cagr_netprofit($E294,AM$6,3)</f>
        <v>10.960586734454925</v>
      </c>
      <c r="AN294" s="126">
        <f ca="1">[1]!s_fa_cagr_netprofit($E294,AN$6,3)</f>
        <v>2.2168121651888528</v>
      </c>
      <c r="AO294" s="126">
        <f ca="1">[1]!s_fa_cagr_netprofit($E294,AO$6,3)</f>
        <v>6.519732572541459</v>
      </c>
      <c r="AP294" s="129"/>
      <c r="AQ294" s="203">
        <f ca="1">[1]!s_fa_dupont_roe(E294,$C$3)</f>
        <v>5.6315</v>
      </c>
      <c r="AR294" s="203">
        <f ca="1">[1]!s_fa_dupont_nptosales(B294,$C$3)</f>
        <v>18.310300000000002</v>
      </c>
      <c r="AS294" s="238">
        <f ca="1">[1]!s_fa_dupont_faturnover(E294,$C$3)</f>
        <v>0.12670000000000001</v>
      </c>
      <c r="AT294" s="203">
        <f ca="1">[1]!s_fa_dupont_assetstoequity(E294,$C$3)</f>
        <v>2.3685999999999998</v>
      </c>
      <c r="AU294" s="129"/>
      <c r="AV294" s="129"/>
      <c r="AW294" s="129"/>
      <c r="AX294" s="129"/>
      <c r="AY294" s="129"/>
      <c r="AZ294" s="129"/>
      <c r="BA294" s="129"/>
      <c r="BB294" s="129"/>
      <c r="BC294" s="129"/>
      <c r="BD294" s="129"/>
      <c r="BE294" s="129"/>
    </row>
    <row r="295" spans="1:57" s="191" customFormat="1" ht="12" customHeight="1" x14ac:dyDescent="0.35">
      <c r="A295" s="182" t="s">
        <v>5</v>
      </c>
      <c r="B295" s="182" t="s">
        <v>346</v>
      </c>
      <c r="C295" s="182" t="s">
        <v>347</v>
      </c>
      <c r="D295" s="182" t="str">
        <f ca="1">[1]!cb_info_underlyingname(B295)</f>
        <v>迪森股份</v>
      </c>
      <c r="E295" s="183" t="str">
        <f ca="1">[1]!cb_info_underlyingcode(B295)</f>
        <v>300335.SZ</v>
      </c>
      <c r="F295" s="184" t="str">
        <f ca="1">[1]!s_info_industry_sw(B295,1)</f>
        <v>公用事业</v>
      </c>
      <c r="G295" s="184" t="str">
        <f ca="1">[1]!s_info_industry_sw(E295,2)</f>
        <v>环保工程及服务Ⅱ</v>
      </c>
      <c r="H295" s="184" t="str">
        <f ca="1">[1]!s_info_industry_sw(E295,3)</f>
        <v>环保工程及服务Ⅲ</v>
      </c>
      <c r="I295" s="192" t="str">
        <f ca="1">[1]!s_info_majorproducttype(E295)</f>
        <v>有机化工原料</v>
      </c>
      <c r="J295" s="189">
        <f ca="1">[1]!s_val_ev(E295,$B$2,100000000)</f>
        <v>23.122325818</v>
      </c>
      <c r="K295" s="193">
        <f ca="1">[1]!s_share_total(E295,$B$2,100000000)</f>
        <v>3.7294073900000004</v>
      </c>
      <c r="L295" s="193">
        <f ca="1">[1]!s_share_liqa(E295,$B$2,100000000)</f>
        <v>2.82414751</v>
      </c>
      <c r="M295" s="186">
        <f ca="1">[1]!s_fa_gr_ttm2(E295,$C$3,100000000)</f>
        <v>14.037559701400001</v>
      </c>
      <c r="N295" s="187">
        <f ca="1">[1]!s_fa_netprofit_ttm2(E295,$C$3,100000000)</f>
        <v>0.31173501170000001</v>
      </c>
      <c r="O295" s="186"/>
      <c r="P295" s="187">
        <f ca="1">[1]!s_val_pe_ttm(E295,[1]!td($B$2-1))</f>
        <v>47.660415649414063</v>
      </c>
      <c r="Q295" s="187">
        <f ca="1">[1]!i_val_pe_percentile(E295,[1]!td($B$2-1),$B$2-365*5,[1]!td($B$2-1))</f>
        <v>66.502192982456137</v>
      </c>
      <c r="R295" s="187">
        <f ca="1">[1]!pb_mrq(E295,[1]!td($B$2-1))</f>
        <v>1.7040134235633646</v>
      </c>
      <c r="S295" s="187">
        <f ca="1">[1]!i_val_pb_percentile(E295,[1]!td($B$2-1),$B$2-365*5,[1]!td($B$2-1))</f>
        <v>44.901315789473685</v>
      </c>
      <c r="T295" s="187">
        <f ca="1">[1]!s_val_pe_ttm([1]!to_windcode_index(H295&amp;"(申万)"),[1]!td($B$2-1))</f>
        <v>24.350000381469727</v>
      </c>
      <c r="U295" s="186"/>
      <c r="V295" s="186">
        <f ca="1">[1]!s_fa_roe(E295,$C$3)</f>
        <v>2.6375000000000002</v>
      </c>
      <c r="W295" s="186">
        <f ca="1">[1]!s_fa_grossprofitmargin(E295,$C$3)</f>
        <v>28.584700000000002</v>
      </c>
      <c r="X295" s="186">
        <f ca="1">[1]!s_fa_netprofitmargin(E295,$C$3)</f>
        <v>6.3651</v>
      </c>
      <c r="Y295" s="186">
        <f ca="1">[1]!s_fa_roic(E295,$C$3)</f>
        <v>3.2927</v>
      </c>
      <c r="Z295" s="186">
        <f ca="1">[1]!s_fa_operateincometoebt_ttm2(E295,$C$3)</f>
        <v>143.14400000000001</v>
      </c>
      <c r="AA295" s="186"/>
      <c r="AB295" s="342"/>
      <c r="AC295" s="186">
        <f ca="1">[1]!s_fa_cagr_tr($E295,AC$6,3)</f>
        <v>0</v>
      </c>
      <c r="AD295" s="186">
        <f ca="1">[1]!s_fa_cagr_tr($E295,AD$6,3)</f>
        <v>-6.6465114026561078</v>
      </c>
      <c r="AE295" s="187">
        <f ca="1">[1]!s_fa_cagr_tr($E295,AE$6,3)</f>
        <v>11.2636848807949</v>
      </c>
      <c r="AF295" s="187">
        <f ca="1">[1]!s_fa_cagr_tr($E295,AF$6,3)</f>
        <v>51.66999459189703</v>
      </c>
      <c r="AG295" s="187">
        <f ca="1">[1]!s_fa_cagr_tr($E295,AG$6,3)</f>
        <v>49.628910149627494</v>
      </c>
      <c r="AH295" s="187">
        <f ca="1">[1]!s_fa_cagr_tr($E295,AH$6,3)</f>
        <v>36.733678142169794</v>
      </c>
      <c r="AI295" s="194"/>
      <c r="AJ295" s="187">
        <f ca="1">[1]!s_fa_cagr_netprofit($E295,AJ$6,3)</f>
        <v>0</v>
      </c>
      <c r="AK295" s="187">
        <f ca="1">[1]!s_fa_cagr_netprofit($E295,AK$6,3)</f>
        <v>-46.551798662794496</v>
      </c>
      <c r="AL295" s="187">
        <f ca="1">[1]!s_fa_cagr_netprofit($E295,AL$6,3)</f>
        <v>-13.670992115454162</v>
      </c>
      <c r="AM295" s="187">
        <f ca="1">[1]!s_fa_cagr_netprofit($E295,AM$6,3)</f>
        <v>55.10177513186494</v>
      </c>
      <c r="AN295" s="187">
        <f ca="1">[1]!s_fa_cagr_netprofit($E295,AN$6,3)</f>
        <v>49.896375633618639</v>
      </c>
      <c r="AO295" s="187">
        <f ca="1">[1]!s_fa_cagr_netprofit($E295,AO$6,3)</f>
        <v>22.781111014361532</v>
      </c>
      <c r="AP295" s="189"/>
      <c r="AQ295" s="202">
        <f ca="1">[1]!s_fa_dupont_roe(E295,$C$3)</f>
        <v>2.6375000000000002</v>
      </c>
      <c r="AR295" s="202">
        <f ca="1">[1]!s_fa_dupont_nptosales(B295,$C$3)</f>
        <v>6.3651</v>
      </c>
      <c r="AS295" s="237">
        <f ca="1">[1]!s_fa_dupont_faturnover(E295,$C$3)</f>
        <v>0.26590000000000003</v>
      </c>
      <c r="AT295" s="202">
        <f ca="1">[1]!s_fa_dupont_assetstoequity(E295,$C$3)</f>
        <v>2.2709999999999999</v>
      </c>
      <c r="AU295" s="189"/>
      <c r="AV295" s="201"/>
      <c r="AW295" s="189"/>
      <c r="AX295" s="189"/>
      <c r="AY295" s="189"/>
      <c r="AZ295" s="189"/>
      <c r="BA295" s="189"/>
      <c r="BB295" s="189"/>
      <c r="BC295" s="189"/>
      <c r="BD295" s="189"/>
      <c r="BE295" s="189"/>
    </row>
    <row r="296" spans="1:57" s="130" customFormat="1" ht="12" customHeight="1" x14ac:dyDescent="0.35">
      <c r="A296" s="121" t="s">
        <v>5</v>
      </c>
      <c r="B296" s="121" t="s">
        <v>168</v>
      </c>
      <c r="C296" s="121" t="s">
        <v>169</v>
      </c>
      <c r="D296" s="121" t="str">
        <f ca="1">[1]!cb_info_underlyingname(B296)</f>
        <v>久吾高科</v>
      </c>
      <c r="E296" s="122" t="str">
        <f ca="1">[1]!cb_info_underlyingcode(B296)</f>
        <v>300631.SZ</v>
      </c>
      <c r="F296" s="123" t="str">
        <f ca="1">[1]!s_info_industry_sw(B296,1)</f>
        <v>公用事业</v>
      </c>
      <c r="G296" s="123" t="str">
        <f ca="1">[1]!s_info_industry_sw(E296,2)</f>
        <v>环保工程及服务Ⅱ</v>
      </c>
      <c r="H296" s="123" t="str">
        <f ca="1">[1]!s_info_industry_sw(E296,3)</f>
        <v>环保工程及服务Ⅲ</v>
      </c>
      <c r="I296" s="156" t="str">
        <f ca="1">[1]!s_info_majorproducttype(E296)</f>
        <v>专用设备与零部件</v>
      </c>
      <c r="J296" s="129">
        <f ca="1">[1]!s_val_ev(E296,$B$2,100000000)</f>
        <v>45.52003011</v>
      </c>
      <c r="K296" s="157">
        <f ca="1">[1]!s_share_total(E296,$B$2,100000000)</f>
        <v>1.0863968999999998</v>
      </c>
      <c r="L296" s="157">
        <f ca="1">[1]!s_share_liqa(E296,$B$2,100000000)</f>
        <v>1.0625881500000001</v>
      </c>
      <c r="M296" s="125">
        <f ca="1">[1]!s_fa_gr_ttm2(E296,$C$3,100000000)</f>
        <v>4.9571919960999997</v>
      </c>
      <c r="N296" s="126">
        <f ca="1">[1]!s_fa_netprofit_ttm2(E296,$C$3,100000000)</f>
        <v>0.56548324230000002</v>
      </c>
      <c r="O296" s="125"/>
      <c r="P296" s="126">
        <f ca="1">[1]!s_val_pe_ttm(E296,[1]!td($B$2-1))</f>
        <v>64.441177368164063</v>
      </c>
      <c r="Q296" s="126">
        <f ca="1">[1]!i_val_pe_percentile(E296,[1]!td($B$2-1),$B$2-365*5,[1]!td($B$2-1))</f>
        <v>86.310620012277468</v>
      </c>
      <c r="R296" s="126">
        <f ca="1">[1]!pb_mrq(E296,[1]!td($B$2-1))</f>
        <v>5.6185852249138941</v>
      </c>
      <c r="S296" s="126">
        <f ca="1">[1]!i_val_pb_percentile(E296,[1]!td($B$2-1),$B$2-365*5,[1]!td($B$2-1))</f>
        <v>92.38796807857581</v>
      </c>
      <c r="T296" s="126">
        <f ca="1">[1]!s_val_pe_ttm([1]!to_windcode_index(H296&amp;"(申万)"),[1]!td($B$2-1))</f>
        <v>24.350000381469727</v>
      </c>
      <c r="U296" s="126"/>
      <c r="V296" s="126">
        <f ca="1">[1]!s_fa_roe(E296,$C$3)</f>
        <v>4.7309000000000001</v>
      </c>
      <c r="W296" s="126">
        <f ca="1">[1]!s_fa_grossprofitmargin(E296,$C$3)</f>
        <v>38.993600000000001</v>
      </c>
      <c r="X296" s="126">
        <f ca="1">[1]!s_fa_netprofitmargin(E296,$C$3)</f>
        <v>12.7575</v>
      </c>
      <c r="Y296" s="126">
        <f ca="1">[1]!s_fa_roic(E296,$C$3)</f>
        <v>3.8868</v>
      </c>
      <c r="Z296" s="126">
        <f ca="1">[1]!s_fa_operateincometoebt_ttm2(E296,$C$3)</f>
        <v>68.027699999999996</v>
      </c>
      <c r="AA296" s="125"/>
      <c r="AB296" s="343"/>
      <c r="AC296" s="125">
        <f ca="1">[1]!s_fa_cagr_tr($E296,AC$6,3)</f>
        <v>0</v>
      </c>
      <c r="AD296" s="125">
        <f ca="1">[1]!s_fa_cagr_tr($E296,AD$6,3)</f>
        <v>21.86616690251093</v>
      </c>
      <c r="AE296" s="126">
        <f ca="1">[1]!s_fa_cagr_tr($E296,AE$6,3)</f>
        <v>26.166890968583111</v>
      </c>
      <c r="AF296" s="126">
        <f ca="1">[1]!s_fa_cagr_tr($E296,AF$6,3)</f>
        <v>26.380124650012625</v>
      </c>
      <c r="AG296" s="126">
        <f ca="1">[1]!s_fa_cagr_tr($E296,AG$6,3)</f>
        <v>0.73263496283577645</v>
      </c>
      <c r="AH296" s="126">
        <f ca="1">[1]!s_fa_cagr_tr($E296,AH$6,3)</f>
        <v>-3.3959543008556747</v>
      </c>
      <c r="AI296" s="169"/>
      <c r="AJ296" s="126">
        <f ca="1">[1]!s_fa_cagr_netprofit($E296,AJ$6,3)</f>
        <v>0</v>
      </c>
      <c r="AK296" s="126">
        <f ca="1">[1]!s_fa_cagr_netprofit($E296,AK$6,3)</f>
        <v>22.47059132380771</v>
      </c>
      <c r="AL296" s="126">
        <f ca="1">[1]!s_fa_cagr_netprofit($E296,AL$6,3)</f>
        <v>9.0289259314610515</v>
      </c>
      <c r="AM296" s="126">
        <f ca="1">[1]!s_fa_cagr_netprofit($E296,AM$6,3)</f>
        <v>3.0321732631725773</v>
      </c>
      <c r="AN296" s="126">
        <f ca="1">[1]!s_fa_cagr_netprofit($E296,AN$6,3)</f>
        <v>-8.7720046046189655</v>
      </c>
      <c r="AO296" s="126">
        <f ca="1">[1]!s_fa_cagr_netprofit($E296,AO$6,3)</f>
        <v>-14.293897947233559</v>
      </c>
      <c r="AP296" s="129"/>
      <c r="AQ296" s="203">
        <f ca="1">[1]!s_fa_dupont_roe(E296,$C$3)</f>
        <v>4.7309000000000001</v>
      </c>
      <c r="AR296" s="203">
        <f ca="1">[1]!s_fa_dupont_nptosales(B296,$C$3)</f>
        <v>12.7575</v>
      </c>
      <c r="AS296" s="238">
        <f ca="1">[1]!s_fa_dupont_faturnover(E296,$C$3)</f>
        <v>0.22550000000000001</v>
      </c>
      <c r="AT296" s="203">
        <f ca="1">[1]!s_fa_dupont_assetstoequity(E296,$C$3)</f>
        <v>1.8604000000000001</v>
      </c>
      <c r="AU296" s="129"/>
      <c r="AV296" s="129"/>
      <c r="AW296" s="129"/>
      <c r="AX296" s="129"/>
      <c r="AY296" s="129"/>
      <c r="AZ296" s="129"/>
      <c r="BA296" s="129"/>
      <c r="BB296" s="129"/>
      <c r="BC296" s="129"/>
      <c r="BD296" s="129"/>
      <c r="BE296" s="129"/>
    </row>
    <row r="297" spans="1:57" s="191" customFormat="1" ht="12" customHeight="1" x14ac:dyDescent="0.35">
      <c r="A297" s="182" t="s">
        <v>5</v>
      </c>
      <c r="B297" s="182" t="s">
        <v>628</v>
      </c>
      <c r="C297" s="182" t="s">
        <v>629</v>
      </c>
      <c r="D297" s="182" t="str">
        <f ca="1">[1]!cb_info_underlyingname(B297)</f>
        <v>华菱钢铁</v>
      </c>
      <c r="E297" s="183" t="str">
        <f ca="1">[1]!cb_info_underlyingcode(B297)</f>
        <v>000932.SZ</v>
      </c>
      <c r="F297" s="184" t="str">
        <f ca="1">[1]!s_info_industry_sw(B297,1)</f>
        <v>钢铁</v>
      </c>
      <c r="G297" s="184" t="str">
        <f ca="1">[1]!s_info_industry_sw(E297,2)</f>
        <v>钢铁Ⅱ</v>
      </c>
      <c r="H297" s="184" t="str">
        <f ca="1">[1]!s_info_industry_sw(E297,3)</f>
        <v>普钢</v>
      </c>
      <c r="I297" s="192" t="str">
        <f ca="1">[1]!s_info_majorproducttype(E297)</f>
        <v>钢板类、钢管类、型钢类</v>
      </c>
      <c r="J297" s="189">
        <f ca="1">[1]!s_val_ev(E297,$B$2,100000000)</f>
        <v>578.25254016629992</v>
      </c>
      <c r="K297" s="193">
        <f ca="1">[1]!s_share_total(E297,$B$2,100000000)</f>
        <v>69.086324990000008</v>
      </c>
      <c r="L297" s="193">
        <f ca="1">[1]!s_share_liqa(E297,$B$2,100000000)</f>
        <v>57.179434409999999</v>
      </c>
      <c r="M297" s="186">
        <f ca="1">[1]!s_fa_gr_ttm2(E297,$C$3,100000000)</f>
        <v>1084.5421199622001</v>
      </c>
      <c r="N297" s="187">
        <f ca="1">[1]!s_fa_netprofit_ttm2(E297,$C$3,100000000)</f>
        <v>58.352811487499999</v>
      </c>
      <c r="O297" s="186"/>
      <c r="P297" s="187">
        <f ca="1">[1]!s_val_pe_ttm(E297,[1]!td($B$2-1))</f>
        <v>6.4634590148925781</v>
      </c>
      <c r="Q297" s="187">
        <f ca="1">[1]!i_val_pe_percentile(E297,[1]!td($B$2-1),$B$2-365*5,[1]!td($B$2-1))</f>
        <v>72.550251256281399</v>
      </c>
      <c r="R297" s="187">
        <f ca="1">[1]!pb_mrq(E297,[1]!td($B$2-1))</f>
        <v>1.456685533939662</v>
      </c>
      <c r="S297" s="187">
        <f ca="1">[1]!i_val_pb_percentile(E297,[1]!td($B$2-1),$B$2-365*5,[1]!td($B$2-1))</f>
        <v>51.096491228070171</v>
      </c>
      <c r="T297" s="187">
        <f ca="1">[1]!s_val_pe_ttm([1]!to_windcode_index(H297&amp;"(申万)"),[1]!td($B$2-1))</f>
        <v>10.590000152587891</v>
      </c>
      <c r="U297" s="187"/>
      <c r="V297" s="187">
        <f ca="1">[1]!s_fa_roe(E297,$C$3)</f>
        <v>16.186499999999999</v>
      </c>
      <c r="W297" s="187">
        <f ca="1">[1]!s_fa_grossprofitmargin(E297,$C$3)</f>
        <v>15.659700000000001</v>
      </c>
      <c r="X297" s="187">
        <f ca="1">[1]!s_fa_netprofitmargin(E297,$C$3)</f>
        <v>6.3093000000000004</v>
      </c>
      <c r="Y297" s="187">
        <f ca="1">[1]!s_fa_roic(E297,$C$3)</f>
        <v>9.7326999999999995</v>
      </c>
      <c r="Z297" s="187">
        <f ca="1">[1]!s_fa_operateincometoebt_ttm2(E297,$C$3)</f>
        <v>94.8095</v>
      </c>
      <c r="AA297" s="186"/>
      <c r="AB297" s="342"/>
      <c r="AC297" s="186">
        <f ca="1">[1]!s_fa_cagr_tr($E297,AC$6,3)</f>
        <v>0</v>
      </c>
      <c r="AD297" s="186">
        <f ca="1">[1]!s_fa_cagr_tr($E297,AD$6,3)</f>
        <v>14.981333847706214</v>
      </c>
      <c r="AE297" s="187">
        <f ca="1">[1]!s_fa_cagr_tr($E297,AE$6,3)</f>
        <v>29.038295098227017</v>
      </c>
      <c r="AF297" s="187">
        <f ca="1">[1]!s_fa_cagr_tr($E297,AF$6,3)</f>
        <v>30.092629516784708</v>
      </c>
      <c r="AG297" s="187">
        <f ca="1">[1]!s_fa_cagr_tr($E297,AG$6,3)</f>
        <v>11.250154116105904</v>
      </c>
      <c r="AH297" s="187">
        <f ca="1">[1]!s_fa_cagr_tr($E297,AH$6,3)</f>
        <v>-5.7736156178964437</v>
      </c>
      <c r="AI297" s="194"/>
      <c r="AJ297" s="187">
        <f ca="1">[1]!s_fa_cagr_netprofit($E297,AJ$6,3)</f>
        <v>0</v>
      </c>
      <c r="AK297" s="187">
        <f ca="1">[1]!s_fa_cagr_netprofit($E297,AK$6,3)</f>
        <v>15.776153521088476</v>
      </c>
      <c r="AL297" s="187">
        <f ca="1">[1]!s_fa_cagr_netprofit($E297,AL$6,3)</f>
        <v>83.331077762091496</v>
      </c>
      <c r="AM297" s="187">
        <f ca="1">[1]!s_fa_cagr_netprofit($E297,AM$6,3)</f>
        <v>62.504363529711114</v>
      </c>
      <c r="AN297" s="187">
        <f ca="1">[1]!s_fa_cagr_netprofit($E297,AN$6,3)</f>
        <v>280.78968884763111</v>
      </c>
      <c r="AO297" s="187">
        <f ca="1">[1]!s_fa_cagr_netprofit($E297,AO$6,3)</f>
        <v>-315.2642212627897</v>
      </c>
      <c r="AP297" s="189"/>
      <c r="AQ297" s="202">
        <f ca="1">[1]!s_fa_dupont_roe(E297,$C$3)</f>
        <v>16.186499999999999</v>
      </c>
      <c r="AR297" s="202">
        <f ca="1">[1]!s_fa_dupont_nptosales(B297,$C$3)</f>
        <v>6.2953000000000001</v>
      </c>
      <c r="AS297" s="237">
        <f ca="1">[1]!s_fa_dupont_faturnover(E297,$C$3)</f>
        <v>0.97489999999999999</v>
      </c>
      <c r="AT297" s="202">
        <f ca="1">[1]!s_fa_dupont_assetstoequity(E297,$C$3)</f>
        <v>2.8525999999999998</v>
      </c>
      <c r="AU297" s="189"/>
      <c r="AV297" s="189"/>
      <c r="AW297" s="189"/>
      <c r="AX297" s="189"/>
      <c r="AY297" s="189"/>
      <c r="AZ297" s="189"/>
      <c r="BA297" s="189"/>
      <c r="BB297" s="189"/>
      <c r="BC297" s="189"/>
      <c r="BD297" s="189"/>
      <c r="BE297" s="189"/>
    </row>
    <row r="298" spans="1:57" s="130" customFormat="1" ht="12" customHeight="1" x14ac:dyDescent="0.35">
      <c r="A298" s="121" t="s">
        <v>5</v>
      </c>
      <c r="B298" s="121" t="s">
        <v>390</v>
      </c>
      <c r="C298" s="121" t="s">
        <v>391</v>
      </c>
      <c r="D298" s="121" t="str">
        <f ca="1">[1]!cb_info_underlyingname(B298)</f>
        <v>华菱钢铁</v>
      </c>
      <c r="E298" s="122" t="str">
        <f ca="1">[1]!cb_info_underlyingcode(B298)</f>
        <v>000932.SZ</v>
      </c>
      <c r="F298" s="123" t="str">
        <f ca="1">[1]!s_info_industry_sw(B298,1)</f>
        <v>钢铁</v>
      </c>
      <c r="G298" s="123" t="str">
        <f ca="1">[1]!s_info_industry_sw(E298,2)</f>
        <v>钢铁Ⅱ</v>
      </c>
      <c r="H298" s="123" t="str">
        <f ca="1">[1]!s_info_industry_sw(E298,3)</f>
        <v>普钢</v>
      </c>
      <c r="I298" s="156" t="str">
        <f ca="1">[1]!s_info_majorproducttype(E298)</f>
        <v>钢板类、钢管类、型钢类</v>
      </c>
      <c r="J298" s="129">
        <f ca="1">[1]!s_val_ev(E298,$B$2,100000000)</f>
        <v>578.25254016629992</v>
      </c>
      <c r="K298" s="157">
        <f ca="1">[1]!s_share_total(E298,$B$2,100000000)</f>
        <v>69.086324990000008</v>
      </c>
      <c r="L298" s="157">
        <f ca="1">[1]!s_share_liqa(E298,$B$2,100000000)</f>
        <v>57.179434409999999</v>
      </c>
      <c r="M298" s="125">
        <f ca="1">[1]!s_fa_gr_ttm2(E298,$C$3,100000000)</f>
        <v>1084.5421199622001</v>
      </c>
      <c r="N298" s="126">
        <f ca="1">[1]!s_fa_netprofit_ttm2(E298,$C$3,100000000)</f>
        <v>58.352811487499999</v>
      </c>
      <c r="O298" s="125"/>
      <c r="P298" s="126">
        <f ca="1">[1]!s_val_pe_ttm(E298,[1]!td($B$2-1))</f>
        <v>6.4634590148925781</v>
      </c>
      <c r="Q298" s="126">
        <f ca="1">[1]!i_val_pe_percentile(E298,[1]!td($B$2-1),$B$2-365*5,[1]!td($B$2-1))</f>
        <v>72.550251256281399</v>
      </c>
      <c r="R298" s="126">
        <f ca="1">[1]!pb_mrq(E298,[1]!td($B$2-1))</f>
        <v>1.456685533939662</v>
      </c>
      <c r="S298" s="126">
        <f ca="1">[1]!i_val_pb_percentile(E298,[1]!td($B$2-1),$B$2-365*5,[1]!td($B$2-1))</f>
        <v>51.096491228070171</v>
      </c>
      <c r="T298" s="126">
        <f ca="1">[1]!s_val_pe_ttm([1]!to_windcode_index(H298&amp;"(申万)"),[1]!td($B$2-1))</f>
        <v>10.590000152587891</v>
      </c>
      <c r="U298" s="126"/>
      <c r="V298" s="126">
        <f ca="1">[1]!s_fa_roe(E298,$C$3)</f>
        <v>16.186499999999999</v>
      </c>
      <c r="W298" s="126">
        <f ca="1">[1]!s_fa_grossprofitmargin(E298,$C$3)</f>
        <v>15.659700000000001</v>
      </c>
      <c r="X298" s="126">
        <f ca="1">[1]!s_fa_netprofitmargin(E298,$C$3)</f>
        <v>6.3093000000000004</v>
      </c>
      <c r="Y298" s="126">
        <f ca="1">[1]!s_fa_roic(E298,$C$3)</f>
        <v>9.7326999999999995</v>
      </c>
      <c r="Z298" s="126">
        <f ca="1">[1]!s_fa_operateincometoebt_ttm2(E298,$C$3)</f>
        <v>94.8095</v>
      </c>
      <c r="AA298" s="125"/>
      <c r="AB298" s="343"/>
      <c r="AC298" s="125">
        <f ca="1">[1]!s_fa_cagr_tr($E298,AC$6,3)</f>
        <v>0</v>
      </c>
      <c r="AD298" s="125">
        <f ca="1">[1]!s_fa_cagr_tr($E298,AD$6,3)</f>
        <v>14.981333847706214</v>
      </c>
      <c r="AE298" s="126">
        <f ca="1">[1]!s_fa_cagr_tr($E298,AE$6,3)</f>
        <v>29.038295098227017</v>
      </c>
      <c r="AF298" s="126">
        <f ca="1">[1]!s_fa_cagr_tr($E298,AF$6,3)</f>
        <v>30.092629516784708</v>
      </c>
      <c r="AG298" s="126">
        <f ca="1">[1]!s_fa_cagr_tr($E298,AG$6,3)</f>
        <v>11.250154116105904</v>
      </c>
      <c r="AH298" s="126">
        <f ca="1">[1]!s_fa_cagr_tr($E298,AH$6,3)</f>
        <v>-5.7736156178964437</v>
      </c>
      <c r="AI298" s="169"/>
      <c r="AJ298" s="126">
        <f ca="1">[1]!s_fa_cagr_netprofit($E298,AJ$6,3)</f>
        <v>0</v>
      </c>
      <c r="AK298" s="126">
        <f ca="1">[1]!s_fa_cagr_netprofit($E298,AK$6,3)</f>
        <v>15.776153521088476</v>
      </c>
      <c r="AL298" s="126">
        <f ca="1">[1]!s_fa_cagr_netprofit($E298,AL$6,3)</f>
        <v>83.331077762091496</v>
      </c>
      <c r="AM298" s="126">
        <f ca="1">[1]!s_fa_cagr_netprofit($E298,AM$6,3)</f>
        <v>62.504363529711114</v>
      </c>
      <c r="AN298" s="126">
        <f ca="1">[1]!s_fa_cagr_netprofit($E298,AN$6,3)</f>
        <v>280.78968884763111</v>
      </c>
      <c r="AO298" s="126">
        <f ca="1">[1]!s_fa_cagr_netprofit($E298,AO$6,3)</f>
        <v>-315.2642212627897</v>
      </c>
      <c r="AP298" s="129"/>
      <c r="AQ298" s="203">
        <f ca="1">[1]!s_fa_dupont_roe(E298,$C$3)</f>
        <v>16.186499999999999</v>
      </c>
      <c r="AR298" s="203">
        <f ca="1">[1]!s_fa_dupont_nptosales(B298,$C$3)</f>
        <v>6.0692000000000004</v>
      </c>
      <c r="AS298" s="238">
        <f ca="1">[1]!s_fa_dupont_faturnover(E298,$C$3)</f>
        <v>0.97489999999999999</v>
      </c>
      <c r="AT298" s="203">
        <f ca="1">[1]!s_fa_dupont_assetstoequity(E298,$C$3)</f>
        <v>2.8525999999999998</v>
      </c>
      <c r="AU298" s="129"/>
      <c r="AV298" s="129"/>
      <c r="AW298" s="129"/>
      <c r="AX298" s="129"/>
      <c r="AY298" s="129"/>
      <c r="AZ298" s="129"/>
      <c r="BA298" s="129"/>
      <c r="BB298" s="129"/>
      <c r="BC298" s="129"/>
      <c r="BD298" s="129"/>
      <c r="BE298" s="129"/>
    </row>
    <row r="299" spans="1:57" s="191" customFormat="1" ht="12" customHeight="1" x14ac:dyDescent="0.35">
      <c r="A299" s="182" t="s">
        <v>5</v>
      </c>
      <c r="B299" s="182" t="s">
        <v>372</v>
      </c>
      <c r="C299" s="182" t="s">
        <v>373</v>
      </c>
      <c r="D299" s="182" t="str">
        <f ca="1">[1]!cb_info_underlyingname(B299)</f>
        <v>华菱钢铁</v>
      </c>
      <c r="E299" s="183" t="str">
        <f ca="1">[1]!cb_info_underlyingcode(B299)</f>
        <v>000932.SZ</v>
      </c>
      <c r="F299" s="184" t="str">
        <f ca="1">[1]!s_info_industry_sw(B299,1)</f>
        <v>钢铁</v>
      </c>
      <c r="G299" s="184" t="str">
        <f ca="1">[1]!s_info_industry_sw(E299,2)</f>
        <v>钢铁Ⅱ</v>
      </c>
      <c r="H299" s="184" t="str">
        <f ca="1">[1]!s_info_industry_sw(E299,3)</f>
        <v>普钢</v>
      </c>
      <c r="I299" s="192" t="str">
        <f ca="1">[1]!s_info_majorproducttype(E299)</f>
        <v>钢板类、钢管类、型钢类</v>
      </c>
      <c r="J299" s="189">
        <f ca="1">[1]!s_val_ev(E299,$B$2,100000000)</f>
        <v>578.25254016629992</v>
      </c>
      <c r="K299" s="193">
        <f ca="1">[1]!s_share_total(E299,$B$2,100000000)</f>
        <v>69.086324990000008</v>
      </c>
      <c r="L299" s="193">
        <f ca="1">[1]!s_share_liqa(E299,$B$2,100000000)</f>
        <v>57.179434409999999</v>
      </c>
      <c r="M299" s="186">
        <f ca="1">[1]!s_fa_gr_ttm2(E299,$C$3,100000000)</f>
        <v>1084.5421199622001</v>
      </c>
      <c r="N299" s="187">
        <f ca="1">[1]!s_fa_netprofit_ttm2(E299,$C$3,100000000)</f>
        <v>58.352811487499999</v>
      </c>
      <c r="O299" s="186"/>
      <c r="P299" s="187">
        <f ca="1">[1]!s_val_pe_ttm(E299,[1]!td($B$2-1))</f>
        <v>6.4634590148925781</v>
      </c>
      <c r="Q299" s="187">
        <f ca="1">[1]!i_val_pe_percentile(E299,[1]!td($B$2-1),$B$2-365*5,[1]!td($B$2-1))</f>
        <v>72.550251256281399</v>
      </c>
      <c r="R299" s="187">
        <f ca="1">[1]!pb_mrq(E299,[1]!td($B$2-1))</f>
        <v>1.456685533939662</v>
      </c>
      <c r="S299" s="187">
        <f ca="1">[1]!i_val_pb_percentile(E299,[1]!td($B$2-1),$B$2-365*5,[1]!td($B$2-1))</f>
        <v>51.096491228070171</v>
      </c>
      <c r="T299" s="187">
        <f ca="1">[1]!s_val_pe_ttm([1]!to_windcode_index(H299&amp;"(申万)"),[1]!td($B$2-1))</f>
        <v>10.590000152587891</v>
      </c>
      <c r="U299" s="186"/>
      <c r="V299" s="186">
        <f ca="1">[1]!s_fa_roe(E299,$C$3)</f>
        <v>16.186499999999999</v>
      </c>
      <c r="W299" s="186">
        <f ca="1">[1]!s_fa_grossprofitmargin(E299,$C$3)</f>
        <v>15.659700000000001</v>
      </c>
      <c r="X299" s="186">
        <f ca="1">[1]!s_fa_netprofitmargin(E299,$C$3)</f>
        <v>6.3093000000000004</v>
      </c>
      <c r="Y299" s="186">
        <f ca="1">[1]!s_fa_roic(E299,$C$3)</f>
        <v>9.7326999999999995</v>
      </c>
      <c r="Z299" s="186">
        <f ca="1">[1]!s_fa_operateincometoebt_ttm2(E299,$C$3)</f>
        <v>94.8095</v>
      </c>
      <c r="AA299" s="186"/>
      <c r="AB299" s="342"/>
      <c r="AC299" s="186">
        <f ca="1">[1]!s_fa_cagr_tr($E299,AC$6,3)</f>
        <v>0</v>
      </c>
      <c r="AD299" s="186">
        <f ca="1">[1]!s_fa_cagr_tr($E299,AD$6,3)</f>
        <v>14.981333847706214</v>
      </c>
      <c r="AE299" s="187">
        <f ca="1">[1]!s_fa_cagr_tr($E299,AE$6,3)</f>
        <v>29.038295098227017</v>
      </c>
      <c r="AF299" s="187">
        <f ca="1">[1]!s_fa_cagr_tr($E299,AF$6,3)</f>
        <v>30.092629516784708</v>
      </c>
      <c r="AG299" s="187">
        <f ca="1">[1]!s_fa_cagr_tr($E299,AG$6,3)</f>
        <v>11.250154116105904</v>
      </c>
      <c r="AH299" s="187">
        <f ca="1">[1]!s_fa_cagr_tr($E299,AH$6,3)</f>
        <v>-5.7736156178964437</v>
      </c>
      <c r="AI299" s="194"/>
      <c r="AJ299" s="187">
        <f ca="1">[1]!s_fa_cagr_netprofit($E299,AJ$6,3)</f>
        <v>0</v>
      </c>
      <c r="AK299" s="187">
        <f ca="1">[1]!s_fa_cagr_netprofit($E299,AK$6,3)</f>
        <v>15.776153521088476</v>
      </c>
      <c r="AL299" s="187">
        <f ca="1">[1]!s_fa_cagr_netprofit($E299,AL$6,3)</f>
        <v>83.331077762091496</v>
      </c>
      <c r="AM299" s="187">
        <f ca="1">[1]!s_fa_cagr_netprofit($E299,AM$6,3)</f>
        <v>62.504363529711114</v>
      </c>
      <c r="AN299" s="187">
        <f ca="1">[1]!s_fa_cagr_netprofit($E299,AN$6,3)</f>
        <v>280.78968884763111</v>
      </c>
      <c r="AO299" s="187">
        <f ca="1">[1]!s_fa_cagr_netprofit($E299,AO$6,3)</f>
        <v>-315.2642212627897</v>
      </c>
      <c r="AP299" s="189"/>
      <c r="AQ299" s="202">
        <f ca="1">[1]!s_fa_dupont_roe(E299,$C$3)</f>
        <v>16.186499999999999</v>
      </c>
      <c r="AR299" s="202">
        <f ca="1">[1]!s_fa_dupont_nptosales(B299,$C$3)</f>
        <v>6.0692000000000004</v>
      </c>
      <c r="AS299" s="237">
        <f ca="1">[1]!s_fa_dupont_faturnover(E299,$C$3)</f>
        <v>0.97489999999999999</v>
      </c>
      <c r="AT299" s="202">
        <f ca="1">[1]!s_fa_dupont_assetstoequity(E299,$C$3)</f>
        <v>2.8525999999999998</v>
      </c>
      <c r="AU299" s="189"/>
      <c r="AV299" s="201"/>
      <c r="AW299" s="189"/>
      <c r="AX299" s="189"/>
      <c r="AY299" s="189"/>
      <c r="AZ299" s="189"/>
      <c r="BA299" s="189"/>
      <c r="BB299" s="189"/>
      <c r="BC299" s="189"/>
      <c r="BD299" s="189"/>
      <c r="BE299" s="189"/>
    </row>
    <row r="300" spans="1:57" s="130" customFormat="1" ht="12" customHeight="1" x14ac:dyDescent="0.35">
      <c r="A300" s="121" t="s">
        <v>5</v>
      </c>
      <c r="B300" s="121" t="s">
        <v>106</v>
      </c>
      <c r="C300" s="121" t="s">
        <v>107</v>
      </c>
      <c r="D300" s="121" t="str">
        <f ca="1">[1]!cb_info_underlyingname(B300)</f>
        <v>本钢板材</v>
      </c>
      <c r="E300" s="122" t="str">
        <f ca="1">[1]!cb_info_underlyingcode(B300)</f>
        <v>000761.SZ</v>
      </c>
      <c r="F300" s="123" t="str">
        <f ca="1">[1]!s_info_industry_sw(B300,1)</f>
        <v>钢铁</v>
      </c>
      <c r="G300" s="123" t="str">
        <f ca="1">[1]!s_info_industry_sw(E300,2)</f>
        <v>钢铁Ⅱ</v>
      </c>
      <c r="H300" s="123" t="str">
        <f ca="1">[1]!s_info_industry_sw(E300,3)</f>
        <v>普钢</v>
      </c>
      <c r="I300" s="156" t="str">
        <f ca="1">[1]!s_info_majorproducttype(E300)</f>
        <v>钢板类、黑色金属</v>
      </c>
      <c r="J300" s="129">
        <f ca="1">[1]!s_val_ev(E300,$B$2,100000000)</f>
        <v>270.36921559839999</v>
      </c>
      <c r="K300" s="157">
        <f ca="1">[1]!s_share_total(E300,$B$2,100000000)</f>
        <v>38.851302240000003</v>
      </c>
      <c r="L300" s="157">
        <f ca="1">[1]!s_share_liqa(E300,$B$2,100000000)</f>
        <v>34.851302240000003</v>
      </c>
      <c r="M300" s="125">
        <f ca="1">[1]!s_fa_gr_ttm2(E300,$C$3,100000000)</f>
        <v>490.48764879739997</v>
      </c>
      <c r="N300" s="126">
        <f ca="1">[1]!s_fa_netprofit_ttm2(E300,$C$3,100000000)</f>
        <v>3.5171701361999999</v>
      </c>
      <c r="O300" s="125"/>
      <c r="P300" s="126">
        <f ca="1">[1]!s_val_pe_ttm(E300,[1]!td($B$2-1))</f>
        <v>12.311295509338379</v>
      </c>
      <c r="Q300" s="126">
        <f ca="1">[1]!i_val_pe_percentile(E300,[1]!td($B$2-1),$B$2-365*5,[1]!td($B$2-1))</f>
        <v>24.907521578298397</v>
      </c>
      <c r="R300" s="126">
        <f ca="1">[1]!pb_mrq(E300,[1]!td($B$2-1))</f>
        <v>1.3021587731722175</v>
      </c>
      <c r="S300" s="126">
        <f ca="1">[1]!i_val_pb_percentile(E300,[1]!td($B$2-1),$B$2-365*5,[1]!td($B$2-1))</f>
        <v>81.030701754385973</v>
      </c>
      <c r="T300" s="126">
        <f ca="1">[1]!s_val_pe_ttm([1]!to_windcode_index(H300&amp;"(申万)"),[1]!td($B$2-1))</f>
        <v>10.590000152587891</v>
      </c>
      <c r="U300" s="126"/>
      <c r="V300" s="126">
        <f ca="1">[1]!s_fa_roe(E300,$C$3)</f>
        <v>1.4024000000000001</v>
      </c>
      <c r="W300" s="126">
        <f ca="1">[1]!s_fa_grossprofitmargin(E300,$C$3)</f>
        <v>6.4328000000000003</v>
      </c>
      <c r="X300" s="126">
        <f ca="1">[1]!s_fa_netprofitmargin(E300,$C$3)</f>
        <v>0.82679999999999998</v>
      </c>
      <c r="Y300" s="126">
        <f ca="1">[1]!s_fa_roic(E300,$C$3)</f>
        <v>1.7171000000000001</v>
      </c>
      <c r="Z300" s="126">
        <f ca="1">[1]!s_fa_operateincometoebt_ttm2(E300,$C$3)</f>
        <v>90.254599999999996</v>
      </c>
      <c r="AA300" s="125"/>
      <c r="AB300" s="343"/>
      <c r="AC300" s="125">
        <f ca="1">[1]!s_fa_cagr_tr($E300,AC$6,3)</f>
        <v>0</v>
      </c>
      <c r="AD300" s="125">
        <f ca="1">[1]!s_fa_cagr_tr($E300,AD$6,3)</f>
        <v>6.3207479332609617</v>
      </c>
      <c r="AE300" s="126">
        <f ca="1">[1]!s_fa_cagr_tr($E300,AE$6,3)</f>
        <v>21.333899850620508</v>
      </c>
      <c r="AF300" s="126">
        <f ca="1">[1]!s_fa_cagr_tr($E300,AF$6,3)</f>
        <v>19.707763119503841</v>
      </c>
      <c r="AG300" s="126">
        <f ca="1">[1]!s_fa_cagr_tr($E300,AG$6,3)</f>
        <v>-0.7411842146414771</v>
      </c>
      <c r="AH300" s="126">
        <f ca="1">[1]!s_fa_cagr_tr($E300,AH$6,3)</f>
        <v>-9.8716931018190568</v>
      </c>
      <c r="AI300" s="169"/>
      <c r="AJ300" s="126">
        <f ca="1">[1]!s_fa_cagr_netprofit($E300,AJ$6,3)</f>
        <v>0</v>
      </c>
      <c r="AK300" s="126">
        <f ca="1">[1]!s_fa_cagr_netprofit($E300,AK$6,3)</f>
        <v>-37.843146137953312</v>
      </c>
      <c r="AL300" s="126">
        <f ca="1">[1]!s_fa_cagr_netprofit($E300,AL$6,3)</f>
        <v>-10.738323462794829</v>
      </c>
      <c r="AM300" s="126">
        <f ca="1">[1]!s_fa_cagr_netprofit($E300,AM$6,3)</f>
        <v>32.281173676476385</v>
      </c>
      <c r="AN300" s="126">
        <f ca="1">[1]!s_fa_cagr_netprofit($E300,AN$6,3)</f>
        <v>90.130873987436559</v>
      </c>
      <c r="AO300" s="126">
        <f ca="1">[1]!s_fa_cagr_netprofit($E300,AO$6,3)</f>
        <v>41.528927915328964</v>
      </c>
      <c r="AP300" s="129"/>
      <c r="AQ300" s="203">
        <f ca="1">[1]!s_fa_dupont_roe(E300,$C$3)</f>
        <v>1.4024000000000001</v>
      </c>
      <c r="AR300" s="203">
        <f ca="1">[1]!s_fa_dupont_nptosales(B300,$C$3)</f>
        <v>0.82679999999999998</v>
      </c>
      <c r="AS300" s="238">
        <f ca="1">[1]!s_fa_dupont_faturnover(E300,$C$3)</f>
        <v>0.55349999999999999</v>
      </c>
      <c r="AT300" s="203">
        <f ca="1">[1]!s_fa_dupont_assetstoequity(E300,$C$3)</f>
        <v>3.1145999999999998</v>
      </c>
      <c r="AU300" s="129"/>
      <c r="AV300" s="129"/>
      <c r="AW300" s="129"/>
      <c r="AX300" s="129"/>
      <c r="AY300" s="129"/>
      <c r="AZ300" s="129"/>
      <c r="BA300" s="129"/>
      <c r="BB300" s="129"/>
      <c r="BC300" s="129"/>
      <c r="BD300" s="129"/>
      <c r="BE300" s="129"/>
    </row>
    <row r="301" spans="1:57" s="191" customFormat="1" ht="12" customHeight="1" x14ac:dyDescent="0.35">
      <c r="A301" s="182" t="s">
        <v>0</v>
      </c>
      <c r="B301" s="182" t="s">
        <v>140</v>
      </c>
      <c r="C301" s="182" t="s">
        <v>141</v>
      </c>
      <c r="D301" s="182" t="str">
        <f ca="1">[1]!cb_info_underlyingname(B301)</f>
        <v>凌钢股份</v>
      </c>
      <c r="E301" s="183" t="str">
        <f ca="1">[1]!cb_info_underlyingcode(B301)</f>
        <v>600231.SH</v>
      </c>
      <c r="F301" s="184" t="str">
        <f ca="1">[1]!s_info_industry_sw(B301,1)</f>
        <v>钢铁</v>
      </c>
      <c r="G301" s="184" t="str">
        <f ca="1">[1]!s_info_industry_sw(E301,2)</f>
        <v>钢铁Ⅱ</v>
      </c>
      <c r="H301" s="184" t="str">
        <f ca="1">[1]!s_info_industry_sw(E301,3)</f>
        <v>普钢</v>
      </c>
      <c r="I301" s="192" t="str">
        <f ca="1">[1]!s_info_majorproducttype(E301)</f>
        <v>钢板类、钢管类、型钢类</v>
      </c>
      <c r="J301" s="189">
        <f ca="1">[1]!s_val_ev(E301,$B$2,100000000)</f>
        <v>104.9582087584</v>
      </c>
      <c r="K301" s="193">
        <f ca="1">[1]!s_share_total(E301,$B$2,100000000)</f>
        <v>28.521252380000004</v>
      </c>
      <c r="L301" s="193">
        <f ca="1">[1]!s_share_liqa(E301,$B$2,100000000)</f>
        <v>28.521252380000004</v>
      </c>
      <c r="M301" s="186">
        <f ca="1">[1]!s_fa_gr_ttm2(E301,$C$3,100000000)</f>
        <v>196.56945168799999</v>
      </c>
      <c r="N301" s="187">
        <f ca="1">[1]!s_fa_netprofit_ttm2(E301,$C$3,100000000)</f>
        <v>4.2660727341000007</v>
      </c>
      <c r="O301" s="186"/>
      <c r="P301" s="187">
        <f ca="1">[1]!s_val_pe_ttm(E301,[1]!td($B$2-1))</f>
        <v>8.9549131393432617</v>
      </c>
      <c r="Q301" s="187">
        <f ca="1">[1]!i_val_pe_percentile(E301,[1]!td($B$2-1),$B$2-365*5,[1]!td($B$2-1))</f>
        <v>27.302631578947366</v>
      </c>
      <c r="R301" s="187">
        <f ca="1">[1]!pb_mrq(E301,[1]!td($B$2-1))</f>
        <v>1.1401462693699205</v>
      </c>
      <c r="S301" s="187">
        <f ca="1">[1]!i_val_pb_percentile(E301,[1]!td($B$2-1),$B$2-365*5,[1]!td($B$2-1))</f>
        <v>49.067982456140349</v>
      </c>
      <c r="T301" s="187">
        <f ca="1">[1]!s_val_pe_ttm([1]!to_windcode_index(H301&amp;"(申万)"),[1]!td($B$2-1))</f>
        <v>10.590000152587891</v>
      </c>
      <c r="U301" s="187"/>
      <c r="V301" s="187">
        <f ca="1">[1]!s_fa_roe(E301,$C$3)</f>
        <v>5.2988</v>
      </c>
      <c r="W301" s="187">
        <f ca="1">[1]!s_fa_grossprofitmargin(E301,$C$3)</f>
        <v>6.3539000000000003</v>
      </c>
      <c r="X301" s="187">
        <f ca="1">[1]!s_fa_netprofitmargin(E301,$C$3)</f>
        <v>2.8717999999999999</v>
      </c>
      <c r="Y301" s="187">
        <f ca="1">[1]!s_fa_roic(E301,$C$3)</f>
        <v>4.1043000000000003</v>
      </c>
      <c r="Z301" s="187">
        <f ca="1">[1]!s_fa_operateincometoebt_ttm2(E301,$C$3)</f>
        <v>108.117</v>
      </c>
      <c r="AA301" s="186"/>
      <c r="AB301" s="342"/>
      <c r="AC301" s="186">
        <f ca="1">[1]!s_fa_cagr_tr($E301,AC$6,3)</f>
        <v>0</v>
      </c>
      <c r="AD301" s="186">
        <f ca="1">[1]!s_fa_cagr_tr($E301,AD$6,3)</f>
        <v>4.1087959523325557</v>
      </c>
      <c r="AE301" s="187">
        <f ca="1">[1]!s_fa_cagr_tr($E301,AE$6,3)</f>
        <v>13.447611406150429</v>
      </c>
      <c r="AF301" s="187">
        <f ca="1">[1]!s_fa_cagr_tr($E301,AF$6,3)</f>
        <v>18.6045522128397</v>
      </c>
      <c r="AG301" s="187">
        <f ca="1">[1]!s_fa_cagr_tr($E301,AG$6,3)</f>
        <v>7.7647657333646203</v>
      </c>
      <c r="AH301" s="187">
        <f ca="1">[1]!s_fa_cagr_tr($E301,AH$6,3)</f>
        <v>-2.5971652048168314</v>
      </c>
      <c r="AI301" s="194"/>
      <c r="AJ301" s="187">
        <f ca="1">[1]!s_fa_cagr_netprofit($E301,AJ$6,3)</f>
        <v>0</v>
      </c>
      <c r="AK301" s="187">
        <f ca="1">[1]!s_fa_cagr_netprofit($E301,AK$6,3)</f>
        <v>-22.669251382826218</v>
      </c>
      <c r="AL301" s="187">
        <f ca="1">[1]!s_fa_cagr_netprofit($E301,AL$6,3)</f>
        <v>47.257661681581034</v>
      </c>
      <c r="AM301" s="187">
        <f ca="1">[1]!s_fa_cagr_netprofit($E301,AM$6,3)</f>
        <v>192.95783370392095</v>
      </c>
      <c r="AN301" s="187">
        <f ca="1">[1]!s_fa_cagr_netprofit($E301,AN$6,3)</f>
        <v>54.578178993012273</v>
      </c>
      <c r="AO301" s="187">
        <f ca="1">[1]!s_fa_cagr_netprofit($E301,AO$6,3)</f>
        <v>20.576165510046017</v>
      </c>
      <c r="AP301" s="189"/>
      <c r="AQ301" s="202">
        <f ca="1">[1]!s_fa_dupont_roe(E301,$C$3)</f>
        <v>5.2988</v>
      </c>
      <c r="AR301" s="202">
        <f ca="1">[1]!s_fa_dupont_nptosales(B301,$C$3)</f>
        <v>2.8717999999999999</v>
      </c>
      <c r="AS301" s="237">
        <f ca="1">[1]!s_fa_dupont_faturnover(E301,$C$3)</f>
        <v>0.90539999999999998</v>
      </c>
      <c r="AT301" s="202">
        <f ca="1">[1]!s_fa_dupont_assetstoequity(E301,$C$3)</f>
        <v>2.0377999999999998</v>
      </c>
      <c r="AU301" s="189"/>
      <c r="AV301" s="189"/>
      <c r="AW301" s="189"/>
      <c r="AX301" s="189"/>
      <c r="AY301" s="189"/>
      <c r="AZ301" s="189"/>
      <c r="BA301" s="189"/>
      <c r="BB301" s="189"/>
      <c r="BC301" s="189"/>
      <c r="BD301" s="189"/>
      <c r="BE301" s="189"/>
    </row>
    <row r="302" spans="1:57" s="130" customFormat="1" ht="12" customHeight="1" x14ac:dyDescent="0.35">
      <c r="A302" s="121" t="s">
        <v>0</v>
      </c>
      <c r="B302" s="121" t="s">
        <v>866</v>
      </c>
      <c r="C302" s="121" t="s">
        <v>867</v>
      </c>
      <c r="D302" s="121" t="str">
        <f ca="1">[1]!cb_info_underlyingname(B302)</f>
        <v>国泰君安</v>
      </c>
      <c r="E302" s="122" t="str">
        <f ca="1">[1]!cb_info_underlyingcode(B302)</f>
        <v>601211.SH</v>
      </c>
      <c r="F302" s="123" t="str">
        <f ca="1">[1]!s_info_industry_sw(B302,1)</f>
        <v>非银金融</v>
      </c>
      <c r="G302" s="123" t="str">
        <f ca="1">[1]!s_info_industry_sw(E302,2)</f>
        <v>证券Ⅱ</v>
      </c>
      <c r="H302" s="123" t="str">
        <f ca="1">[1]!s_info_industry_sw(E302,3)</f>
        <v>证券Ⅲ</v>
      </c>
      <c r="I302" s="156" t="str">
        <f ca="1">[1]!s_info_majorproducttype(E302)</f>
        <v>投资银行业务、证券业务</v>
      </c>
      <c r="J302" s="129">
        <f ca="1">[1]!s_val_ev(E302,$B$2,100000000)</f>
        <v>1543.0018685041973</v>
      </c>
      <c r="K302" s="157">
        <f ca="1">[1]!s_share_total(E302,$B$2,100000000)</f>
        <v>89.084495230000002</v>
      </c>
      <c r="L302" s="157">
        <f ca="1">[1]!s_share_liqa(E302,$B$2,100000000)</f>
        <v>74.376223429999996</v>
      </c>
      <c r="M302" s="125">
        <f ca="1">[1]!s_fa_gr_ttm2(E302,$C$3,100000000)</f>
        <v>350.92922095</v>
      </c>
      <c r="N302" s="126">
        <f ca="1">[1]!s_fa_netprofit_ttm2(E302,$C$3,100000000)</f>
        <v>110.42979357999999</v>
      </c>
      <c r="O302" s="125"/>
      <c r="P302" s="126">
        <f ca="1">[1]!s_val_pe_ttm(E302,[1]!td($B$2-1))</f>
        <v>12.215140342712402</v>
      </c>
      <c r="Q302" s="126">
        <f ca="1">[1]!i_val_pe_percentile(E302,[1]!td($B$2-1),$B$2-365*5,[1]!td($B$2-1))</f>
        <v>9.0460526315789469</v>
      </c>
      <c r="R302" s="126">
        <f ca="1">[1]!pb_mrq(E302,[1]!td($B$2-1))</f>
        <v>1.2969747139503736</v>
      </c>
      <c r="S302" s="126">
        <f ca="1">[1]!i_val_pb_percentile(E302,[1]!td($B$2-1),$B$2-365*5,[1]!td($B$2-1))</f>
        <v>50.356359649122808</v>
      </c>
      <c r="T302" s="126">
        <f ca="1">[1]!s_val_pe_ttm([1]!to_windcode_index(H302&amp;"(申万)"),[1]!td($B$2-1))</f>
        <v>22.540000915527344</v>
      </c>
      <c r="U302" s="125"/>
      <c r="V302" s="125">
        <f ca="1">[1]!s_fa_roe(E302,$C$3)</f>
        <v>6.5656999999999996</v>
      </c>
      <c r="W302" s="125">
        <f ca="1">[1]!s_fa_grossprofitmargin(E302,$C$3)</f>
        <v>0</v>
      </c>
      <c r="X302" s="125">
        <f ca="1">[1]!s_fa_netprofitmargin(E302,$C$3)</f>
        <v>36.797499999999999</v>
      </c>
      <c r="Y302" s="125">
        <f ca="1">[1]!s_fa_roic(E302,$C$3)</f>
        <v>0</v>
      </c>
      <c r="Z302" s="125">
        <f ca="1">[1]!s_fa_operateincometoebt_ttm2(E302,$C$3)</f>
        <v>-10.353</v>
      </c>
      <c r="AA302" s="125"/>
      <c r="AB302" s="343"/>
      <c r="AC302" s="125">
        <f ca="1">[1]!s_fa_cagr_tr($E302,AC$6,3)</f>
        <v>0</v>
      </c>
      <c r="AD302" s="125">
        <f ca="1">[1]!s_fa_cagr_tr($E302,AD$6,3)</f>
        <v>13.928206464084614</v>
      </c>
      <c r="AE302" s="126">
        <f ca="1">[1]!s_fa_cagr_tr($E302,AE$6,3)</f>
        <v>5.144733221694664</v>
      </c>
      <c r="AF302" s="126">
        <f ca="1">[1]!s_fa_cagr_tr($E302,AF$6,3)</f>
        <v>-15.456743720258126</v>
      </c>
      <c r="AG302" s="126">
        <f ca="1">[1]!s_fa_cagr_tr($E302,AG$6,3)</f>
        <v>10.005728858302154</v>
      </c>
      <c r="AH302" s="126">
        <f ca="1">[1]!s_fa_cagr_tr($E302,AH$6,3)</f>
        <v>41.943996722614727</v>
      </c>
      <c r="AI302" s="169"/>
      <c r="AJ302" s="126">
        <f ca="1">[1]!s_fa_cagr_netprofit($E302,AJ$6,3)</f>
        <v>0</v>
      </c>
      <c r="AK302" s="126">
        <f ca="1">[1]!s_fa_cagr_netprofit($E302,AK$6,3)</f>
        <v>4.020908280350266</v>
      </c>
      <c r="AL302" s="126">
        <f ca="1">[1]!s_fa_cagr_netprofit($E302,AL$6,3)</f>
        <v>-4.2580223007676388</v>
      </c>
      <c r="AM302" s="126">
        <f ca="1">[1]!s_fa_cagr_netprofit($E302,AM$6,3)</f>
        <v>-24.68219861101376</v>
      </c>
      <c r="AN302" s="126">
        <f ca="1">[1]!s_fa_cagr_netprofit($E302,AN$6,3)</f>
        <v>13.502151201459544</v>
      </c>
      <c r="AO302" s="126">
        <f ca="1">[1]!s_fa_cagr_netprofit($E302,AO$6,3)</f>
        <v>50.6399617477284</v>
      </c>
      <c r="AP302" s="129"/>
      <c r="AQ302" s="203">
        <f ca="1">[1]!s_fa_dupont_roe(E302,$C$3)</f>
        <v>6.5656999999999996</v>
      </c>
      <c r="AR302" s="203">
        <f ca="1">[1]!s_fa_dupont_nptosales(B302,$C$3)</f>
        <v>36.797499999999999</v>
      </c>
      <c r="AS302" s="238">
        <f ca="1">[1]!s_fa_dupont_faturnover(E302,$C$3)</f>
        <v>4.1099999999999998E-2</v>
      </c>
      <c r="AT302" s="203">
        <f ca="1">[1]!s_fa_dupont_assetstoequity(E302,$C$3)</f>
        <v>4.5934999999999997</v>
      </c>
      <c r="AU302" s="129"/>
      <c r="AV302" s="129"/>
      <c r="AW302" s="129"/>
      <c r="AX302" s="129"/>
      <c r="AY302" s="129"/>
      <c r="AZ302" s="129"/>
      <c r="BA302" s="129"/>
      <c r="BB302" s="129"/>
      <c r="BC302" s="129"/>
      <c r="BD302" s="129"/>
      <c r="BE302" s="129"/>
    </row>
    <row r="303" spans="1:57" s="191" customFormat="1" ht="12" customHeight="1" x14ac:dyDescent="0.35">
      <c r="A303" s="182" t="s">
        <v>0</v>
      </c>
      <c r="B303" s="182" t="s">
        <v>68</v>
      </c>
      <c r="C303" s="182" t="s">
        <v>69</v>
      </c>
      <c r="D303" s="182" t="str">
        <f ca="1">[1]!cb_info_underlyingname(B303)</f>
        <v>国投资本</v>
      </c>
      <c r="E303" s="183" t="str">
        <f ca="1">[1]!cb_info_underlyingcode(B303)</f>
        <v>600061.SH</v>
      </c>
      <c r="F303" s="184" t="str">
        <f ca="1">[1]!s_info_industry_sw(B303,1)</f>
        <v>非银金融</v>
      </c>
      <c r="G303" s="184" t="str">
        <f ca="1">[1]!s_info_industry_sw(E303,2)</f>
        <v>证券Ⅱ</v>
      </c>
      <c r="H303" s="184" t="str">
        <f ca="1">[1]!s_info_industry_sw(E303,3)</f>
        <v>证券Ⅲ</v>
      </c>
      <c r="I303" s="192" t="str">
        <f ca="1">[1]!s_info_majorproducttype(E303)</f>
        <v>不动产信托、动产信托、投资银行业务、运营平台系统、证券业务、资产管理业务、资金信托</v>
      </c>
      <c r="J303" s="189">
        <f ca="1">[1]!s_val_ev(E303,$B$2,100000000)</f>
        <v>627.74974501279996</v>
      </c>
      <c r="K303" s="193">
        <f ca="1">[1]!s_share_total(E303,$B$2,100000000)</f>
        <v>64.252788640000006</v>
      </c>
      <c r="L303" s="193">
        <f ca="1">[1]!s_share_liqa(E303,$B$2,100000000)</f>
        <v>64.252788640000006</v>
      </c>
      <c r="M303" s="186">
        <f ca="1">[1]!s_fa_gr_ttm2(E303,$C$3,100000000)</f>
        <v>128.84954764329999</v>
      </c>
      <c r="N303" s="187">
        <f ca="1">[1]!s_fa_netprofit_ttm2(E303,$C$3,100000000)</f>
        <v>40.6387648336</v>
      </c>
      <c r="O303" s="186"/>
      <c r="P303" s="187">
        <f ca="1">[1]!s_val_pe_ttm(E303,[1]!td($B$2-1))</f>
        <v>13.811406135559082</v>
      </c>
      <c r="Q303" s="187">
        <f ca="1">[1]!i_val_pe_percentile(E303,[1]!td($B$2-1),$B$2-365*5,[1]!td($B$2-1))</f>
        <v>12.938596491228072</v>
      </c>
      <c r="R303" s="187">
        <f ca="1">[1]!pb_mrq(E303,[1]!td($B$2-1))</f>
        <v>1.4269805663274466</v>
      </c>
      <c r="S303" s="187">
        <f ca="1">[1]!i_val_pb_percentile(E303,[1]!td($B$2-1),$B$2-365*5,[1]!td($B$2-1))</f>
        <v>46.929824561403507</v>
      </c>
      <c r="T303" s="187">
        <f ca="1">[1]!s_val_pe_ttm([1]!to_windcode_index(H303&amp;"(申万)"),[1]!td($B$2-1))</f>
        <v>22.540000915527344</v>
      </c>
      <c r="U303" s="186"/>
      <c r="V303" s="186">
        <f ca="1">[1]!s_fa_roe(E303,$C$3)</f>
        <v>8.4525000000000006</v>
      </c>
      <c r="W303" s="186">
        <f ca="1">[1]!s_fa_grossprofitmargin(E303,$C$3)</f>
        <v>13.7128</v>
      </c>
      <c r="X303" s="186">
        <f ca="1">[1]!s_fa_netprofitmargin(E303,$C$3)</f>
        <v>1233.3862999999999</v>
      </c>
      <c r="Y303" s="186">
        <f ca="1">[1]!s_fa_roic(E303,$C$3)</f>
        <v>2.2256</v>
      </c>
      <c r="Z303" s="186">
        <f ca="1">[1]!s_fa_operateincometoebt_ttm2(E303,$C$3)</f>
        <v>28.540700000000001</v>
      </c>
      <c r="AA303" s="186"/>
      <c r="AB303" s="342"/>
      <c r="AC303" s="186">
        <f ca="1">[1]!s_fa_cagr_tr($E303,AC$6,3)</f>
        <v>0</v>
      </c>
      <c r="AD303" s="186">
        <f ca="1">[1]!s_fa_cagr_tr($E303,AD$6,3)</f>
        <v>11.010445262546931</v>
      </c>
      <c r="AE303" s="187">
        <f ca="1">[1]!s_fa_cagr_tr($E303,AE$6,3)</f>
        <v>6.5233770156819748</v>
      </c>
      <c r="AF303" s="187">
        <f ca="1">[1]!s_fa_cagr_tr($E303,AF$6,3)</f>
        <v>-16.169903217480908</v>
      </c>
      <c r="AG303" s="187">
        <f ca="1">[1]!s_fa_cagr_tr($E303,AG$6,3)</f>
        <v>29.878417454951567</v>
      </c>
      <c r="AH303" s="187">
        <f ca="1">[1]!s_fa_cagr_tr($E303,AH$6,3)</f>
        <v>28.86227902083245</v>
      </c>
      <c r="AI303" s="194"/>
      <c r="AJ303" s="187">
        <f ca="1">[1]!s_fa_cagr_netprofit($E303,AJ$6,3)</f>
        <v>0</v>
      </c>
      <c r="AK303" s="187">
        <f ca="1">[1]!s_fa_cagr_netprofit($E303,AK$6,3)</f>
        <v>17.005984086239788</v>
      </c>
      <c r="AL303" s="187">
        <f ca="1">[1]!s_fa_cagr_netprofit($E303,AL$6,3)</f>
        <v>5.0233516791169164</v>
      </c>
      <c r="AM303" s="187">
        <f ca="1">[1]!s_fa_cagr_netprofit($E303,AM$6,3)</f>
        <v>-28.12232726951035</v>
      </c>
      <c r="AN303" s="187">
        <f ca="1">[1]!s_fa_cagr_netprofit($E303,AN$6,3)</f>
        <v>647.45975434094044</v>
      </c>
      <c r="AO303" s="187">
        <f ca="1">[1]!s_fa_cagr_netprofit($E303,AO$6,3)</f>
        <v>638.64617578660909</v>
      </c>
      <c r="AP303" s="189"/>
      <c r="AQ303" s="202">
        <f ca="1">[1]!s_fa_dupont_roe(E303,$C$3)</f>
        <v>8.4525000000000006</v>
      </c>
      <c r="AR303" s="202">
        <f ca="1">[1]!s_fa_dupont_nptosales(B303,$C$3)</f>
        <v>40.4925</v>
      </c>
      <c r="AS303" s="237">
        <f ca="1">[1]!s_fa_dupont_faturnover(E303,$C$3)</f>
        <v>4.82E-2</v>
      </c>
      <c r="AT303" s="202">
        <f ca="1">[1]!s_fa_dupont_assetstoequity(E303,$C$3)</f>
        <v>4.8499999999999996</v>
      </c>
      <c r="AU303" s="189"/>
      <c r="AV303" s="201"/>
      <c r="AW303" s="189"/>
      <c r="AX303" s="189"/>
      <c r="AY303" s="189"/>
      <c r="AZ303" s="189"/>
      <c r="BA303" s="189"/>
      <c r="BB303" s="189"/>
      <c r="BC303" s="189"/>
      <c r="BD303" s="189"/>
      <c r="BE303" s="189"/>
    </row>
    <row r="304" spans="1:57" s="130" customFormat="1" ht="12" customHeight="1" x14ac:dyDescent="0.35">
      <c r="A304" s="121" t="s">
        <v>0</v>
      </c>
      <c r="B304" s="121" t="s">
        <v>874</v>
      </c>
      <c r="C304" s="121" t="s">
        <v>875</v>
      </c>
      <c r="D304" s="121" t="str">
        <f ca="1">[1]!cb_info_underlyingname(B304)</f>
        <v>财通证券</v>
      </c>
      <c r="E304" s="122" t="str">
        <f ca="1">[1]!cb_info_underlyingcode(B304)</f>
        <v>601108.SH</v>
      </c>
      <c r="F304" s="123" t="str">
        <f ca="1">[1]!s_info_industry_sw(B304,1)</f>
        <v>非银金融</v>
      </c>
      <c r="G304" s="123" t="str">
        <f ca="1">[1]!s_info_industry_sw(E304,2)</f>
        <v>证券Ⅱ</v>
      </c>
      <c r="H304" s="123" t="str">
        <f ca="1">[1]!s_info_industry_sw(E304,3)</f>
        <v>证券Ⅲ</v>
      </c>
      <c r="I304" s="156" t="str">
        <f ca="1">[1]!s_info_majorproducttype(E304)</f>
        <v>理财保险、证券业务</v>
      </c>
      <c r="J304" s="129">
        <f ca="1">[1]!s_val_ev(E304,$B$2,100000000)</f>
        <v>420.63191433759999</v>
      </c>
      <c r="K304" s="157">
        <f ca="1">[1]!s_share_total(E304,$B$2,100000000)</f>
        <v>35.890095080000002</v>
      </c>
      <c r="L304" s="157">
        <f ca="1">[1]!s_share_liqa(E304,$B$2,100000000)</f>
        <v>35.890095080000002</v>
      </c>
      <c r="M304" s="125">
        <f ca="1">[1]!s_fa_gr_ttm2(E304,$C$3,100000000)</f>
        <v>62.819794643999998</v>
      </c>
      <c r="N304" s="126">
        <f ca="1">[1]!s_fa_netprofit_ttm2(E304,$C$3,100000000)</f>
        <v>23.916894881899999</v>
      </c>
      <c r="O304" s="125"/>
      <c r="P304" s="126">
        <f ca="1">[1]!s_val_pe_ttm(E304,[1]!td($B$2-1))</f>
        <v>16.71397590637207</v>
      </c>
      <c r="Q304" s="126">
        <f ca="1">[1]!i_val_pe_percentile(E304,[1]!td($B$2-1),$B$2-365*5,[1]!td($B$2-1))</f>
        <v>9.6888260254596883</v>
      </c>
      <c r="R304" s="126">
        <f ca="1">[1]!pb_mrq(E304,[1]!td($B$2-1))</f>
        <v>1.8475519943311571</v>
      </c>
      <c r="S304" s="126">
        <f ca="1">[1]!i_val_pb_percentile(E304,[1]!td($B$2-1),$B$2-365*5,[1]!td($B$2-1))</f>
        <v>46.746817538896742</v>
      </c>
      <c r="T304" s="126">
        <f ca="1">[1]!s_val_pe_ttm([1]!to_windcode_index(H304&amp;"(申万)"),[1]!td($B$2-1))</f>
        <v>22.540000915527344</v>
      </c>
      <c r="U304" s="126"/>
      <c r="V304" s="126">
        <f ca="1">[1]!s_fa_roe(E304,$C$3)</f>
        <v>6.9429999999999996</v>
      </c>
      <c r="W304" s="126">
        <f ca="1">[1]!s_fa_grossprofitmargin(E304,$C$3)</f>
        <v>0</v>
      </c>
      <c r="X304" s="126">
        <f ca="1">[1]!s_fa_netprofitmargin(E304,$C$3)</f>
        <v>32.529600000000002</v>
      </c>
      <c r="Y304" s="126">
        <f ca="1">[1]!s_fa_roic(E304,$C$3)</f>
        <v>0</v>
      </c>
      <c r="Z304" s="126">
        <f ca="1">[1]!s_fa_operateincometoebt_ttm2(E304,$C$3)</f>
        <v>10.135899999999999</v>
      </c>
      <c r="AA304" s="125"/>
      <c r="AB304" s="343"/>
      <c r="AC304" s="125">
        <f ca="1">[1]!s_fa_cagr_tr($E304,AC$6,3)</f>
        <v>0</v>
      </c>
      <c r="AD304" s="125">
        <f ca="1">[1]!s_fa_cagr_tr($E304,AD$6,3)</f>
        <v>17.622607363630816</v>
      </c>
      <c r="AE304" s="126">
        <f ca="1">[1]!s_fa_cagr_tr($E304,AE$6,3)</f>
        <v>5.1835305639362783</v>
      </c>
      <c r="AF304" s="126">
        <f ca="1">[1]!s_fa_cagr_tr($E304,AF$6,3)</f>
        <v>-32.369481502350162</v>
      </c>
      <c r="AG304" s="126">
        <f ca="1">[1]!s_fa_cagr_tr($E304,AG$6,3)</f>
        <v>-3.7739569820911534</v>
      </c>
      <c r="AH304" s="126">
        <f ca="1">[1]!s_fa_cagr_tr($E304,AH$6,3)</f>
        <v>23.50146155619839</v>
      </c>
      <c r="AI304" s="169"/>
      <c r="AJ304" s="126">
        <f ca="1">[1]!s_fa_cagr_netprofit($E304,AJ$6,3)</f>
        <v>0</v>
      </c>
      <c r="AK304" s="126">
        <f ca="1">[1]!s_fa_cagr_netprofit($E304,AK$6,3)</f>
        <v>15.072097033966392</v>
      </c>
      <c r="AL304" s="126">
        <f ca="1">[1]!s_fa_cagr_netprofit($E304,AL$6,3)</f>
        <v>1.6013689579023938</v>
      </c>
      <c r="AM304" s="126">
        <f ca="1">[1]!s_fa_cagr_netprofit($E304,AM$6,3)</f>
        <v>-35.667340562517957</v>
      </c>
      <c r="AN304" s="126">
        <f ca="1">[1]!s_fa_cagr_netprofit($E304,AN$6,3)</f>
        <v>20.680867687191395</v>
      </c>
      <c r="AO304" s="126">
        <f ca="1">[1]!s_fa_cagr_netprofit($E304,AO$6,3)</f>
        <v>76.205549464090126</v>
      </c>
      <c r="AP304" s="129"/>
      <c r="AQ304" s="203">
        <f ca="1">[1]!s_fa_dupont_roe(E304,$C$3)</f>
        <v>6.9429999999999996</v>
      </c>
      <c r="AR304" s="203">
        <f ca="1">[1]!s_fa_dupont_nptosales(B304,$C$3)</f>
        <v>32.529600000000002</v>
      </c>
      <c r="AS304" s="238">
        <f ca="1">[1]!s_fa_dupont_faturnover(E304,$C$3)</f>
        <v>6.0999999999999999E-2</v>
      </c>
      <c r="AT304" s="203">
        <f ca="1">[1]!s_fa_dupont_assetstoequity(E304,$C$3)</f>
        <v>3.4977</v>
      </c>
      <c r="AU304" s="129"/>
      <c r="AV304" s="129"/>
      <c r="AW304" s="129"/>
      <c r="AX304" s="129"/>
      <c r="AY304" s="129"/>
      <c r="AZ304" s="129"/>
      <c r="BA304" s="129"/>
      <c r="BB304" s="129"/>
      <c r="BC304" s="129"/>
      <c r="BD304" s="129"/>
      <c r="BE304" s="129"/>
    </row>
    <row r="305" spans="1:57" s="191" customFormat="1" ht="12" customHeight="1" x14ac:dyDescent="0.35">
      <c r="A305" s="182" t="s">
        <v>5</v>
      </c>
      <c r="B305" s="182" t="s">
        <v>881</v>
      </c>
      <c r="C305" s="182" t="s">
        <v>882</v>
      </c>
      <c r="D305" s="182" t="str">
        <f ca="1">[1]!cb_info_underlyingname(B305)</f>
        <v>长江证券</v>
      </c>
      <c r="E305" s="183" t="str">
        <f ca="1">[1]!cb_info_underlyingcode(B305)</f>
        <v>000783.SZ</v>
      </c>
      <c r="F305" s="184" t="str">
        <f ca="1">[1]!s_info_industry_sw(B305,1)</f>
        <v>非银金融</v>
      </c>
      <c r="G305" s="184" t="str">
        <f ca="1">[1]!s_info_industry_sw(E305,2)</f>
        <v>证券Ⅱ</v>
      </c>
      <c r="H305" s="184" t="str">
        <f ca="1">[1]!s_info_industry_sw(E305,3)</f>
        <v>证券Ⅲ</v>
      </c>
      <c r="I305" s="192" t="str">
        <f ca="1">[1]!s_info_majorproducttype(E305)</f>
        <v>经纪业务、投资银行业务、资产管理业务</v>
      </c>
      <c r="J305" s="189">
        <f ca="1">[1]!s_val_ev(E305,$B$2,100000000)</f>
        <v>446.26631705969999</v>
      </c>
      <c r="K305" s="193">
        <f ca="1">[1]!s_share_total(E305,$B$2,100000000)</f>
        <v>55.299419710000002</v>
      </c>
      <c r="L305" s="193">
        <f ca="1">[1]!s_share_liqa(E305,$B$2,100000000)</f>
        <v>55.299419710000002</v>
      </c>
      <c r="M305" s="186">
        <f ca="1">[1]!s_fa_gr_ttm2(E305,$C$3,100000000)</f>
        <v>77.158641865500002</v>
      </c>
      <c r="N305" s="187">
        <f ca="1">[1]!s_fa_netprofit_ttm2(E305,$C$3,100000000)</f>
        <v>21.347637480100001</v>
      </c>
      <c r="O305" s="186"/>
      <c r="P305" s="187">
        <f ca="1">[1]!s_val_pe_ttm(E305,[1]!td($B$2-1))</f>
        <v>17.376810073852539</v>
      </c>
      <c r="Q305" s="187">
        <f ca="1">[1]!i_val_pe_percentile(E305,[1]!td($B$2-1),$B$2-365*5,[1]!td($B$2-1))</f>
        <v>5.4824561403508767</v>
      </c>
      <c r="R305" s="187">
        <f ca="1">[1]!pb_mrq(E305,[1]!td($B$2-1))</f>
        <v>1.550156168624627</v>
      </c>
      <c r="S305" s="187">
        <f ca="1">[1]!i_val_pb_percentile(E305,[1]!td($B$2-1),$B$2-365*5,[1]!td($B$2-1))</f>
        <v>54.057017543859651</v>
      </c>
      <c r="T305" s="187">
        <f ca="1">[1]!s_val_pe_ttm([1]!to_windcode_index(H305&amp;"(申万)"),[1]!td($B$2-1))</f>
        <v>22.540000915527344</v>
      </c>
      <c r="U305" s="187"/>
      <c r="V305" s="187">
        <f ca="1">[1]!s_fa_roe(E305,$C$3)</f>
        <v>6.7891000000000004</v>
      </c>
      <c r="W305" s="187">
        <f ca="1">[1]!s_fa_grossprofitmargin(E305,$C$3)</f>
        <v>0</v>
      </c>
      <c r="X305" s="187">
        <f ca="1">[1]!s_fa_netprofitmargin(E305,$C$3)</f>
        <v>32.744500000000002</v>
      </c>
      <c r="Y305" s="187">
        <f ca="1">[1]!s_fa_roic(E305,$C$3)</f>
        <v>0</v>
      </c>
      <c r="Z305" s="187">
        <f ca="1">[1]!s_fa_operateincometoebt_ttm2(E305,$C$3)</f>
        <v>21.520600000000002</v>
      </c>
      <c r="AA305" s="186"/>
      <c r="AB305" s="342"/>
      <c r="AC305" s="186">
        <f ca="1">[1]!s_fa_cagr_tr($E305,AC$6,3)</f>
        <v>0</v>
      </c>
      <c r="AD305" s="186">
        <f ca="1">[1]!s_fa_cagr_tr($E305,AD$6,3)</f>
        <v>11.337686878350283</v>
      </c>
      <c r="AE305" s="187">
        <f ca="1">[1]!s_fa_cagr_tr($E305,AE$6,3)</f>
        <v>6.2863418528717796</v>
      </c>
      <c r="AF305" s="187">
        <f ca="1">[1]!s_fa_cagr_tr($E305,AF$6,3)</f>
        <v>-19.893574094565036</v>
      </c>
      <c r="AG305" s="187">
        <f ca="1">[1]!s_fa_cagr_tr($E305,AG$6,3)</f>
        <v>7.4354354397931699</v>
      </c>
      <c r="AH305" s="187">
        <f ca="1">[1]!s_fa_cagr_tr($E305,AH$6,3)</f>
        <v>24.326886890523667</v>
      </c>
      <c r="AI305" s="194"/>
      <c r="AJ305" s="187">
        <f ca="1">[1]!s_fa_cagr_netprofit($E305,AJ$6,3)</f>
        <v>0</v>
      </c>
      <c r="AK305" s="187">
        <f ca="1">[1]!s_fa_cagr_netprofit($E305,AK$6,3)</f>
        <v>10.511684446276437</v>
      </c>
      <c r="AL305" s="187">
        <f ca="1">[1]!s_fa_cagr_netprofit($E305,AL$6,3)</f>
        <v>-8.9455202332228154</v>
      </c>
      <c r="AM305" s="187">
        <f ca="1">[1]!s_fa_cagr_netprofit($E305,AM$6,3)</f>
        <v>-58.08751354602537</v>
      </c>
      <c r="AN305" s="187">
        <f ca="1">[1]!s_fa_cagr_netprofit($E305,AN$6,3)</f>
        <v>-3.2373056463068983</v>
      </c>
      <c r="AO305" s="187">
        <f ca="1">[1]!s_fa_cagr_netprofit($E305,AO$6,3)</f>
        <v>29.935357719917977</v>
      </c>
      <c r="AP305" s="189"/>
      <c r="AQ305" s="202">
        <f ca="1">[1]!s_fa_dupont_roe(E305,$C$3)</f>
        <v>6.7891000000000004</v>
      </c>
      <c r="AR305" s="202">
        <f ca="1">[1]!s_fa_dupont_nptosales(B305,$C$3)</f>
        <v>32.744500000000002</v>
      </c>
      <c r="AS305" s="237">
        <f ca="1">[1]!s_fa_dupont_faturnover(E305,$C$3)</f>
        <v>4.8399999999999999E-2</v>
      </c>
      <c r="AT305" s="202">
        <f ca="1">[1]!s_fa_dupont_assetstoequity(E305,$C$3)</f>
        <v>4.2817999999999996</v>
      </c>
      <c r="AU305" s="189"/>
      <c r="AV305" s="189"/>
      <c r="AW305" s="189"/>
      <c r="AX305" s="189"/>
      <c r="AY305" s="189"/>
      <c r="AZ305" s="189"/>
      <c r="BA305" s="189"/>
      <c r="BB305" s="189"/>
      <c r="BC305" s="189"/>
      <c r="BD305" s="189"/>
      <c r="BE305" s="189"/>
    </row>
    <row r="306" spans="1:57" s="130" customFormat="1" ht="12" customHeight="1" x14ac:dyDescent="0.35">
      <c r="A306" s="121" t="s">
        <v>0</v>
      </c>
      <c r="B306" s="121" t="s">
        <v>862</v>
      </c>
      <c r="C306" s="121" t="s">
        <v>863</v>
      </c>
      <c r="D306" s="121" t="str">
        <f ca="1">[1]!cb_info_underlyingname(B306)</f>
        <v>华安证券</v>
      </c>
      <c r="E306" s="122" t="str">
        <f ca="1">[1]!cb_info_underlyingcode(B306)</f>
        <v>600909.SH</v>
      </c>
      <c r="F306" s="123" t="str">
        <f ca="1">[1]!s_info_industry_sw(B306,1)</f>
        <v>非银金融</v>
      </c>
      <c r="G306" s="123" t="str">
        <f ca="1">[1]!s_info_industry_sw(E306,2)</f>
        <v>证券Ⅱ</v>
      </c>
      <c r="H306" s="123" t="str">
        <f ca="1">[1]!s_info_industry_sw(E306,3)</f>
        <v>证券Ⅲ</v>
      </c>
      <c r="I306" s="156" t="str">
        <f ca="1">[1]!s_info_majorproducttype(E306)</f>
        <v>证券业务</v>
      </c>
      <c r="J306" s="129">
        <f ca="1">[1]!s_val_ev(E306,$B$2,100000000)</f>
        <v>269.6453831092</v>
      </c>
      <c r="K306" s="157">
        <f ca="1">[1]!s_share_total(E306,$B$2,100000000)</f>
        <v>46.976547580000002</v>
      </c>
      <c r="L306" s="157">
        <f ca="1">[1]!s_share_liqa(E306,$B$2,100000000)</f>
        <v>46.976547580000002</v>
      </c>
      <c r="M306" s="125">
        <f ca="1">[1]!s_fa_gr_ttm2(E306,$C$3,100000000)</f>
        <v>35.9634337743</v>
      </c>
      <c r="N306" s="126">
        <f ca="1">[1]!s_fa_netprofit_ttm2(E306,$C$3,100000000)</f>
        <v>12.369397644999999</v>
      </c>
      <c r="O306" s="125"/>
      <c r="P306" s="126">
        <f ca="1">[1]!s_val_pe_ttm(E306,[1]!td($B$2-1))</f>
        <v>21.692863464355469</v>
      </c>
      <c r="Q306" s="126">
        <f ca="1">[1]!i_val_pe_percentile(E306,[1]!td($B$2-1),$B$2-365*5,[1]!td($B$2-1))</f>
        <v>13.364055299539171</v>
      </c>
      <c r="R306" s="126">
        <f ca="1">[1]!pb_mrq(E306,[1]!td($B$2-1))</f>
        <v>1.4776783088398306</v>
      </c>
      <c r="S306" s="126">
        <f ca="1">[1]!i_val_pb_percentile(E306,[1]!td($B$2-1),$B$2-365*5,[1]!td($B$2-1))</f>
        <v>8.064516129032258</v>
      </c>
      <c r="T306" s="126">
        <f ca="1">[1]!s_val_pe_ttm([1]!to_windcode_index(H306&amp;"(申万)"),[1]!td($B$2-1))</f>
        <v>22.540000915527344</v>
      </c>
      <c r="U306" s="126"/>
      <c r="V306" s="126">
        <f ca="1">[1]!s_fa_roe(E306,$C$3)</f>
        <v>7.2718999999999996</v>
      </c>
      <c r="W306" s="126">
        <f ca="1">[1]!s_fa_grossprofitmargin(E306,$C$3)</f>
        <v>0</v>
      </c>
      <c r="X306" s="126">
        <f ca="1">[1]!s_fa_netprofitmargin(E306,$C$3)</f>
        <v>39.910400000000003</v>
      </c>
      <c r="Y306" s="126">
        <f ca="1">[1]!s_fa_roic(E306,$C$3)</f>
        <v>0</v>
      </c>
      <c r="Z306" s="126">
        <f ca="1">[1]!s_fa_operateincometoebt_ttm2(E306,$C$3)</f>
        <v>13.206200000000001</v>
      </c>
      <c r="AA306" s="125"/>
      <c r="AB306" s="343"/>
      <c r="AC306" s="125">
        <f ca="1">[1]!s_fa_cagr_tr($E306,AC$6,3)</f>
        <v>0</v>
      </c>
      <c r="AD306" s="125">
        <f ca="1">[1]!s_fa_cagr_tr($E306,AD$6,3)</f>
        <v>20.513720066548547</v>
      </c>
      <c r="AE306" s="126">
        <f ca="1">[1]!s_fa_cagr_tr($E306,AE$6,3)</f>
        <v>23.053236404014065</v>
      </c>
      <c r="AF306" s="126">
        <f ca="1">[1]!s_fa_cagr_tr($E306,AF$6,3)</f>
        <v>-22.719609832464048</v>
      </c>
      <c r="AG306" s="126">
        <f ca="1">[1]!s_fa_cagr_tr($E306,AG$6,3)</f>
        <v>4.3111160789152114</v>
      </c>
      <c r="AH306" s="126">
        <f ca="1">[1]!s_fa_cagr_tr($E306,AH$6,3)</f>
        <v>22.592457004756472</v>
      </c>
      <c r="AI306" s="169"/>
      <c r="AJ306" s="126">
        <f ca="1">[1]!s_fa_cagr_netprofit($E306,AJ$6,3)</f>
        <v>0</v>
      </c>
      <c r="AK306" s="126">
        <f ca="1">[1]!s_fa_cagr_netprofit($E306,AK$6,3)</f>
        <v>24.964055174002485</v>
      </c>
      <c r="AL306" s="126">
        <f ca="1">[1]!s_fa_cagr_netprofit($E306,AL$6,3)</f>
        <v>22.56264311495746</v>
      </c>
      <c r="AM306" s="126">
        <f ca="1">[1]!s_fa_cagr_netprofit($E306,AM$6,3)</f>
        <v>-33.287882420744175</v>
      </c>
      <c r="AN306" s="126">
        <f ca="1">[1]!s_fa_cagr_netprofit($E306,AN$6,3)</f>
        <v>-1.7999618460252886</v>
      </c>
      <c r="AO306" s="126">
        <f ca="1">[1]!s_fa_cagr_netprofit($E306,AO$6,3)</f>
        <v>47.606376977344624</v>
      </c>
      <c r="AP306" s="129"/>
      <c r="AQ306" s="203">
        <f ca="1">[1]!s_fa_dupont_roe(E306,$C$3)</f>
        <v>7.2718999999999996</v>
      </c>
      <c r="AR306" s="203">
        <f ca="1">[1]!s_fa_dupont_nptosales(B306,$C$3)</f>
        <v>39.910400000000003</v>
      </c>
      <c r="AS306" s="238">
        <f ca="1">[1]!s_fa_dupont_faturnover(E306,$C$3)</f>
        <v>4.6399999999999997E-2</v>
      </c>
      <c r="AT306" s="203">
        <f ca="1">[1]!s_fa_dupont_assetstoequity(E306,$C$3)</f>
        <v>3.9857</v>
      </c>
      <c r="AU306" s="129"/>
      <c r="AV306" s="129"/>
      <c r="AW306" s="129"/>
      <c r="AX306" s="129"/>
      <c r="AY306" s="129"/>
      <c r="AZ306" s="129"/>
      <c r="BA306" s="129"/>
      <c r="BB306" s="129"/>
      <c r="BC306" s="129"/>
      <c r="BD306" s="129"/>
      <c r="BE306" s="129"/>
    </row>
    <row r="307" spans="1:57" s="191" customFormat="1" ht="12" customHeight="1" x14ac:dyDescent="0.35">
      <c r="A307" s="182" t="s">
        <v>5</v>
      </c>
      <c r="B307" s="182" t="s">
        <v>887</v>
      </c>
      <c r="C307" s="182" t="s">
        <v>888</v>
      </c>
      <c r="D307" s="182" t="str">
        <f ca="1">[1]!cb_info_underlyingname(B307)</f>
        <v>瑞达期货</v>
      </c>
      <c r="E307" s="183" t="str">
        <f ca="1">[1]!cb_info_underlyingcode(B307)</f>
        <v>002961.SZ</v>
      </c>
      <c r="F307" s="184" t="str">
        <f ca="1">[1]!s_info_industry_sw(B307,1)</f>
        <v>非银金融</v>
      </c>
      <c r="G307" s="184" t="str">
        <f ca="1">[1]!s_info_industry_sw(E307,2)</f>
        <v>多元金融Ⅱ</v>
      </c>
      <c r="H307" s="184" t="str">
        <f ca="1">[1]!s_info_industry_sw(E307,3)</f>
        <v>多元金融Ⅲ</v>
      </c>
      <c r="I307" s="192" t="str">
        <f ca="1">[1]!s_info_majorproducttype(E307)</f>
        <v>经纪业务、证券业务、专业咨询服务</v>
      </c>
      <c r="J307" s="189">
        <f ca="1">[1]!s_val_ev(E307,$B$2,100000000)</f>
        <v>121.7538035712</v>
      </c>
      <c r="K307" s="193">
        <f ca="1">[1]!s_share_total(E307,$B$2,100000000)</f>
        <v>4.4500659200000001</v>
      </c>
      <c r="L307" s="193">
        <f ca="1">[1]!s_share_liqa(E307,$B$2,100000000)</f>
        <v>1.0868509200000001</v>
      </c>
      <c r="M307" s="186">
        <f ca="1">[1]!s_fa_gr_ttm2(E307,$C$3,100000000)</f>
        <v>10.088192679100001</v>
      </c>
      <c r="N307" s="187">
        <f ca="1">[1]!s_fa_netprofit_ttm2(E307,$C$3,100000000)</f>
        <v>1.6014326186000001</v>
      </c>
      <c r="O307" s="186"/>
      <c r="P307" s="187">
        <f ca="1">[1]!s_val_pe_ttm(E307,[1]!td($B$2-1))</f>
        <v>29.309362411499023</v>
      </c>
      <c r="Q307" s="187">
        <f ca="1">[1]!i_val_pe_percentile(E307,[1]!td($B$2-1),$B$2-365*5,[1]!td($B$2-1))</f>
        <v>11.459754433833561</v>
      </c>
      <c r="R307" s="187">
        <f ca="1">[1]!pb_mrq(E307,[1]!td($B$2-1))</f>
        <v>6.1201562546610369</v>
      </c>
      <c r="S307" s="187">
        <f ca="1">[1]!i_val_pb_percentile(E307,[1]!td($B$2-1),$B$2-365*5,[1]!td($B$2-1))</f>
        <v>36.971350613915419</v>
      </c>
      <c r="T307" s="187">
        <f ca="1">[1]!s_val_pe_ttm([1]!to_windcode_index(H307&amp;"(申万)"),[1]!td($B$2-1))</f>
        <v>17.329999923706055</v>
      </c>
      <c r="U307" s="187"/>
      <c r="V307" s="187">
        <f ca="1">[1]!s_fa_roe(E307,$C$3)</f>
        <v>7.3620999999999999</v>
      </c>
      <c r="W307" s="187">
        <f ca="1">[1]!s_fa_grossprofitmargin(E307,$C$3)</f>
        <v>0</v>
      </c>
      <c r="X307" s="187">
        <f ca="1">[1]!s_fa_netprofitmargin(E307,$C$3)</f>
        <v>17.207699999999999</v>
      </c>
      <c r="Y307" s="187">
        <f ca="1">[1]!s_fa_roic(E307,$C$3)</f>
        <v>0</v>
      </c>
      <c r="Z307" s="187">
        <f ca="1">[1]!s_fa_operateincometoebt_ttm2(E307,$C$3)</f>
        <v>-143.07669999999999</v>
      </c>
      <c r="AA307" s="186"/>
      <c r="AB307" s="342"/>
      <c r="AC307" s="186">
        <f ca="1">[1]!s_fa_cagr_tr($E307,AC$6,3)</f>
        <v>0</v>
      </c>
      <c r="AD307" s="186">
        <f ca="1">[1]!s_fa_cagr_tr($E307,AD$6,3)</f>
        <v>37.778017183258306</v>
      </c>
      <c r="AE307" s="187">
        <f ca="1">[1]!s_fa_cagr_tr($E307,AE$6,3)</f>
        <v>27.009758675434913</v>
      </c>
      <c r="AF307" s="187">
        <f ca="1">[1]!s_fa_cagr_tr($E307,AF$6,3)</f>
        <v>-6.6691584968422752</v>
      </c>
      <c r="AG307" s="187">
        <f ca="1">[1]!s_fa_cagr_tr($E307,AG$6,3)</f>
        <v>18.110925059373862</v>
      </c>
      <c r="AH307" s="187">
        <f ca="1">[1]!s_fa_cagr_tr($E307,AH$6,3)</f>
        <v>23.141911593859167</v>
      </c>
      <c r="AI307" s="194"/>
      <c r="AJ307" s="187">
        <f ca="1">[1]!s_fa_cagr_netprofit($E307,AJ$6,3)</f>
        <v>0</v>
      </c>
      <c r="AK307" s="187">
        <f ca="1">[1]!s_fa_cagr_netprofit($E307,AK$6,3)</f>
        <v>16.132381773349437</v>
      </c>
      <c r="AL307" s="187">
        <f ca="1">[1]!s_fa_cagr_netprofit($E307,AL$6,3)</f>
        <v>-17.153651925031564</v>
      </c>
      <c r="AM307" s="187">
        <f ca="1">[1]!s_fa_cagr_netprofit($E307,AM$6,3)</f>
        <v>-23.685547111606265</v>
      </c>
      <c r="AN307" s="187">
        <f ca="1">[1]!s_fa_cagr_netprofit($E307,AN$6,3)</f>
        <v>16.342721741077604</v>
      </c>
      <c r="AO307" s="187">
        <f ca="1">[1]!s_fa_cagr_netprofit($E307,AO$6,3)</f>
        <v>42.159103859290802</v>
      </c>
      <c r="AP307" s="189"/>
      <c r="AQ307" s="202">
        <f ca="1">[1]!s_fa_dupont_roe(E307,$C$3)</f>
        <v>7.3620999999999999</v>
      </c>
      <c r="AR307" s="202">
        <f ca="1">[1]!s_fa_dupont_nptosales(B307,$C$3)</f>
        <v>17.207699999999999</v>
      </c>
      <c r="AS307" s="237">
        <f ca="1">[1]!s_fa_dupont_faturnover(E307,$C$3)</f>
        <v>0.10059999999999999</v>
      </c>
      <c r="AT307" s="202">
        <f ca="1">[1]!s_fa_dupont_assetstoequity(E307,$C$3)</f>
        <v>4.2545000000000002</v>
      </c>
      <c r="AU307" s="189"/>
      <c r="AV307" s="201"/>
      <c r="AW307" s="189"/>
      <c r="AX307" s="189"/>
      <c r="AY307" s="189"/>
      <c r="AZ307" s="189"/>
      <c r="BA307" s="189"/>
      <c r="BB307" s="189"/>
      <c r="BC307" s="189"/>
      <c r="BD307" s="189"/>
      <c r="BE307" s="189"/>
    </row>
    <row r="308" spans="1:57" s="130" customFormat="1" ht="12" customHeight="1" x14ac:dyDescent="0.35">
      <c r="A308" s="121" t="s">
        <v>0</v>
      </c>
      <c r="B308" s="121" t="s">
        <v>417</v>
      </c>
      <c r="C308" s="121" t="s">
        <v>418</v>
      </c>
      <c r="D308" s="121" t="str">
        <f ca="1">[1]!cb_info_underlyingname(B308)</f>
        <v>海澜之家</v>
      </c>
      <c r="E308" s="122" t="str">
        <f ca="1">[1]!cb_info_underlyingcode(B308)</f>
        <v>600398.SH</v>
      </c>
      <c r="F308" s="123" t="str">
        <f ca="1">[1]!s_info_industry_sw(B308,1)</f>
        <v>纺织服装</v>
      </c>
      <c r="G308" s="123" t="str">
        <f ca="1">[1]!s_info_industry_sw(E308,2)</f>
        <v>服装家纺</v>
      </c>
      <c r="H308" s="123" t="str">
        <f ca="1">[1]!s_info_industry_sw(E308,3)</f>
        <v>男装</v>
      </c>
      <c r="I308" s="156" t="str">
        <f ca="1">[1]!s_info_majorproducttype(E308)</f>
        <v>外衣</v>
      </c>
      <c r="J308" s="129">
        <f ca="1">[1]!s_val_ev(E308,$B$2,100000000)</f>
        <v>339.5205533976</v>
      </c>
      <c r="K308" s="157">
        <f ca="1">[1]!s_share_total(E308,$B$2,100000000)</f>
        <v>43.19599916</v>
      </c>
      <c r="L308" s="157">
        <f ca="1">[1]!s_share_liqa(E308,$B$2,100000000)</f>
        <v>43.19599916</v>
      </c>
      <c r="M308" s="125">
        <f ca="1">[1]!s_fa_gr_ttm2(E308,$C$3,100000000)</f>
        <v>190.58840189919999</v>
      </c>
      <c r="N308" s="126">
        <f ca="1">[1]!s_fa_netprofit_ttm2(E308,$C$3,100000000)</f>
        <v>18.8433012711</v>
      </c>
      <c r="O308" s="125"/>
      <c r="P308" s="126">
        <f ca="1">[1]!s_val_pe_ttm(E308,[1]!td($B$2-1))</f>
        <v>13.649555206298828</v>
      </c>
      <c r="Q308" s="126">
        <f ca="1">[1]!i_val_pe_percentile(E308,[1]!td($B$2-1),$B$2-365*5,[1]!td($B$2-1))</f>
        <v>58.114035087719294</v>
      </c>
      <c r="R308" s="126">
        <f ca="1">[1]!pb_mrq(E308,[1]!td($B$2-1))</f>
        <v>2.4749751717376305</v>
      </c>
      <c r="S308" s="126">
        <f ca="1">[1]!i_val_pb_percentile(E308,[1]!td($B$2-1),$B$2-365*5,[1]!td($B$2-1))</f>
        <v>28.17982456140351</v>
      </c>
      <c r="T308" s="126">
        <f ca="1">[1]!s_val_pe_ttm([1]!to_windcode_index(H308&amp;"(申万)"),[1]!td($B$2-1))</f>
        <v>19.110000610351563</v>
      </c>
      <c r="U308" s="125"/>
      <c r="V308" s="125">
        <f ca="1">[1]!s_fa_roe(E308,$C$3)</f>
        <v>9.6112000000000002</v>
      </c>
      <c r="W308" s="125">
        <f ca="1">[1]!s_fa_grossprofitmargin(E308,$C$3)</f>
        <v>40.061999999999998</v>
      </c>
      <c r="X308" s="125">
        <f ca="1">[1]!s_fa_netprofitmargin(E308,$C$3)</f>
        <v>10.5085</v>
      </c>
      <c r="Y308" s="125">
        <f ca="1">[1]!s_fa_roic(E308,$C$3)</f>
        <v>7.6467000000000001</v>
      </c>
      <c r="Z308" s="125">
        <f ca="1">[1]!s_fa_operateincometoebt_ttm2(E308,$C$3)</f>
        <v>99.864800000000002</v>
      </c>
      <c r="AA308" s="125"/>
      <c r="AB308" s="343"/>
      <c r="AC308" s="125">
        <f ca="1">[1]!s_fa_cagr_tr($E308,AC$6,3)</f>
        <v>0</v>
      </c>
      <c r="AD308" s="125">
        <f ca="1">[1]!s_fa_cagr_tr($E308,AD$6,3)</f>
        <v>-0.44437903832201808</v>
      </c>
      <c r="AE308" s="126">
        <f ca="1">[1]!s_fa_cagr_tr($E308,AE$6,3)</f>
        <v>8.9252262953022807</v>
      </c>
      <c r="AF308" s="126">
        <f ca="1">[1]!s_fa_cagr_tr($E308,AF$6,3)</f>
        <v>6.4401004542114615</v>
      </c>
      <c r="AG308" s="126">
        <f ca="1">[1]!s_fa_cagr_tr($E308,AG$6,3)</f>
        <v>13.833762985845176</v>
      </c>
      <c r="AH308" s="126">
        <f ca="1">[1]!s_fa_cagr_tr($E308,AH$6,3)</f>
        <v>131.7686108788088</v>
      </c>
      <c r="AI308" s="169"/>
      <c r="AJ308" s="126">
        <f ca="1">[1]!s_fa_cagr_netprofit($E308,AJ$6,3)</f>
        <v>0</v>
      </c>
      <c r="AK308" s="126">
        <f ca="1">[1]!s_fa_cagr_netprofit($E308,AK$6,3)</f>
        <v>-18.764993783607274</v>
      </c>
      <c r="AL308" s="126">
        <f ca="1">[1]!s_fa_cagr_netprofit($E308,AL$6,3)</f>
        <v>0.92935019428384003</v>
      </c>
      <c r="AM308" s="126">
        <f ca="1">[1]!s_fa_cagr_netprofit($E308,AM$6,3)</f>
        <v>5.3688610638886081</v>
      </c>
      <c r="AN308" s="126">
        <f ca="1">[1]!s_fa_cagr_netprofit($E308,AN$6,3)</f>
        <v>11.915905855747555</v>
      </c>
      <c r="AO308" s="126">
        <f ca="1">[1]!s_fa_cagr_netprofit($E308,AO$6,3)</f>
        <v>180.33800736175164</v>
      </c>
      <c r="AP308" s="129"/>
      <c r="AQ308" s="203">
        <f ca="1">[1]!s_fa_dupont_roe(E308,$C$3)</f>
        <v>9.6112000000000002</v>
      </c>
      <c r="AR308" s="203">
        <f ca="1">[1]!s_fa_dupont_nptosales(B308,$C$3)</f>
        <v>10.5085</v>
      </c>
      <c r="AS308" s="238">
        <f ca="1">[1]!s_fa_dupont_faturnover(E308,$C$3)</f>
        <v>0.42570000000000002</v>
      </c>
      <c r="AT308" s="203">
        <f ca="1">[1]!s_fa_dupont_assetstoequity(E308,$C$3)</f>
        <v>2.0613000000000001</v>
      </c>
      <c r="AU308" s="129"/>
      <c r="AV308" s="129"/>
      <c r="AW308" s="129"/>
      <c r="AX308" s="129"/>
      <c r="AY308" s="129"/>
      <c r="AZ308" s="129"/>
      <c r="BA308" s="129"/>
      <c r="BB308" s="129"/>
      <c r="BC308" s="129"/>
      <c r="BD308" s="129"/>
      <c r="BE308" s="129"/>
    </row>
    <row r="309" spans="1:57" s="191" customFormat="1" ht="12" customHeight="1" x14ac:dyDescent="0.35">
      <c r="A309" s="182" t="s">
        <v>5</v>
      </c>
      <c r="B309" s="182" t="s">
        <v>116</v>
      </c>
      <c r="C309" s="182" t="s">
        <v>117</v>
      </c>
      <c r="D309" s="182" t="str">
        <f ca="1">[1]!cb_info_underlyingname(B309)</f>
        <v>比音勒芬</v>
      </c>
      <c r="E309" s="183" t="str">
        <f ca="1">[1]!cb_info_underlyingcode(B309)</f>
        <v>002832.SZ</v>
      </c>
      <c r="F309" s="184" t="str">
        <f ca="1">[1]!s_info_industry_sw(B309,1)</f>
        <v>纺织服装</v>
      </c>
      <c r="G309" s="184" t="str">
        <f ca="1">[1]!s_info_industry_sw(E309,2)</f>
        <v>服装家纺</v>
      </c>
      <c r="H309" s="184" t="str">
        <f ca="1">[1]!s_info_industry_sw(E309,3)</f>
        <v>其他服装</v>
      </c>
      <c r="I309" s="192" t="str">
        <f ca="1">[1]!s_info_majorproducttype(E309)</f>
        <v>外衣</v>
      </c>
      <c r="J309" s="189">
        <f ca="1">[1]!s_val_ev(E309,$B$2,100000000)</f>
        <v>148.38146109979999</v>
      </c>
      <c r="K309" s="193">
        <f ca="1">[1]!s_share_total(E309,$B$2,100000000)</f>
        <v>5.4996835099999997</v>
      </c>
      <c r="L309" s="193">
        <f ca="1">[1]!s_share_liqa(E309,$B$2,100000000)</f>
        <v>3.6867865100000001</v>
      </c>
      <c r="M309" s="186">
        <f ca="1">[1]!s_fa_gr_ttm2(E309,$C$3,100000000)</f>
        <v>18.788168585200001</v>
      </c>
      <c r="N309" s="187">
        <f ca="1">[1]!s_fa_netprofit_ttm2(E309,$C$3,100000000)</f>
        <v>4.4398370305000006</v>
      </c>
      <c r="O309" s="186"/>
      <c r="P309" s="187">
        <f ca="1">[1]!s_val_pe_ttm(E309,[1]!td($B$2-1))</f>
        <v>26.331958770751953</v>
      </c>
      <c r="Q309" s="187">
        <f ca="1">[1]!i_val_pe_percentile(E309,[1]!td($B$2-1),$B$2-365*5,[1]!td($B$2-1))</f>
        <v>58.929610238510769</v>
      </c>
      <c r="R309" s="187">
        <f ca="1">[1]!pb_mrq(E309,[1]!td($B$2-1))</f>
        <v>5.4069262648664687</v>
      </c>
      <c r="S309" s="187">
        <f ca="1">[1]!i_val_pb_percentile(E309,[1]!td($B$2-1),$B$2-365*5,[1]!td($B$2-1))</f>
        <v>97.789412449098307</v>
      </c>
      <c r="T309" s="187">
        <f ca="1">[1]!s_val_pe_ttm([1]!to_windcode_index(H309&amp;"(申万)"),[1]!td($B$2-1))</f>
        <v>66.75</v>
      </c>
      <c r="U309" s="187"/>
      <c r="V309" s="187">
        <f ca="1">[1]!s_fa_roe(E309,$C$3)</f>
        <v>16.7547</v>
      </c>
      <c r="W309" s="187">
        <f ca="1">[1]!s_fa_grossprofitmargin(E309,$C$3)</f>
        <v>67.0732</v>
      </c>
      <c r="X309" s="187">
        <f ca="1">[1]!s_fa_netprofitmargin(E309,$C$3)</f>
        <v>25.3249</v>
      </c>
      <c r="Y309" s="187">
        <f ca="1">[1]!s_fa_roic(E309,$C$3)</f>
        <v>14.7064</v>
      </c>
      <c r="Z309" s="187">
        <f ca="1">[1]!s_fa_operateincometoebt_ttm2(E309,$C$3)</f>
        <v>93.595299999999995</v>
      </c>
      <c r="AA309" s="186"/>
      <c r="AB309" s="342"/>
      <c r="AC309" s="186">
        <f ca="1">[1]!s_fa_cagr_tr($E309,AC$6,3)</f>
        <v>0</v>
      </c>
      <c r="AD309" s="186">
        <f ca="1">[1]!s_fa_cagr_tr($E309,AD$6,3)</f>
        <v>22.484818404493101</v>
      </c>
      <c r="AE309" s="187">
        <f ca="1">[1]!s_fa_cagr_tr($E309,AE$6,3)</f>
        <v>29.426529540710568</v>
      </c>
      <c r="AF309" s="187">
        <f ca="1">[1]!s_fa_cagr_tr($E309,AF$6,3)</f>
        <v>25.108749358538883</v>
      </c>
      <c r="AG309" s="187">
        <f ca="1">[1]!s_fa_cagr_tr($E309,AG$6,3)</f>
        <v>17.518229829133979</v>
      </c>
      <c r="AH309" s="187">
        <f ca="1">[1]!s_fa_cagr_tr($E309,AH$6,3)</f>
        <v>14.070623483645361</v>
      </c>
      <c r="AI309" s="194"/>
      <c r="AJ309" s="187">
        <f ca="1">[1]!s_fa_cagr_netprofit($E309,AJ$6,3)</f>
        <v>0</v>
      </c>
      <c r="AK309" s="187">
        <f ca="1">[1]!s_fa_cagr_netprofit($E309,AK$6,3)</f>
        <v>38.557634431696776</v>
      </c>
      <c r="AL309" s="187">
        <f ca="1">[1]!s_fa_cagr_netprofit($E309,AL$6,3)</f>
        <v>45.282863530621476</v>
      </c>
      <c r="AM309" s="187">
        <f ca="1">[1]!s_fa_cagr_netprofit($E309,AM$6,3)</f>
        <v>33.37154181231088</v>
      </c>
      <c r="AN309" s="187">
        <f ca="1">[1]!s_fa_cagr_netprofit($E309,AN$6,3)</f>
        <v>18.794166795310787</v>
      </c>
      <c r="AO309" s="187">
        <f ca="1">[1]!s_fa_cagr_netprofit($E309,AO$6,3)</f>
        <v>11.414362763115848</v>
      </c>
      <c r="AP309" s="189"/>
      <c r="AQ309" s="202">
        <f ca="1">[1]!s_fa_dupont_roe(E309,$C$3)</f>
        <v>16.7547</v>
      </c>
      <c r="AR309" s="202">
        <f ca="1">[1]!s_fa_dupont_nptosales(B309,$C$3)</f>
        <v>25.3249</v>
      </c>
      <c r="AS309" s="237">
        <f ca="1">[1]!s_fa_dupont_faturnover(E309,$C$3)</f>
        <v>0.46679999999999999</v>
      </c>
      <c r="AT309" s="202">
        <f ca="1">[1]!s_fa_dupont_assetstoequity(E309,$C$3)</f>
        <v>1.4172</v>
      </c>
      <c r="AU309" s="189"/>
      <c r="AV309" s="189"/>
      <c r="AW309" s="189"/>
      <c r="AX309" s="189"/>
      <c r="AY309" s="189"/>
      <c r="AZ309" s="189"/>
      <c r="BA309" s="189"/>
      <c r="BB309" s="189"/>
      <c r="BC309" s="189"/>
      <c r="BD309" s="189"/>
      <c r="BE309" s="189"/>
    </row>
    <row r="310" spans="1:57" s="130" customFormat="1" ht="12" customHeight="1" x14ac:dyDescent="0.35">
      <c r="A310" s="121" t="s">
        <v>5</v>
      </c>
      <c r="B310" s="121" t="s">
        <v>180</v>
      </c>
      <c r="C310" s="121" t="s">
        <v>181</v>
      </c>
      <c r="D310" s="121" t="str">
        <f ca="1">[1]!cb_info_underlyingname(B310)</f>
        <v>搜于特</v>
      </c>
      <c r="E310" s="122" t="str">
        <f ca="1">[1]!cb_info_underlyingcode(B310)</f>
        <v>002503.SZ</v>
      </c>
      <c r="F310" s="123" t="str">
        <f ca="1">[1]!s_info_industry_sw(B310,1)</f>
        <v>纺织服装</v>
      </c>
      <c r="G310" s="123" t="str">
        <f ca="1">[1]!s_info_industry_sw(E310,2)</f>
        <v>服装家纺</v>
      </c>
      <c r="H310" s="123" t="str">
        <f ca="1">[1]!s_info_industry_sw(E310,3)</f>
        <v>休闲服装</v>
      </c>
      <c r="I310" s="156" t="str">
        <f ca="1">[1]!s_info_majorproducttype(E310)</f>
        <v>衣着用纺织品、专业咨询服务</v>
      </c>
      <c r="J310" s="129">
        <f ca="1">[1]!s_val_ev(E310,$B$2,100000000)</f>
        <v>50.720560128400002</v>
      </c>
      <c r="K310" s="157">
        <f ca="1">[1]!s_share_total(E310,$B$2,100000000)</f>
        <v>30.92717081</v>
      </c>
      <c r="L310" s="157">
        <f ca="1">[1]!s_share_liqa(E310,$B$2,100000000)</f>
        <v>25.429134309999998</v>
      </c>
      <c r="M310" s="125">
        <f ca="1">[1]!s_fa_gr_ttm2(E310,$C$3,100000000)</f>
        <v>88.17873239139999</v>
      </c>
      <c r="N310" s="126">
        <f ca="1">[1]!s_fa_netprofit_ttm2(E310,$C$3,100000000)</f>
        <v>-0.36476386439999997</v>
      </c>
      <c r="O310" s="125"/>
      <c r="P310" s="126">
        <f ca="1">[1]!s_val_pe_ttm(E310,[1]!td($B$2-1))</f>
        <v>-1.6148368120193481</v>
      </c>
      <c r="Q310" s="126">
        <f ca="1">[1]!i_val_pe_percentile(E310,[1]!td($B$2-1),$B$2-365*5,[1]!td($B$2-1))</f>
        <v>0</v>
      </c>
      <c r="R310" s="126">
        <f ca="1">[1]!pb_mrq(E310,[1]!td($B$2-1))</f>
        <v>2.2027333920900265</v>
      </c>
      <c r="S310" s="126">
        <f ca="1">[1]!i_val_pb_percentile(E310,[1]!td($B$2-1),$B$2-365*5,[1]!td($B$2-1))</f>
        <v>63.514254385964911</v>
      </c>
      <c r="T310" s="126">
        <f ca="1">[1]!s_val_pe_ttm([1]!to_windcode_index(H310&amp;"(申万)"),[1]!td($B$2-1))</f>
        <v>33.029998779296875</v>
      </c>
      <c r="U310" s="126"/>
      <c r="V310" s="126">
        <f ca="1">[1]!s_fa_roe(E310,$C$3)</f>
        <v>1.0864</v>
      </c>
      <c r="W310" s="126">
        <f ca="1">[1]!s_fa_grossprofitmargin(E310,$C$3)</f>
        <v>6.8711000000000002</v>
      </c>
      <c r="X310" s="126">
        <f ca="1">[1]!s_fa_netprofitmargin(E310,$C$3)</f>
        <v>1.0482</v>
      </c>
      <c r="Y310" s="126">
        <f ca="1">[1]!s_fa_roic(E310,$C$3)</f>
        <v>2.0415000000000001</v>
      </c>
      <c r="Z310" s="126">
        <f ca="1">[1]!s_fa_operateincometoebt_ttm2(E310,$C$3)</f>
        <v>0</v>
      </c>
      <c r="AA310" s="125"/>
      <c r="AB310" s="343"/>
      <c r="AC310" s="125">
        <f ca="1">[1]!s_fa_cagr_tr($E310,AC$6,3)</f>
        <v>0</v>
      </c>
      <c r="AD310" s="125">
        <f ca="1">[1]!s_fa_cagr_tr($E310,AD$6,3)</f>
        <v>-22.23955449222521</v>
      </c>
      <c r="AE310" s="126">
        <f ca="1">[1]!s_fa_cagr_tr($E310,AE$6,3)</f>
        <v>26.980303607288359</v>
      </c>
      <c r="AF310" s="126">
        <f ca="1">[1]!s_fa_cagr_tr($E310,AF$6,3)</f>
        <v>110.59198872876044</v>
      </c>
      <c r="AG310" s="126">
        <f ca="1">[1]!s_fa_cagr_tr($E310,AG$6,3)</f>
        <v>141.3094274507915</v>
      </c>
      <c r="AH310" s="126">
        <f ca="1">[1]!s_fa_cagr_tr($E310,AH$6,3)</f>
        <v>53.816650316773938</v>
      </c>
      <c r="AI310" s="169"/>
      <c r="AJ310" s="126">
        <f ca="1">[1]!s_fa_cagr_netprofit($E310,AJ$6,3)</f>
        <v>0</v>
      </c>
      <c r="AK310" s="126">
        <f ca="1">[1]!s_fa_cagr_netprofit($E310,AK$6,3)</f>
        <v>-242.43815110710307</v>
      </c>
      <c r="AL310" s="126">
        <f ca="1">[1]!s_fa_cagr_netprofit($E310,AL$6,3)</f>
        <v>-16.901018184691353</v>
      </c>
      <c r="AM310" s="126">
        <f ca="1">[1]!s_fa_cagr_netprofit($E310,AM$6,3)</f>
        <v>22.718440656072623</v>
      </c>
      <c r="AN310" s="126">
        <f ca="1">[1]!s_fa_cagr_netprofit($E310,AN$6,3)</f>
        <v>70.713381086618639</v>
      </c>
      <c r="AO310" s="126">
        <f ca="1">[1]!s_fa_cagr_netprofit($E310,AO$6,3)</f>
        <v>9.6729163477112365</v>
      </c>
      <c r="AP310" s="129"/>
      <c r="AQ310" s="203">
        <f ca="1">[1]!s_fa_dupont_roe(E310,$C$3)</f>
        <v>1.0864</v>
      </c>
      <c r="AR310" s="203">
        <f ca="1">[1]!s_fa_dupont_nptosales(B310,$C$3)</f>
        <v>1.0458000000000001</v>
      </c>
      <c r="AS310" s="238">
        <f ca="1">[1]!s_fa_dupont_faturnover(E310,$C$3)</f>
        <v>0.48899999999999999</v>
      </c>
      <c r="AT310" s="203">
        <f ca="1">[1]!s_fa_dupont_assetstoequity(E310,$C$3)</f>
        <v>2.1318999999999999</v>
      </c>
      <c r="AU310" s="129"/>
      <c r="AV310" s="129"/>
      <c r="AW310" s="129"/>
      <c r="AX310" s="129"/>
      <c r="AY310" s="129"/>
      <c r="AZ310" s="129"/>
      <c r="BA310" s="129"/>
      <c r="BB310" s="129"/>
      <c r="BC310" s="129"/>
      <c r="BD310" s="129"/>
      <c r="BE310" s="129"/>
    </row>
    <row r="311" spans="1:57" s="191" customFormat="1" ht="12" customHeight="1" x14ac:dyDescent="0.35">
      <c r="A311" s="182" t="s">
        <v>5</v>
      </c>
      <c r="B311" s="182" t="s">
        <v>222</v>
      </c>
      <c r="C311" s="182" t="s">
        <v>223</v>
      </c>
      <c r="D311" s="182" t="str">
        <f ca="1">[1]!cb_info_underlyingname(B311)</f>
        <v>开润股份</v>
      </c>
      <c r="E311" s="183" t="str">
        <f ca="1">[1]!cb_info_underlyingcode(B311)</f>
        <v>300577.SZ</v>
      </c>
      <c r="F311" s="184" t="str">
        <f ca="1">[1]!s_info_industry_sw(B311,1)</f>
        <v>纺织服装</v>
      </c>
      <c r="G311" s="184" t="str">
        <f ca="1">[1]!s_info_industry_sw(E311,2)</f>
        <v>纺织制造</v>
      </c>
      <c r="H311" s="184" t="str">
        <f ca="1">[1]!s_info_industry_sw(E311,3)</f>
        <v>其他纺织</v>
      </c>
      <c r="I311" s="192" t="str">
        <f ca="1">[1]!s_info_majorproducttype(E311)</f>
        <v>其他纺织品及原料、其他休闲用品</v>
      </c>
      <c r="J311" s="189">
        <f ca="1">[1]!s_val_ev(E311,$B$2,100000000)</f>
        <v>46.976340699600001</v>
      </c>
      <c r="K311" s="193">
        <f ca="1">[1]!s_share_total(E311,$B$2,100000000)</f>
        <v>2.4016534100000002</v>
      </c>
      <c r="L311" s="193">
        <f ca="1">[1]!s_share_liqa(E311,$B$2,100000000)</f>
        <v>1.2905421800000001</v>
      </c>
      <c r="M311" s="186">
        <f ca="1">[1]!s_fa_gr_ttm2(E311,$C$3,100000000)</f>
        <v>22.154574695999997</v>
      </c>
      <c r="N311" s="187">
        <f ca="1">[1]!s_fa_netprofit_ttm2(E311,$C$3,100000000)</f>
        <v>0.87876513030000003</v>
      </c>
      <c r="O311" s="186"/>
      <c r="P311" s="187">
        <f ca="1">[1]!s_val_pe_ttm(E311,[1]!td($B$2-1))</f>
        <v>42.454822540283203</v>
      </c>
      <c r="Q311" s="187">
        <f ca="1">[1]!i_val_pe_percentile(E311,[1]!td($B$2-1),$B$2-365*5,[1]!td($B$2-1))</f>
        <v>39.570017431725738</v>
      </c>
      <c r="R311" s="187">
        <f ca="1">[1]!pb_mrq(E311,[1]!td($B$2-1))</f>
        <v>3.0223446739922291</v>
      </c>
      <c r="S311" s="187">
        <f ca="1">[1]!i_val_pb_percentile(E311,[1]!td($B$2-1),$B$2-365*5,[1]!td($B$2-1))</f>
        <v>2.7890761185357351</v>
      </c>
      <c r="T311" s="187">
        <f ca="1">[1]!s_val_pe_ttm([1]!to_windcode_index(H311&amp;"(申万)"),[1]!td($B$2-1))</f>
        <v>55.430000305175781</v>
      </c>
      <c r="U311" s="187"/>
      <c r="V311" s="187">
        <f ca="1">[1]!s_fa_roe(E311,$C$3)</f>
        <v>4.3010999999999999</v>
      </c>
      <c r="W311" s="187">
        <f ca="1">[1]!s_fa_grossprofitmargin(E311,$C$3)</f>
        <v>29.602799999999998</v>
      </c>
      <c r="X311" s="187">
        <f ca="1">[1]!s_fa_netprofitmargin(E311,$C$3)</f>
        <v>1.8112999999999999</v>
      </c>
      <c r="Y311" s="187">
        <f ca="1">[1]!s_fa_roic(E311,$C$3)</f>
        <v>2.3485</v>
      </c>
      <c r="Z311" s="187">
        <f ca="1">[1]!s_fa_operateincometoebt_ttm2(E311,$C$3)</f>
        <v>76.448999999999998</v>
      </c>
      <c r="AA311" s="186"/>
      <c r="AB311" s="342"/>
      <c r="AC311" s="186">
        <f ca="1">[1]!s_fa_cagr_tr($E311,AC$6,3)</f>
        <v>0</v>
      </c>
      <c r="AD311" s="186">
        <f ca="1">[1]!s_fa_cagr_tr($E311,AD$6,3)</f>
        <v>18.693925938080014</v>
      </c>
      <c r="AE311" s="187">
        <f ca="1">[1]!s_fa_cagr_tr($E311,AE$6,3)</f>
        <v>51.448398414469487</v>
      </c>
      <c r="AF311" s="187">
        <f ca="1">[1]!s_fa_cagr_tr($E311,AF$6,3)</f>
        <v>60.632967350542842</v>
      </c>
      <c r="AG311" s="187">
        <f ca="1">[1]!s_fa_cagr_tr($E311,AG$6,3)</f>
        <v>40.742211979852485</v>
      </c>
      <c r="AH311" s="187">
        <f ca="1">[1]!s_fa_cagr_tr($E311,AH$6,3)</f>
        <v>38.012209750983587</v>
      </c>
      <c r="AI311" s="194"/>
      <c r="AJ311" s="187">
        <f ca="1">[1]!s_fa_cagr_netprofit($E311,AJ$6,3)</f>
        <v>0</v>
      </c>
      <c r="AK311" s="187">
        <f ca="1">[1]!s_fa_cagr_netprofit($E311,AK$6,3)</f>
        <v>-16.397444629382285</v>
      </c>
      <c r="AL311" s="187">
        <f ca="1">[1]!s_fa_cagr_netprofit($E311,AL$6,3)</f>
        <v>39.08210125813374</v>
      </c>
      <c r="AM311" s="187">
        <f ca="1">[1]!s_fa_cagr_netprofit($E311,AM$6,3)</f>
        <v>37.90495756938288</v>
      </c>
      <c r="AN311" s="187">
        <f ca="1">[1]!s_fa_cagr_netprofit($E311,AN$6,3)</f>
        <v>46.982542334271507</v>
      </c>
      <c r="AO311" s="187">
        <f ca="1">[1]!s_fa_cagr_netprofit($E311,AO$6,3)</f>
        <v>54.483454385071454</v>
      </c>
      <c r="AP311" s="189"/>
      <c r="AQ311" s="202">
        <f ca="1">[1]!s_fa_dupont_roe(E311,$C$3)</f>
        <v>4.3010999999999999</v>
      </c>
      <c r="AR311" s="202">
        <f ca="1">[1]!s_fa_dupont_nptosales(B311,$C$3)</f>
        <v>1.8112999999999999</v>
      </c>
      <c r="AS311" s="237">
        <f ca="1">[1]!s_fa_dupont_faturnover(E311,$C$3)</f>
        <v>0.71160000000000001</v>
      </c>
      <c r="AT311" s="202">
        <f ca="1">[1]!s_fa_dupont_assetstoequity(E311,$C$3)</f>
        <v>2.3898999999999999</v>
      </c>
      <c r="AU311" s="189"/>
      <c r="AV311" s="201"/>
      <c r="AW311" s="189"/>
      <c r="AX311" s="189"/>
      <c r="AY311" s="189"/>
      <c r="AZ311" s="189"/>
      <c r="BA311" s="189"/>
      <c r="BB311" s="189"/>
      <c r="BC311" s="189"/>
      <c r="BD311" s="189"/>
      <c r="BE311" s="189"/>
    </row>
    <row r="312" spans="1:57" s="130" customFormat="1" ht="12" customHeight="1" x14ac:dyDescent="0.35">
      <c r="A312" s="121" t="s">
        <v>0</v>
      </c>
      <c r="B312" s="121" t="s">
        <v>146</v>
      </c>
      <c r="C312" s="121" t="s">
        <v>147</v>
      </c>
      <c r="D312" s="121" t="str">
        <f ca="1">[1]!cb_info_underlyingname(B312)</f>
        <v>ST起步</v>
      </c>
      <c r="E312" s="122" t="str">
        <f ca="1">[1]!cb_info_underlyingcode(B312)</f>
        <v>603557.SH</v>
      </c>
      <c r="F312" s="123" t="str">
        <f ca="1">[1]!s_info_industry_sw(B312,1)</f>
        <v>纺织服装</v>
      </c>
      <c r="G312" s="123" t="str">
        <f ca="1">[1]!s_info_industry_sw(E312,2)</f>
        <v>服装家纺</v>
      </c>
      <c r="H312" s="123" t="str">
        <f ca="1">[1]!s_info_industry_sw(E312,3)</f>
        <v>鞋帽</v>
      </c>
      <c r="I312" s="156" t="str">
        <f ca="1">[1]!s_info_majorproducttype(E312)</f>
        <v>服装配件配饰、外衣、鞋子</v>
      </c>
      <c r="J312" s="129">
        <f ca="1">[1]!s_val_ev(E312,$B$2,100000000)</f>
        <v>24.205411610399999</v>
      </c>
      <c r="K312" s="157">
        <f ca="1">[1]!s_share_total(E312,$B$2,100000000)</f>
        <v>4.9601253299999994</v>
      </c>
      <c r="L312" s="157">
        <f ca="1">[1]!s_share_liqa(E312,$B$2,100000000)</f>
        <v>4.9403153299999998</v>
      </c>
      <c r="M312" s="125">
        <f ca="1">[1]!s_fa_gr_ttm2(E312,$C$3,100000000)</f>
        <v>13.5219918</v>
      </c>
      <c r="N312" s="126">
        <f ca="1">[1]!s_fa_netprofit_ttm2(E312,$C$3,100000000)</f>
        <v>0.81906950779999999</v>
      </c>
      <c r="O312" s="125"/>
      <c r="P312" s="126">
        <f ca="1">[1]!s_val_pe_ttm(E312,[1]!td($B$2-1))</f>
        <v>-7.5848169326782227</v>
      </c>
      <c r="Q312" s="126">
        <f ca="1">[1]!i_val_pe_percentile(E312,[1]!td($B$2-1),$B$2-365*5,[1]!td($B$2-1))</f>
        <v>0</v>
      </c>
      <c r="R312" s="126">
        <f ca="1">[1]!pb_mrq(E312,[1]!td($B$2-1))</f>
        <v>1.5503504575407936</v>
      </c>
      <c r="S312" s="126">
        <f ca="1">[1]!i_val_pb_percentile(E312,[1]!td($B$2-1),$B$2-365*5,[1]!td($B$2-1))</f>
        <v>3.9837947332883186</v>
      </c>
      <c r="T312" s="126">
        <f ca="1">[1]!s_val_pe_ttm([1]!to_windcode_index(H312&amp;"(申万)"),[1]!td($B$2-1))</f>
        <v>195.35000610351563</v>
      </c>
      <c r="U312" s="125"/>
      <c r="V312" s="125">
        <f ca="1">[1]!s_fa_roe(E312,$C$3)</f>
        <v>5.3402000000000003</v>
      </c>
      <c r="W312" s="125">
        <f ca="1">[1]!s_fa_grossprofitmargin(E312,$C$3)</f>
        <v>36.517800000000001</v>
      </c>
      <c r="X312" s="125">
        <f ca="1">[1]!s_fa_netprofitmargin(E312,$C$3)</f>
        <v>10.112500000000001</v>
      </c>
      <c r="Y312" s="125">
        <f ca="1">[1]!s_fa_roic(E312,$C$3)</f>
        <v>4.9053000000000004</v>
      </c>
      <c r="Z312" s="125">
        <f ca="1">[1]!s_fa_operateincometoebt_ttm2(E312,$C$3)</f>
        <v>54.421999999999997</v>
      </c>
      <c r="AA312" s="125"/>
      <c r="AB312" s="343"/>
      <c r="AC312" s="125">
        <f ca="1">[1]!s_fa_cagr_tr($E312,AC$6,3)</f>
        <v>0</v>
      </c>
      <c r="AD312" s="125">
        <f ca="1">[1]!s_fa_cagr_tr($E312,AD$6,3)</f>
        <v>-16.731075402392104</v>
      </c>
      <c r="AE312" s="126">
        <f ca="1">[1]!s_fa_cagr_tr($E312,AE$6,3)</f>
        <v>7.2799170933125934</v>
      </c>
      <c r="AF312" s="126">
        <f ca="1">[1]!s_fa_cagr_tr($E312,AF$6,3)</f>
        <v>7.4481718522488194</v>
      </c>
      <c r="AG312" s="126">
        <f ca="1">[1]!s_fa_cagr_tr($E312,AG$6,3)</f>
        <v>13.586324202024969</v>
      </c>
      <c r="AH312" s="126">
        <f ca="1">[1]!s_fa_cagr_tr($E312,AH$6,3)</f>
        <v>21.49462648427043</v>
      </c>
      <c r="AI312" s="169"/>
      <c r="AJ312" s="126">
        <f ca="1">[1]!s_fa_cagr_netprofit($E312,AJ$6,3)</f>
        <v>0</v>
      </c>
      <c r="AK312" s="126">
        <f ca="1">[1]!s_fa_cagr_netprofit($E312,AK$6,3)</f>
        <v>-212.97912313282032</v>
      </c>
      <c r="AL312" s="126">
        <f ca="1">[1]!s_fa_cagr_netprofit($E312,AL$6,3)</f>
        <v>-6.7297075595051599</v>
      </c>
      <c r="AM312" s="126">
        <f ca="1">[1]!s_fa_cagr_netprofit($E312,AM$6,3)</f>
        <v>6.2580477587920402</v>
      </c>
      <c r="AN312" s="126">
        <f ca="1">[1]!s_fa_cagr_netprofit($E312,AN$6,3)</f>
        <v>22.723126736520015</v>
      </c>
      <c r="AO312" s="126">
        <f ca="1">[1]!s_fa_cagr_netprofit($E312,AO$6,3)</f>
        <v>56.121790752572778</v>
      </c>
      <c r="AP312" s="129"/>
      <c r="AQ312" s="203">
        <f ca="1">[1]!s_fa_dupont_roe(E312,$C$3)</f>
        <v>5.3402000000000003</v>
      </c>
      <c r="AR312" s="203">
        <f ca="1">[1]!s_fa_dupont_nptosales(B312,$C$3)</f>
        <v>10.112500000000001</v>
      </c>
      <c r="AS312" s="238">
        <f ca="1">[1]!s_fa_dupont_faturnover(E312,$C$3)</f>
        <v>0.3276</v>
      </c>
      <c r="AT312" s="203">
        <f ca="1">[1]!s_fa_dupont_assetstoequity(E312,$C$3)</f>
        <v>1.6032</v>
      </c>
      <c r="AU312" s="129"/>
      <c r="AV312" s="129"/>
      <c r="AW312" s="129"/>
      <c r="AX312" s="129"/>
      <c r="AY312" s="129"/>
      <c r="AZ312" s="129"/>
      <c r="BA312" s="129"/>
      <c r="BB312" s="129"/>
      <c r="BC312" s="129"/>
      <c r="BD312" s="129"/>
      <c r="BE312" s="129"/>
    </row>
    <row r="313" spans="1:57" s="191" customFormat="1" ht="12" customHeight="1" x14ac:dyDescent="0.35">
      <c r="A313" s="182" t="s">
        <v>5</v>
      </c>
      <c r="B313" s="182" t="s">
        <v>154</v>
      </c>
      <c r="C313" s="182" t="s">
        <v>155</v>
      </c>
      <c r="D313" s="182" t="str">
        <f ca="1">[1]!cb_info_underlyingname(B313)</f>
        <v>鲁泰A</v>
      </c>
      <c r="E313" s="183" t="str">
        <f ca="1">[1]!cb_info_underlyingcode(B313)</f>
        <v>000726.SZ</v>
      </c>
      <c r="F313" s="184" t="str">
        <f ca="1">[1]!s_info_industry_sw(B313,1)</f>
        <v>纺织服装</v>
      </c>
      <c r="G313" s="184" t="str">
        <f ca="1">[1]!s_info_industry_sw(E313,2)</f>
        <v>纺织制造</v>
      </c>
      <c r="H313" s="184" t="str">
        <f ca="1">[1]!s_info_industry_sw(E313,3)</f>
        <v>棉纺</v>
      </c>
      <c r="I313" s="192" t="str">
        <f ca="1">[1]!s_info_majorproducttype(E313)</f>
        <v>内衣、其他纺织品及原料、其他农产品、衣着用纺织品、中药饮片</v>
      </c>
      <c r="J313" s="189">
        <f ca="1">[1]!s_val_ev(E313,$B$2,100000000)</f>
        <v>44.318210236448749</v>
      </c>
      <c r="K313" s="193">
        <f ca="1">[1]!s_share_total(E313,$B$2,100000000)</f>
        <v>8.8241992199999988</v>
      </c>
      <c r="L313" s="193">
        <f ca="1">[1]!s_share_liqa(E313,$B$2,100000000)</f>
        <v>5.6125443099999996</v>
      </c>
      <c r="M313" s="186">
        <f ca="1">[1]!s_fa_gr_ttm2(E313,$C$3,100000000)</f>
        <v>53.600260264700005</v>
      </c>
      <c r="N313" s="187">
        <f ca="1">[1]!s_fa_netprofit_ttm2(E313,$C$3,100000000)</f>
        <v>4.6015115919999996</v>
      </c>
      <c r="O313" s="186"/>
      <c r="P313" s="187">
        <f ca="1">[1]!s_val_pe_ttm(E313,[1]!td($B$2-1))</f>
        <v>48.965267181396484</v>
      </c>
      <c r="Q313" s="187">
        <f ca="1">[1]!i_val_pe_percentile(E313,[1]!td($B$2-1),$B$2-365*5,[1]!td($B$2-1))</f>
        <v>91.776315789473685</v>
      </c>
      <c r="R313" s="187">
        <f ca="1">[1]!pb_mrq(E313,[1]!td($B$2-1))</f>
        <v>0.67000584950231867</v>
      </c>
      <c r="S313" s="187">
        <f ca="1">[1]!i_val_pb_percentile(E313,[1]!td($B$2-1),$B$2-365*5,[1]!td($B$2-1))</f>
        <v>2.549342105263158</v>
      </c>
      <c r="T313" s="187">
        <f ca="1">[1]!s_val_pe_ttm([1]!to_windcode_index(H313&amp;"(申万)"),[1]!td($B$2-1))</f>
        <v>17.780000686645508</v>
      </c>
      <c r="U313" s="187"/>
      <c r="V313" s="187">
        <f ca="1">[1]!s_fa_roe(E313,$C$3)</f>
        <v>1.2392000000000001</v>
      </c>
      <c r="W313" s="187">
        <f ca="1">[1]!s_fa_grossprofitmargin(E313,$C$3)</f>
        <v>23.9922</v>
      </c>
      <c r="X313" s="187">
        <f ca="1">[1]!s_fa_netprofitmargin(E313,$C$3)</f>
        <v>2.7262</v>
      </c>
      <c r="Y313" s="187">
        <f ca="1">[1]!s_fa_roic(E313,$C$3)</f>
        <v>1.1063000000000001</v>
      </c>
      <c r="Z313" s="187">
        <f ca="1">[1]!s_fa_operateincometoebt_ttm2(E313,$C$3)</f>
        <v>39.431800000000003</v>
      </c>
      <c r="AA313" s="186"/>
      <c r="AB313" s="342"/>
      <c r="AC313" s="186">
        <f ca="1">[1]!s_fa_cagr_tr($E313,AC$6,3)</f>
        <v>0</v>
      </c>
      <c r="AD313" s="186">
        <f ca="1">[1]!s_fa_cagr_tr($E313,AD$6,3)</f>
        <v>-9.4962368752016921</v>
      </c>
      <c r="AE313" s="187">
        <f ca="1">[1]!s_fa_cagr_tr($E313,AE$6,3)</f>
        <v>4.373342613857778</v>
      </c>
      <c r="AF313" s="187">
        <f ca="1">[1]!s_fa_cagr_tr($E313,AF$6,3)</f>
        <v>3.6740375905909062</v>
      </c>
      <c r="AG313" s="187">
        <f ca="1">[1]!s_fa_cagr_tr($E313,AG$6,3)</f>
        <v>1.277754806687259</v>
      </c>
      <c r="AH313" s="187">
        <f ca="1">[1]!s_fa_cagr_tr($E313,AH$6,3)</f>
        <v>-2.6228644577338311</v>
      </c>
      <c r="AI313" s="194"/>
      <c r="AJ313" s="187">
        <f ca="1">[1]!s_fa_cagr_netprofit($E313,AJ$6,3)</f>
        <v>0</v>
      </c>
      <c r="AK313" s="187">
        <f ca="1">[1]!s_fa_cagr_netprofit($E313,AK$6,3)</f>
        <v>-51.274187734065372</v>
      </c>
      <c r="AL313" s="187">
        <f ca="1">[1]!s_fa_cagr_netprofit($E313,AL$6,3)</f>
        <v>5.7447466048226037</v>
      </c>
      <c r="AM313" s="187">
        <f ca="1">[1]!s_fa_cagr_netprofit($E313,AM$6,3)</f>
        <v>4.4483575392151975</v>
      </c>
      <c r="AN313" s="187">
        <f ca="1">[1]!s_fa_cagr_netprofit($E313,AN$6,3)</f>
        <v>-4.2673900893961614</v>
      </c>
      <c r="AO313" s="187">
        <f ca="1">[1]!s_fa_cagr_netprofit($E313,AO$6,3)</f>
        <v>-6.9349729900428647</v>
      </c>
      <c r="AP313" s="189"/>
      <c r="AQ313" s="202">
        <f ca="1">[1]!s_fa_dupont_roe(E313,$C$3)</f>
        <v>1.2392000000000001</v>
      </c>
      <c r="AR313" s="202">
        <f ca="1">[1]!s_fa_dupont_nptosales(B313,$C$3)</f>
        <v>2.7262</v>
      </c>
      <c r="AS313" s="237">
        <f ca="1">[1]!s_fa_dupont_faturnover(E313,$C$3)</f>
        <v>0.28349999999999997</v>
      </c>
      <c r="AT313" s="202">
        <f ca="1">[1]!s_fa_dupont_assetstoequity(E313,$C$3)</f>
        <v>1.5396000000000001</v>
      </c>
      <c r="AU313" s="189"/>
      <c r="AV313" s="189"/>
      <c r="AW313" s="189"/>
      <c r="AX313" s="189"/>
      <c r="AY313" s="189"/>
      <c r="AZ313" s="189"/>
      <c r="BA313" s="189"/>
      <c r="BB313" s="189"/>
      <c r="BC313" s="189"/>
      <c r="BD313" s="189"/>
      <c r="BE313" s="189"/>
    </row>
    <row r="314" spans="1:57" s="130" customFormat="1" ht="12" customHeight="1" x14ac:dyDescent="0.35">
      <c r="A314" s="121" t="s">
        <v>0</v>
      </c>
      <c r="B314" s="121" t="s">
        <v>378</v>
      </c>
      <c r="C314" s="121" t="s">
        <v>379</v>
      </c>
      <c r="D314" s="121" t="str">
        <f ca="1">[1]!cb_info_underlyingname(B314)</f>
        <v>台华新材</v>
      </c>
      <c r="E314" s="122" t="str">
        <f ca="1">[1]!cb_info_underlyingcode(B314)</f>
        <v>603055.SH</v>
      </c>
      <c r="F314" s="123" t="str">
        <f ca="1">[1]!s_info_industry_sw(B314,1)</f>
        <v>纺织服装</v>
      </c>
      <c r="G314" s="123" t="str">
        <f ca="1">[1]!s_info_industry_sw(E314,2)</f>
        <v>纺织制造</v>
      </c>
      <c r="H314" s="123" t="str">
        <f ca="1">[1]!s_info_industry_sw(E314,3)</f>
        <v>其他纺织</v>
      </c>
      <c r="I314" s="156" t="str">
        <f ca="1">[1]!s_info_majorproducttype(E314)</f>
        <v>其他纺织品及原料</v>
      </c>
      <c r="J314" s="129">
        <f ca="1">[1]!s_val_ev(E314,$B$2,100000000)</f>
        <v>131.927709316</v>
      </c>
      <c r="K314" s="157">
        <f ca="1">[1]!s_share_total(E314,$B$2,100000000)</f>
        <v>8.3498550199999997</v>
      </c>
      <c r="L314" s="157">
        <f ca="1">[1]!s_share_liqa(E314,$B$2,100000000)</f>
        <v>7.7078303400000001</v>
      </c>
      <c r="M314" s="125">
        <f ca="1">[1]!s_fa_gr_ttm2(E314,$C$3,100000000)</f>
        <v>23.851310112299998</v>
      </c>
      <c r="N314" s="126">
        <f ca="1">[1]!s_fa_netprofit_ttm2(E314,$C$3,100000000)</f>
        <v>0.95301238760000007</v>
      </c>
      <c r="O314" s="125"/>
      <c r="P314" s="126">
        <f ca="1">[1]!s_val_pe_ttm(E314,[1]!td($B$2-1))</f>
        <v>39.797203063964844</v>
      </c>
      <c r="Q314" s="126">
        <f ca="1">[1]!i_val_pe_percentile(E314,[1]!td($B$2-1),$B$2-365*5,[1]!td($B$2-1))</f>
        <v>77.401520387007608</v>
      </c>
      <c r="R314" s="126">
        <f ca="1">[1]!pb_mrq(E314,[1]!td($B$2-1))</f>
        <v>4.1561335614234567</v>
      </c>
      <c r="S314" s="126">
        <f ca="1">[1]!i_val_pb_percentile(E314,[1]!td($B$2-1),$B$2-365*5,[1]!td($B$2-1))</f>
        <v>92.6744989633725</v>
      </c>
      <c r="T314" s="126">
        <f ca="1">[1]!s_val_pe_ttm([1]!to_windcode_index(H314&amp;"(申万)"),[1]!td($B$2-1))</f>
        <v>55.430000305175781</v>
      </c>
      <c r="U314" s="126"/>
      <c r="V314" s="126">
        <f ca="1">[1]!s_fa_roe(E314,$C$3)</f>
        <v>3.4489999999999998</v>
      </c>
      <c r="W314" s="126">
        <f ca="1">[1]!s_fa_grossprofitmargin(E314,$C$3)</f>
        <v>24.3871</v>
      </c>
      <c r="X314" s="126">
        <f ca="1">[1]!s_fa_netprofitmargin(E314,$C$3)</f>
        <v>5.4958999999999998</v>
      </c>
      <c r="Y314" s="126">
        <f ca="1">[1]!s_fa_roic(E314,$C$3)</f>
        <v>3.2233999999999998</v>
      </c>
      <c r="Z314" s="126">
        <f ca="1">[1]!s_fa_operateincometoebt_ttm2(E314,$C$3)</f>
        <v>73.794700000000006</v>
      </c>
      <c r="AA314" s="125"/>
      <c r="AB314" s="343"/>
      <c r="AC314" s="125">
        <f ca="1">[1]!s_fa_cagr_tr($E314,AC$6,3)</f>
        <v>0</v>
      </c>
      <c r="AD314" s="125">
        <f ca="1">[1]!s_fa_cagr_tr($E314,AD$6,3)</f>
        <v>-2.8591228983568806</v>
      </c>
      <c r="AE314" s="126">
        <f ca="1">[1]!s_fa_cagr_tr($E314,AE$6,3)</f>
        <v>6.2393944573480464</v>
      </c>
      <c r="AF314" s="126">
        <f ca="1">[1]!s_fa_cagr_tr($E314,AF$6,3)</f>
        <v>16.175320117385784</v>
      </c>
      <c r="AG314" s="126">
        <f ca="1">[1]!s_fa_cagr_tr($E314,AG$6,3)</f>
        <v>12.002755593400138</v>
      </c>
      <c r="AH314" s="126">
        <f ca="1">[1]!s_fa_cagr_tr($E314,AH$6,3)</f>
        <v>6.6050542886660679</v>
      </c>
      <c r="AI314" s="169"/>
      <c r="AJ314" s="126">
        <f ca="1">[1]!s_fa_cagr_netprofit($E314,AJ$6,3)</f>
        <v>0</v>
      </c>
      <c r="AK314" s="126">
        <f ca="1">[1]!s_fa_cagr_netprofit($E314,AK$6,3)</f>
        <v>-31.127277717348932</v>
      </c>
      <c r="AL314" s="126">
        <f ca="1">[1]!s_fa_cagr_netprofit($E314,AL$6,3)</f>
        <v>-4.871671882102568</v>
      </c>
      <c r="AM314" s="126">
        <f ca="1">[1]!s_fa_cagr_netprofit($E314,AM$6,3)</f>
        <v>102.66908455343567</v>
      </c>
      <c r="AN314" s="126">
        <f ca="1">[1]!s_fa_cagr_netprofit($E314,AN$6,3)</f>
        <v>65.646680156997235</v>
      </c>
      <c r="AO314" s="126">
        <f ca="1">[1]!s_fa_cagr_netprofit($E314,AO$6,3)</f>
        <v>25.346258214182839</v>
      </c>
      <c r="AP314" s="129"/>
      <c r="AQ314" s="203">
        <f ca="1">[1]!s_fa_dupont_roe(E314,$C$3)</f>
        <v>3.4489999999999998</v>
      </c>
      <c r="AR314" s="203">
        <f ca="1">[1]!s_fa_dupont_nptosales(B314,$C$3)</f>
        <v>5.4958999999999998</v>
      </c>
      <c r="AS314" s="238">
        <f ca="1">[1]!s_fa_dupont_faturnover(E314,$C$3)</f>
        <v>0.34370000000000001</v>
      </c>
      <c r="AT314" s="203">
        <f ca="1">[1]!s_fa_dupont_assetstoequity(E314,$C$3)</f>
        <v>1.8115000000000001</v>
      </c>
      <c r="AU314" s="129"/>
      <c r="AV314" s="129"/>
      <c r="AW314" s="129"/>
      <c r="AX314" s="129"/>
      <c r="AY314" s="129"/>
      <c r="AZ314" s="129"/>
      <c r="BA314" s="129"/>
      <c r="BB314" s="129"/>
      <c r="BC314" s="129"/>
      <c r="BD314" s="129"/>
      <c r="BE314" s="129"/>
    </row>
    <row r="315" spans="1:57" s="191" customFormat="1" ht="12" customHeight="1" x14ac:dyDescent="0.35">
      <c r="A315" s="182" t="s">
        <v>5</v>
      </c>
      <c r="B315" s="182" t="s">
        <v>236</v>
      </c>
      <c r="C315" s="182" t="s">
        <v>237</v>
      </c>
      <c r="D315" s="182" t="str">
        <f ca="1">[1]!cb_info_underlyingname(B315)</f>
        <v>孚日股份</v>
      </c>
      <c r="E315" s="183" t="str">
        <f ca="1">[1]!cb_info_underlyingcode(B315)</f>
        <v>002083.SZ</v>
      </c>
      <c r="F315" s="184" t="str">
        <f ca="1">[1]!s_info_industry_sw(B315,1)</f>
        <v>纺织服装</v>
      </c>
      <c r="G315" s="184" t="str">
        <f ca="1">[1]!s_info_industry_sw(E315,2)</f>
        <v>纺织制造</v>
      </c>
      <c r="H315" s="184" t="str">
        <f ca="1">[1]!s_info_industry_sw(E315,3)</f>
        <v>棉纺</v>
      </c>
      <c r="I315" s="192" t="str">
        <f ca="1">[1]!s_info_majorproducttype(E315)</f>
        <v>半导体太阳能光伏、高分子聚合物、装饰用纺织品</v>
      </c>
      <c r="J315" s="189">
        <f ca="1">[1]!s_val_ev(E315,$B$2,100000000)</f>
        <v>38.773335712299996</v>
      </c>
      <c r="K315" s="193">
        <f ca="1">[1]!s_share_total(E315,$B$2,100000000)</f>
        <v>9.0804064899999997</v>
      </c>
      <c r="L315" s="193">
        <f ca="1">[1]!s_share_liqa(E315,$B$2,100000000)</f>
        <v>9.0538507300000006</v>
      </c>
      <c r="M315" s="186">
        <f ca="1">[1]!s_fa_gr_ttm2(E315,$C$3,100000000)</f>
        <v>44.915240988199997</v>
      </c>
      <c r="N315" s="187">
        <f ca="1">[1]!s_fa_netprofit_ttm2(E315,$C$3,100000000)</f>
        <v>2.1630355686000002</v>
      </c>
      <c r="O315" s="186"/>
      <c r="P315" s="187">
        <f ca="1">[1]!s_val_pe_ttm(E315,[1]!td($B$2-1))</f>
        <v>15.825582504272461</v>
      </c>
      <c r="Q315" s="187">
        <f ca="1">[1]!i_val_pe_percentile(E315,[1]!td($B$2-1),$B$2-365*5,[1]!td($B$2-1))</f>
        <v>61.896929824561411</v>
      </c>
      <c r="R315" s="187">
        <f ca="1">[1]!pb_mrq(E315,[1]!td($B$2-1))</f>
        <v>1.0501934361625918</v>
      </c>
      <c r="S315" s="187">
        <f ca="1">[1]!i_val_pb_percentile(E315,[1]!td($B$2-1),$B$2-365*5,[1]!td($B$2-1))</f>
        <v>9.9232456140350873</v>
      </c>
      <c r="T315" s="187">
        <f ca="1">[1]!s_val_pe_ttm([1]!to_windcode_index(H315&amp;"(申万)"),[1]!td($B$2-1))</f>
        <v>17.780000686645508</v>
      </c>
      <c r="U315" s="186"/>
      <c r="V315" s="186">
        <f ca="1">[1]!s_fa_roe(E315,$C$3)</f>
        <v>5.9240000000000004</v>
      </c>
      <c r="W315" s="186">
        <f ca="1">[1]!s_fa_grossprofitmargin(E315,$C$3)</f>
        <v>20.602699999999999</v>
      </c>
      <c r="X315" s="186">
        <f ca="1">[1]!s_fa_netprofitmargin(E315,$C$3)</f>
        <v>6.8007999999999997</v>
      </c>
      <c r="Y315" s="186">
        <f ca="1">[1]!s_fa_roic(E315,$C$3)</f>
        <v>3.9895999999999998</v>
      </c>
      <c r="Z315" s="186">
        <f ca="1">[1]!s_fa_operateincometoebt_ttm2(E315,$C$3)</f>
        <v>55.137</v>
      </c>
      <c r="AA315" s="186"/>
      <c r="AB315" s="342"/>
      <c r="AC315" s="186">
        <f ca="1">[1]!s_fa_cagr_tr($E315,AC$6,3)</f>
        <v>0</v>
      </c>
      <c r="AD315" s="186">
        <f ca="1">[1]!s_fa_cagr_tr($E315,AD$6,3)</f>
        <v>-2.7693284829154896</v>
      </c>
      <c r="AE315" s="187">
        <f ca="1">[1]!s_fa_cagr_tr($E315,AE$6,3)</f>
        <v>4.4605683509436389</v>
      </c>
      <c r="AF315" s="187">
        <f ca="1">[1]!s_fa_cagr_tr($E315,AF$6,3)</f>
        <v>7.02008253480777</v>
      </c>
      <c r="AG315" s="187">
        <f ca="1">[1]!s_fa_cagr_tr($E315,AG$6,3)</f>
        <v>1.9253274396990872</v>
      </c>
      <c r="AH315" s="187">
        <f ca="1">[1]!s_fa_cagr_tr($E315,AH$6,3)</f>
        <v>-0.51085691287343638</v>
      </c>
      <c r="AI315" s="194"/>
      <c r="AJ315" s="187">
        <f ca="1">[1]!s_fa_cagr_netprofit($E315,AJ$6,3)</f>
        <v>0</v>
      </c>
      <c r="AK315" s="187">
        <f ca="1">[1]!s_fa_cagr_netprofit($E315,AK$6,3)</f>
        <v>-18.34385475164072</v>
      </c>
      <c r="AL315" s="187">
        <f ca="1">[1]!s_fa_cagr_netprofit($E315,AL$6,3)</f>
        <v>-0.81311907600645217</v>
      </c>
      <c r="AM315" s="187">
        <f ca="1">[1]!s_fa_cagr_netprofit($E315,AM$6,3)</f>
        <v>11.839200368047109</v>
      </c>
      <c r="AN315" s="187">
        <f ca="1">[1]!s_fa_cagr_netprofit($E315,AN$6,3)</f>
        <v>77.68570361757989</v>
      </c>
      <c r="AO315" s="187">
        <f ca="1">[1]!s_fa_cagr_netprofit($E315,AO$6,3)</f>
        <v>61.256238260953054</v>
      </c>
      <c r="AP315" s="189"/>
      <c r="AQ315" s="202">
        <f ca="1">[1]!s_fa_dupont_roe(E315,$C$3)</f>
        <v>5.9240000000000004</v>
      </c>
      <c r="AR315" s="202">
        <f ca="1">[1]!s_fa_dupont_nptosales(B315,$C$3)</f>
        <v>6.8007999999999997</v>
      </c>
      <c r="AS315" s="237">
        <f ca="1">[1]!s_fa_dupont_faturnover(E315,$C$3)</f>
        <v>0.33460000000000001</v>
      </c>
      <c r="AT315" s="202">
        <f ca="1">[1]!s_fa_dupont_assetstoequity(E315,$C$3)</f>
        <v>2.6154999999999999</v>
      </c>
      <c r="AU315" s="189"/>
      <c r="AV315" s="201"/>
      <c r="AW315" s="189"/>
      <c r="AX315" s="189"/>
      <c r="AY315" s="189"/>
      <c r="AZ315" s="189"/>
      <c r="BA315" s="189"/>
      <c r="BB315" s="189"/>
      <c r="BC315" s="189"/>
      <c r="BD315" s="189"/>
      <c r="BE315" s="189"/>
    </row>
    <row r="316" spans="1:57" s="130" customFormat="1" ht="12" customHeight="1" x14ac:dyDescent="0.35">
      <c r="A316" s="121" t="s">
        <v>0</v>
      </c>
      <c r="B316" s="121" t="s">
        <v>108</v>
      </c>
      <c r="C316" s="121" t="s">
        <v>109</v>
      </c>
      <c r="D316" s="121" t="str">
        <f ca="1">[1]!cb_info_underlyingname(B316)</f>
        <v>天创时尚</v>
      </c>
      <c r="E316" s="122" t="str">
        <f ca="1">[1]!cb_info_underlyingcode(B316)</f>
        <v>603608.SH</v>
      </c>
      <c r="F316" s="123" t="str">
        <f ca="1">[1]!s_info_industry_sw(B316,1)</f>
        <v>纺织服装</v>
      </c>
      <c r="G316" s="123" t="str">
        <f ca="1">[1]!s_info_industry_sw(E316,2)</f>
        <v>服装家纺</v>
      </c>
      <c r="H316" s="123" t="str">
        <f ca="1">[1]!s_info_industry_sw(E316,3)</f>
        <v>鞋帽</v>
      </c>
      <c r="I316" s="156" t="str">
        <f ca="1">[1]!s_info_majorproducttype(E316)</f>
        <v>鞋子</v>
      </c>
      <c r="J316" s="129">
        <f ca="1">[1]!s_val_ev(E316,$B$2,100000000)</f>
        <v>25.478023527000001</v>
      </c>
      <c r="K316" s="157">
        <f ca="1">[1]!s_share_total(E316,$B$2,100000000)</f>
        <v>4.2892295499999999</v>
      </c>
      <c r="L316" s="157">
        <f ca="1">[1]!s_share_liqa(E316,$B$2,100000000)</f>
        <v>4.2892295499999999</v>
      </c>
      <c r="M316" s="125">
        <f ca="1">[1]!s_fa_gr_ttm2(E316,$C$3,100000000)</f>
        <v>18.994183639999999</v>
      </c>
      <c r="N316" s="126">
        <f ca="1">[1]!s_fa_netprofit_ttm2(E316,$C$3,100000000)</f>
        <v>1.01026883</v>
      </c>
      <c r="O316" s="125"/>
      <c r="P316" s="126">
        <f ca="1">[1]!s_val_pe_ttm(E316,[1]!td($B$2-1))</f>
        <v>-5.5611720085144043</v>
      </c>
      <c r="Q316" s="126">
        <f ca="1">[1]!i_val_pe_percentile(E316,[1]!td($B$2-1),$B$2-365*5,[1]!td($B$2-1))</f>
        <v>0</v>
      </c>
      <c r="R316" s="126">
        <f ca="1">[1]!pb_mrq(E316,[1]!td($B$2-1))</f>
        <v>1.6106033443516041</v>
      </c>
      <c r="S316" s="126">
        <f ca="1">[1]!i_val_pb_percentile(E316,[1]!td($B$2-1),$B$2-365*5,[1]!td($B$2-1))</f>
        <v>22.916666666666664</v>
      </c>
      <c r="T316" s="126">
        <f ca="1">[1]!s_val_pe_ttm([1]!to_windcode_index(H316&amp;"(申万)"),[1]!td($B$2-1))</f>
        <v>195.35000610351563</v>
      </c>
      <c r="U316" s="126"/>
      <c r="V316" s="126">
        <f ca="1">[1]!s_fa_roe(E316,$C$3)</f>
        <v>2.9714999999999998</v>
      </c>
      <c r="W316" s="126">
        <f ca="1">[1]!s_fa_grossprofitmargin(E316,$C$3)</f>
        <v>61.762599999999999</v>
      </c>
      <c r="X316" s="126">
        <f ca="1">[1]!s_fa_netprofitmargin(E316,$C$3)</f>
        <v>5.0964</v>
      </c>
      <c r="Y316" s="126">
        <f ca="1">[1]!s_fa_roic(E316,$C$3)</f>
        <v>2.7351999999999999</v>
      </c>
      <c r="Z316" s="126">
        <f ca="1">[1]!s_fa_operateincometoebt_ttm2(E316,$C$3)</f>
        <v>89.907700000000006</v>
      </c>
      <c r="AA316" s="125"/>
      <c r="AB316" s="343"/>
      <c r="AC316" s="125">
        <f ca="1">[1]!s_fa_cagr_tr($E316,AC$6,3)</f>
        <v>0</v>
      </c>
      <c r="AD316" s="125">
        <f ca="1">[1]!s_fa_cagr_tr($E316,AD$6,3)</f>
        <v>2.6995384683772272</v>
      </c>
      <c r="AE316" s="126">
        <f ca="1">[1]!s_fa_cagr_tr($E316,AE$6,3)</f>
        <v>10.510874121892222</v>
      </c>
      <c r="AF316" s="126">
        <f ca="1">[1]!s_fa_cagr_tr($E316,AF$6,3)</f>
        <v>7.9678712974109445</v>
      </c>
      <c r="AG316" s="126">
        <f ca="1">[1]!s_fa_cagr_tr($E316,AG$6,3)</f>
        <v>0.93955682152191411</v>
      </c>
      <c r="AH316" s="126">
        <f ca="1">[1]!s_fa_cagr_tr($E316,AH$6,3)</f>
        <v>0.8378206893154605</v>
      </c>
      <c r="AI316" s="169"/>
      <c r="AJ316" s="126">
        <f ca="1">[1]!s_fa_cagr_netprofit($E316,AJ$6,3)</f>
        <v>0</v>
      </c>
      <c r="AK316" s="126">
        <f ca="1">[1]!s_fa_cagr_netprofit($E316,AK$6,3)</f>
        <v>-234.95152161437116</v>
      </c>
      <c r="AL316" s="126">
        <f ca="1">[1]!s_fa_cagr_netprofit($E316,AL$6,3)</f>
        <v>20.929817346781675</v>
      </c>
      <c r="AM316" s="126">
        <f ca="1">[1]!s_fa_cagr_netprofit($E316,AM$6,3)</f>
        <v>32.431684889433221</v>
      </c>
      <c r="AN316" s="126">
        <f ca="1">[1]!s_fa_cagr_netprofit($E316,AN$6,3)</f>
        <v>16.093886633334776</v>
      </c>
      <c r="AO316" s="126">
        <f ca="1">[1]!s_fa_cagr_netprofit($E316,AO$6,3)</f>
        <v>4.0686138492884272</v>
      </c>
      <c r="AP316" s="129"/>
      <c r="AQ316" s="203">
        <f ca="1">[1]!s_fa_dupont_roe(E316,$C$3)</f>
        <v>2.9714999999999998</v>
      </c>
      <c r="AR316" s="203">
        <f ca="1">[1]!s_fa_dupont_nptosales(B316,$C$3)</f>
        <v>5.0964</v>
      </c>
      <c r="AS316" s="238">
        <f ca="1">[1]!s_fa_dupont_faturnover(E316,$C$3)</f>
        <v>0.45379999999999998</v>
      </c>
      <c r="AT316" s="203">
        <f ca="1">[1]!s_fa_dupont_assetstoequity(E316,$C$3)</f>
        <v>1.3225</v>
      </c>
      <c r="AU316" s="129"/>
      <c r="AV316" s="129"/>
      <c r="AW316" s="129"/>
      <c r="AX316" s="129"/>
      <c r="AY316" s="129"/>
      <c r="AZ316" s="129"/>
      <c r="BA316" s="129"/>
      <c r="BB316" s="129"/>
      <c r="BC316" s="129"/>
      <c r="BD316" s="129"/>
      <c r="BE316" s="129"/>
    </row>
    <row r="317" spans="1:57" s="191" customFormat="1" ht="12" customHeight="1" x14ac:dyDescent="0.35">
      <c r="A317" s="182" t="s">
        <v>0</v>
      </c>
      <c r="B317" s="182" t="s">
        <v>3</v>
      </c>
      <c r="C317" s="182" t="s">
        <v>4</v>
      </c>
      <c r="D317" s="182" t="str">
        <f ca="1">[1]!cb_info_underlyingname(B317)</f>
        <v>康隆达</v>
      </c>
      <c r="E317" s="183" t="str">
        <f ca="1">[1]!cb_info_underlyingcode(B317)</f>
        <v>603665.SH</v>
      </c>
      <c r="F317" s="184" t="str">
        <f ca="1">[1]!s_info_industry_sw(B317,1)</f>
        <v>纺织服装</v>
      </c>
      <c r="G317" s="184" t="str">
        <f ca="1">[1]!s_info_industry_sw(E317,2)</f>
        <v>服装家纺</v>
      </c>
      <c r="H317" s="184" t="str">
        <f ca="1">[1]!s_info_industry_sw(E317,3)</f>
        <v>其他服装</v>
      </c>
      <c r="I317" s="192" t="str">
        <f ca="1">[1]!s_info_majorproducttype(E317)</f>
        <v>纺织品经销</v>
      </c>
      <c r="J317" s="189">
        <f ca="1">[1]!s_val_ev(E317,$B$2,100000000)</f>
        <v>18.672661964</v>
      </c>
      <c r="K317" s="193">
        <f ca="1">[1]!s_share_total(E317,$B$2,100000000)</f>
        <v>1.58242898</v>
      </c>
      <c r="L317" s="193">
        <f ca="1">[1]!s_share_liqa(E317,$B$2,100000000)</f>
        <v>1.58242898</v>
      </c>
      <c r="M317" s="186">
        <f ca="1">[1]!s_fa_gr_ttm2(E317,$C$3,100000000)</f>
        <v>10.259371140800001</v>
      </c>
      <c r="N317" s="187">
        <f ca="1">[1]!s_fa_netprofit_ttm2(E317,$C$3,100000000)</f>
        <v>0.60396362719999996</v>
      </c>
      <c r="O317" s="186"/>
      <c r="P317" s="187">
        <f ca="1">[1]!s_val_pe_ttm(E317,[1]!td($B$2-1))</f>
        <v>33.257797241210938</v>
      </c>
      <c r="Q317" s="187">
        <f ca="1">[1]!i_val_pe_percentile(E317,[1]!td($B$2-1),$B$2-365*5,[1]!td($B$2-1))</f>
        <v>43.807199511897501</v>
      </c>
      <c r="R317" s="187">
        <f ca="1">[1]!pb_mrq(E317,[1]!td($B$2-1))</f>
        <v>1.7341777562137481</v>
      </c>
      <c r="S317" s="187">
        <f ca="1">[1]!i_val_pb_percentile(E317,[1]!td($B$2-1),$B$2-365*5,[1]!td($B$2-1))</f>
        <v>2.0744356314826113</v>
      </c>
      <c r="T317" s="187">
        <f ca="1">[1]!s_val_pe_ttm([1]!to_windcode_index(H317&amp;"(申万)"),[1]!td($B$2-1))</f>
        <v>66.75</v>
      </c>
      <c r="U317" s="187"/>
      <c r="V317" s="187">
        <f ca="1">[1]!s_fa_roe(E317,$C$3)</f>
        <v>7.5944000000000003</v>
      </c>
      <c r="W317" s="187">
        <f ca="1">[1]!s_fa_grossprofitmargin(E317,$C$3)</f>
        <v>25.019500000000001</v>
      </c>
      <c r="X317" s="187">
        <f ca="1">[1]!s_fa_netprofitmargin(E317,$C$3)</f>
        <v>10.327500000000001</v>
      </c>
      <c r="Y317" s="187">
        <f ca="1">[1]!s_fa_roic(E317,$C$3)</f>
        <v>6.5057</v>
      </c>
      <c r="Z317" s="187">
        <f ca="1">[1]!s_fa_operateincometoebt_ttm2(E317,$C$3)</f>
        <v>88.854299999999995</v>
      </c>
      <c r="AA317" s="186"/>
      <c r="AB317" s="342"/>
      <c r="AC317" s="186">
        <f ca="1">[1]!s_fa_cagr_tr($E317,AC$6,3)</f>
        <v>0</v>
      </c>
      <c r="AD317" s="186">
        <f ca="1">[1]!s_fa_cagr_tr($E317,AD$6,3)</f>
        <v>11.847596042140275</v>
      </c>
      <c r="AE317" s="187">
        <f ca="1">[1]!s_fa_cagr_tr($E317,AE$6,3)</f>
        <v>11.282286726098011</v>
      </c>
      <c r="AF317" s="187">
        <f ca="1">[1]!s_fa_cagr_tr($E317,AF$6,3)</f>
        <v>13.855471871818658</v>
      </c>
      <c r="AG317" s="187">
        <f ca="1">[1]!s_fa_cagr_tr($E317,AG$6,3)</f>
        <v>6.7119829043866819</v>
      </c>
      <c r="AH317" s="187">
        <f ca="1">[1]!s_fa_cagr_tr($E317,AH$6,3)</f>
        <v>9.9510158792086134</v>
      </c>
      <c r="AI317" s="194"/>
      <c r="AJ317" s="187">
        <f ca="1">[1]!s_fa_cagr_netprofit($E317,AJ$6,3)</f>
        <v>0</v>
      </c>
      <c r="AK317" s="187">
        <f ca="1">[1]!s_fa_cagr_netprofit($E317,AK$6,3)</f>
        <v>2.0547741891900451</v>
      </c>
      <c r="AL317" s="187">
        <f ca="1">[1]!s_fa_cagr_netprofit($E317,AL$6,3)</f>
        <v>-18.871500907326165</v>
      </c>
      <c r="AM317" s="187">
        <f ca="1">[1]!s_fa_cagr_netprofit($E317,AM$6,3)</f>
        <v>10.099984695872543</v>
      </c>
      <c r="AN317" s="187">
        <f ca="1">[1]!s_fa_cagr_netprofit($E317,AN$6,3)</f>
        <v>13.385042938460989</v>
      </c>
      <c r="AO317" s="187">
        <f ca="1">[1]!s_fa_cagr_netprofit($E317,AO$6,3)</f>
        <v>25.18255726253571</v>
      </c>
      <c r="AP317" s="189"/>
      <c r="AQ317" s="202">
        <f ca="1">[1]!s_fa_dupont_roe(E317,$C$3)</f>
        <v>7.5944000000000003</v>
      </c>
      <c r="AR317" s="202">
        <f ca="1">[1]!s_fa_dupont_nptosales(B317,$C$3)</f>
        <v>10.327500000000001</v>
      </c>
      <c r="AS317" s="237">
        <f ca="1">[1]!s_fa_dupont_faturnover(E317,$C$3)</f>
        <v>0.43690000000000001</v>
      </c>
      <c r="AT317" s="202">
        <f ca="1">[1]!s_fa_dupont_assetstoequity(E317,$C$3)</f>
        <v>1.788</v>
      </c>
      <c r="AU317" s="189"/>
      <c r="AV317" s="189"/>
      <c r="AW317" s="189"/>
      <c r="AX317" s="189"/>
      <c r="AY317" s="189"/>
      <c r="AZ317" s="189"/>
      <c r="BA317" s="189"/>
      <c r="BB317" s="189"/>
      <c r="BC317" s="189"/>
      <c r="BD317" s="189"/>
      <c r="BE317" s="189"/>
    </row>
    <row r="318" spans="1:57" s="130" customFormat="1" ht="12" customHeight="1" x14ac:dyDescent="0.35">
      <c r="A318" s="121" t="s">
        <v>0</v>
      </c>
      <c r="B318" s="121" t="s">
        <v>368</v>
      </c>
      <c r="C318" s="121" t="s">
        <v>369</v>
      </c>
      <c r="D318" s="121" t="str">
        <f ca="1">[1]!cb_info_underlyingname(B318)</f>
        <v>锦泓集团</v>
      </c>
      <c r="E318" s="122" t="str">
        <f ca="1">[1]!cb_info_underlyingcode(B318)</f>
        <v>603518.SH</v>
      </c>
      <c r="F318" s="123" t="str">
        <f ca="1">[1]!s_info_industry_sw(B318,1)</f>
        <v>纺织服装</v>
      </c>
      <c r="G318" s="123" t="str">
        <f ca="1">[1]!s_info_industry_sw(E318,2)</f>
        <v>服装家纺</v>
      </c>
      <c r="H318" s="123" t="str">
        <f ca="1">[1]!s_info_industry_sw(E318,3)</f>
        <v>女装</v>
      </c>
      <c r="I318" s="156" t="str">
        <f ca="1">[1]!s_info_majorproducttype(E318)</f>
        <v>服装配件配饰</v>
      </c>
      <c r="J318" s="129">
        <f ca="1">[1]!s_val_ev(E318,$B$2,100000000)</f>
        <v>45.453843586799991</v>
      </c>
      <c r="K318" s="157">
        <f ca="1">[1]!s_share_total(E318,$B$2,100000000)</f>
        <v>2.8302517800000002</v>
      </c>
      <c r="L318" s="157">
        <f ca="1">[1]!s_share_liqa(E318,$B$2,100000000)</f>
        <v>2.8302517800000002</v>
      </c>
      <c r="M318" s="125">
        <f ca="1">[1]!s_fa_gr_ttm2(E318,$C$3,100000000)</f>
        <v>28.170066136900001</v>
      </c>
      <c r="N318" s="126">
        <f ca="1">[1]!s_fa_netprofit_ttm2(E318,$C$3,100000000)</f>
        <v>-8.3896020808999996</v>
      </c>
      <c r="O318" s="125"/>
      <c r="P318" s="126">
        <f ca="1">[1]!s_val_pe_ttm(E318,[1]!td($B$2-1))</f>
        <v>-9.3147315979003906</v>
      </c>
      <c r="Q318" s="126">
        <f ca="1">[1]!i_val_pe_percentile(E318,[1]!td($B$2-1),$B$2-365*5,[1]!td($B$2-1))</f>
        <v>0</v>
      </c>
      <c r="R318" s="126">
        <f ca="1">[1]!pb_mrq(E318,[1]!td($B$2-1))</f>
        <v>1.9878730809625362</v>
      </c>
      <c r="S318" s="126">
        <f ca="1">[1]!i_val_pb_percentile(E318,[1]!td($B$2-1),$B$2-365*5,[1]!td($B$2-1))</f>
        <v>69.627192982456137</v>
      </c>
      <c r="T318" s="126">
        <f ca="1">[1]!s_val_pe_ttm([1]!to_windcode_index(H318&amp;"(申万)"),[1]!td($B$2-1))</f>
        <v>32.340000152587891</v>
      </c>
      <c r="U318" s="126"/>
      <c r="V318" s="126">
        <f ca="1">[1]!s_fa_roe(E318,$C$3)</f>
        <v>-42.935099999999998</v>
      </c>
      <c r="W318" s="126">
        <f ca="1">[1]!s_fa_grossprofitmargin(E318,$C$3)</f>
        <v>63.726999999999997</v>
      </c>
      <c r="X318" s="126">
        <f ca="1">[1]!s_fa_netprofitmargin(E318,$C$3)</f>
        <v>-52.097200000000001</v>
      </c>
      <c r="Y318" s="126">
        <f ca="1">[1]!s_fa_roic(E318,$C$3)</f>
        <v>-13.5222</v>
      </c>
      <c r="Z318" s="126">
        <f ca="1">[1]!s_fa_operateincometoebt_ttm2(E318,$C$3)</f>
        <v>0</v>
      </c>
      <c r="AA318" s="125"/>
      <c r="AB318" s="343"/>
      <c r="AC318" s="125">
        <f ca="1">[1]!s_fa_cagr_tr($E318,AC$6,3)</f>
        <v>0</v>
      </c>
      <c r="AD318" s="125">
        <f ca="1">[1]!s_fa_cagr_tr($E318,AD$6,3)</f>
        <v>9.2104131494292751</v>
      </c>
      <c r="AE318" s="126">
        <f ca="1">[1]!s_fa_cagr_tr($E318,AE$6,3)</f>
        <v>57.589976281453282</v>
      </c>
      <c r="AF318" s="126">
        <f ca="1">[1]!s_fa_cagr_tr($E318,AF$6,3)</f>
        <v>55.265908443858656</v>
      </c>
      <c r="AG318" s="126">
        <f ca="1">[1]!s_fa_cagr_tr($E318,AG$6,3)</f>
        <v>44.651329651841955</v>
      </c>
      <c r="AH318" s="126">
        <f ca="1">[1]!s_fa_cagr_tr($E318,AH$6,3)</f>
        <v>-8.6545380721636533E-2</v>
      </c>
      <c r="AI318" s="169"/>
      <c r="AJ318" s="126">
        <f ca="1">[1]!s_fa_cagr_netprofit($E318,AJ$6,3)</f>
        <v>0</v>
      </c>
      <c r="AK318" s="126">
        <f ca="1">[1]!s_fa_cagr_netprofit($E318,AK$6,3)</f>
        <v>-248.63896938628702</v>
      </c>
      <c r="AL318" s="126">
        <f ca="1">[1]!s_fa_cagr_netprofit($E318,AL$6,3)</f>
        <v>2.7625052053168897</v>
      </c>
      <c r="AM318" s="126">
        <f ca="1">[1]!s_fa_cagr_netprofit($E318,AM$6,3)</f>
        <v>34.508604267435608</v>
      </c>
      <c r="AN318" s="126">
        <f ca="1">[1]!s_fa_cagr_netprofit($E318,AN$6,3)</f>
        <v>11.161102720313675</v>
      </c>
      <c r="AO318" s="126">
        <f ca="1">[1]!s_fa_cagr_netprofit($E318,AO$6,3)</f>
        <v>-9.549264190835494</v>
      </c>
      <c r="AP318" s="129"/>
      <c r="AQ318" s="203">
        <f ca="1">[1]!s_fa_dupont_roe(E318,$C$3)</f>
        <v>-42.935099999999998</v>
      </c>
      <c r="AR318" s="203">
        <f ca="1">[1]!s_fa_dupont_nptosales(B318,$C$3)</f>
        <v>-52.097200000000001</v>
      </c>
      <c r="AS318" s="238">
        <f ca="1">[1]!s_fa_dupont_faturnover(E318,$C$3)</f>
        <v>0.2777</v>
      </c>
      <c r="AT318" s="203">
        <f ca="1">[1]!s_fa_dupont_assetstoequity(E318,$C$3)</f>
        <v>3.0179</v>
      </c>
      <c r="AU318" s="129"/>
      <c r="AV318" s="129"/>
      <c r="AW318" s="129"/>
      <c r="AX318" s="129"/>
      <c r="AY318" s="129"/>
      <c r="AZ318" s="129"/>
      <c r="BA318" s="129"/>
      <c r="BB318" s="129"/>
      <c r="BC318" s="129"/>
      <c r="BD318" s="129"/>
      <c r="BE318" s="129"/>
    </row>
    <row r="319" spans="1:57" s="191" customFormat="1" ht="12" customHeight="1" x14ac:dyDescent="0.35">
      <c r="A319" s="182" t="s">
        <v>5</v>
      </c>
      <c r="B319" s="182" t="s">
        <v>646</v>
      </c>
      <c r="C319" s="182" t="s">
        <v>647</v>
      </c>
      <c r="D319" s="182" t="str">
        <f ca="1">[1]!cb_info_underlyingname(B319)</f>
        <v>立讯精密</v>
      </c>
      <c r="E319" s="183" t="str">
        <f ca="1">[1]!cb_info_underlyingcode(B319)</f>
        <v>002475.SZ</v>
      </c>
      <c r="F319" s="184" t="str">
        <f ca="1">[1]!s_info_industry_sw(B319,1)</f>
        <v>电子</v>
      </c>
      <c r="G319" s="184" t="str">
        <f ca="1">[1]!s_info_industry_sw(E319,2)</f>
        <v>电子制造</v>
      </c>
      <c r="H319" s="184" t="str">
        <f ca="1">[1]!s_info_industry_sw(E319,3)</f>
        <v>电子零部件制造</v>
      </c>
      <c r="I319" s="192" t="str">
        <f ca="1">[1]!s_info_majorproducttype(E319)</f>
        <v>电子元器件</v>
      </c>
      <c r="J319" s="189">
        <f ca="1">[1]!s_val_ev(E319,$B$2,100000000)</f>
        <v>2470.1390615107998</v>
      </c>
      <c r="K319" s="193">
        <f ca="1">[1]!s_share_total(E319,$B$2,100000000)</f>
        <v>70.354288280000006</v>
      </c>
      <c r="L319" s="193">
        <f ca="1">[1]!s_share_liqa(E319,$B$2,100000000)</f>
        <v>70.251592689999995</v>
      </c>
      <c r="M319" s="186">
        <f ca="1">[1]!s_fa_gr_ttm2(E319,$C$3,100000000)</f>
        <v>842.08296462329997</v>
      </c>
      <c r="N319" s="187">
        <f ca="1">[1]!s_fa_netprofit_ttm2(E319,$C$3,100000000)</f>
        <v>65.059127832299993</v>
      </c>
      <c r="O319" s="186"/>
      <c r="P319" s="187">
        <f ca="1">[1]!s_val_pe_ttm(E319,[1]!td($B$2-1))</f>
        <v>31.762441635131836</v>
      </c>
      <c r="Q319" s="187">
        <f ca="1">[1]!i_val_pe_percentile(E319,[1]!td($B$2-1),$B$2-365*5,[1]!td($B$2-1))</f>
        <v>9.9232456140350873</v>
      </c>
      <c r="R319" s="187">
        <f ca="1">[1]!pb_mrq(E319,[1]!td($B$2-1))</f>
        <v>8.1395311097727969</v>
      </c>
      <c r="S319" s="187">
        <f ca="1">[1]!i_val_pb_percentile(E319,[1]!td($B$2-1),$B$2-365*5,[1]!td($B$2-1))</f>
        <v>60.307017543859651</v>
      </c>
      <c r="T319" s="187">
        <f ca="1">[1]!s_val_pe_ttm([1]!to_windcode_index(H319&amp;"(申万)"),[1]!td($B$2-1))</f>
        <v>37</v>
      </c>
      <c r="U319" s="187"/>
      <c r="V319" s="187">
        <f ca="1">[1]!s_fa_roe(E319,$C$3)</f>
        <v>20.689900000000002</v>
      </c>
      <c r="W319" s="187">
        <f ca="1">[1]!s_fa_grossprofitmargin(E319,$C$3)</f>
        <v>19.799399999999999</v>
      </c>
      <c r="X319" s="187">
        <f ca="1">[1]!s_fa_netprofitmargin(E319,$C$3)</f>
        <v>8.1094000000000008</v>
      </c>
      <c r="Y319" s="187">
        <f ca="1">[1]!s_fa_roic(E319,$C$3)</f>
        <v>15.3414</v>
      </c>
      <c r="Z319" s="187">
        <f ca="1">[1]!s_fa_operateincometoebt_ttm2(E319,$C$3)</f>
        <v>90.289900000000003</v>
      </c>
      <c r="AA319" s="186"/>
      <c r="AB319" s="342"/>
      <c r="AC319" s="186">
        <f ca="1">[1]!s_fa_cagr_tr($E319,AC$6,3)</f>
        <v>0</v>
      </c>
      <c r="AD319" s="186">
        <f ca="1">[1]!s_fa_cagr_tr($E319,AD$6,3)</f>
        <v>59.430709110228698</v>
      </c>
      <c r="AE319" s="187">
        <f ca="1">[1]!s_fa_cagr_tr($E319,AE$6,3)</f>
        <v>65.614237706427474</v>
      </c>
      <c r="AF319" s="187">
        <f ca="1">[1]!s_fa_cagr_tr($E319,AF$6,3)</f>
        <v>52.343584505690409</v>
      </c>
      <c r="AG319" s="187">
        <f ca="1">[1]!s_fa_cagr_tr($E319,AG$6,3)</f>
        <v>46.256996023857155</v>
      </c>
      <c r="AH319" s="187">
        <f ca="1">[1]!s_fa_cagr_tr($E319,AH$6,3)</f>
        <v>44.181757833130163</v>
      </c>
      <c r="AI319" s="194"/>
      <c r="AJ319" s="187">
        <f ca="1">[1]!s_fa_cagr_netprofit($E319,AJ$6,3)</f>
        <v>0</v>
      </c>
      <c r="AK319" s="187">
        <f ca="1">[1]!s_fa_cagr_netprofit($E319,AK$6,3)</f>
        <v>62.284732958891212</v>
      </c>
      <c r="AL319" s="187">
        <f ca="1">[1]!s_fa_cagr_netprofit($E319,AL$6,3)</f>
        <v>59.736788097533648</v>
      </c>
      <c r="AM319" s="187">
        <f ca="1">[1]!s_fa_cagr_netprofit($E319,AM$6,3)</f>
        <v>36.16173395481124</v>
      </c>
      <c r="AN319" s="187">
        <f ca="1">[1]!s_fa_cagr_netprofit($E319,AN$6,3)</f>
        <v>38.959032491018995</v>
      </c>
      <c r="AO319" s="187">
        <f ca="1">[1]!s_fa_cagr_netprofit($E319,AO$6,3)</f>
        <v>50.425659089648974</v>
      </c>
      <c r="AP319" s="189"/>
      <c r="AQ319" s="202">
        <f ca="1">[1]!s_fa_dupont_roe(E319,$C$3)</f>
        <v>20.689900000000002</v>
      </c>
      <c r="AR319" s="202">
        <f ca="1">[1]!s_fa_dupont_nptosales(B319,$C$3)</f>
        <v>8.1094000000000008</v>
      </c>
      <c r="AS319" s="237">
        <f ca="1">[1]!s_fa_dupont_faturnover(E319,$C$3)</f>
        <v>1.0339</v>
      </c>
      <c r="AT319" s="202">
        <f ca="1">[1]!s_fa_dupont_assetstoequity(E319,$C$3)</f>
        <v>2.5457000000000001</v>
      </c>
      <c r="AU319" s="189"/>
      <c r="AV319" s="201"/>
      <c r="AW319" s="189"/>
      <c r="AX319" s="189"/>
      <c r="AY319" s="189"/>
      <c r="AZ319" s="189"/>
      <c r="BA319" s="189"/>
      <c r="BB319" s="189"/>
      <c r="BC319" s="189"/>
      <c r="BD319" s="189"/>
      <c r="BE319" s="189"/>
    </row>
    <row r="320" spans="1:57" s="130" customFormat="1" ht="12" customHeight="1" x14ac:dyDescent="0.35">
      <c r="A320" s="121" t="s">
        <v>0</v>
      </c>
      <c r="B320" s="121" t="s">
        <v>575</v>
      </c>
      <c r="C320" s="121" t="s">
        <v>576</v>
      </c>
      <c r="D320" s="121" t="str">
        <f ca="1">[1]!cb_info_underlyingname(B320)</f>
        <v>韦尔股份</v>
      </c>
      <c r="E320" s="122" t="str">
        <f ca="1">[1]!cb_info_underlyingcode(B320)</f>
        <v>603501.SH</v>
      </c>
      <c r="F320" s="123" t="str">
        <f ca="1">[1]!s_info_industry_sw(B320,1)</f>
        <v>电子</v>
      </c>
      <c r="G320" s="123" t="str">
        <f ca="1">[1]!s_info_industry_sw(E320,2)</f>
        <v>半导体</v>
      </c>
      <c r="H320" s="123" t="str">
        <f ca="1">[1]!s_info_industry_sw(E320,3)</f>
        <v>集成电路</v>
      </c>
      <c r="I320" s="156" t="str">
        <f ca="1">[1]!s_info_majorproducttype(E320)</f>
        <v>半导体分立器件</v>
      </c>
      <c r="J320" s="129">
        <f ca="1">[1]!s_val_ev(E320,$B$2,100000000)</f>
        <v>2132.5394917727999</v>
      </c>
      <c r="K320" s="157">
        <f ca="1">[1]!s_share_total(E320,$B$2,100000000)</f>
        <v>8.6858076400000002</v>
      </c>
      <c r="L320" s="157">
        <f ca="1">[1]!s_share_liqa(E320,$B$2,100000000)</f>
        <v>7.8544995499999999</v>
      </c>
      <c r="M320" s="125">
        <f ca="1">[1]!s_fa_gr_ttm2(E320,$C$3,100000000)</f>
        <v>181.94566017069999</v>
      </c>
      <c r="N320" s="126">
        <f ca="1">[1]!s_fa_netprofit_ttm2(E320,$C$3,100000000)</f>
        <v>20.5707915212</v>
      </c>
      <c r="O320" s="125"/>
      <c r="P320" s="126">
        <f ca="1">[1]!s_val_pe_ttm(E320,[1]!td($B$2-1))</f>
        <v>53.857955932617188</v>
      </c>
      <c r="Q320" s="126">
        <f ca="1">[1]!i_val_pe_percentile(E320,[1]!td($B$2-1),$B$2-365*5,[1]!td($B$2-1))</f>
        <v>6.6792690611216132</v>
      </c>
      <c r="R320" s="126">
        <f ca="1">[1]!pb_mrq(E320,[1]!td($B$2-1))</f>
        <v>16.293336472647425</v>
      </c>
      <c r="S320" s="126">
        <f ca="1">[1]!i_val_pb_percentile(E320,[1]!td($B$2-1),$B$2-365*5,[1]!td($B$2-1))</f>
        <v>58.097038437303084</v>
      </c>
      <c r="T320" s="126">
        <f ca="1">[1]!s_val_pe_ttm([1]!to_windcode_index(H320&amp;"(申万)"),[1]!td($B$2-1))</f>
        <v>63.169998168945313</v>
      </c>
      <c r="U320" s="126"/>
      <c r="V320" s="126">
        <f ca="1">[1]!s_fa_roe(E320,$C$3)</f>
        <v>19.172000000000001</v>
      </c>
      <c r="W320" s="126">
        <f ca="1">[1]!s_fa_grossprofitmargin(E320,$C$3)</f>
        <v>30.456299999999999</v>
      </c>
      <c r="X320" s="126">
        <f ca="1">[1]!s_fa_netprofitmargin(E320,$C$3)</f>
        <v>12.2248</v>
      </c>
      <c r="Y320" s="126">
        <f ca="1">[1]!s_fa_roic(E320,$C$3)</f>
        <v>12.6859</v>
      </c>
      <c r="Z320" s="126">
        <f ca="1">[1]!s_fa_operateincometoebt_ttm2(E320,$C$3)</f>
        <v>90.119299999999996</v>
      </c>
      <c r="AA320" s="125"/>
      <c r="AB320" s="343"/>
      <c r="AC320" s="125">
        <f ca="1">[1]!s_fa_cagr_tr($E320,AC$6,3)</f>
        <v>0</v>
      </c>
      <c r="AD320" s="125">
        <f ca="1">[1]!s_fa_cagr_tr($E320,AD$6,3)</f>
        <v>101.97766217379632</v>
      </c>
      <c r="AE320" s="126">
        <f ca="1">[1]!s_fa_cagr_tr($E320,AE$6,3)</f>
        <v>84.776560622730173</v>
      </c>
      <c r="AF320" s="126">
        <f ca="1">[1]!s_fa_cagr_tr($E320,AF$6,3)</f>
        <v>25.959983228089676</v>
      </c>
      <c r="AG320" s="126">
        <f ca="1">[1]!s_fa_cagr_tr($E320,AG$6,3)</f>
        <v>19.561966600582426</v>
      </c>
      <c r="AH320" s="126">
        <f ca="1">[1]!s_fa_cagr_tr($E320,AH$6,3)</f>
        <v>23.703657028105841</v>
      </c>
      <c r="AI320" s="169"/>
      <c r="AJ320" s="126">
        <f ca="1">[1]!s_fa_cagr_netprofit($E320,AJ$6,3)</f>
        <v>0</v>
      </c>
      <c r="AK320" s="126">
        <f ca="1">[1]!s_fa_cagr_netprofit($E320,AK$6,3)</f>
        <v>170.21524081295163</v>
      </c>
      <c r="AL320" s="126">
        <f ca="1">[1]!s_fa_cagr_netprofit($E320,AL$6,3)</f>
        <v>48.673537298371961</v>
      </c>
      <c r="AM320" s="126">
        <f ca="1">[1]!s_fa_cagr_netprofit($E320,AM$6,3)</f>
        <v>6.3580428414705237</v>
      </c>
      <c r="AN320" s="126">
        <f ca="1">[1]!s_fa_cagr_netprofit($E320,AN$6,3)</f>
        <v>11.867659989933799</v>
      </c>
      <c r="AO320" s="126">
        <f ca="1">[1]!s_fa_cagr_netprofit($E320,AO$6,3)</f>
        <v>3.6288183448848876</v>
      </c>
      <c r="AP320" s="129"/>
      <c r="AQ320" s="203">
        <f ca="1">[1]!s_fa_dupont_roe(E320,$C$3)</f>
        <v>19.172000000000001</v>
      </c>
      <c r="AR320" s="203">
        <f ca="1">[1]!s_fa_dupont_nptosales(B320,$C$3)</f>
        <v>12.2248</v>
      </c>
      <c r="AS320" s="238">
        <f ca="1">[1]!s_fa_dupont_faturnover(E320,$C$3)</f>
        <v>0.71930000000000005</v>
      </c>
      <c r="AT320" s="203">
        <f ca="1">[1]!s_fa_dupont_assetstoequity(E320,$C$3)</f>
        <v>2.1562999999999999</v>
      </c>
      <c r="AU320" s="129"/>
      <c r="AV320" s="129"/>
      <c r="AW320" s="129"/>
      <c r="AX320" s="129"/>
      <c r="AY320" s="129"/>
      <c r="AZ320" s="129"/>
      <c r="BA320" s="129"/>
      <c r="BB320" s="129"/>
      <c r="BC320" s="129"/>
      <c r="BD320" s="129"/>
      <c r="BE320" s="129"/>
    </row>
    <row r="321" spans="1:57" s="191" customFormat="1" ht="12" customHeight="1" x14ac:dyDescent="0.35">
      <c r="A321" s="182" t="s">
        <v>5</v>
      </c>
      <c r="B321" s="182" t="s">
        <v>449</v>
      </c>
      <c r="C321" s="182" t="s">
        <v>450</v>
      </c>
      <c r="D321" s="182" t="str">
        <f ca="1">[1]!cb_info_underlyingname(B321)</f>
        <v>大族激光</v>
      </c>
      <c r="E321" s="183" t="str">
        <f ca="1">[1]!cb_info_underlyingcode(B321)</f>
        <v>002008.SZ</v>
      </c>
      <c r="F321" s="184" t="str">
        <f ca="1">[1]!s_info_industry_sw(B321,1)</f>
        <v>电子</v>
      </c>
      <c r="G321" s="184" t="str">
        <f ca="1">[1]!s_info_industry_sw(E321,2)</f>
        <v>其他电子Ⅱ</v>
      </c>
      <c r="H321" s="184" t="str">
        <f ca="1">[1]!s_info_industry_sw(E321,3)</f>
        <v>其他电子Ⅲ</v>
      </c>
      <c r="I321" s="192" t="str">
        <f ca="1">[1]!s_info_majorproducttype(E321)</f>
        <v>电子设备及加工</v>
      </c>
      <c r="J321" s="189">
        <f ca="1">[1]!s_val_ev(E321,$B$2,100000000)</f>
        <v>477.51484395749998</v>
      </c>
      <c r="K321" s="193">
        <f ca="1">[1]!s_share_total(E321,$B$2,100000000)</f>
        <v>10.670722769999999</v>
      </c>
      <c r="L321" s="193">
        <f ca="1">[1]!s_share_liqa(E321,$B$2,100000000)</f>
        <v>9.9405525599999986</v>
      </c>
      <c r="M321" s="186">
        <f ca="1">[1]!s_fa_gr_ttm2(E321,$C$3,100000000)</f>
        <v>114.77763074489999</v>
      </c>
      <c r="N321" s="187">
        <f ca="1">[1]!s_fa_netprofit_ttm2(E321,$C$3,100000000)</f>
        <v>10.6228309828</v>
      </c>
      <c r="O321" s="186"/>
      <c r="P321" s="187">
        <f ca="1">[1]!s_val_pe_ttm(E321,[1]!td($B$2-1))</f>
        <v>38.389633178710938</v>
      </c>
      <c r="Q321" s="187">
        <f ca="1">[1]!i_val_pe_percentile(E321,[1]!td($B$2-1),$B$2-365*5,[1]!td($B$2-1))</f>
        <v>64.692982456140342</v>
      </c>
      <c r="R321" s="187">
        <f ca="1">[1]!pb_mrq(E321,[1]!td($B$2-1))</f>
        <v>4.7666184085673624</v>
      </c>
      <c r="S321" s="187">
        <f ca="1">[1]!i_val_pb_percentile(E321,[1]!td($B$2-1),$B$2-365*5,[1]!td($B$2-1))</f>
        <v>42.489035087719294</v>
      </c>
      <c r="T321" s="187">
        <f ca="1">[1]!s_val_pe_ttm([1]!to_windcode_index(H321&amp;"(申万)"),[1]!td($B$2-1))</f>
        <v>62.369998931884766</v>
      </c>
      <c r="U321" s="187"/>
      <c r="V321" s="187">
        <f ca="1">[1]!s_fa_roe(E321,$C$3)</f>
        <v>10.9915</v>
      </c>
      <c r="W321" s="187">
        <f ca="1">[1]!s_fa_grossprofitmargin(E321,$C$3)</f>
        <v>40.884500000000003</v>
      </c>
      <c r="X321" s="187">
        <f ca="1">[1]!s_fa_netprofitmargin(E321,$C$3)</f>
        <v>11.533799999999999</v>
      </c>
      <c r="Y321" s="187">
        <f ca="1">[1]!s_fa_roic(E321,$C$3)</f>
        <v>8.3965999999999994</v>
      </c>
      <c r="Z321" s="187">
        <f ca="1">[1]!s_fa_operateincometoebt_ttm2(E321,$C$3)</f>
        <v>61.367199999999997</v>
      </c>
      <c r="AA321" s="186"/>
      <c r="AB321" s="342"/>
      <c r="AC321" s="186">
        <f ca="1">[1]!s_fa_cagr_tr($E321,AC$6,3)</f>
        <v>0</v>
      </c>
      <c r="AD321" s="186">
        <f ca="1">[1]!s_fa_cagr_tr($E321,AD$6,3)</f>
        <v>1.0906735286482672</v>
      </c>
      <c r="AE321" s="187">
        <f ca="1">[1]!s_fa_cagr_tr($E321,AE$6,3)</f>
        <v>11.176362641939397</v>
      </c>
      <c r="AF321" s="187">
        <f ca="1">[1]!s_fa_cagr_tr($E321,AF$6,3)</f>
        <v>25.44401082397507</v>
      </c>
      <c r="AG321" s="187">
        <f ca="1">[1]!s_fa_cagr_tr($E321,AG$6,3)</f>
        <v>27.589995156143864</v>
      </c>
      <c r="AH321" s="187">
        <f ca="1">[1]!s_fa_cagr_tr($E321,AH$6,3)</f>
        <v>17.095948014699868</v>
      </c>
      <c r="AI321" s="194"/>
      <c r="AJ321" s="187">
        <f ca="1">[1]!s_fa_cagr_netprofit($E321,AJ$6,3)</f>
        <v>0</v>
      </c>
      <c r="AK321" s="187">
        <f ca="1">[1]!s_fa_cagr_netprofit($E321,AK$6,3)</f>
        <v>-16.226267500423329</v>
      </c>
      <c r="AL321" s="187">
        <f ca="1">[1]!s_fa_cagr_netprofit($E321,AL$6,3)</f>
        <v>-5.2191960779957469</v>
      </c>
      <c r="AM321" s="187">
        <f ca="1">[1]!s_fa_cagr_netprofit($E321,AM$6,3)</f>
        <v>32.017002882836685</v>
      </c>
      <c r="AN321" s="187">
        <f ca="1">[1]!s_fa_cagr_netprofit($E321,AN$6,3)</f>
        <v>33.012663312593624</v>
      </c>
      <c r="AO321" s="187">
        <f ca="1">[1]!s_fa_cagr_netprofit($E321,AO$6,3)</f>
        <v>11.183245771303074</v>
      </c>
      <c r="AP321" s="189"/>
      <c r="AQ321" s="202">
        <f ca="1">[1]!s_fa_dupont_roe(E321,$C$3)</f>
        <v>10.9915</v>
      </c>
      <c r="AR321" s="202">
        <f ca="1">[1]!s_fa_dupont_nptosales(B321,$C$3)</f>
        <v>11.533799999999999</v>
      </c>
      <c r="AS321" s="237">
        <f ca="1">[1]!s_fa_dupont_faturnover(E321,$C$3)</f>
        <v>0.46589999999999998</v>
      </c>
      <c r="AT321" s="202">
        <f ca="1">[1]!s_fa_dupont_assetstoequity(E321,$C$3)</f>
        <v>2.0487000000000002</v>
      </c>
      <c r="AU321" s="189"/>
      <c r="AV321" s="189"/>
      <c r="AW321" s="189"/>
      <c r="AX321" s="189"/>
      <c r="AY321" s="189"/>
      <c r="AZ321" s="189"/>
      <c r="BA321" s="189"/>
      <c r="BB321" s="189"/>
      <c r="BC321" s="189"/>
      <c r="BD321" s="189"/>
      <c r="BE321" s="189"/>
    </row>
    <row r="322" spans="1:57" s="130" customFormat="1" ht="12" customHeight="1" x14ac:dyDescent="0.35">
      <c r="A322" s="121" t="s">
        <v>0</v>
      </c>
      <c r="B322" s="121" t="s">
        <v>876</v>
      </c>
      <c r="C322" s="121" t="s">
        <v>877</v>
      </c>
      <c r="D322" s="121" t="str">
        <f ca="1">[1]!cb_info_underlyingname(B322)</f>
        <v>环旭电子</v>
      </c>
      <c r="E322" s="122" t="str">
        <f ca="1">[1]!cb_info_underlyingcode(B322)</f>
        <v>601231.SH</v>
      </c>
      <c r="F322" s="123" t="str">
        <f ca="1">[1]!s_info_industry_sw(B322,1)</f>
        <v>电子</v>
      </c>
      <c r="G322" s="123" t="str">
        <f ca="1">[1]!s_info_industry_sw(E322,2)</f>
        <v>电子制造</v>
      </c>
      <c r="H322" s="123" t="str">
        <f ca="1">[1]!s_info_industry_sw(E322,3)</f>
        <v>电子零部件制造</v>
      </c>
      <c r="I322" s="156" t="str">
        <f ca="1">[1]!s_info_majorproducttype(E322)</f>
        <v>存储设备、电子设备及加工、电子元器件、通信终端设备</v>
      </c>
      <c r="J322" s="129">
        <f ca="1">[1]!s_val_ev(E322,$B$2,100000000)</f>
        <v>337.19087660720004</v>
      </c>
      <c r="K322" s="157">
        <f ca="1">[1]!s_share_total(E322,$B$2,100000000)</f>
        <v>22.096387719999999</v>
      </c>
      <c r="L322" s="157">
        <f ca="1">[1]!s_share_liqa(E322,$B$2,100000000)</f>
        <v>21.836988000000002</v>
      </c>
      <c r="M322" s="125">
        <f ca="1">[1]!s_fa_gr_ttm2(E322,$C$3,100000000)</f>
        <v>407.12031663830004</v>
      </c>
      <c r="N322" s="126">
        <f ca="1">[1]!s_fa_netprofit_ttm2(E322,$C$3,100000000)</f>
        <v>14.0223821672</v>
      </c>
      <c r="O322" s="125"/>
      <c r="P322" s="126">
        <f ca="1">[1]!s_val_pe_ttm(E322,[1]!td($B$2-1))</f>
        <v>18.891401290893555</v>
      </c>
      <c r="Q322" s="126">
        <f ca="1">[1]!i_val_pe_percentile(E322,[1]!td($B$2-1),$B$2-365*5,[1]!td($B$2-1))</f>
        <v>18.421052631578945</v>
      </c>
      <c r="R322" s="126">
        <f ca="1">[1]!pb_mrq(E322,[1]!td($B$2-1))</f>
        <v>2.9200269043572291</v>
      </c>
      <c r="S322" s="126">
        <f ca="1">[1]!i_val_pb_percentile(E322,[1]!td($B$2-1),$B$2-365*5,[1]!td($B$2-1))</f>
        <v>27.083333333333332</v>
      </c>
      <c r="T322" s="126">
        <f ca="1">[1]!s_val_pe_ttm([1]!to_windcode_index(H322&amp;"(申万)"),[1]!td($B$2-1))</f>
        <v>37</v>
      </c>
      <c r="U322" s="126"/>
      <c r="V322" s="126">
        <f ca="1">[1]!s_fa_roe(E322,$C$3)</f>
        <v>9.4095999999999993</v>
      </c>
      <c r="W322" s="126">
        <f ca="1">[1]!s_fa_grossprofitmargin(E322,$C$3)</f>
        <v>10.029</v>
      </c>
      <c r="X322" s="126">
        <f ca="1">[1]!s_fa_netprofitmargin(E322,$C$3)</f>
        <v>3.3757000000000001</v>
      </c>
      <c r="Y322" s="126">
        <f ca="1">[1]!s_fa_roic(E322,$C$3)</f>
        <v>7.6547999999999998</v>
      </c>
      <c r="Z322" s="126">
        <f ca="1">[1]!s_fa_operateincometoebt_ttm2(E322,$C$3)</f>
        <v>87.156499999999994</v>
      </c>
      <c r="AA322" s="125"/>
      <c r="AB322" s="343"/>
      <c r="AC322" s="125">
        <f ca="1">[1]!s_fa_cagr_tr($E322,AC$6,3)</f>
        <v>0</v>
      </c>
      <c r="AD322" s="125">
        <f ca="1">[1]!s_fa_cagr_tr($E322,AD$6,3)</f>
        <v>17.097643469672597</v>
      </c>
      <c r="AE322" s="126">
        <f ca="1">[1]!s_fa_cagr_tr($E322,AE$6,3)</f>
        <v>15.759713108441598</v>
      </c>
      <c r="AF322" s="126">
        <f ca="1">[1]!s_fa_cagr_tr($E322,AF$6,3)</f>
        <v>16.309556872540053</v>
      </c>
      <c r="AG322" s="126">
        <f ca="1">[1]!s_fa_cagr_tr($E322,AG$6,3)</f>
        <v>23.232949310276929</v>
      </c>
      <c r="AH322" s="126">
        <f ca="1">[1]!s_fa_cagr_tr($E322,AH$6,3)</f>
        <v>18.88891780769406</v>
      </c>
      <c r="AI322" s="169"/>
      <c r="AJ322" s="126">
        <f ca="1">[1]!s_fa_cagr_netprofit($E322,AJ$6,3)</f>
        <v>0</v>
      </c>
      <c r="AK322" s="126">
        <f ca="1">[1]!s_fa_cagr_netprofit($E322,AK$6,3)</f>
        <v>9.8035521377955135</v>
      </c>
      <c r="AL322" s="126">
        <f ca="1">[1]!s_fa_cagr_netprofit($E322,AL$6,3)</f>
        <v>16.143568911132821</v>
      </c>
      <c r="AM322" s="126">
        <f ca="1">[1]!s_fa_cagr_netprofit($E322,AM$6,3)</f>
        <v>19.545811033764892</v>
      </c>
      <c r="AN322" s="126">
        <f ca="1">[1]!s_fa_cagr_netprofit($E322,AN$6,3)</f>
        <v>23.272357844719416</v>
      </c>
      <c r="AO322" s="126">
        <f ca="1">[1]!s_fa_cagr_netprofit($E322,AO$6,3)</f>
        <v>12.60443428627369</v>
      </c>
      <c r="AP322" s="129"/>
      <c r="AQ322" s="203">
        <f ca="1">[1]!s_fa_dupont_roe(E322,$C$3)</f>
        <v>9.4095999999999993</v>
      </c>
      <c r="AR322" s="203">
        <f ca="1">[1]!s_fa_dupont_nptosales(B322,$C$3)</f>
        <v>3.3757000000000001</v>
      </c>
      <c r="AS322" s="238">
        <f ca="1">[1]!s_fa_dupont_faturnover(E322,$C$3)</f>
        <v>1.1983999999999999</v>
      </c>
      <c r="AT322" s="203">
        <f ca="1">[1]!s_fa_dupont_assetstoequity(E322,$C$3)</f>
        <v>2.3123999999999998</v>
      </c>
      <c r="AU322" s="129"/>
      <c r="AV322" s="129"/>
      <c r="AW322" s="129"/>
      <c r="AX322" s="129"/>
      <c r="AY322" s="129"/>
      <c r="AZ322" s="129"/>
      <c r="BA322" s="129"/>
      <c r="BB322" s="129"/>
      <c r="BC322" s="129"/>
      <c r="BD322" s="129"/>
      <c r="BE322" s="129"/>
    </row>
    <row r="323" spans="1:57" s="191" customFormat="1" ht="12" customHeight="1" x14ac:dyDescent="0.35">
      <c r="A323" s="182" t="s">
        <v>5</v>
      </c>
      <c r="B323" s="182" t="s">
        <v>90</v>
      </c>
      <c r="C323" s="182" t="s">
        <v>91</v>
      </c>
      <c r="D323" s="182" t="str">
        <f ca="1">[1]!cb_info_underlyingname(B323)</f>
        <v>欣旺达</v>
      </c>
      <c r="E323" s="183" t="str">
        <f ca="1">[1]!cb_info_underlyingcode(B323)</f>
        <v>300207.SZ</v>
      </c>
      <c r="F323" s="184" t="str">
        <f ca="1">[1]!s_info_industry_sw(B323,1)</f>
        <v>电子</v>
      </c>
      <c r="G323" s="184" t="str">
        <f ca="1">[1]!s_info_industry_sw(E323,2)</f>
        <v>电子制造</v>
      </c>
      <c r="H323" s="184" t="str">
        <f ca="1">[1]!s_info_industry_sw(E323,3)</f>
        <v>电子零部件制造</v>
      </c>
      <c r="I323" s="192" t="str">
        <f ca="1">[1]!s_info_majorproducttype(E323)</f>
        <v>低压电器类</v>
      </c>
      <c r="J323" s="189">
        <f ca="1">[1]!s_val_ev(E323,$B$2,100000000)</f>
        <v>598.6968166593</v>
      </c>
      <c r="K323" s="193">
        <f ca="1">[1]!s_share_total(E323,$B$2,100000000)</f>
        <v>16.264515530000001</v>
      </c>
      <c r="L323" s="193">
        <f ca="1">[1]!s_share_liqa(E323,$B$2,100000000)</f>
        <v>14.593423400000001</v>
      </c>
      <c r="M323" s="186">
        <f ca="1">[1]!s_fa_gr_ttm2(E323,$C$3,100000000)</f>
        <v>279.64561951460001</v>
      </c>
      <c r="N323" s="187">
        <f ca="1">[1]!s_fa_netprofit_ttm2(E323,$C$3,100000000)</f>
        <v>7.2111751044000005</v>
      </c>
      <c r="O323" s="186"/>
      <c r="P323" s="187">
        <f ca="1">[1]!s_val_pe_ttm(E323,[1]!td($B$2-1))</f>
        <v>42.364002227783203</v>
      </c>
      <c r="Q323" s="187">
        <f ca="1">[1]!i_val_pe_percentile(E323,[1]!td($B$2-1),$B$2-365*5,[1]!td($B$2-1))</f>
        <v>67.050438596491219</v>
      </c>
      <c r="R323" s="187">
        <f ca="1">[1]!pb_mrq(E323,[1]!td($B$2-1))</f>
        <v>7.1521765632722349</v>
      </c>
      <c r="S323" s="187">
        <f ca="1">[1]!i_val_pb_percentile(E323,[1]!td($B$2-1),$B$2-365*5,[1]!td($B$2-1))</f>
        <v>79.166666666666657</v>
      </c>
      <c r="T323" s="187">
        <f ca="1">[1]!s_val_pe_ttm([1]!to_windcode_index(H323&amp;"(申万)"),[1]!td($B$2-1))</f>
        <v>37</v>
      </c>
      <c r="U323" s="187"/>
      <c r="V323" s="187">
        <f ca="1">[1]!s_fa_roe(E323,$C$3)</f>
        <v>7.758</v>
      </c>
      <c r="W323" s="187">
        <f ca="1">[1]!s_fa_grossprofitmargin(E323,$C$3)</f>
        <v>15.344099999999999</v>
      </c>
      <c r="X323" s="187">
        <f ca="1">[1]!s_fa_netprofitmargin(E323,$C$3)</f>
        <v>2.3014000000000001</v>
      </c>
      <c r="Y323" s="187">
        <f ca="1">[1]!s_fa_roic(E323,$C$3)</f>
        <v>4.3724999999999996</v>
      </c>
      <c r="Z323" s="187">
        <f ca="1">[1]!s_fa_operateincometoebt_ttm2(E323,$C$3)</f>
        <v>38.466799999999999</v>
      </c>
      <c r="AA323" s="186"/>
      <c r="AB323" s="342"/>
      <c r="AC323" s="186">
        <f ca="1">[1]!s_fa_cagr_tr($E323,AC$6,3)</f>
        <v>0</v>
      </c>
      <c r="AD323" s="186">
        <f ca="1">[1]!s_fa_cagr_tr($E323,AD$6,3)</f>
        <v>28.343914563795526</v>
      </c>
      <c r="AE323" s="187">
        <f ca="1">[1]!s_fa_cagr_tr($E323,AE$6,3)</f>
        <v>46.352311655404655</v>
      </c>
      <c r="AF323" s="187">
        <f ca="1">[1]!s_fa_cagr_tr($E323,AF$6,3)</f>
        <v>46.476722365586951</v>
      </c>
      <c r="AG323" s="187">
        <f ca="1">[1]!s_fa_cagr_tr($E323,AG$6,3)</f>
        <v>48.611444239164882</v>
      </c>
      <c r="AH323" s="187">
        <f ca="1">[1]!s_fa_cagr_tr($E323,AH$6,3)</f>
        <v>54.029342424244241</v>
      </c>
      <c r="AI323" s="194"/>
      <c r="AJ323" s="187">
        <f ca="1">[1]!s_fa_cagr_netprofit($E323,AJ$6,3)</f>
        <v>0</v>
      </c>
      <c r="AK323" s="187">
        <f ca="1">[1]!s_fa_cagr_netprofit($E323,AK$6,3)</f>
        <v>13.824784048013239</v>
      </c>
      <c r="AL323" s="187">
        <f ca="1">[1]!s_fa_cagr_netprofit($E323,AL$6,3)</f>
        <v>18.620141513373767</v>
      </c>
      <c r="AM323" s="187">
        <f ca="1">[1]!s_fa_cagr_netprofit($E323,AM$6,3)</f>
        <v>29.230462840967352</v>
      </c>
      <c r="AN323" s="187">
        <f ca="1">[1]!s_fa_cagr_netprofit($E323,AN$6,3)</f>
        <v>47.934348278962702</v>
      </c>
      <c r="AO323" s="187">
        <f ca="1">[1]!s_fa_cagr_netprofit($E323,AO$6,3)</f>
        <v>77.077237168306056</v>
      </c>
      <c r="AP323" s="189"/>
      <c r="AQ323" s="202">
        <f ca="1">[1]!s_fa_dupont_roe(E323,$C$3)</f>
        <v>7.758</v>
      </c>
      <c r="AR323" s="202">
        <f ca="1">[1]!s_fa_dupont_nptosales(B323,$C$3)</f>
        <v>2.3014000000000001</v>
      </c>
      <c r="AS323" s="237">
        <f ca="1">[1]!s_fa_dupont_faturnover(E323,$C$3)</f>
        <v>0.79279999999999995</v>
      </c>
      <c r="AT323" s="202">
        <f ca="1">[1]!s_fa_dupont_assetstoequity(E323,$C$3)</f>
        <v>4.2408999999999999</v>
      </c>
      <c r="AU323" s="189"/>
      <c r="AV323" s="201"/>
      <c r="AW323" s="189"/>
      <c r="AX323" s="189"/>
      <c r="AY323" s="189"/>
      <c r="AZ323" s="189"/>
      <c r="BA323" s="189"/>
      <c r="BB323" s="189"/>
      <c r="BC323" s="189"/>
      <c r="BD323" s="189"/>
      <c r="BE323" s="189"/>
    </row>
    <row r="324" spans="1:57" s="130" customFormat="1" ht="12" customHeight="1" x14ac:dyDescent="0.35">
      <c r="A324" s="121" t="s">
        <v>0</v>
      </c>
      <c r="B324" s="121" t="s">
        <v>32</v>
      </c>
      <c r="C324" s="121" t="s">
        <v>33</v>
      </c>
      <c r="D324" s="121" t="str">
        <f ca="1">[1]!cb_info_underlyingname(B324)</f>
        <v>景旺电子</v>
      </c>
      <c r="E324" s="122" t="str">
        <f ca="1">[1]!cb_info_underlyingcode(B324)</f>
        <v>603228.SH</v>
      </c>
      <c r="F324" s="123" t="str">
        <f ca="1">[1]!s_info_industry_sw(B324,1)</f>
        <v>电子</v>
      </c>
      <c r="G324" s="123" t="str">
        <f ca="1">[1]!s_info_industry_sw(E324,2)</f>
        <v>元件Ⅱ</v>
      </c>
      <c r="H324" s="123" t="str">
        <f ca="1">[1]!s_info_industry_sw(E324,3)</f>
        <v>印制电路板</v>
      </c>
      <c r="I324" s="156" t="str">
        <f ca="1">[1]!s_info_majorproducttype(E324)</f>
        <v>集成电路</v>
      </c>
      <c r="J324" s="129">
        <f ca="1">[1]!s_val_ev(E324,$B$2,100000000)</f>
        <v>231.78103987200001</v>
      </c>
      <c r="K324" s="157">
        <f ca="1">[1]!s_share_total(E324,$B$2,100000000)</f>
        <v>8.5213617599999996</v>
      </c>
      <c r="L324" s="157">
        <f ca="1">[1]!s_share_liqa(E324,$B$2,100000000)</f>
        <v>8.4063195099999994</v>
      </c>
      <c r="M324" s="125">
        <f ca="1">[1]!s_fa_gr_ttm2(E324,$C$3,100000000)</f>
        <v>67.244498378199992</v>
      </c>
      <c r="N324" s="126">
        <f ca="1">[1]!s_fa_netprofit_ttm2(E324,$C$3,100000000)</f>
        <v>8.9078417765999998</v>
      </c>
      <c r="O324" s="125"/>
      <c r="P324" s="126">
        <f ca="1">[1]!s_val_pe_ttm(E324,[1]!td($B$2-1))</f>
        <v>25.595998764038086</v>
      </c>
      <c r="Q324" s="126">
        <f ca="1">[1]!i_val_pe_percentile(E324,[1]!td($B$2-1),$B$2-365*5,[1]!td($B$2-1))</f>
        <v>9.8533724340175954</v>
      </c>
      <c r="R324" s="126">
        <f ca="1">[1]!pb_mrq(E324,[1]!td($B$2-1))</f>
        <v>3.562780047303399</v>
      </c>
      <c r="S324" s="126">
        <f ca="1">[1]!i_val_pb_percentile(E324,[1]!td($B$2-1),$B$2-365*5,[1]!td($B$2-1))</f>
        <v>1.8181818181818181</v>
      </c>
      <c r="T324" s="126">
        <f ca="1">[1]!s_val_pe_ttm([1]!to_windcode_index(H324&amp;"(申万)"),[1]!td($B$2-1))</f>
        <v>29.620000839233398</v>
      </c>
      <c r="U324" s="125"/>
      <c r="V324" s="125">
        <f ca="1">[1]!s_fa_roe(E324,$C$3)</f>
        <v>11.684100000000001</v>
      </c>
      <c r="W324" s="125">
        <f ca="1">[1]!s_fa_grossprofitmargin(E324,$C$3)</f>
        <v>29.796700000000001</v>
      </c>
      <c r="X324" s="125">
        <f ca="1">[1]!s_fa_netprofitmargin(E324,$C$3)</f>
        <v>13.972899999999999</v>
      </c>
      <c r="Y324" s="125">
        <f ca="1">[1]!s_fa_roic(E324,$C$3)</f>
        <v>9.8421000000000003</v>
      </c>
      <c r="Z324" s="125">
        <f ca="1">[1]!s_fa_operateincometoebt_ttm2(E324,$C$3)</f>
        <v>91.258300000000006</v>
      </c>
      <c r="AA324" s="125"/>
      <c r="AB324" s="343"/>
      <c r="AC324" s="125">
        <f ca="1">[1]!s_fa_cagr_tr($E324,AC$6,3)</f>
        <v>0</v>
      </c>
      <c r="AD324" s="125">
        <f ca="1">[1]!s_fa_cagr_tr($E324,AD$6,3)</f>
        <v>18.996475536640389</v>
      </c>
      <c r="AE324" s="126">
        <f ca="1">[1]!s_fa_cagr_tr($E324,AE$6,3)</f>
        <v>24.47558699383341</v>
      </c>
      <c r="AF324" s="126">
        <f ca="1">[1]!s_fa_cagr_tr($E324,AF$6,3)</f>
        <v>23.028317658782015</v>
      </c>
      <c r="AG324" s="126">
        <f ca="1">[1]!s_fa_cagr_tr($E324,AG$6,3)</f>
        <v>23.280276281093503</v>
      </c>
      <c r="AH324" s="126">
        <f ca="1">[1]!s_fa_cagr_tr($E324,AH$6,3)</f>
        <v>23.08863107766954</v>
      </c>
      <c r="AI324" s="169"/>
      <c r="AJ324" s="126">
        <f ca="1">[1]!s_fa_cagr_netprofit($E324,AJ$6,3)</f>
        <v>0</v>
      </c>
      <c r="AK324" s="126">
        <f ca="1">[1]!s_fa_cagr_netprofit($E324,AK$6,3)</f>
        <v>11.762190542766726</v>
      </c>
      <c r="AL324" s="126">
        <f ca="1">[1]!s_fa_cagr_netprofit($E324,AL$6,3)</f>
        <v>15.915544408465877</v>
      </c>
      <c r="AM324" s="126">
        <f ca="1">[1]!s_fa_cagr_netprofit($E324,AM$6,3)</f>
        <v>23.856094577103981</v>
      </c>
      <c r="AN324" s="126">
        <f ca="1">[1]!s_fa_cagr_netprofit($E324,AN$6,3)</f>
        <v>26.545216114366465</v>
      </c>
      <c r="AO324" s="126">
        <f ca="1">[1]!s_fa_cagr_netprofit($E324,AO$6,3)</f>
        <v>26.676819406061014</v>
      </c>
      <c r="AP324" s="129"/>
      <c r="AQ324" s="203">
        <f ca="1">[1]!s_fa_dupont_roe(E324,$C$3)</f>
        <v>11.684100000000001</v>
      </c>
      <c r="AR324" s="203">
        <f ca="1">[1]!s_fa_dupont_nptosales(B324,$C$3)</f>
        <v>13.972899999999999</v>
      </c>
      <c r="AS324" s="238">
        <f ca="1">[1]!s_fa_dupont_faturnover(E324,$C$3)</f>
        <v>0.48820000000000002</v>
      </c>
      <c r="AT324" s="203">
        <f ca="1">[1]!s_fa_dupont_assetstoequity(E324,$C$3)</f>
        <v>1.7224999999999999</v>
      </c>
      <c r="AU324" s="129"/>
      <c r="AV324" s="129"/>
      <c r="AW324" s="129"/>
      <c r="AX324" s="129"/>
      <c r="AY324" s="129"/>
      <c r="AZ324" s="129"/>
      <c r="BA324" s="129"/>
      <c r="BB324" s="129"/>
      <c r="BC324" s="129"/>
      <c r="BD324" s="129"/>
      <c r="BE324" s="129"/>
    </row>
    <row r="325" spans="1:57" s="191" customFormat="1" ht="12" customHeight="1" x14ac:dyDescent="0.35">
      <c r="A325" s="182" t="s">
        <v>5</v>
      </c>
      <c r="B325" s="182" t="s">
        <v>350</v>
      </c>
      <c r="C325" s="182" t="s">
        <v>351</v>
      </c>
      <c r="D325" s="182" t="str">
        <f ca="1">[1]!cb_info_underlyingname(B325)</f>
        <v>长信科技</v>
      </c>
      <c r="E325" s="183" t="str">
        <f ca="1">[1]!cb_info_underlyingcode(B325)</f>
        <v>300088.SZ</v>
      </c>
      <c r="F325" s="184" t="str">
        <f ca="1">[1]!s_info_industry_sw(B325,1)</f>
        <v>电子</v>
      </c>
      <c r="G325" s="184" t="str">
        <f ca="1">[1]!s_info_industry_sw(E325,2)</f>
        <v>光学光电子</v>
      </c>
      <c r="H325" s="184" t="str">
        <f ca="1">[1]!s_info_industry_sw(E325,3)</f>
        <v>显示器件Ⅲ</v>
      </c>
      <c r="I325" s="192" t="str">
        <f ca="1">[1]!s_info_majorproducttype(E325)</f>
        <v>电子元器件</v>
      </c>
      <c r="J325" s="189">
        <f ca="1">[1]!s_val_ev(E325,$B$2,100000000)</f>
        <v>176.74950491999999</v>
      </c>
      <c r="K325" s="193">
        <f ca="1">[1]!s_share_total(E325,$B$2,100000000)</f>
        <v>24.548542350000002</v>
      </c>
      <c r="L325" s="193">
        <f ca="1">[1]!s_share_liqa(E325,$B$2,100000000)</f>
        <v>24.426307529999999</v>
      </c>
      <c r="M325" s="186">
        <f ca="1">[1]!s_fa_gr_ttm2(E325,$C$3,100000000)</f>
        <v>63.696559754200003</v>
      </c>
      <c r="N325" s="187">
        <f ca="1">[1]!s_fa_netprofit_ttm2(E325,$C$3,100000000)</f>
        <v>9.3012203484000011</v>
      </c>
      <c r="O325" s="186"/>
      <c r="P325" s="187">
        <f ca="1">[1]!s_val_pe_ttm(E325,[1]!td($B$2-1))</f>
        <v>21.819469451904297</v>
      </c>
      <c r="Q325" s="187">
        <f ca="1">[1]!i_val_pe_percentile(E325,[1]!td($B$2-1),$B$2-365*5,[1]!td($B$2-1))</f>
        <v>30.866228070175438</v>
      </c>
      <c r="R325" s="187">
        <f ca="1">[1]!pb_mrq(E325,[1]!td($B$2-1))</f>
        <v>2.4512425315921185</v>
      </c>
      <c r="S325" s="187">
        <f ca="1">[1]!i_val_pb_percentile(E325,[1]!td($B$2-1),$B$2-365*5,[1]!td($B$2-1))</f>
        <v>9.4298245614035086</v>
      </c>
      <c r="T325" s="187">
        <f ca="1">[1]!s_val_pe_ttm([1]!to_windcode_index(H325&amp;"(申万)"),[1]!td($B$2-1))</f>
        <v>15.699999809265137</v>
      </c>
      <c r="U325" s="187"/>
      <c r="V325" s="187">
        <f ca="1">[1]!s_fa_roe(E325,$C$3)</f>
        <v>12.027699999999999</v>
      </c>
      <c r="W325" s="187">
        <f ca="1">[1]!s_fa_grossprofitmargin(E325,$C$3)</f>
        <v>27.950099999999999</v>
      </c>
      <c r="X325" s="187">
        <f ca="1">[1]!s_fa_netprofitmargin(E325,$C$3)</f>
        <v>16.2179</v>
      </c>
      <c r="Y325" s="187">
        <f ca="1">[1]!s_fa_roic(E325,$C$3)</f>
        <v>10.679399999999999</v>
      </c>
      <c r="Z325" s="187">
        <f ca="1">[1]!s_fa_operateincometoebt_ttm2(E325,$C$3)</f>
        <v>91.6751</v>
      </c>
      <c r="AA325" s="186"/>
      <c r="AB325" s="342"/>
      <c r="AC325" s="186">
        <f ca="1">[1]!s_fa_cagr_tr($E325,AC$6,3)</f>
        <v>0</v>
      </c>
      <c r="AD325" s="186">
        <f ca="1">[1]!s_fa_cagr_tr($E325,AD$6,3)</f>
        <v>-14.328847806570433</v>
      </c>
      <c r="AE325" s="187">
        <f ca="1">[1]!s_fa_cagr_tr($E325,AE$6,3)</f>
        <v>-10.989307364262546</v>
      </c>
      <c r="AF325" s="187">
        <f ca="1">[1]!s_fa_cagr_tr($E325,AF$6,3)</f>
        <v>34.101201771949107</v>
      </c>
      <c r="AG325" s="187">
        <f ca="1">[1]!s_fa_cagr_tr($E325,AG$6,3)</f>
        <v>87.796897969373177</v>
      </c>
      <c r="AH325" s="187">
        <f ca="1">[1]!s_fa_cagr_tr($E325,AH$6,3)</f>
        <v>98.182548053666238</v>
      </c>
      <c r="AI325" s="194"/>
      <c r="AJ325" s="187">
        <f ca="1">[1]!s_fa_cagr_netprofit($E325,AJ$6,3)</f>
        <v>0</v>
      </c>
      <c r="AK325" s="187">
        <f ca="1">[1]!s_fa_cagr_netprofit($E325,AK$6,3)</f>
        <v>15.289301180479221</v>
      </c>
      <c r="AL325" s="187">
        <f ca="1">[1]!s_fa_cagr_netprofit($E325,AL$6,3)</f>
        <v>34.54773612525959</v>
      </c>
      <c r="AM325" s="187">
        <f ca="1">[1]!s_fa_cagr_netprofit($E325,AM$6,3)</f>
        <v>44.149269420886903</v>
      </c>
      <c r="AN325" s="187">
        <f ca="1">[1]!s_fa_cagr_netprofit($E325,AN$6,3)</f>
        <v>48.663987475486437</v>
      </c>
      <c r="AO325" s="187">
        <f ca="1">[1]!s_fa_cagr_netprofit($E325,AO$6,3)</f>
        <v>9.6160146665265955</v>
      </c>
      <c r="AP325" s="189"/>
      <c r="AQ325" s="202">
        <f ca="1">[1]!s_fa_dupont_roe(E325,$C$3)</f>
        <v>12.027699999999999</v>
      </c>
      <c r="AR325" s="202">
        <f ca="1">[1]!s_fa_dupont_nptosales(B325,$C$3)</f>
        <v>16.2179</v>
      </c>
      <c r="AS325" s="237">
        <f ca="1">[1]!s_fa_dupont_faturnover(E325,$C$3)</f>
        <v>0.53310000000000002</v>
      </c>
      <c r="AT325" s="202">
        <f ca="1">[1]!s_fa_dupont_assetstoequity(E325,$C$3)</f>
        <v>1.4132</v>
      </c>
      <c r="AU325" s="189"/>
      <c r="AV325" s="189"/>
      <c r="AW325" s="189"/>
      <c r="AX325" s="189"/>
      <c r="AY325" s="189"/>
      <c r="AZ325" s="189"/>
      <c r="BA325" s="189"/>
      <c r="BB325" s="189"/>
      <c r="BC325" s="189"/>
      <c r="BD325" s="189"/>
      <c r="BE325" s="189"/>
    </row>
    <row r="326" spans="1:57" s="130" customFormat="1" ht="12" customHeight="1" x14ac:dyDescent="0.35">
      <c r="A326" s="121" t="s">
        <v>5</v>
      </c>
      <c r="B326" s="121" t="s">
        <v>254</v>
      </c>
      <c r="C326" s="121" t="s">
        <v>255</v>
      </c>
      <c r="D326" s="121" t="str">
        <f ca="1">[1]!cb_info_underlyingname(B326)</f>
        <v>利亚德</v>
      </c>
      <c r="E326" s="122" t="str">
        <f ca="1">[1]!cb_info_underlyingcode(B326)</f>
        <v>300296.SZ</v>
      </c>
      <c r="F326" s="123" t="str">
        <f ca="1">[1]!s_info_industry_sw(B326,1)</f>
        <v>电子</v>
      </c>
      <c r="G326" s="123" t="str">
        <f ca="1">[1]!s_info_industry_sw(E326,2)</f>
        <v>光学光电子</v>
      </c>
      <c r="H326" s="123" t="str">
        <f ca="1">[1]!s_info_industry_sw(E326,3)</f>
        <v>LED</v>
      </c>
      <c r="I326" s="156" t="str">
        <f ca="1">[1]!s_info_majorproducttype(E326)</f>
        <v>半导体照明、其他消费电子产品、显示设备</v>
      </c>
      <c r="J326" s="129">
        <f ca="1">[1]!s_val_ev(E326,$B$2,100000000)</f>
        <v>260.647401495</v>
      </c>
      <c r="K326" s="157">
        <f ca="1">[1]!s_share_total(E326,$B$2,100000000)</f>
        <v>25.429014779999999</v>
      </c>
      <c r="L326" s="157">
        <f ca="1">[1]!s_share_liqa(E326,$B$2,100000000)</f>
        <v>19.54097544</v>
      </c>
      <c r="M326" s="125">
        <f ca="1">[1]!s_fa_gr_ttm2(E326,$C$3,100000000)</f>
        <v>72.203225460400006</v>
      </c>
      <c r="N326" s="126">
        <f ca="1">[1]!s_fa_netprofit_ttm2(E326,$C$3,100000000)</f>
        <v>2.1808069490999999</v>
      </c>
      <c r="O326" s="125"/>
      <c r="P326" s="126">
        <f ca="1">[1]!s_val_pe_ttm(E326,[1]!td($B$2-1))</f>
        <v>-28.440496444702148</v>
      </c>
      <c r="Q326" s="126">
        <f ca="1">[1]!i_val_pe_percentile(E326,[1]!td($B$2-1),$B$2-365*5,[1]!td($B$2-1))</f>
        <v>0</v>
      </c>
      <c r="R326" s="126">
        <f ca="1">[1]!pb_mrq(E326,[1]!td($B$2-1))</f>
        <v>3.537102255822099</v>
      </c>
      <c r="S326" s="126">
        <f ca="1">[1]!i_val_pb_percentile(E326,[1]!td($B$2-1),$B$2-365*5,[1]!td($B$2-1))</f>
        <v>59.813596491228068</v>
      </c>
      <c r="T326" s="126">
        <f ca="1">[1]!s_val_pe_ttm([1]!to_windcode_index(H326&amp;"(申万)"),[1]!td($B$2-1))</f>
        <v>69.629997253417969</v>
      </c>
      <c r="U326" s="126"/>
      <c r="V326" s="126">
        <f ca="1">[1]!s_fa_roe(E326,$C$3)</f>
        <v>3.7273000000000001</v>
      </c>
      <c r="W326" s="126">
        <f ca="1">[1]!s_fa_grossprofitmargin(E326,$C$3)</f>
        <v>32.226300000000002</v>
      </c>
      <c r="X326" s="126">
        <f ca="1">[1]!s_fa_netprofitmargin(E326,$C$3)</f>
        <v>7.1078000000000001</v>
      </c>
      <c r="Y326" s="126">
        <f ca="1">[1]!s_fa_roic(E326,$C$3)</f>
        <v>3.5013999999999998</v>
      </c>
      <c r="Z326" s="126">
        <f ca="1">[1]!s_fa_operateincometoebt_ttm2(E326,$C$3)</f>
        <v>101.83459999999999</v>
      </c>
      <c r="AA326" s="125"/>
      <c r="AB326" s="343"/>
      <c r="AC326" s="125">
        <f ca="1">[1]!s_fa_cagr_tr($E326,AC$6,3)</f>
        <v>0</v>
      </c>
      <c r="AD326" s="125">
        <f ca="1">[1]!s_fa_cagr_tr($E326,AD$6,3)</f>
        <v>0.83202423092847422</v>
      </c>
      <c r="AE326" s="126">
        <f ca="1">[1]!s_fa_cagr_tr($E326,AE$6,3)</f>
        <v>27.375507329253445</v>
      </c>
      <c r="AF326" s="126">
        <f ca="1">[1]!s_fa_cagr_tr($E326,AF$6,3)</f>
        <v>56.148133721759265</v>
      </c>
      <c r="AG326" s="126">
        <f ca="1">[1]!s_fa_cagr_tr($E326,AG$6,3)</f>
        <v>76.347011923423054</v>
      </c>
      <c r="AH326" s="126">
        <f ca="1">[1]!s_fa_cagr_tr($E326,AH$6,3)</f>
        <v>77.857994609008173</v>
      </c>
      <c r="AI326" s="169"/>
      <c r="AJ326" s="126">
        <f ca="1">[1]!s_fa_cagr_netprofit($E326,AJ$6,3)</f>
        <v>0</v>
      </c>
      <c r="AK326" s="126">
        <f ca="1">[1]!s_fa_cagr_netprofit($E326,AK$6,3)</f>
        <v>-193.10624985250411</v>
      </c>
      <c r="AL326" s="126">
        <f ca="1">[1]!s_fa_cagr_netprofit($E326,AL$6,3)</f>
        <v>1.720766200016044</v>
      </c>
      <c r="AM326" s="126">
        <f ca="1">[1]!s_fa_cagr_netprofit($E326,AM$6,3)</f>
        <v>56.360014989503206</v>
      </c>
      <c r="AN326" s="126">
        <f ca="1">[1]!s_fa_cagr_netprofit($E326,AN$6,3)</f>
        <v>95.73672403529234</v>
      </c>
      <c r="AO326" s="126">
        <f ca="1">[1]!s_fa_cagr_netprofit($E326,AO$6,3)</f>
        <v>102.76896397375759</v>
      </c>
      <c r="AP326" s="129"/>
      <c r="AQ326" s="203">
        <f ca="1">[1]!s_fa_dupont_roe(E326,$C$3)</f>
        <v>3.7273000000000001</v>
      </c>
      <c r="AR326" s="203">
        <f ca="1">[1]!s_fa_dupont_nptosales(B326,$C$3)</f>
        <v>7.1078000000000001</v>
      </c>
      <c r="AS326" s="238">
        <f ca="1">[1]!s_fa_dupont_faturnover(E326,$C$3)</f>
        <v>0.3004</v>
      </c>
      <c r="AT326" s="203">
        <f ca="1">[1]!s_fa_dupont_assetstoequity(E326,$C$3)</f>
        <v>1.7646999999999999</v>
      </c>
      <c r="AU326" s="129"/>
      <c r="AV326" s="129"/>
      <c r="AW326" s="129"/>
      <c r="AX326" s="129"/>
      <c r="AY326" s="129"/>
      <c r="AZ326" s="129"/>
      <c r="BA326" s="129"/>
      <c r="BB326" s="129"/>
      <c r="BC326" s="129"/>
      <c r="BD326" s="129"/>
      <c r="BE326" s="129"/>
    </row>
    <row r="327" spans="1:57" s="191" customFormat="1" ht="12" customHeight="1" x14ac:dyDescent="0.35">
      <c r="A327" s="182" t="s">
        <v>5</v>
      </c>
      <c r="B327" s="182" t="s">
        <v>648</v>
      </c>
      <c r="C327" s="182" t="s">
        <v>649</v>
      </c>
      <c r="D327" s="182" t="str">
        <f ca="1">[1]!cb_info_underlyingname(B327)</f>
        <v>洁美科技</v>
      </c>
      <c r="E327" s="183" t="str">
        <f ca="1">[1]!cb_info_underlyingcode(B327)</f>
        <v>002859.SZ</v>
      </c>
      <c r="F327" s="184" t="str">
        <f ca="1">[1]!s_info_industry_sw(B327,1)</f>
        <v>电子</v>
      </c>
      <c r="G327" s="184" t="str">
        <f ca="1">[1]!s_info_industry_sw(E327,2)</f>
        <v>电子制造</v>
      </c>
      <c r="H327" s="184" t="str">
        <f ca="1">[1]!s_info_industry_sw(E327,3)</f>
        <v>电子零部件制造</v>
      </c>
      <c r="I327" s="192" t="str">
        <f ca="1">[1]!s_info_majorproducttype(E327)</f>
        <v>专用设备与零部件</v>
      </c>
      <c r="J327" s="189">
        <f ca="1">[1]!s_val_ev(E327,$B$2,100000000)</f>
        <v>129.93550373870002</v>
      </c>
      <c r="K327" s="193">
        <f ca="1">[1]!s_share_total(E327,$B$2,100000000)</f>
        <v>4.1002052300000003</v>
      </c>
      <c r="L327" s="193">
        <f ca="1">[1]!s_share_liqa(E327,$B$2,100000000)</f>
        <v>4.0285342100000001</v>
      </c>
      <c r="M327" s="186">
        <f ca="1">[1]!s_fa_gr_ttm2(E327,$C$3,100000000)</f>
        <v>12.9029686908</v>
      </c>
      <c r="N327" s="187">
        <f ca="1">[1]!s_fa_netprofit_ttm2(E327,$C$3,100000000)</f>
        <v>2.3375731440999998</v>
      </c>
      <c r="O327" s="186"/>
      <c r="P327" s="187">
        <f ca="1">[1]!s_val_pe_ttm(E327,[1]!td($B$2-1))</f>
        <v>35.435024261474609</v>
      </c>
      <c r="Q327" s="187">
        <f ca="1">[1]!i_val_pe_percentile(E327,[1]!td($B$2-1),$B$2-365*5,[1]!td($B$2-1))</f>
        <v>22.118959107806692</v>
      </c>
      <c r="R327" s="187">
        <f ca="1">[1]!pb_mrq(E327,[1]!td($B$2-1))</f>
        <v>6.8669776665668047</v>
      </c>
      <c r="S327" s="187">
        <f ca="1">[1]!i_val_pb_percentile(E327,[1]!td($B$2-1),$B$2-365*5,[1]!td($B$2-1))</f>
        <v>72.98636926889715</v>
      </c>
      <c r="T327" s="187">
        <f ca="1">[1]!s_val_pe_ttm([1]!to_windcode_index(H327&amp;"(申万)"),[1]!td($B$2-1))</f>
        <v>37</v>
      </c>
      <c r="U327" s="186"/>
      <c r="V327" s="186">
        <f ca="1">[1]!s_fa_roe(E327,$C$3)</f>
        <v>12.6873</v>
      </c>
      <c r="W327" s="186">
        <f ca="1">[1]!s_fa_grossprofitmargin(E327,$C$3)</f>
        <v>40.823099999999997</v>
      </c>
      <c r="X327" s="186">
        <f ca="1">[1]!s_fa_netprofitmargin(E327,$C$3)</f>
        <v>21.2087</v>
      </c>
      <c r="Y327" s="186">
        <f ca="1">[1]!s_fa_roic(E327,$C$3)</f>
        <v>10.1776</v>
      </c>
      <c r="Z327" s="186">
        <f ca="1">[1]!s_fa_operateincometoebt_ttm2(E327,$C$3)</f>
        <v>95.134699999999995</v>
      </c>
      <c r="AA327" s="186"/>
      <c r="AB327" s="342"/>
      <c r="AC327" s="186">
        <f ca="1">[1]!s_fa_cagr_tr($E327,AC$6,3)</f>
        <v>0</v>
      </c>
      <c r="AD327" s="186">
        <f ca="1">[1]!s_fa_cagr_tr($E327,AD$6,3)</f>
        <v>12.679458799192279</v>
      </c>
      <c r="AE327" s="187">
        <f ca="1">[1]!s_fa_cagr_tr($E327,AE$6,3)</f>
        <v>7.9804731621049285</v>
      </c>
      <c r="AF327" s="187">
        <f ca="1">[1]!s_fa_cagr_tr($E327,AF$6,3)</f>
        <v>30.483892734379168</v>
      </c>
      <c r="AG327" s="187">
        <f ca="1">[1]!s_fa_cagr_tr($E327,AG$6,3)</f>
        <v>24.258655415166032</v>
      </c>
      <c r="AH327" s="187">
        <f ca="1">[1]!s_fa_cagr_tr($E327,AH$6,3)</f>
        <v>22.083269151972139</v>
      </c>
      <c r="AI327" s="194"/>
      <c r="AJ327" s="187">
        <f ca="1">[1]!s_fa_cagr_netprofit($E327,AJ$6,3)</f>
        <v>0</v>
      </c>
      <c r="AK327" s="187">
        <f ca="1">[1]!s_fa_cagr_netprofit($E327,AK$6,3)</f>
        <v>13.809120608443216</v>
      </c>
      <c r="AL327" s="187">
        <f ca="1">[1]!s_fa_cagr_netprofit($E327,AL$6,3)</f>
        <v>-5.1248744939796476</v>
      </c>
      <c r="AM327" s="187">
        <f ca="1">[1]!s_fa_cagr_netprofit($E327,AM$6,3)</f>
        <v>45.540621566879878</v>
      </c>
      <c r="AN327" s="187">
        <f ca="1">[1]!s_fa_cagr_netprofit($E327,AN$6,3)</f>
        <v>52.2781051045474</v>
      </c>
      <c r="AO327" s="187">
        <f ca="1">[1]!s_fa_cagr_netprofit($E327,AO$6,3)</f>
        <v>48.919800069709083</v>
      </c>
      <c r="AP327" s="189"/>
      <c r="AQ327" s="202">
        <f ca="1">[1]!s_fa_dupont_roe(E327,$C$3)</f>
        <v>12.6873</v>
      </c>
      <c r="AR327" s="202">
        <f ca="1">[1]!s_fa_dupont_nptosales(B327,$C$3)</f>
        <v>21.2087</v>
      </c>
      <c r="AS327" s="237">
        <f ca="1">[1]!s_fa_dupont_faturnover(E327,$C$3)</f>
        <v>0.4269</v>
      </c>
      <c r="AT327" s="202">
        <f ca="1">[1]!s_fa_dupont_assetstoequity(E327,$C$3)</f>
        <v>1.4013</v>
      </c>
      <c r="AU327" s="189"/>
      <c r="AV327" s="201"/>
      <c r="AW327" s="189"/>
      <c r="AX327" s="189"/>
      <c r="AY327" s="189"/>
      <c r="AZ327" s="189"/>
      <c r="BA327" s="189"/>
      <c r="BB327" s="189"/>
      <c r="BC327" s="189"/>
      <c r="BD327" s="189"/>
      <c r="BE327" s="189"/>
    </row>
    <row r="328" spans="1:57" s="130" customFormat="1" ht="12" customHeight="1" x14ac:dyDescent="0.35">
      <c r="A328" s="121" t="s">
        <v>5</v>
      </c>
      <c r="B328" s="121" t="s">
        <v>300</v>
      </c>
      <c r="C328" s="121" t="s">
        <v>301</v>
      </c>
      <c r="D328" s="121" t="str">
        <f ca="1">[1]!cb_info_underlyingname(B328)</f>
        <v>兴森科技</v>
      </c>
      <c r="E328" s="122" t="str">
        <f ca="1">[1]!cb_info_underlyingcode(B328)</f>
        <v>002436.SZ</v>
      </c>
      <c r="F328" s="123" t="str">
        <f ca="1">[1]!s_info_industry_sw(B328,1)</f>
        <v>电子</v>
      </c>
      <c r="G328" s="123" t="str">
        <f ca="1">[1]!s_info_industry_sw(E328,2)</f>
        <v>元件Ⅱ</v>
      </c>
      <c r="H328" s="123" t="str">
        <f ca="1">[1]!s_info_industry_sw(E328,3)</f>
        <v>印制电路板</v>
      </c>
      <c r="I328" s="156" t="str">
        <f ca="1">[1]!s_info_majorproducttype(E328)</f>
        <v>电子元器件、集成电路、专业咨询服务</v>
      </c>
      <c r="J328" s="129">
        <f ca="1">[1]!s_val_ev(E328,$B$2,100000000)</f>
        <v>208.45709926829997</v>
      </c>
      <c r="K328" s="157">
        <f ca="1">[1]!s_share_total(E328,$B$2,100000000)</f>
        <v>14.879164830000001</v>
      </c>
      <c r="L328" s="157">
        <f ca="1">[1]!s_share_liqa(E328,$B$2,100000000)</f>
        <v>12.722850660000001</v>
      </c>
      <c r="M328" s="125">
        <f ca="1">[1]!s_fa_gr_ttm2(E328,$C$3,100000000)</f>
        <v>40.609923942100004</v>
      </c>
      <c r="N328" s="126">
        <f ca="1">[1]!s_fa_netprofit_ttm2(E328,$C$3,100000000)</f>
        <v>5.1843218169999998</v>
      </c>
      <c r="O328" s="125"/>
      <c r="P328" s="126">
        <f ca="1">[1]!s_val_pe_ttm(E328,[1]!td($B$2-1))</f>
        <v>48.439773559570313</v>
      </c>
      <c r="Q328" s="126">
        <f ca="1">[1]!i_val_pe_percentile(E328,[1]!td($B$2-1),$B$2-365*5,[1]!td($B$2-1))</f>
        <v>71.929824561403507</v>
      </c>
      <c r="R328" s="126">
        <f ca="1">[1]!pb_mrq(E328,[1]!td($B$2-1))</f>
        <v>6.3472239679297067</v>
      </c>
      <c r="S328" s="126">
        <f ca="1">[1]!i_val_pb_percentile(E328,[1]!td($B$2-1),$B$2-365*5,[1]!td($B$2-1))</f>
        <v>89.692982456140342</v>
      </c>
      <c r="T328" s="126">
        <f ca="1">[1]!s_val_pe_ttm([1]!to_windcode_index(H328&amp;"(申万)"),[1]!td($B$2-1))</f>
        <v>29.620000839233398</v>
      </c>
      <c r="U328" s="125"/>
      <c r="V328" s="125">
        <f ca="1">[1]!s_fa_roe(E328,$C$3)</f>
        <v>15.2705</v>
      </c>
      <c r="W328" s="125">
        <f ca="1">[1]!s_fa_grossprofitmargin(E328,$C$3)</f>
        <v>31.4739</v>
      </c>
      <c r="X328" s="125">
        <f ca="1">[1]!s_fa_netprofitmargin(E328,$C$3)</f>
        <v>15.9703</v>
      </c>
      <c r="Y328" s="125">
        <f ca="1">[1]!s_fa_roic(E328,$C$3)</f>
        <v>11.245200000000001</v>
      </c>
      <c r="Z328" s="125">
        <f ca="1">[1]!s_fa_operateincometoebt_ttm2(E328,$C$3)</f>
        <v>56.496400000000001</v>
      </c>
      <c r="AA328" s="125"/>
      <c r="AB328" s="343"/>
      <c r="AC328" s="125">
        <f ca="1">[1]!s_fa_cagr_tr($E328,AC$6,3)</f>
        <v>0</v>
      </c>
      <c r="AD328" s="125">
        <f ca="1">[1]!s_fa_cagr_tr($E328,AD$6,3)</f>
        <v>7.1141223162087153</v>
      </c>
      <c r="AE328" s="126">
        <f ca="1">[1]!s_fa_cagr_tr($E328,AE$6,3)</f>
        <v>8.9674393297344945</v>
      </c>
      <c r="AF328" s="126">
        <f ca="1">[1]!s_fa_cagr_tr($E328,AF$6,3)</f>
        <v>17.89697822485612</v>
      </c>
      <c r="AG328" s="126">
        <f ca="1">[1]!s_fa_cagr_tr($E328,AG$6,3)</f>
        <v>25.175319206700706</v>
      </c>
      <c r="AH328" s="126">
        <f ca="1">[1]!s_fa_cagr_tr($E328,AH$6,3)</f>
        <v>31.230958764609174</v>
      </c>
      <c r="AI328" s="169"/>
      <c r="AJ328" s="126">
        <f ca="1">[1]!s_fa_cagr_netprofit($E328,AJ$6,3)</f>
        <v>0</v>
      </c>
      <c r="AK328" s="126">
        <f ca="1">[1]!s_fa_cagr_netprofit($E328,AK$6,3)</f>
        <v>46.833505867667547</v>
      </c>
      <c r="AL328" s="126">
        <f ca="1">[1]!s_fa_cagr_netprofit($E328,AL$6,3)</f>
        <v>14.867135684176279</v>
      </c>
      <c r="AM328" s="126">
        <f ca="1">[1]!s_fa_cagr_netprofit($E328,AM$6,3)</f>
        <v>15.265336306566057</v>
      </c>
      <c r="AN328" s="126">
        <f ca="1">[1]!s_fa_cagr_netprofit($E328,AN$6,3)</f>
        <v>9.4301134764397609</v>
      </c>
      <c r="AO328" s="126">
        <f ca="1">[1]!s_fa_cagr_netprofit($E328,AO$6,3)</f>
        <v>18.934311487030108</v>
      </c>
      <c r="AP328" s="129"/>
      <c r="AQ328" s="203">
        <f ca="1">[1]!s_fa_dupont_roe(E328,$C$3)</f>
        <v>15.2705</v>
      </c>
      <c r="AR328" s="203">
        <f ca="1">[1]!s_fa_dupont_nptosales(B328,$C$3)</f>
        <v>15.9703</v>
      </c>
      <c r="AS328" s="238">
        <f ca="1">[1]!s_fa_dupont_faturnover(E328,$C$3)</f>
        <v>0.53029999999999999</v>
      </c>
      <c r="AT328" s="203">
        <f ca="1">[1]!s_fa_dupont_assetstoequity(E328,$C$3)</f>
        <v>1.8940999999999999</v>
      </c>
      <c r="AU328" s="129"/>
      <c r="AV328" s="129"/>
      <c r="AW328" s="129"/>
      <c r="AX328" s="129"/>
      <c r="AY328" s="129"/>
      <c r="AZ328" s="129"/>
      <c r="BA328" s="129"/>
      <c r="BB328" s="129"/>
      <c r="BC328" s="129"/>
      <c r="BD328" s="129"/>
      <c r="BE328" s="129"/>
    </row>
    <row r="329" spans="1:57" s="191" customFormat="1" ht="12" customHeight="1" x14ac:dyDescent="0.35">
      <c r="A329" s="182" t="s">
        <v>0</v>
      </c>
      <c r="B329" s="182" t="s">
        <v>447</v>
      </c>
      <c r="C329" s="182" t="s">
        <v>448</v>
      </c>
      <c r="D329" s="182" t="str">
        <f ca="1">[1]!cb_info_underlyingname(B329)</f>
        <v>艾华集团</v>
      </c>
      <c r="E329" s="183" t="str">
        <f ca="1">[1]!cb_info_underlyingcode(B329)</f>
        <v>603989.SH</v>
      </c>
      <c r="F329" s="184" t="str">
        <f ca="1">[1]!s_info_industry_sw(B329,1)</f>
        <v>电子</v>
      </c>
      <c r="G329" s="184" t="str">
        <f ca="1">[1]!s_info_industry_sw(E329,2)</f>
        <v>元件Ⅱ</v>
      </c>
      <c r="H329" s="184" t="str">
        <f ca="1">[1]!s_info_industry_sw(E329,3)</f>
        <v>被动元件</v>
      </c>
      <c r="I329" s="192" t="str">
        <f ca="1">[1]!s_info_majorproducttype(E329)</f>
        <v>电子元器件</v>
      </c>
      <c r="J329" s="189">
        <f ca="1">[1]!s_val_ev(E329,$B$2,100000000)</f>
        <v>125.04752205</v>
      </c>
      <c r="K329" s="193">
        <f ca="1">[1]!s_share_total(E329,$B$2,100000000)</f>
        <v>3.9951285000000007</v>
      </c>
      <c r="L329" s="193">
        <f ca="1">[1]!s_share_liqa(E329,$B$2,100000000)</f>
        <v>3.9951285000000007</v>
      </c>
      <c r="M329" s="186">
        <f ca="1">[1]!s_fa_gr_ttm2(E329,$C$3,100000000)</f>
        <v>23.8170225223</v>
      </c>
      <c r="N329" s="187">
        <f ca="1">[1]!s_fa_netprofit_ttm2(E329,$C$3,100000000)</f>
        <v>3.8805522369999998</v>
      </c>
      <c r="O329" s="186"/>
      <c r="P329" s="187">
        <f ca="1">[1]!s_val_pe_ttm(E329,[1]!td($B$2-1))</f>
        <v>28.674221038818359</v>
      </c>
      <c r="Q329" s="187">
        <f ca="1">[1]!i_val_pe_percentile(E329,[1]!td($B$2-1),$B$2-365*5,[1]!td($B$2-1))</f>
        <v>36.67763157894737</v>
      </c>
      <c r="R329" s="187">
        <f ca="1">[1]!pb_mrq(E329,[1]!td($B$2-1))</f>
        <v>4.6063917392573508</v>
      </c>
      <c r="S329" s="187">
        <f ca="1">[1]!i_val_pb_percentile(E329,[1]!td($B$2-1),$B$2-365*5,[1]!td($B$2-1))</f>
        <v>41.940789473684212</v>
      </c>
      <c r="T329" s="187">
        <f ca="1">[1]!s_val_pe_ttm([1]!to_windcode_index(H329&amp;"(申万)"),[1]!td($B$2-1))</f>
        <v>44.229999542236328</v>
      </c>
      <c r="U329" s="187"/>
      <c r="V329" s="187">
        <f ca="1">[1]!s_fa_roe(E329,$C$3)</f>
        <v>11.0793</v>
      </c>
      <c r="W329" s="187">
        <f ca="1">[1]!s_fa_grossprofitmargin(E329,$C$3)</f>
        <v>35.267899999999997</v>
      </c>
      <c r="X329" s="187">
        <f ca="1">[1]!s_fa_netprofitmargin(E329,$C$3)</f>
        <v>15.404199999999999</v>
      </c>
      <c r="Y329" s="187">
        <f ca="1">[1]!s_fa_roic(E329,$C$3)</f>
        <v>9.7363999999999997</v>
      </c>
      <c r="Z329" s="187">
        <f ca="1">[1]!s_fa_operateincometoebt_ttm2(E329,$C$3)</f>
        <v>83.645899999999997</v>
      </c>
      <c r="AA329" s="186"/>
      <c r="AB329" s="342"/>
      <c r="AC329" s="186">
        <f ca="1">[1]!s_fa_cagr_tr($E329,AC$6,3)</f>
        <v>0</v>
      </c>
      <c r="AD329" s="186">
        <f ca="1">[1]!s_fa_cagr_tr($E329,AD$6,3)</f>
        <v>11.974281109379525</v>
      </c>
      <c r="AE329" s="187">
        <f ca="1">[1]!s_fa_cagr_tr($E329,AE$6,3)</f>
        <v>13.211931075346573</v>
      </c>
      <c r="AF329" s="187">
        <f ca="1">[1]!s_fa_cagr_tr($E329,AF$6,3)</f>
        <v>18.285930706230324</v>
      </c>
      <c r="AG329" s="187">
        <f ca="1">[1]!s_fa_cagr_tr($E329,AG$6,3)</f>
        <v>15.155911700849934</v>
      </c>
      <c r="AH329" s="187">
        <f ca="1">[1]!s_fa_cagr_tr($E329,AH$6,3)</f>
        <v>13.786968936001664</v>
      </c>
      <c r="AI329" s="194"/>
      <c r="AJ329" s="187">
        <f ca="1">[1]!s_fa_cagr_netprofit($E329,AJ$6,3)</f>
        <v>0</v>
      </c>
      <c r="AK329" s="187">
        <f ca="1">[1]!s_fa_cagr_netprofit($E329,AK$6,3)</f>
        <v>9.2613652050291151</v>
      </c>
      <c r="AL329" s="187">
        <f ca="1">[1]!s_fa_cagr_netprofit($E329,AL$6,3)</f>
        <v>8.4925439570723746</v>
      </c>
      <c r="AM329" s="187">
        <f ca="1">[1]!s_fa_cagr_netprofit($E329,AM$6,3)</f>
        <v>9.7737010860754925</v>
      </c>
      <c r="AN329" s="187">
        <f ca="1">[1]!s_fa_cagr_netprofit($E329,AN$6,3)</f>
        <v>17.372740155740551</v>
      </c>
      <c r="AO329" s="187">
        <f ca="1">[1]!s_fa_cagr_netprofit($E329,AO$6,3)</f>
        <v>17.929127614522145</v>
      </c>
      <c r="AP329" s="189"/>
      <c r="AQ329" s="202">
        <f ca="1">[1]!s_fa_dupont_roe(E329,$C$3)</f>
        <v>11.0793</v>
      </c>
      <c r="AR329" s="202">
        <f ca="1">[1]!s_fa_dupont_nptosales(B329,$C$3)</f>
        <v>15.404199999999999</v>
      </c>
      <c r="AS329" s="237">
        <f ca="1">[1]!s_fa_dupont_faturnover(E329,$C$3)</f>
        <v>0.45379999999999998</v>
      </c>
      <c r="AT329" s="202">
        <f ca="1">[1]!s_fa_dupont_assetstoequity(E329,$C$3)</f>
        <v>1.5959000000000001</v>
      </c>
      <c r="AU329" s="189"/>
      <c r="AV329" s="189"/>
      <c r="AW329" s="189"/>
      <c r="AX329" s="189"/>
      <c r="AY329" s="189"/>
      <c r="AZ329" s="189"/>
      <c r="BA329" s="189"/>
      <c r="BB329" s="189"/>
      <c r="BC329" s="189"/>
      <c r="BD329" s="189"/>
      <c r="BE329" s="189"/>
    </row>
    <row r="330" spans="1:57" s="130" customFormat="1" ht="12" customHeight="1" x14ac:dyDescent="0.35">
      <c r="A330" s="121" t="s">
        <v>5</v>
      </c>
      <c r="B330" s="121" t="s">
        <v>22</v>
      </c>
      <c r="C330" s="121" t="s">
        <v>23</v>
      </c>
      <c r="D330" s="121" t="str">
        <f ca="1">[1]!cb_info_underlyingname(B330)</f>
        <v>崇达技术</v>
      </c>
      <c r="E330" s="122" t="str">
        <f ca="1">[1]!cb_info_underlyingcode(B330)</f>
        <v>002815.SZ</v>
      </c>
      <c r="F330" s="123" t="str">
        <f ca="1">[1]!s_info_industry_sw(B330,1)</f>
        <v>电子</v>
      </c>
      <c r="G330" s="123" t="str">
        <f ca="1">[1]!s_info_industry_sw(E330,2)</f>
        <v>元件Ⅱ</v>
      </c>
      <c r="H330" s="123" t="str">
        <f ca="1">[1]!s_info_industry_sw(E330,3)</f>
        <v>印制电路板</v>
      </c>
      <c r="I330" s="156" t="str">
        <f ca="1">[1]!s_info_majorproducttype(E330)</f>
        <v>电子元器件</v>
      </c>
      <c r="J330" s="129">
        <f ca="1">[1]!s_val_ev(E330,$B$2,100000000)</f>
        <v>112.08170444800001</v>
      </c>
      <c r="K330" s="157">
        <f ca="1">[1]!s_share_total(E330,$B$2,100000000)</f>
        <v>8.7563831600000004</v>
      </c>
      <c r="L330" s="157">
        <f ca="1">[1]!s_share_liqa(E330,$B$2,100000000)</f>
        <v>4.2969576500000004</v>
      </c>
      <c r="M330" s="125">
        <f ca="1">[1]!s_fa_gr_ttm2(E330,$C$3,100000000)</f>
        <v>42.426003672699999</v>
      </c>
      <c r="N330" s="126">
        <f ca="1">[1]!s_fa_netprofit_ttm2(E330,$C$3,100000000)</f>
        <v>5.1082741295999998</v>
      </c>
      <c r="O330" s="125"/>
      <c r="P330" s="126">
        <f ca="1">[1]!s_val_pe_ttm(E330,[1]!td($B$2-1))</f>
        <v>26.927909851074219</v>
      </c>
      <c r="Q330" s="126">
        <f ca="1">[1]!i_val_pe_percentile(E330,[1]!td($B$2-1),$B$2-365*5,[1]!td($B$2-1))</f>
        <v>34.422110552763819</v>
      </c>
      <c r="R330" s="126">
        <f ca="1">[1]!pb_mrq(E330,[1]!td($B$2-1))</f>
        <v>2.7415404199227806</v>
      </c>
      <c r="S330" s="126">
        <f ca="1">[1]!i_val_pb_percentile(E330,[1]!td($B$2-1),$B$2-365*5,[1]!td($B$2-1))</f>
        <v>7.4539363484087104</v>
      </c>
      <c r="T330" s="126">
        <f ca="1">[1]!s_val_pe_ttm([1]!to_windcode_index(H330&amp;"(申万)"),[1]!td($B$2-1))</f>
        <v>29.620000839233398</v>
      </c>
      <c r="U330" s="126"/>
      <c r="V330" s="126">
        <f ca="1">[1]!s_fa_roe(E330,$C$3)</f>
        <v>9.3635000000000002</v>
      </c>
      <c r="W330" s="126">
        <f ca="1">[1]!s_fa_grossprofitmargin(E330,$C$3)</f>
        <v>26.923999999999999</v>
      </c>
      <c r="X330" s="126">
        <f ca="1">[1]!s_fa_netprofitmargin(E330,$C$3)</f>
        <v>11.323</v>
      </c>
      <c r="Y330" s="126">
        <f ca="1">[1]!s_fa_roic(E330,$C$3)</f>
        <v>7.6810999999999998</v>
      </c>
      <c r="Z330" s="126">
        <f ca="1">[1]!s_fa_operateincometoebt_ttm2(E330,$C$3)</f>
        <v>83.801100000000005</v>
      </c>
      <c r="AA330" s="125"/>
      <c r="AB330" s="343"/>
      <c r="AC330" s="125">
        <f ca="1">[1]!s_fa_cagr_tr($E330,AC$6,3)</f>
        <v>0</v>
      </c>
      <c r="AD330" s="125">
        <f ca="1">[1]!s_fa_cagr_tr($E330,AD$6,3)</f>
        <v>12.074653610979681</v>
      </c>
      <c r="AE330" s="126">
        <f ca="1">[1]!s_fa_cagr_tr($E330,AE$6,3)</f>
        <v>18.384439720933997</v>
      </c>
      <c r="AF330" s="126">
        <f ca="1">[1]!s_fa_cagr_tr($E330,AF$6,3)</f>
        <v>27.669315528981265</v>
      </c>
      <c r="AG330" s="126">
        <f ca="1">[1]!s_fa_cagr_tr($E330,AG$6,3)</f>
        <v>24.939568628841524</v>
      </c>
      <c r="AH330" s="126">
        <f ca="1">[1]!s_fa_cagr_tr($E330,AH$6,3)</f>
        <v>21.720473348625148</v>
      </c>
      <c r="AI330" s="169"/>
      <c r="AJ330" s="126">
        <f ca="1">[1]!s_fa_cagr_netprofit($E330,AJ$6,3)</f>
        <v>0</v>
      </c>
      <c r="AK330" s="126">
        <f ca="1">[1]!s_fa_cagr_netprofit($E330,AK$6,3)</f>
        <v>-0.24720361238834698</v>
      </c>
      <c r="AL330" s="126">
        <f ca="1">[1]!s_fa_cagr_netprofit($E330,AL$6,3)</f>
        <v>11.868468893644391</v>
      </c>
      <c r="AM330" s="126">
        <f ca="1">[1]!s_fa_cagr_netprofit($E330,AM$6,3)</f>
        <v>23.048862643395008</v>
      </c>
      <c r="AN330" s="126">
        <f ca="1">[1]!s_fa_cagr_netprofit($E330,AN$6,3)</f>
        <v>17.514019650418923</v>
      </c>
      <c r="AO330" s="126">
        <f ca="1">[1]!s_fa_cagr_netprofit($E330,AO$6,3)</f>
        <v>46.417252241126874</v>
      </c>
      <c r="AP330" s="129"/>
      <c r="AQ330" s="203">
        <f ca="1">[1]!s_fa_dupont_roe(E330,$C$3)</f>
        <v>9.3635000000000002</v>
      </c>
      <c r="AR330" s="203">
        <f ca="1">[1]!s_fa_dupont_nptosales(B330,$C$3)</f>
        <v>11.323</v>
      </c>
      <c r="AS330" s="238">
        <f ca="1">[1]!s_fa_dupont_faturnover(E330,$C$3)</f>
        <v>0.5181</v>
      </c>
      <c r="AT330" s="203">
        <f ca="1">[1]!s_fa_dupont_assetstoequity(E330,$C$3)</f>
        <v>1.5858000000000001</v>
      </c>
      <c r="AU330" s="129"/>
      <c r="AV330" s="129"/>
      <c r="AW330" s="129"/>
      <c r="AX330" s="129"/>
      <c r="AY330" s="129"/>
      <c r="AZ330" s="129"/>
      <c r="BA330" s="129"/>
      <c r="BB330" s="129"/>
      <c r="BC330" s="129"/>
      <c r="BD330" s="129"/>
      <c r="BE330" s="129"/>
    </row>
    <row r="331" spans="1:57" s="191" customFormat="1" ht="12" customHeight="1" x14ac:dyDescent="0.35">
      <c r="A331" s="182" t="s">
        <v>5</v>
      </c>
      <c r="B331" s="182" t="s">
        <v>172</v>
      </c>
      <c r="C331" s="182" t="s">
        <v>173</v>
      </c>
      <c r="D331" s="182" t="str">
        <f ca="1">[1]!cb_info_underlyingname(B331)</f>
        <v>联创电子</v>
      </c>
      <c r="E331" s="183" t="str">
        <f ca="1">[1]!cb_info_underlyingcode(B331)</f>
        <v>002036.SZ</v>
      </c>
      <c r="F331" s="184" t="str">
        <f ca="1">[1]!s_info_industry_sw(B331,1)</f>
        <v>电子</v>
      </c>
      <c r="G331" s="184" t="str">
        <f ca="1">[1]!s_info_industry_sw(E331,2)</f>
        <v>光学光电子</v>
      </c>
      <c r="H331" s="184" t="str">
        <f ca="1">[1]!s_info_industry_sw(E331,3)</f>
        <v>显示器件Ⅲ</v>
      </c>
      <c r="I331" s="192" t="str">
        <f ca="1">[1]!s_info_majorproducttype(E331)</f>
        <v>光学设备、显示设备</v>
      </c>
      <c r="J331" s="189">
        <f ca="1">[1]!s_val_ev(E331,$B$2,100000000)</f>
        <v>174.0883169844</v>
      </c>
      <c r="K331" s="193">
        <f ca="1">[1]!s_share_total(E331,$B$2,100000000)</f>
        <v>10.62810238</v>
      </c>
      <c r="L331" s="193">
        <f ca="1">[1]!s_share_liqa(E331,$B$2,100000000)</f>
        <v>10.459297060000001</v>
      </c>
      <c r="M331" s="186">
        <f ca="1">[1]!s_fa_gr_ttm2(E331,$C$3,100000000)</f>
        <v>74.705717241400009</v>
      </c>
      <c r="N331" s="187">
        <f ca="1">[1]!s_fa_netprofit_ttm2(E331,$C$3,100000000)</f>
        <v>2.525829667</v>
      </c>
      <c r="O331" s="186"/>
      <c r="P331" s="187">
        <f ca="1">[1]!s_val_pe_ttm(E331,[1]!td($B$2-1))</f>
        <v>99.680885314941406</v>
      </c>
      <c r="Q331" s="187">
        <f ca="1">[1]!i_val_pe_percentile(E331,[1]!td($B$2-1),$B$2-365*5,[1]!td($B$2-1))</f>
        <v>94.57236842105263</v>
      </c>
      <c r="R331" s="187">
        <f ca="1">[1]!pb_mrq(E331,[1]!td($B$2-1))</f>
        <v>4.5973523204929423</v>
      </c>
      <c r="S331" s="187">
        <f ca="1">[1]!i_val_pb_percentile(E331,[1]!td($B$2-1),$B$2-365*5,[1]!td($B$2-1))</f>
        <v>54.550438596491226</v>
      </c>
      <c r="T331" s="187">
        <f ca="1">[1]!s_val_pe_ttm([1]!to_windcode_index(H331&amp;"(申万)"),[1]!td($B$2-1))</f>
        <v>15.699999809265137</v>
      </c>
      <c r="U331" s="187"/>
      <c r="V331" s="187">
        <f ca="1">[1]!s_fa_roe(E331,$C$3)</f>
        <v>8.4420000000000002</v>
      </c>
      <c r="W331" s="187">
        <f ca="1">[1]!s_fa_grossprofitmargin(E331,$C$3)</f>
        <v>10.5922</v>
      </c>
      <c r="X331" s="187">
        <f ca="1">[1]!s_fa_netprofitmargin(E331,$C$3)</f>
        <v>3.423</v>
      </c>
      <c r="Y331" s="187">
        <f ca="1">[1]!s_fa_roic(E331,$C$3)</f>
        <v>3.569</v>
      </c>
      <c r="Z331" s="187">
        <f ca="1">[1]!s_fa_operateincometoebt_ttm2(E331,$C$3)</f>
        <v>75.302599999999998</v>
      </c>
      <c r="AA331" s="186"/>
      <c r="AB331" s="342"/>
      <c r="AC331" s="186">
        <f ca="1">[1]!s_fa_cagr_tr($E331,AC$6,3)</f>
        <v>0</v>
      </c>
      <c r="AD331" s="186">
        <f ca="1">[1]!s_fa_cagr_tr($E331,AD$6,3)</f>
        <v>14.221083272090818</v>
      </c>
      <c r="AE331" s="187">
        <f ca="1">[1]!s_fa_cagr_tr($E331,AE$6,3)</f>
        <v>26.966139054287108</v>
      </c>
      <c r="AF331" s="187">
        <f ca="1">[1]!s_fa_cagr_tr($E331,AF$6,3)</f>
        <v>49.984764731177521</v>
      </c>
      <c r="AG331" s="187">
        <f ca="1">[1]!s_fa_cagr_tr($E331,AG$6,3)</f>
        <v>132.46242134687799</v>
      </c>
      <c r="AH331" s="187">
        <f ca="1">[1]!s_fa_cagr_tr($E331,AH$6,3)</f>
        <v>90.578071476305837</v>
      </c>
      <c r="AI331" s="194"/>
      <c r="AJ331" s="187">
        <f ca="1">[1]!s_fa_cagr_netprofit($E331,AJ$6,3)</f>
        <v>0</v>
      </c>
      <c r="AK331" s="187">
        <f ca="1">[1]!s_fa_cagr_netprofit($E331,AK$6,3)</f>
        <v>-16.632445687054819</v>
      </c>
      <c r="AL331" s="187">
        <f ca="1">[1]!s_fa_cagr_netprofit($E331,AL$6,3)</f>
        <v>8.2960776913247436</v>
      </c>
      <c r="AM331" s="187">
        <f ca="1">[1]!s_fa_cagr_netprofit($E331,AM$6,3)</f>
        <v>11.805357271362382</v>
      </c>
      <c r="AN331" s="187">
        <f ca="1">[1]!s_fa_cagr_netprofit($E331,AN$6,3)</f>
        <v>180.35810481426617</v>
      </c>
      <c r="AO331" s="187">
        <f ca="1">[1]!s_fa_cagr_netprofit($E331,AO$6,3)</f>
        <v>131.62267216600253</v>
      </c>
      <c r="AP331" s="189"/>
      <c r="AQ331" s="202">
        <f ca="1">[1]!s_fa_dupont_roe(E331,$C$3)</f>
        <v>8.4420000000000002</v>
      </c>
      <c r="AR331" s="202">
        <f ca="1">[1]!s_fa_dupont_nptosales(B331,$C$3)</f>
        <v>3.423</v>
      </c>
      <c r="AS331" s="237">
        <f ca="1">[1]!s_fa_dupont_faturnover(E331,$C$3)</f>
        <v>0.5575</v>
      </c>
      <c r="AT331" s="202">
        <f ca="1">[1]!s_fa_dupont_assetstoequity(E331,$C$3)</f>
        <v>4.0834999999999999</v>
      </c>
      <c r="AU331" s="189"/>
      <c r="AV331" s="201"/>
      <c r="AW331" s="189"/>
      <c r="AX331" s="189"/>
      <c r="AY331" s="189"/>
      <c r="AZ331" s="189"/>
      <c r="BA331" s="189"/>
      <c r="BB331" s="189"/>
      <c r="BC331" s="189"/>
      <c r="BD331" s="189"/>
      <c r="BE331" s="189"/>
    </row>
    <row r="332" spans="1:57" s="130" customFormat="1" ht="12" customHeight="1" x14ac:dyDescent="0.35">
      <c r="A332" s="121" t="s">
        <v>0</v>
      </c>
      <c r="B332" s="121" t="s">
        <v>838</v>
      </c>
      <c r="C332" s="121" t="s">
        <v>839</v>
      </c>
      <c r="D332" s="121" t="str">
        <f ca="1">[1]!cb_info_underlyingname(B332)</f>
        <v>世运电路</v>
      </c>
      <c r="E332" s="122" t="str">
        <f ca="1">[1]!cb_info_underlyingcode(B332)</f>
        <v>603920.SH</v>
      </c>
      <c r="F332" s="123" t="str">
        <f ca="1">[1]!s_info_industry_sw(B332,1)</f>
        <v>电子</v>
      </c>
      <c r="G332" s="123" t="str">
        <f ca="1">[1]!s_info_industry_sw(E332,2)</f>
        <v>元件Ⅱ</v>
      </c>
      <c r="H332" s="123" t="str">
        <f ca="1">[1]!s_info_industry_sw(E332,3)</f>
        <v>印制电路板</v>
      </c>
      <c r="I332" s="156" t="str">
        <f ca="1">[1]!s_info_majorproducttype(E332)</f>
        <v>电子元器件</v>
      </c>
      <c r="J332" s="129">
        <f ca="1">[1]!s_val_ev(E332,$B$2,100000000)</f>
        <v>85.529843099999994</v>
      </c>
      <c r="K332" s="157">
        <f ca="1">[1]!s_share_total(E332,$B$2,100000000)</f>
        <v>5.32233</v>
      </c>
      <c r="L332" s="157">
        <f ca="1">[1]!s_share_liqa(E332,$B$2,100000000)</f>
        <v>5.2917956000000004</v>
      </c>
      <c r="M332" s="125">
        <f ca="1">[1]!s_fa_gr_ttm2(E332,$C$3,100000000)</f>
        <v>24.8653231441</v>
      </c>
      <c r="N332" s="126">
        <f ca="1">[1]!s_fa_netprofit_ttm2(E332,$C$3,100000000)</f>
        <v>3.2665888436000001</v>
      </c>
      <c r="O332" s="125"/>
      <c r="P332" s="126">
        <f ca="1">[1]!s_val_pe_ttm(E332,[1]!td($B$2-1))</f>
        <v>35.723873138427734</v>
      </c>
      <c r="Q332" s="126">
        <f ca="1">[1]!i_val_pe_percentile(E332,[1]!td($B$2-1),$B$2-365*5,[1]!td($B$2-1))</f>
        <v>86.771159874608145</v>
      </c>
      <c r="R332" s="126">
        <f ca="1">[1]!pb_mrq(E332,[1]!td($B$2-1))</f>
        <v>3.3806299100599597</v>
      </c>
      <c r="S332" s="126">
        <f ca="1">[1]!i_val_pb_percentile(E332,[1]!td($B$2-1),$B$2-365*5,[1]!td($B$2-1))</f>
        <v>62.758620689655174</v>
      </c>
      <c r="T332" s="126">
        <f ca="1">[1]!s_val_pe_ttm([1]!to_windcode_index(H332&amp;"(申万)"),[1]!td($B$2-1))</f>
        <v>29.620000839233398</v>
      </c>
      <c r="U332" s="126"/>
      <c r="V332" s="126">
        <f ca="1">[1]!s_fa_roe(E332,$C$3)</f>
        <v>8.2971000000000004</v>
      </c>
      <c r="W332" s="126">
        <f ca="1">[1]!s_fa_grossprofitmargin(E332,$C$3)</f>
        <v>25.861499999999999</v>
      </c>
      <c r="X332" s="126">
        <f ca="1">[1]!s_fa_netprofitmargin(E332,$C$3)</f>
        <v>11.8651</v>
      </c>
      <c r="Y332" s="126">
        <f ca="1">[1]!s_fa_roic(E332,$C$3)</f>
        <v>7.0582000000000003</v>
      </c>
      <c r="Z332" s="126">
        <f ca="1">[1]!s_fa_operateincometoebt_ttm2(E332,$C$3)</f>
        <v>95.334400000000002</v>
      </c>
      <c r="AA332" s="125"/>
      <c r="AB332" s="343"/>
      <c r="AC332" s="125">
        <f ca="1">[1]!s_fa_cagr_tr($E332,AC$6,3)</f>
        <v>0</v>
      </c>
      <c r="AD332" s="125">
        <f ca="1">[1]!s_fa_cagr_tr($E332,AD$6,3)</f>
        <v>9.0193666038948628</v>
      </c>
      <c r="AE332" s="126">
        <f ca="1">[1]!s_fa_cagr_tr($E332,AE$6,3)</f>
        <v>14.263248769887182</v>
      </c>
      <c r="AF332" s="126">
        <f ca="1">[1]!s_fa_cagr_tr($E332,AF$6,3)</f>
        <v>15.667797061125066</v>
      </c>
      <c r="AG332" s="126">
        <f ca="1">[1]!s_fa_cagr_tr($E332,AG$6,3)</f>
        <v>16.382441539179847</v>
      </c>
      <c r="AH332" s="126">
        <f ca="1">[1]!s_fa_cagr_tr($E332,AH$6,3)</f>
        <v>11.751324807624863</v>
      </c>
      <c r="AI332" s="169"/>
      <c r="AJ332" s="126">
        <f ca="1">[1]!s_fa_cagr_netprofit($E332,AJ$6,3)</f>
        <v>0</v>
      </c>
      <c r="AK332" s="126">
        <f ca="1">[1]!s_fa_cagr_netprofit($E332,AK$6,3)</f>
        <v>18.901810176135459</v>
      </c>
      <c r="AL332" s="126">
        <f ca="1">[1]!s_fa_cagr_netprofit($E332,AL$6,3)</f>
        <v>7.4946170894266473</v>
      </c>
      <c r="AM332" s="126">
        <f ca="1">[1]!s_fa_cagr_netprofit($E332,AM$6,3)</f>
        <v>12.892428830608926</v>
      </c>
      <c r="AN332" s="126">
        <f ca="1">[1]!s_fa_cagr_netprofit($E332,AN$6,3)</f>
        <v>7.8881271179573886</v>
      </c>
      <c r="AO332" s="126">
        <f ca="1">[1]!s_fa_cagr_netprofit($E332,AO$6,3)</f>
        <v>27.568769553793636</v>
      </c>
      <c r="AP332" s="129"/>
      <c r="AQ332" s="203">
        <f ca="1">[1]!s_fa_dupont_roe(E332,$C$3)</f>
        <v>8.2971000000000004</v>
      </c>
      <c r="AR332" s="203">
        <f ca="1">[1]!s_fa_dupont_nptosales(B332,$C$3)</f>
        <v>11.8651</v>
      </c>
      <c r="AS332" s="238">
        <f ca="1">[1]!s_fa_dupont_faturnover(E332,$C$3)</f>
        <v>0.49859999999999999</v>
      </c>
      <c r="AT332" s="203">
        <f ca="1">[1]!s_fa_dupont_assetstoequity(E332,$C$3)</f>
        <v>1.4019999999999999</v>
      </c>
      <c r="AU332" s="129"/>
      <c r="AV332" s="129"/>
      <c r="AW332" s="129"/>
      <c r="AX332" s="129"/>
      <c r="AY332" s="129"/>
      <c r="AZ332" s="129"/>
      <c r="BA332" s="129"/>
      <c r="BB332" s="129"/>
      <c r="BC332" s="129"/>
      <c r="BD332" s="129"/>
      <c r="BE332" s="129"/>
    </row>
    <row r="333" spans="1:57" s="191" customFormat="1" ht="12" customHeight="1" x14ac:dyDescent="0.35">
      <c r="A333" s="182" t="s">
        <v>5</v>
      </c>
      <c r="B333" s="182" t="s">
        <v>14</v>
      </c>
      <c r="C333" s="182" t="s">
        <v>15</v>
      </c>
      <c r="D333" s="182" t="str">
        <f ca="1">[1]!cb_info_underlyingname(B333)</f>
        <v>聚飞光电</v>
      </c>
      <c r="E333" s="183" t="str">
        <f ca="1">[1]!cb_info_underlyingcode(B333)</f>
        <v>300303.SZ</v>
      </c>
      <c r="F333" s="184" t="str">
        <f ca="1">[1]!s_info_industry_sw(B333,1)</f>
        <v>电子</v>
      </c>
      <c r="G333" s="184" t="str">
        <f ca="1">[1]!s_info_industry_sw(E333,2)</f>
        <v>光学光电子</v>
      </c>
      <c r="H333" s="184" t="str">
        <f ca="1">[1]!s_info_industry_sw(E333,3)</f>
        <v>LED</v>
      </c>
      <c r="I333" s="192" t="str">
        <f ca="1">[1]!s_info_majorproducttype(E333)</f>
        <v>半导体照明</v>
      </c>
      <c r="J333" s="189">
        <f ca="1">[1]!s_val_ev(E333,$B$2,100000000)</f>
        <v>83.910639187499996</v>
      </c>
      <c r="K333" s="193">
        <f ca="1">[1]!s_share_total(E333,$B$2,100000000)</f>
        <v>13.42570227</v>
      </c>
      <c r="L333" s="193">
        <f ca="1">[1]!s_share_liqa(E333,$B$2,100000000)</f>
        <v>12.16262727</v>
      </c>
      <c r="M333" s="186">
        <f ca="1">[1]!s_fa_gr_ttm2(E333,$C$3,100000000)</f>
        <v>23.474653242800002</v>
      </c>
      <c r="N333" s="187">
        <f ca="1">[1]!s_fa_netprofit_ttm2(E333,$C$3,100000000)</f>
        <v>2.8503967743</v>
      </c>
      <c r="O333" s="186"/>
      <c r="P333" s="187">
        <f ca="1">[1]!s_val_pe_ttm(E333,[1]!td($B$2-1))</f>
        <v>29.302738189697266</v>
      </c>
      <c r="Q333" s="187">
        <f ca="1">[1]!i_val_pe_percentile(E333,[1]!td($B$2-1),$B$2-365*5,[1]!td($B$2-1))</f>
        <v>47.944078947368425</v>
      </c>
      <c r="R333" s="187">
        <f ca="1">[1]!pb_mrq(E333,[1]!td($B$2-1))</f>
        <v>3.5463733436871836</v>
      </c>
      <c r="S333" s="187">
        <f ca="1">[1]!i_val_pb_percentile(E333,[1]!td($B$2-1),$B$2-365*5,[1]!td($B$2-1))</f>
        <v>65.652412280701753</v>
      </c>
      <c r="T333" s="187">
        <f ca="1">[1]!s_val_pe_ttm([1]!to_windcode_index(H333&amp;"(申万)"),[1]!td($B$2-1))</f>
        <v>69.629997253417969</v>
      </c>
      <c r="U333" s="187"/>
      <c r="V333" s="187">
        <f ca="1">[1]!s_fa_roe(E333,$C$3)</f>
        <v>10.063700000000001</v>
      </c>
      <c r="W333" s="187">
        <f ca="1">[1]!s_fa_grossprofitmargin(E333,$C$3)</f>
        <v>28.763100000000001</v>
      </c>
      <c r="X333" s="187">
        <f ca="1">[1]!s_fa_netprofitmargin(E333,$C$3)</f>
        <v>13.770799999999999</v>
      </c>
      <c r="Y333" s="187">
        <f ca="1">[1]!s_fa_roic(E333,$C$3)</f>
        <v>8.7498000000000005</v>
      </c>
      <c r="Z333" s="187">
        <f ca="1">[1]!s_fa_operateincometoebt_ttm2(E333,$C$3)</f>
        <v>82.325900000000004</v>
      </c>
      <c r="AA333" s="186"/>
      <c r="AB333" s="342"/>
      <c r="AC333" s="186">
        <f ca="1">[1]!s_fa_cagr_tr($E333,AC$6,3)</f>
        <v>0</v>
      </c>
      <c r="AD333" s="186">
        <f ca="1">[1]!s_fa_cagr_tr($E333,AD$6,3)</f>
        <v>4.5869967060411909</v>
      </c>
      <c r="AE333" s="187">
        <f ca="1">[1]!s_fa_cagr_tr($E333,AE$6,3)</f>
        <v>18.432402433354824</v>
      </c>
      <c r="AF333" s="187">
        <f ca="1">[1]!s_fa_cagr_tr($E333,AF$6,3)</f>
        <v>34.700680432230911</v>
      </c>
      <c r="AG333" s="187">
        <f ca="1">[1]!s_fa_cagr_tr($E333,AG$6,3)</f>
        <v>27.544281025927187</v>
      </c>
      <c r="AH333" s="187">
        <f ca="1">[1]!s_fa_cagr_tr($E333,AH$6,3)</f>
        <v>26.043414417146906</v>
      </c>
      <c r="AI333" s="194"/>
      <c r="AJ333" s="187">
        <f ca="1">[1]!s_fa_cagr_netprofit($E333,AJ$6,3)</f>
        <v>0</v>
      </c>
      <c r="AK333" s="187">
        <f ca="1">[1]!s_fa_cagr_netprofit($E333,AK$6,3)</f>
        <v>72.073974036622218</v>
      </c>
      <c r="AL333" s="187">
        <f ca="1">[1]!s_fa_cagr_netprofit($E333,AL$6,3)</f>
        <v>25.722082605767383</v>
      </c>
      <c r="AM333" s="187">
        <f ca="1">[1]!s_fa_cagr_netprofit($E333,AM$6,3)</f>
        <v>16.004473543999787</v>
      </c>
      <c r="AN333" s="187">
        <f ca="1">[1]!s_fa_cagr_netprofit($E333,AN$6,3)</f>
        <v>-30.581766662521524</v>
      </c>
      <c r="AO333" s="187">
        <f ca="1">[1]!s_fa_cagr_netprofit($E333,AO$6,3)</f>
        <v>5.833327349657802</v>
      </c>
      <c r="AP333" s="189"/>
      <c r="AQ333" s="202">
        <f ca="1">[1]!s_fa_dupont_roe(E333,$C$3)</f>
        <v>10.063700000000001</v>
      </c>
      <c r="AR333" s="202">
        <f ca="1">[1]!s_fa_dupont_nptosales(B333,$C$3)</f>
        <v>13.770799999999999</v>
      </c>
      <c r="AS333" s="237">
        <f ca="1">[1]!s_fa_dupont_faturnover(E333,$C$3)</f>
        <v>0.37959999999999999</v>
      </c>
      <c r="AT333" s="202">
        <f ca="1">[1]!s_fa_dupont_assetstoequity(E333,$C$3)</f>
        <v>1.9397</v>
      </c>
      <c r="AU333" s="189"/>
      <c r="AV333" s="189"/>
      <c r="AW333" s="189"/>
      <c r="AX333" s="189"/>
      <c r="AY333" s="189"/>
      <c r="AZ333" s="189"/>
      <c r="BA333" s="189"/>
      <c r="BB333" s="189"/>
      <c r="BC333" s="189"/>
      <c r="BD333" s="189"/>
      <c r="BE333" s="189"/>
    </row>
    <row r="334" spans="1:57" s="130" customFormat="1" ht="12" customHeight="1" x14ac:dyDescent="0.35">
      <c r="A334" s="121" t="s">
        <v>0</v>
      </c>
      <c r="B334" s="121" t="s">
        <v>12</v>
      </c>
      <c r="C334" s="121" t="s">
        <v>13</v>
      </c>
      <c r="D334" s="121" t="str">
        <f ca="1">[1]!cb_info_underlyingname(B334)</f>
        <v>春秋电子</v>
      </c>
      <c r="E334" s="122" t="str">
        <f ca="1">[1]!cb_info_underlyingcode(B334)</f>
        <v>603890.SH</v>
      </c>
      <c r="F334" s="123" t="str">
        <f ca="1">[1]!s_info_industry_sw(B334,1)</f>
        <v>电子</v>
      </c>
      <c r="G334" s="123" t="str">
        <f ca="1">[1]!s_info_industry_sw(E334,2)</f>
        <v>电子制造</v>
      </c>
      <c r="H334" s="123" t="str">
        <f ca="1">[1]!s_info_industry_sw(E334,3)</f>
        <v>电子零部件制造</v>
      </c>
      <c r="I334" s="156" t="str">
        <f ca="1">[1]!s_info_majorproducttype(E334)</f>
        <v>电脑配件、专用设备与零部件</v>
      </c>
      <c r="J334" s="129">
        <f ca="1">[1]!s_val_ev(E334,$B$2,100000000)</f>
        <v>53.751826461599997</v>
      </c>
      <c r="K334" s="157">
        <f ca="1">[1]!s_share_total(E334,$B$2,100000000)</f>
        <v>4.3914890900000003</v>
      </c>
      <c r="L334" s="157">
        <f ca="1">[1]!s_share_liqa(E334,$B$2,100000000)</f>
        <v>3.8708159000000002</v>
      </c>
      <c r="M334" s="125">
        <f ca="1">[1]!s_fa_gr_ttm2(E334,$C$3,100000000)</f>
        <v>30.883661654000001</v>
      </c>
      <c r="N334" s="126">
        <f ca="1">[1]!s_fa_netprofit_ttm2(E334,$C$3,100000000)</f>
        <v>2.6905256433999996</v>
      </c>
      <c r="O334" s="125"/>
      <c r="P334" s="126">
        <f ca="1">[1]!s_val_pe_ttm(E334,[1]!td($B$2-1))</f>
        <v>19.153556823730469</v>
      </c>
      <c r="Q334" s="126">
        <f ca="1">[1]!i_val_pe_percentile(E334,[1]!td($B$2-1),$B$2-365*5,[1]!td($B$2-1))</f>
        <v>20.952380952380953</v>
      </c>
      <c r="R334" s="126">
        <f ca="1">[1]!pb_mrq(E334,[1]!td($B$2-1))</f>
        <v>2.8131923893994513</v>
      </c>
      <c r="S334" s="126">
        <f ca="1">[1]!i_val_pb_percentile(E334,[1]!td($B$2-1),$B$2-365*5,[1]!td($B$2-1))</f>
        <v>38.681318681318686</v>
      </c>
      <c r="T334" s="126">
        <f ca="1">[1]!s_val_pe_ttm([1]!to_windcode_index(H334&amp;"(申万)"),[1]!td($B$2-1))</f>
        <v>37</v>
      </c>
      <c r="U334" s="126"/>
      <c r="V334" s="126">
        <f ca="1">[1]!s_fa_roe(E334,$C$3)</f>
        <v>12.086</v>
      </c>
      <c r="W334" s="126">
        <f ca="1">[1]!s_fa_grossprofitmargin(E334,$C$3)</f>
        <v>19.6846</v>
      </c>
      <c r="X334" s="126">
        <f ca="1">[1]!s_fa_netprofitmargin(E334,$C$3)</f>
        <v>8.1265000000000001</v>
      </c>
      <c r="Y334" s="126">
        <f ca="1">[1]!s_fa_roic(E334,$C$3)</f>
        <v>9.4258000000000006</v>
      </c>
      <c r="Z334" s="126">
        <f ca="1">[1]!s_fa_operateincometoebt_ttm2(E334,$C$3)</f>
        <v>96.912599999999998</v>
      </c>
      <c r="AA334" s="125"/>
      <c r="AB334" s="343"/>
      <c r="AC334" s="125">
        <f ca="1">[1]!s_fa_cagr_tr($E334,AC$6,3)</f>
        <v>0</v>
      </c>
      <c r="AD334" s="125">
        <f ca="1">[1]!s_fa_cagr_tr($E334,AD$6,3)</f>
        <v>27.216716946996012</v>
      </c>
      <c r="AE334" s="126">
        <f ca="1">[1]!s_fa_cagr_tr($E334,AE$6,3)</f>
        <v>11.285407649670432</v>
      </c>
      <c r="AF334" s="126">
        <f ca="1">[1]!s_fa_cagr_tr($E334,AF$6,3)</f>
        <v>11.647066888649093</v>
      </c>
      <c r="AG334" s="126">
        <f ca="1">[1]!s_fa_cagr_tr($E334,AG$6,3)</f>
        <v>13.083089392356783</v>
      </c>
      <c r="AH334" s="126">
        <f ca="1">[1]!s_fa_cagr_tr($E334,AH$6,3)</f>
        <v>14.943288154505186</v>
      </c>
      <c r="AI334" s="169"/>
      <c r="AJ334" s="126">
        <f ca="1">[1]!s_fa_cagr_netprofit($E334,AJ$6,3)</f>
        <v>0</v>
      </c>
      <c r="AK334" s="126">
        <f ca="1">[1]!s_fa_cagr_netprofit($E334,AK$6,3)</f>
        <v>15.495308373182048</v>
      </c>
      <c r="AL334" s="126">
        <f ca="1">[1]!s_fa_cagr_netprofit($E334,AL$6,3)</f>
        <v>2.0261106358828496</v>
      </c>
      <c r="AM334" s="126">
        <f ca="1">[1]!s_fa_cagr_netprofit($E334,AM$6,3)</f>
        <v>7.6398953666046543</v>
      </c>
      <c r="AN334" s="126">
        <f ca="1">[1]!s_fa_cagr_netprofit($E334,AN$6,3)</f>
        <v>41.312254068506405</v>
      </c>
      <c r="AO334" s="126">
        <f ca="1">[1]!s_fa_cagr_netprofit($E334,AO$6,3)</f>
        <v>60.825697967675673</v>
      </c>
      <c r="AP334" s="129"/>
      <c r="AQ334" s="203">
        <f ca="1">[1]!s_fa_dupont_roe(E334,$C$3)</f>
        <v>12.086</v>
      </c>
      <c r="AR334" s="203">
        <f ca="1">[1]!s_fa_dupont_nptosales(B334,$C$3)</f>
        <v>8.1265000000000001</v>
      </c>
      <c r="AS334" s="238">
        <f ca="1">[1]!s_fa_dupont_faturnover(E334,$C$3)</f>
        <v>0.7077</v>
      </c>
      <c r="AT334" s="203">
        <f ca="1">[1]!s_fa_dupont_assetstoequity(E334,$C$3)</f>
        <v>2.1031</v>
      </c>
      <c r="AU334" s="129"/>
      <c r="AV334" s="129"/>
      <c r="AW334" s="129"/>
      <c r="AX334" s="129"/>
      <c r="AY334" s="129"/>
      <c r="AZ334" s="129"/>
      <c r="BA334" s="129"/>
      <c r="BB334" s="129"/>
      <c r="BC334" s="129"/>
      <c r="BD334" s="129"/>
      <c r="BE334" s="129"/>
    </row>
    <row r="335" spans="1:57" s="191" customFormat="1" ht="12" customHeight="1" x14ac:dyDescent="0.35">
      <c r="A335" s="182" t="s">
        <v>5</v>
      </c>
      <c r="B335" s="182" t="s">
        <v>577</v>
      </c>
      <c r="C335" s="182" t="s">
        <v>578</v>
      </c>
      <c r="D335" s="182" t="str">
        <f ca="1">[1]!cb_info_underlyingname(B335)</f>
        <v>弘信电子</v>
      </c>
      <c r="E335" s="183" t="str">
        <f ca="1">[1]!cb_info_underlyingcode(B335)</f>
        <v>300657.SZ</v>
      </c>
      <c r="F335" s="184" t="str">
        <f ca="1">[1]!s_info_industry_sw(B335,1)</f>
        <v>电子</v>
      </c>
      <c r="G335" s="184" t="str">
        <f ca="1">[1]!s_info_industry_sw(E335,2)</f>
        <v>元件Ⅱ</v>
      </c>
      <c r="H335" s="184" t="str">
        <f ca="1">[1]!s_info_industry_sw(E335,3)</f>
        <v>印制电路板</v>
      </c>
      <c r="I335" s="192" t="str">
        <f ca="1">[1]!s_info_majorproducttype(E335)</f>
        <v>电子元器件</v>
      </c>
      <c r="J335" s="189">
        <f ca="1">[1]!s_val_ev(E335,$B$2,100000000)</f>
        <v>106.988187186</v>
      </c>
      <c r="K335" s="193">
        <f ca="1">[1]!s_share_total(E335,$B$2,100000000)</f>
        <v>4.0991642600000002</v>
      </c>
      <c r="L335" s="193">
        <f ca="1">[1]!s_share_liqa(E335,$B$2,100000000)</f>
        <v>3.8773319800000001</v>
      </c>
      <c r="M335" s="186">
        <f ca="1">[1]!s_fa_gr_ttm2(E335,$C$3,100000000)</f>
        <v>24.319796774699999</v>
      </c>
      <c r="N335" s="187">
        <f ca="1">[1]!s_fa_netprofit_ttm2(E335,$C$3,100000000)</f>
        <v>1.0728078035999999</v>
      </c>
      <c r="O335" s="186"/>
      <c r="P335" s="187">
        <f ca="1">[1]!s_val_pe_ttm(E335,[1]!td($B$2-1))</f>
        <v>332.01669311523438</v>
      </c>
      <c r="Q335" s="187">
        <f ca="1">[1]!i_val_pe_percentile(E335,[1]!td($B$2-1),$B$2-365*5,[1]!td($B$2-1))</f>
        <v>100</v>
      </c>
      <c r="R335" s="187">
        <f ca="1">[1]!pb_mrq(E335,[1]!td($B$2-1))</f>
        <v>8.076380561976249</v>
      </c>
      <c r="S335" s="187">
        <f ca="1">[1]!i_val_pb_percentile(E335,[1]!td($B$2-1),$B$2-365*5,[1]!td($B$2-1))</f>
        <v>87.946428571428569</v>
      </c>
      <c r="T335" s="187">
        <f ca="1">[1]!s_val_pe_ttm([1]!to_windcode_index(H335&amp;"(申万)"),[1]!td($B$2-1))</f>
        <v>29.620000839233398</v>
      </c>
      <c r="U335" s="186"/>
      <c r="V335" s="186">
        <f ca="1">[1]!s_fa_roe(E335,$C$3)</f>
        <v>4.7385999999999999</v>
      </c>
      <c r="W335" s="186">
        <f ca="1">[1]!s_fa_grossprofitmargin(E335,$C$3)</f>
        <v>9.7461000000000002</v>
      </c>
      <c r="X335" s="186">
        <f ca="1">[1]!s_fa_netprofitmargin(E335,$C$3)</f>
        <v>3.8660000000000001</v>
      </c>
      <c r="Y335" s="186">
        <f ca="1">[1]!s_fa_roic(E335,$C$3)</f>
        <v>4.2614000000000001</v>
      </c>
      <c r="Z335" s="186">
        <f ca="1">[1]!s_fa_operateincometoebt_ttm2(E335,$C$3)</f>
        <v>8.6513000000000009</v>
      </c>
      <c r="AA335" s="186"/>
      <c r="AB335" s="342"/>
      <c r="AC335" s="186">
        <f ca="1">[1]!s_fa_cagr_tr($E335,AC$6,3)</f>
        <v>0</v>
      </c>
      <c r="AD335" s="186">
        <f ca="1">[1]!s_fa_cagr_tr($E335,AD$6,3)</f>
        <v>21.305345170378786</v>
      </c>
      <c r="AE335" s="187">
        <f ca="1">[1]!s_fa_cagr_tr($E335,AE$6,3)</f>
        <v>32.896592325047202</v>
      </c>
      <c r="AF335" s="187">
        <f ca="1">[1]!s_fa_cagr_tr($E335,AF$6,3)</f>
        <v>33.867081498870476</v>
      </c>
      <c r="AG335" s="187">
        <f ca="1">[1]!s_fa_cagr_tr($E335,AG$6,3)</f>
        <v>25.716611459893034</v>
      </c>
      <c r="AH335" s="187">
        <f ca="1">[1]!s_fa_cagr_tr($E335,AH$6,3)</f>
        <v>16.027909818630203</v>
      </c>
      <c r="AI335" s="194"/>
      <c r="AJ335" s="187">
        <f ca="1">[1]!s_fa_cagr_netprofit($E335,AJ$6,3)</f>
        <v>0</v>
      </c>
      <c r="AK335" s="187">
        <f ca="1">[1]!s_fa_cagr_netprofit($E335,AK$6,3)</f>
        <v>7.7760356121743701</v>
      </c>
      <c r="AL335" s="187">
        <f ca="1">[1]!s_fa_cagr_netprofit($E335,AL$6,3)</f>
        <v>58.421062026661154</v>
      </c>
      <c r="AM335" s="187">
        <f ca="1">[1]!s_fa_cagr_netprofit($E335,AM$6,3)</f>
        <v>50.080251228820273</v>
      </c>
      <c r="AN335" s="187">
        <f ca="1">[1]!s_fa_cagr_netprofit($E335,AN$6,3)</f>
        <v>-6.4273629391558673</v>
      </c>
      <c r="AO335" s="187">
        <f ca="1">[1]!s_fa_cagr_netprofit($E335,AO$6,3)</f>
        <v>-13.517479646396847</v>
      </c>
      <c r="AP335" s="189"/>
      <c r="AQ335" s="202">
        <f ca="1">[1]!s_fa_dupont_roe(E335,$C$3)</f>
        <v>4.7385999999999999</v>
      </c>
      <c r="AR335" s="202">
        <f ca="1">[1]!s_fa_dupont_nptosales(B335,$C$3)</f>
        <v>3.8660000000000001</v>
      </c>
      <c r="AS335" s="237">
        <f ca="1">[1]!s_fa_dupont_faturnover(E335,$C$3)</f>
        <v>0.5101</v>
      </c>
      <c r="AT335" s="202">
        <f ca="1">[1]!s_fa_dupont_assetstoequity(E335,$C$3)</f>
        <v>2.6065</v>
      </c>
      <c r="AU335" s="189"/>
      <c r="AV335" s="201"/>
      <c r="AW335" s="189"/>
      <c r="AX335" s="189"/>
      <c r="AY335" s="189"/>
      <c r="AZ335" s="189"/>
      <c r="BA335" s="189"/>
      <c r="BB335" s="189"/>
      <c r="BC335" s="189"/>
      <c r="BD335" s="189"/>
      <c r="BE335" s="189"/>
    </row>
    <row r="336" spans="1:57" s="130" customFormat="1" ht="12" customHeight="1" x14ac:dyDescent="0.35">
      <c r="A336" s="121" t="s">
        <v>5</v>
      </c>
      <c r="B336" s="121" t="s">
        <v>634</v>
      </c>
      <c r="C336" s="121" t="s">
        <v>635</v>
      </c>
      <c r="D336" s="121" t="str">
        <f ca="1">[1]!cb_info_underlyingname(B336)</f>
        <v>超声电子</v>
      </c>
      <c r="E336" s="122" t="str">
        <f ca="1">[1]!cb_info_underlyingcode(B336)</f>
        <v>000823.SZ</v>
      </c>
      <c r="F336" s="123" t="str">
        <f ca="1">[1]!s_info_industry_sw(B336,1)</f>
        <v>电子</v>
      </c>
      <c r="G336" s="123" t="str">
        <f ca="1">[1]!s_info_industry_sw(E336,2)</f>
        <v>元件Ⅱ</v>
      </c>
      <c r="H336" s="123" t="str">
        <f ca="1">[1]!s_info_industry_sw(E336,3)</f>
        <v>印制电路板</v>
      </c>
      <c r="I336" s="156" t="str">
        <f ca="1">[1]!s_info_majorproducttype(E336)</f>
        <v>电子元器件、显示设备、诊断治疗设备</v>
      </c>
      <c r="J336" s="129">
        <f ca="1">[1]!s_val_ev(E336,$B$2,100000000)</f>
        <v>62.772100096300001</v>
      </c>
      <c r="K336" s="157">
        <f ca="1">[1]!s_share_total(E336,$B$2,100000000)</f>
        <v>5.3697262700000001</v>
      </c>
      <c r="L336" s="157">
        <f ca="1">[1]!s_share_liqa(E336,$B$2,100000000)</f>
        <v>5.3692713899999998</v>
      </c>
      <c r="M336" s="125">
        <f ca="1">[1]!s_fa_gr_ttm2(E336,$C$3,100000000)</f>
        <v>49.1644983662</v>
      </c>
      <c r="N336" s="126">
        <f ca="1">[1]!s_fa_netprofit_ttm2(E336,$C$3,100000000)</f>
        <v>3.0827693368999998</v>
      </c>
      <c r="O336" s="125"/>
      <c r="P336" s="126">
        <f ca="1">[1]!s_val_pe_ttm(E336,[1]!td($B$2-1))</f>
        <v>17.935037612915039</v>
      </c>
      <c r="Q336" s="126">
        <f ca="1">[1]!i_val_pe_percentile(E336,[1]!td($B$2-1),$B$2-365*5,[1]!td($B$2-1))</f>
        <v>18.75</v>
      </c>
      <c r="R336" s="126">
        <f ca="1">[1]!pb_mrq(E336,[1]!td($B$2-1))</f>
        <v>1.6261118746116527</v>
      </c>
      <c r="S336" s="126">
        <f ca="1">[1]!i_val_pb_percentile(E336,[1]!td($B$2-1),$B$2-365*5,[1]!td($B$2-1))</f>
        <v>37.774122807017548</v>
      </c>
      <c r="T336" s="126">
        <f ca="1">[1]!s_val_pe_ttm([1]!to_windcode_index(H336&amp;"(申万)"),[1]!td($B$2-1))</f>
        <v>29.620000839233398</v>
      </c>
      <c r="U336" s="126"/>
      <c r="V336" s="126">
        <f ca="1">[1]!s_fa_roe(E336,$C$3)</f>
        <v>5.8312999999999997</v>
      </c>
      <c r="W336" s="126">
        <f ca="1">[1]!s_fa_grossprofitmargin(E336,$C$3)</f>
        <v>22.024799999999999</v>
      </c>
      <c r="X336" s="126">
        <f ca="1">[1]!s_fa_netprofitmargin(E336,$C$3)</f>
        <v>7.0671999999999997</v>
      </c>
      <c r="Y336" s="126">
        <f ca="1">[1]!s_fa_roic(E336,$C$3)</f>
        <v>5.6909000000000001</v>
      </c>
      <c r="Z336" s="126">
        <f ca="1">[1]!s_fa_operateincometoebt_ttm2(E336,$C$3)</f>
        <v>81.130099999999999</v>
      </c>
      <c r="AA336" s="125"/>
      <c r="AB336" s="343"/>
      <c r="AC336" s="125">
        <f ca="1">[1]!s_fa_cagr_tr($E336,AC$6,3)</f>
        <v>0</v>
      </c>
      <c r="AD336" s="125">
        <f ca="1">[1]!s_fa_cagr_tr($E336,AD$6,3)</f>
        <v>6.0528909981983681</v>
      </c>
      <c r="AE336" s="126">
        <f ca="1">[1]!s_fa_cagr_tr($E336,AE$6,3)</f>
        <v>11.079994705479447</v>
      </c>
      <c r="AF336" s="126">
        <f ca="1">[1]!s_fa_cagr_tr($E336,AF$6,3)</f>
        <v>10.736034529998694</v>
      </c>
      <c r="AG336" s="126">
        <f ca="1">[1]!s_fa_cagr_tr($E336,AG$6,3)</f>
        <v>2.8634454402213461</v>
      </c>
      <c r="AH336" s="126">
        <f ca="1">[1]!s_fa_cagr_tr($E336,AH$6,3)</f>
        <v>-0.11006057737343866</v>
      </c>
      <c r="AI336" s="169"/>
      <c r="AJ336" s="126">
        <f ca="1">[1]!s_fa_cagr_netprofit($E336,AJ$6,3)</f>
        <v>0</v>
      </c>
      <c r="AK336" s="126">
        <f ca="1">[1]!s_fa_cagr_netprofit($E336,AK$6,3)</f>
        <v>17.331390912970157</v>
      </c>
      <c r="AL336" s="126">
        <f ca="1">[1]!s_fa_cagr_netprofit($E336,AL$6,3)</f>
        <v>17.41908217249555</v>
      </c>
      <c r="AM336" s="126">
        <f ca="1">[1]!s_fa_cagr_netprofit($E336,AM$6,3)</f>
        <v>43.461358162792664</v>
      </c>
      <c r="AN336" s="126">
        <f ca="1">[1]!s_fa_cagr_netprofit($E336,AN$6,3)</f>
        <v>6.254711190701201</v>
      </c>
      <c r="AO336" s="126">
        <f ca="1">[1]!s_fa_cagr_netprofit($E336,AO$6,3)</f>
        <v>11.956606751590805</v>
      </c>
      <c r="AP336" s="129"/>
      <c r="AQ336" s="203">
        <f ca="1">[1]!s_fa_dupont_roe(E336,$C$3)</f>
        <v>5.8312999999999997</v>
      </c>
      <c r="AR336" s="203">
        <f ca="1">[1]!s_fa_dupont_nptosales(B336,$C$3)</f>
        <v>7.0671999999999997</v>
      </c>
      <c r="AS336" s="238">
        <f ca="1">[1]!s_fa_dupont_faturnover(E336,$C$3)</f>
        <v>0.62409999999999999</v>
      </c>
      <c r="AT336" s="203">
        <f ca="1">[1]!s_fa_dupont_assetstoequity(E336,$C$3)</f>
        <v>1.6109</v>
      </c>
      <c r="AU336" s="129"/>
      <c r="AV336" s="129"/>
      <c r="AW336" s="129"/>
      <c r="AX336" s="129"/>
      <c r="AY336" s="129"/>
      <c r="AZ336" s="129"/>
      <c r="BA336" s="129"/>
      <c r="BB336" s="129"/>
      <c r="BC336" s="129"/>
      <c r="BD336" s="129"/>
      <c r="BE336" s="129"/>
    </row>
    <row r="337" spans="1:57" s="191" customFormat="1" ht="12" customHeight="1" x14ac:dyDescent="0.35">
      <c r="A337" s="182" t="s">
        <v>5</v>
      </c>
      <c r="B337" s="182" t="s">
        <v>603</v>
      </c>
      <c r="C337" s="182" t="s">
        <v>604</v>
      </c>
      <c r="D337" s="182" t="str">
        <f ca="1">[1]!cb_info_underlyingname(B337)</f>
        <v>精研科技</v>
      </c>
      <c r="E337" s="183" t="str">
        <f ca="1">[1]!cb_info_underlyingcode(B337)</f>
        <v>300709.SZ</v>
      </c>
      <c r="F337" s="184" t="str">
        <f ca="1">[1]!s_info_industry_sw(B337,1)</f>
        <v>电子</v>
      </c>
      <c r="G337" s="184" t="str">
        <f ca="1">[1]!s_info_industry_sw(E337,2)</f>
        <v>电子制造</v>
      </c>
      <c r="H337" s="184" t="str">
        <f ca="1">[1]!s_info_industry_sw(E337,3)</f>
        <v>电子零部件制造</v>
      </c>
      <c r="I337" s="192" t="str">
        <f ca="1">[1]!s_info_majorproducttype(E337)</f>
        <v>专用设备与零部件</v>
      </c>
      <c r="J337" s="189">
        <f ca="1">[1]!s_val_ev(E337,$B$2,100000000)</f>
        <v>50.593693340500003</v>
      </c>
      <c r="K337" s="193">
        <f ca="1">[1]!s_share_total(E337,$B$2,100000000)</f>
        <v>1.38650845</v>
      </c>
      <c r="L337" s="193">
        <f ca="1">[1]!s_share_liqa(E337,$B$2,100000000)</f>
        <v>1.0648111600000001</v>
      </c>
      <c r="M337" s="186">
        <f ca="1">[1]!s_fa_gr_ttm2(E337,$C$3,100000000)</f>
        <v>15.568586093</v>
      </c>
      <c r="N337" s="187">
        <f ca="1">[1]!s_fa_netprofit_ttm2(E337,$C$3,100000000)</f>
        <v>1.5574896018000002</v>
      </c>
      <c r="O337" s="186"/>
      <c r="P337" s="187">
        <f ca="1">[1]!s_val_pe_ttm(E337,[1]!td($B$2-1))</f>
        <v>41.582630157470703</v>
      </c>
      <c r="Q337" s="187">
        <f ca="1">[1]!i_val_pe_percentile(E337,[1]!td($B$2-1),$B$2-365*5,[1]!td($B$2-1))</f>
        <v>40.944326990838618</v>
      </c>
      <c r="R337" s="187">
        <f ca="1">[1]!pb_mrq(E337,[1]!td($B$2-1))</f>
        <v>3.2304363850785562</v>
      </c>
      <c r="S337" s="187">
        <f ca="1">[1]!i_val_pb_percentile(E337,[1]!td($B$2-1),$B$2-365*5,[1]!td($B$2-1))</f>
        <v>35.65891472868217</v>
      </c>
      <c r="T337" s="187">
        <f ca="1">[1]!s_val_pe_ttm([1]!to_windcode_index(H337&amp;"(申万)"),[1]!td($B$2-1))</f>
        <v>37</v>
      </c>
      <c r="U337" s="187"/>
      <c r="V337" s="187">
        <f ca="1">[1]!s_fa_roe(E337,$C$3)</f>
        <v>5.9238999999999997</v>
      </c>
      <c r="W337" s="187">
        <f ca="1">[1]!s_fa_grossprofitmargin(E337,$C$3)</f>
        <v>28.808</v>
      </c>
      <c r="X337" s="187">
        <f ca="1">[1]!s_fa_netprofitmargin(E337,$C$3)</f>
        <v>7.8029999999999999</v>
      </c>
      <c r="Y337" s="187">
        <f ca="1">[1]!s_fa_roic(E337,$C$3)</f>
        <v>5.9055</v>
      </c>
      <c r="Z337" s="187">
        <f ca="1">[1]!s_fa_operateincometoebt_ttm2(E337,$C$3)</f>
        <v>67.909199999999998</v>
      </c>
      <c r="AA337" s="186"/>
      <c r="AB337" s="342"/>
      <c r="AC337" s="186">
        <f ca="1">[1]!s_fa_cagr_tr($E337,AC$6,3)</f>
        <v>0</v>
      </c>
      <c r="AD337" s="186">
        <f ca="1">[1]!s_fa_cagr_tr($E337,AD$6,3)</f>
        <v>19.252850750550323</v>
      </c>
      <c r="AE337" s="187">
        <f ca="1">[1]!s_fa_cagr_tr($E337,AE$6,3)</f>
        <v>27.591070440083556</v>
      </c>
      <c r="AF337" s="187">
        <f ca="1">[1]!s_fa_cagr_tr($E337,AF$6,3)</f>
        <v>24.77604346503497</v>
      </c>
      <c r="AG337" s="187">
        <f ca="1">[1]!s_fa_cagr_tr($E337,AG$6,3)</f>
        <v>63.651775933573695</v>
      </c>
      <c r="AH337" s="187">
        <f ca="1">[1]!s_fa_cagr_tr($E337,AH$6,3)</f>
        <v>95.763092938315111</v>
      </c>
      <c r="AI337" s="194"/>
      <c r="AJ337" s="187">
        <f ca="1">[1]!s_fa_cagr_netprofit($E337,AJ$6,3)</f>
        <v>0</v>
      </c>
      <c r="AK337" s="187">
        <f ca="1">[1]!s_fa_cagr_netprofit($E337,AK$6,3)</f>
        <v>-2.9422783199606006</v>
      </c>
      <c r="AL337" s="187">
        <f ca="1">[1]!s_fa_cagr_netprofit($E337,AL$6,3)</f>
        <v>1.9643135736005179</v>
      </c>
      <c r="AM337" s="187">
        <f ca="1">[1]!s_fa_cagr_netprofit($E337,AM$6,3)</f>
        <v>-32.273749668919685</v>
      </c>
      <c r="AN337" s="187">
        <f ca="1">[1]!s_fa_cagr_netprofit($E337,AN$6,3)</f>
        <v>68.201965083455775</v>
      </c>
      <c r="AO337" s="187">
        <f ca="1">[1]!s_fa_cagr_netprofit($E337,AO$6,3)</f>
        <v>208.79522296978311</v>
      </c>
      <c r="AP337" s="189"/>
      <c r="AQ337" s="202">
        <f ca="1">[1]!s_fa_dupont_roe(E337,$C$3)</f>
        <v>5.9238999999999997</v>
      </c>
      <c r="AR337" s="202">
        <f ca="1">[1]!s_fa_dupont_nptosales(B337,$C$3)</f>
        <v>7.8029999999999999</v>
      </c>
      <c r="AS337" s="237">
        <f ca="1">[1]!s_fa_dupont_faturnover(E337,$C$3)</f>
        <v>0.47539999999999999</v>
      </c>
      <c r="AT337" s="202">
        <f ca="1">[1]!s_fa_dupont_assetstoequity(E337,$C$3)</f>
        <v>1.597</v>
      </c>
      <c r="AU337" s="189"/>
      <c r="AV337" s="189"/>
      <c r="AW337" s="189"/>
      <c r="AX337" s="189"/>
      <c r="AY337" s="189"/>
      <c r="AZ337" s="189"/>
      <c r="BA337" s="189"/>
      <c r="BB337" s="189"/>
      <c r="BC337" s="189"/>
      <c r="BD337" s="189"/>
      <c r="BE337" s="189"/>
    </row>
    <row r="338" spans="1:57" s="130" customFormat="1" ht="12" customHeight="1" x14ac:dyDescent="0.35">
      <c r="A338" s="121" t="s">
        <v>5</v>
      </c>
      <c r="B338" s="121" t="s">
        <v>615</v>
      </c>
      <c r="C338" s="121" t="s">
        <v>832</v>
      </c>
      <c r="D338" s="121" t="str">
        <f ca="1">[1]!cb_info_underlyingname(B338)</f>
        <v>明阳电路</v>
      </c>
      <c r="E338" s="122" t="str">
        <f ca="1">[1]!cb_info_underlyingcode(B338)</f>
        <v>300739.SZ</v>
      </c>
      <c r="F338" s="123" t="str">
        <f ca="1">[1]!s_info_industry_sw(B338,1)</f>
        <v>电子</v>
      </c>
      <c r="G338" s="123" t="str">
        <f ca="1">[1]!s_info_industry_sw(E338,2)</f>
        <v>元件Ⅱ</v>
      </c>
      <c r="H338" s="123" t="str">
        <f ca="1">[1]!s_info_industry_sw(E338,3)</f>
        <v>印制电路板</v>
      </c>
      <c r="I338" s="156" t="str">
        <f ca="1">[1]!s_info_majorproducttype(E338)</f>
        <v>电子元器件</v>
      </c>
      <c r="J338" s="129">
        <f ca="1">[1]!s_val_ev(E338,$B$2,100000000)</f>
        <v>51.640204204799993</v>
      </c>
      <c r="K338" s="157">
        <f ca="1">[1]!s_share_total(E338,$B$2,100000000)</f>
        <v>2.9475002400000001</v>
      </c>
      <c r="L338" s="157">
        <f ca="1">[1]!s_share_liqa(E338,$B$2,100000000)</f>
        <v>2.8820402399999998</v>
      </c>
      <c r="M338" s="125">
        <f ca="1">[1]!s_fa_gr_ttm2(E338,$C$3,100000000)</f>
        <v>12.6228214948</v>
      </c>
      <c r="N338" s="126">
        <f ca="1">[1]!s_fa_netprofit_ttm2(E338,$C$3,100000000)</f>
        <v>1.4025853411000002</v>
      </c>
      <c r="O338" s="125"/>
      <c r="P338" s="126">
        <f ca="1">[1]!s_val_pe_ttm(E338,[1]!td($B$2-1))</f>
        <v>56.970932006835938</v>
      </c>
      <c r="Q338" s="126">
        <f ca="1">[1]!i_val_pe_percentile(E338,[1]!td($B$2-1),$B$2-365*5,[1]!td($B$2-1))</f>
        <v>97.640791476407912</v>
      </c>
      <c r="R338" s="126">
        <f ca="1">[1]!pb_mrq(E338,[1]!td($B$2-1))</f>
        <v>3.7852443835780281</v>
      </c>
      <c r="S338" s="126">
        <f ca="1">[1]!i_val_pb_percentile(E338,[1]!td($B$2-1),$B$2-365*5,[1]!td($B$2-1))</f>
        <v>99.771689497716892</v>
      </c>
      <c r="T338" s="126">
        <f ca="1">[1]!s_val_pe_ttm([1]!to_windcode_index(H338&amp;"(申万)"),[1]!td($B$2-1))</f>
        <v>29.620000839233398</v>
      </c>
      <c r="U338" s="126"/>
      <c r="V338" s="126">
        <f ca="1">[1]!s_fa_roe(E338,$C$3)</f>
        <v>8.1395999999999997</v>
      </c>
      <c r="W338" s="126">
        <f ca="1">[1]!s_fa_grossprofitmargin(E338,$C$3)</f>
        <v>30.123100000000001</v>
      </c>
      <c r="X338" s="126">
        <f ca="1">[1]!s_fa_netprofitmargin(E338,$C$3)</f>
        <v>11.4153</v>
      </c>
      <c r="Y338" s="126">
        <f ca="1">[1]!s_fa_roic(E338,$C$3)</f>
        <v>7.6996000000000002</v>
      </c>
      <c r="Z338" s="126">
        <f ca="1">[1]!s_fa_operateincometoebt_ttm2(E338,$C$3)</f>
        <v>76.897499999999994</v>
      </c>
      <c r="AA338" s="125"/>
      <c r="AB338" s="343"/>
      <c r="AC338" s="125">
        <f ca="1">[1]!s_fa_cagr_tr($E338,AC$6,3)</f>
        <v>0</v>
      </c>
      <c r="AD338" s="125">
        <f ca="1">[1]!s_fa_cagr_tr($E338,AD$6,3)</f>
        <v>7.0012452751161192</v>
      </c>
      <c r="AE338" s="126">
        <f ca="1">[1]!s_fa_cagr_tr($E338,AE$6,3)</f>
        <v>12.096492516115243</v>
      </c>
      <c r="AF338" s="126">
        <f ca="1">[1]!s_fa_cagr_tr($E338,AF$6,3)</f>
        <v>21.38357448775259</v>
      </c>
      <c r="AG338" s="126">
        <f ca="1">[1]!s_fa_cagr_tr($E338,AG$6,3)</f>
        <v>23.270971322319745</v>
      </c>
      <c r="AH338" s="126">
        <f ca="1">[1]!s_fa_cagr_tr($E338,AH$6,3)</f>
        <v>0</v>
      </c>
      <c r="AI338" s="169"/>
      <c r="AJ338" s="126">
        <f ca="1">[1]!s_fa_cagr_netprofit($E338,AJ$6,3)</f>
        <v>0</v>
      </c>
      <c r="AK338" s="126">
        <f ca="1">[1]!s_fa_cagr_netprofit($E338,AK$6,3)</f>
        <v>4.4045441344621628</v>
      </c>
      <c r="AL338" s="126">
        <f ca="1">[1]!s_fa_cagr_netprofit($E338,AL$6,3)</f>
        <v>2.5813572179647304</v>
      </c>
      <c r="AM338" s="126">
        <f ca="1">[1]!s_fa_cagr_netprofit($E338,AM$6,3)</f>
        <v>26.715433832729872</v>
      </c>
      <c r="AN338" s="126">
        <f ca="1">[1]!s_fa_cagr_netprofit($E338,AN$6,3)</f>
        <v>37.285073697610493</v>
      </c>
      <c r="AO338" s="126">
        <f ca="1">[1]!s_fa_cagr_netprofit($E338,AO$6,3)</f>
        <v>0</v>
      </c>
      <c r="AP338" s="129"/>
      <c r="AQ338" s="203">
        <f ca="1">[1]!s_fa_dupont_roe(E338,$C$3)</f>
        <v>8.1395999999999997</v>
      </c>
      <c r="AR338" s="203">
        <f ca="1">[1]!s_fa_dupont_nptosales(B338,$C$3)</f>
        <v>11.4153</v>
      </c>
      <c r="AS338" s="238">
        <f ca="1">[1]!s_fa_dupont_faturnover(E338,$C$3)</f>
        <v>0.51429999999999998</v>
      </c>
      <c r="AT338" s="203">
        <f ca="1">[1]!s_fa_dupont_assetstoequity(E338,$C$3)</f>
        <v>1.3856999999999999</v>
      </c>
      <c r="AU338" s="129"/>
      <c r="AV338" s="129"/>
      <c r="AW338" s="129"/>
      <c r="AX338" s="129"/>
      <c r="AY338" s="129"/>
      <c r="AZ338" s="129"/>
      <c r="BA338" s="129"/>
      <c r="BB338" s="129"/>
      <c r="BC338" s="129"/>
      <c r="BD338" s="129"/>
      <c r="BE338" s="129"/>
    </row>
    <row r="339" spans="1:57" s="191" customFormat="1" ht="12" customHeight="1" x14ac:dyDescent="0.35">
      <c r="A339" s="182" t="s">
        <v>5</v>
      </c>
      <c r="B339" s="182" t="s">
        <v>589</v>
      </c>
      <c r="C339" s="182" t="s">
        <v>590</v>
      </c>
      <c r="D339" s="182" t="str">
        <f ca="1">[1]!cb_info_underlyingname(B339)</f>
        <v>隆利科技</v>
      </c>
      <c r="E339" s="183" t="str">
        <f ca="1">[1]!cb_info_underlyingcode(B339)</f>
        <v>300752.SZ</v>
      </c>
      <c r="F339" s="184" t="str">
        <f ca="1">[1]!s_info_industry_sw(B339,1)</f>
        <v>电子</v>
      </c>
      <c r="G339" s="184" t="str">
        <f ca="1">[1]!s_info_industry_sw(E339,2)</f>
        <v>光学光电子</v>
      </c>
      <c r="H339" s="184" t="str">
        <f ca="1">[1]!s_info_industry_sw(E339,3)</f>
        <v>LED</v>
      </c>
      <c r="I339" s="192" t="str">
        <f ca="1">[1]!s_info_majorproducttype(E339)</f>
        <v>显示设备</v>
      </c>
      <c r="J339" s="189">
        <f ca="1">[1]!s_val_ev(E339,$B$2,100000000)</f>
        <v>49.305220179599999</v>
      </c>
      <c r="K339" s="193">
        <f ca="1">[1]!s_share_total(E339,$B$2,100000000)</f>
        <v>2.02236342</v>
      </c>
      <c r="L339" s="193">
        <f ca="1">[1]!s_share_liqa(E339,$B$2,100000000)</f>
        <v>0.64107276999999996</v>
      </c>
      <c r="M339" s="186">
        <f ca="1">[1]!s_fa_gr_ttm2(E339,$C$3,100000000)</f>
        <v>20.282912937399999</v>
      </c>
      <c r="N339" s="187">
        <f ca="1">[1]!s_fa_netprofit_ttm2(E339,$C$3,100000000)</f>
        <v>0.60838646659999995</v>
      </c>
      <c r="O339" s="186"/>
      <c r="P339" s="187">
        <f ca="1">[1]!s_val_pe_ttm(E339,[1]!td($B$2-1))</f>
        <v>-62.962882995605469</v>
      </c>
      <c r="Q339" s="187">
        <f ca="1">[1]!i_val_pe_percentile(E339,[1]!td($B$2-1),$B$2-365*5,[1]!td($B$2-1))</f>
        <v>0</v>
      </c>
      <c r="R339" s="187">
        <f ca="1">[1]!pb_mrq(E339,[1]!td($B$2-1))</f>
        <v>6.1123209931966898</v>
      </c>
      <c r="S339" s="187">
        <f ca="1">[1]!i_val_pb_percentile(E339,[1]!td($B$2-1),$B$2-365*5,[1]!td($B$2-1))</f>
        <v>72.430830039525702</v>
      </c>
      <c r="T339" s="187">
        <f ca="1">[1]!s_val_pe_ttm([1]!to_windcode_index(H339&amp;"(申万)"),[1]!td($B$2-1))</f>
        <v>69.629997253417969</v>
      </c>
      <c r="U339" s="187"/>
      <c r="V339" s="187">
        <f ca="1">[1]!s_fa_roe(E339,$C$3)</f>
        <v>5.4970999999999997</v>
      </c>
      <c r="W339" s="187">
        <f ca="1">[1]!s_fa_grossprofitmargin(E339,$C$3)</f>
        <v>13.5009</v>
      </c>
      <c r="X339" s="187">
        <f ca="1">[1]!s_fa_netprofitmargin(E339,$C$3)</f>
        <v>3.0438999999999998</v>
      </c>
      <c r="Y339" s="187">
        <f ca="1">[1]!s_fa_roic(E339,$C$3)</f>
        <v>5.0871000000000004</v>
      </c>
      <c r="Z339" s="187">
        <f ca="1">[1]!s_fa_operateincometoebt_ttm2(E339,$C$3)</f>
        <v>33.3626</v>
      </c>
      <c r="AA339" s="186"/>
      <c r="AB339" s="342"/>
      <c r="AC339" s="186">
        <f ca="1">[1]!s_fa_cagr_tr($E339,AC$6,3)</f>
        <v>0</v>
      </c>
      <c r="AD339" s="186">
        <f ca="1">[1]!s_fa_cagr_tr($E339,AD$6,3)</f>
        <v>30.361660308281159</v>
      </c>
      <c r="AE339" s="187">
        <f ca="1">[1]!s_fa_cagr_tr($E339,AE$6,3)</f>
        <v>38.05912510608642</v>
      </c>
      <c r="AF339" s="187">
        <f ca="1">[1]!s_fa_cagr_tr($E339,AF$6,3)</f>
        <v>63.059317507061728</v>
      </c>
      <c r="AG339" s="187">
        <f ca="1">[1]!s_fa_cagr_tr($E339,AG$6,3)</f>
        <v>47.363933775617269</v>
      </c>
      <c r="AH339" s="187">
        <f ca="1">[1]!s_fa_cagr_tr($E339,AH$6,3)</f>
        <v>0</v>
      </c>
      <c r="AI339" s="194"/>
      <c r="AJ339" s="187">
        <f ca="1">[1]!s_fa_cagr_netprofit($E339,AJ$6,3)</f>
        <v>0</v>
      </c>
      <c r="AK339" s="187">
        <f ca="1">[1]!s_fa_cagr_netprofit($E339,AK$6,3)</f>
        <v>-24.00749823908771</v>
      </c>
      <c r="AL339" s="187">
        <f ca="1">[1]!s_fa_cagr_netprofit($E339,AL$6,3)</f>
        <v>13.394596181508977</v>
      </c>
      <c r="AM339" s="187">
        <f ca="1">[1]!s_fa_cagr_netprofit($E339,AM$6,3)</f>
        <v>155.52158650131878</v>
      </c>
      <c r="AN339" s="187">
        <f ca="1">[1]!s_fa_cagr_netprofit($E339,AN$6,3)</f>
        <v>106.43263376894451</v>
      </c>
      <c r="AO339" s="187">
        <f ca="1">[1]!s_fa_cagr_netprofit($E339,AO$6,3)</f>
        <v>0</v>
      </c>
      <c r="AP339" s="189"/>
      <c r="AQ339" s="202">
        <f ca="1">[1]!s_fa_dupont_roe(E339,$C$3)</f>
        <v>5.4970999999999997</v>
      </c>
      <c r="AR339" s="202">
        <f ca="1">[1]!s_fa_dupont_nptosales(B339,$C$3)</f>
        <v>3.0438999999999998</v>
      </c>
      <c r="AS339" s="237">
        <f ca="1">[1]!s_fa_dupont_faturnover(E339,$C$3)</f>
        <v>0.75070000000000003</v>
      </c>
      <c r="AT339" s="202">
        <f ca="1">[1]!s_fa_dupont_assetstoequity(E339,$C$3)</f>
        <v>2.4056000000000002</v>
      </c>
      <c r="AU339" s="189"/>
      <c r="AV339" s="201"/>
      <c r="AW339" s="189"/>
      <c r="AX339" s="189"/>
      <c r="AY339" s="189"/>
      <c r="AZ339" s="189"/>
      <c r="BA339" s="189"/>
      <c r="BB339" s="189"/>
      <c r="BC339" s="189"/>
      <c r="BD339" s="189"/>
      <c r="BE339" s="189"/>
    </row>
    <row r="340" spans="1:57" s="130" customFormat="1" ht="12" customHeight="1" x14ac:dyDescent="0.35">
      <c r="A340" s="121" t="s">
        <v>5</v>
      </c>
      <c r="B340" s="121" t="s">
        <v>224</v>
      </c>
      <c r="C340" s="121" t="s">
        <v>225</v>
      </c>
      <c r="D340" s="121" t="str">
        <f ca="1">[1]!cb_info_underlyingname(B340)</f>
        <v>联得装备</v>
      </c>
      <c r="E340" s="122" t="str">
        <f ca="1">[1]!cb_info_underlyingcode(B340)</f>
        <v>300545.SZ</v>
      </c>
      <c r="F340" s="123" t="str">
        <f ca="1">[1]!s_info_industry_sw(B340,1)</f>
        <v>电子</v>
      </c>
      <c r="G340" s="123" t="str">
        <f ca="1">[1]!s_info_industry_sw(E340,2)</f>
        <v>光学光电子</v>
      </c>
      <c r="H340" s="123" t="str">
        <f ca="1">[1]!s_info_industry_sw(E340,3)</f>
        <v>显示器件Ⅲ</v>
      </c>
      <c r="I340" s="156" t="str">
        <f ca="1">[1]!s_info_majorproducttype(E340)</f>
        <v>显示设备、专用设备与零部件</v>
      </c>
      <c r="J340" s="129">
        <f ca="1">[1]!s_val_ev(E340,$B$2,100000000)</f>
        <v>46.780951649599999</v>
      </c>
      <c r="K340" s="157">
        <f ca="1">[1]!s_share_total(E340,$B$2,100000000)</f>
        <v>1.7773917800000001</v>
      </c>
      <c r="L340" s="157">
        <f ca="1">[1]!s_share_liqa(E340,$B$2,100000000)</f>
        <v>0.79156565000000001</v>
      </c>
      <c r="M340" s="125">
        <f ca="1">[1]!s_fa_gr_ttm2(E340,$C$3,100000000)</f>
        <v>7.6974570936999998</v>
      </c>
      <c r="N340" s="126">
        <f ca="1">[1]!s_fa_netprofit_ttm2(E340,$C$3,100000000)</f>
        <v>0.73778498989999997</v>
      </c>
      <c r="O340" s="125"/>
      <c r="P340" s="126">
        <f ca="1">[1]!s_val_pe_ttm(E340,[1]!td($B$2-1))</f>
        <v>94.700393676757813</v>
      </c>
      <c r="Q340" s="126">
        <f ca="1">[1]!i_val_pe_percentile(E340,[1]!td($B$2-1),$B$2-365*5,[1]!td($B$2-1))</f>
        <v>82.4376731301939</v>
      </c>
      <c r="R340" s="126">
        <f ca="1">[1]!pb_mrq(E340,[1]!td($B$2-1))</f>
        <v>3.396773532035831</v>
      </c>
      <c r="S340" s="126">
        <f ca="1">[1]!i_val_pb_percentile(E340,[1]!td($B$2-1),$B$2-365*5,[1]!td($B$2-1))</f>
        <v>5.9833795013850413</v>
      </c>
      <c r="T340" s="126">
        <f ca="1">[1]!s_val_pe_ttm([1]!to_windcode_index(H340&amp;"(申万)"),[1]!td($B$2-1))</f>
        <v>15.699999809265137</v>
      </c>
      <c r="U340" s="126"/>
      <c r="V340" s="126">
        <f ca="1">[1]!s_fa_roe(E340,$C$3)</f>
        <v>6.4764999999999997</v>
      </c>
      <c r="W340" s="126">
        <f ca="1">[1]!s_fa_grossprofitmargin(E340,$C$3)</f>
        <v>27.613099999999999</v>
      </c>
      <c r="X340" s="126">
        <f ca="1">[1]!s_fa_netprofitmargin(E340,$C$3)</f>
        <v>8.6265000000000001</v>
      </c>
      <c r="Y340" s="126">
        <f ca="1">[1]!s_fa_roic(E340,$C$3)</f>
        <v>4.3883000000000001</v>
      </c>
      <c r="Z340" s="126">
        <f ca="1">[1]!s_fa_operateincometoebt_ttm2(E340,$C$3)</f>
        <v>66.598799999999997</v>
      </c>
      <c r="AA340" s="125"/>
      <c r="AB340" s="343"/>
      <c r="AC340" s="125">
        <f ca="1">[1]!s_fa_cagr_tr($E340,AC$6,3)</f>
        <v>0</v>
      </c>
      <c r="AD340" s="125">
        <f ca="1">[1]!s_fa_cagr_tr($E340,AD$6,3)</f>
        <v>18.819873265334497</v>
      </c>
      <c r="AE340" s="126">
        <f ca="1">[1]!s_fa_cagr_tr($E340,AE$6,3)</f>
        <v>39.043555925940112</v>
      </c>
      <c r="AF340" s="126">
        <f ca="1">[1]!s_fa_cagr_tr($E340,AF$6,3)</f>
        <v>38.37224418528271</v>
      </c>
      <c r="AG340" s="126">
        <f ca="1">[1]!s_fa_cagr_tr($E340,AG$6,3)</f>
        <v>30.632734631568503</v>
      </c>
      <c r="AH340" s="126">
        <f ca="1">[1]!s_fa_cagr_tr($E340,AH$6,3)</f>
        <v>15.671354329241428</v>
      </c>
      <c r="AI340" s="169"/>
      <c r="AJ340" s="126">
        <f ca="1">[1]!s_fa_cagr_netprofit($E340,AJ$6,3)</f>
        <v>0</v>
      </c>
      <c r="AK340" s="126">
        <f ca="1">[1]!s_fa_cagr_netprofit($E340,AK$6,3)</f>
        <v>9.5394393802724853</v>
      </c>
      <c r="AL340" s="126">
        <f ca="1">[1]!s_fa_cagr_netprofit($E340,AL$6,3)</f>
        <v>28.141213000161969</v>
      </c>
      <c r="AM340" s="126">
        <f ca="1">[1]!s_fa_cagr_netprofit($E340,AM$6,3)</f>
        <v>18.44227210636047</v>
      </c>
      <c r="AN340" s="126">
        <f ca="1">[1]!s_fa_cagr_netprofit($E340,AN$6,3)</f>
        <v>5.6142241248275937</v>
      </c>
      <c r="AO340" s="126">
        <f ca="1">[1]!s_fa_cagr_netprofit($E340,AO$6,3)</f>
        <v>-1.1645223044758901</v>
      </c>
      <c r="AP340" s="129"/>
      <c r="AQ340" s="203">
        <f ca="1">[1]!s_fa_dupont_roe(E340,$C$3)</f>
        <v>6.4764999999999997</v>
      </c>
      <c r="AR340" s="203">
        <f ca="1">[1]!s_fa_dupont_nptosales(B340,$C$3)</f>
        <v>8.6265000000000001</v>
      </c>
      <c r="AS340" s="238">
        <f ca="1">[1]!s_fa_dupont_faturnover(E340,$C$3)</f>
        <v>0.37359999999999999</v>
      </c>
      <c r="AT340" s="203">
        <f ca="1">[1]!s_fa_dupont_assetstoequity(E340,$C$3)</f>
        <v>2.0093000000000001</v>
      </c>
      <c r="AU340" s="129"/>
      <c r="AV340" s="129"/>
      <c r="AW340" s="129"/>
      <c r="AX340" s="129"/>
      <c r="AY340" s="129"/>
      <c r="AZ340" s="129"/>
      <c r="BA340" s="129"/>
      <c r="BB340" s="129"/>
      <c r="BC340" s="129"/>
      <c r="BD340" s="129"/>
      <c r="BE340" s="129"/>
    </row>
    <row r="341" spans="1:57" s="191" customFormat="1" ht="12" customHeight="1" x14ac:dyDescent="0.35">
      <c r="A341" s="182" t="s">
        <v>5</v>
      </c>
      <c r="B341" s="182" t="s">
        <v>854</v>
      </c>
      <c r="C341" s="182" t="s">
        <v>855</v>
      </c>
      <c r="D341" s="182" t="str">
        <f ca="1">[1]!cb_info_underlyingname(B341)</f>
        <v>朗科智能</v>
      </c>
      <c r="E341" s="183" t="str">
        <f ca="1">[1]!cb_info_underlyingcode(B341)</f>
        <v>300543.SZ</v>
      </c>
      <c r="F341" s="184" t="str">
        <f ca="1">[1]!s_info_industry_sw(B341,1)</f>
        <v>电子</v>
      </c>
      <c r="G341" s="184" t="str">
        <f ca="1">[1]!s_info_industry_sw(E341,2)</f>
        <v>电子制造</v>
      </c>
      <c r="H341" s="184" t="str">
        <f ca="1">[1]!s_info_industry_sw(E341,3)</f>
        <v>电子零部件制造</v>
      </c>
      <c r="I341" s="192" t="str">
        <f ca="1">[1]!s_info_majorproducttype(E341)</f>
        <v>电子元器件</v>
      </c>
      <c r="J341" s="189">
        <f ca="1">[1]!s_val_ev(E341,$B$2,100000000)</f>
        <v>37.033394541</v>
      </c>
      <c r="K341" s="193">
        <f ca="1">[1]!s_share_total(E341,$B$2,100000000)</f>
        <v>2.6816361</v>
      </c>
      <c r="L341" s="193">
        <f ca="1">[1]!s_share_liqa(E341,$B$2,100000000)</f>
        <v>2.0572133400000001</v>
      </c>
      <c r="M341" s="186">
        <f ca="1">[1]!s_fa_gr_ttm2(E341,$C$3,100000000)</f>
        <v>14.6326479026</v>
      </c>
      <c r="N341" s="187">
        <f ca="1">[1]!s_fa_netprofit_ttm2(E341,$C$3,100000000)</f>
        <v>1.14413433</v>
      </c>
      <c r="O341" s="186"/>
      <c r="P341" s="187">
        <f ca="1">[1]!s_val_pe_ttm(E341,[1]!td($B$2-1))</f>
        <v>19.764324188232422</v>
      </c>
      <c r="Q341" s="187">
        <f ca="1">[1]!i_val_pe_percentile(E341,[1]!td($B$2-1),$B$2-365*5,[1]!td($B$2-1))</f>
        <v>2.5767543859649122</v>
      </c>
      <c r="R341" s="187">
        <f ca="1">[1]!pb_mrq(E341,[1]!td($B$2-1))</f>
        <v>4.0491646349399382</v>
      </c>
      <c r="S341" s="187">
        <f ca="1">[1]!i_val_pb_percentile(E341,[1]!td($B$2-1),$B$2-365*5,[1]!td($B$2-1))</f>
        <v>51.425438596491226</v>
      </c>
      <c r="T341" s="187">
        <f ca="1">[1]!s_val_pe_ttm([1]!to_windcode_index(H341&amp;"(申万)"),[1]!td($B$2-1))</f>
        <v>37</v>
      </c>
      <c r="U341" s="187"/>
      <c r="V341" s="187">
        <f ca="1">[1]!s_fa_roe(E341,$C$3)</f>
        <v>11.008100000000001</v>
      </c>
      <c r="W341" s="187">
        <f ca="1">[1]!s_fa_grossprofitmargin(E341,$C$3)</f>
        <v>21.006499999999999</v>
      </c>
      <c r="X341" s="187">
        <f ca="1">[1]!s_fa_netprofitmargin(E341,$C$3)</f>
        <v>8.1852999999999998</v>
      </c>
      <c r="Y341" s="187">
        <f ca="1">[1]!s_fa_roic(E341,$C$3)</f>
        <v>11.4206</v>
      </c>
      <c r="Z341" s="187">
        <f ca="1">[1]!s_fa_operateincometoebt_ttm2(E341,$C$3)</f>
        <v>94.215800000000002</v>
      </c>
      <c r="AA341" s="186"/>
      <c r="AB341" s="342"/>
      <c r="AC341" s="186">
        <f ca="1">[1]!s_fa_cagr_tr($E341,AC$6,3)</f>
        <v>0</v>
      </c>
      <c r="AD341" s="186">
        <f ca="1">[1]!s_fa_cagr_tr($E341,AD$6,3)</f>
        <v>11.970406188336668</v>
      </c>
      <c r="AE341" s="187">
        <f ca="1">[1]!s_fa_cagr_tr($E341,AE$6,3)</f>
        <v>14.382449574671185</v>
      </c>
      <c r="AF341" s="187">
        <f ca="1">[1]!s_fa_cagr_tr($E341,AF$6,3)</f>
        <v>18.968594790013427</v>
      </c>
      <c r="AG341" s="187">
        <f ca="1">[1]!s_fa_cagr_tr($E341,AG$6,3)</f>
        <v>26.3107172776905</v>
      </c>
      <c r="AH341" s="187">
        <f ca="1">[1]!s_fa_cagr_tr($E341,AH$6,3)</f>
        <v>20.798365362026662</v>
      </c>
      <c r="AI341" s="194"/>
      <c r="AJ341" s="187">
        <f ca="1">[1]!s_fa_cagr_netprofit($E341,AJ$6,3)</f>
        <v>0</v>
      </c>
      <c r="AK341" s="187">
        <f ca="1">[1]!s_fa_cagr_netprofit($E341,AK$6,3)</f>
        <v>22.69960508125839</v>
      </c>
      <c r="AL341" s="187">
        <f ca="1">[1]!s_fa_cagr_netprofit($E341,AL$6,3)</f>
        <v>10.467028787864297</v>
      </c>
      <c r="AM341" s="187">
        <f ca="1">[1]!s_fa_cagr_netprofit($E341,AM$6,3)</f>
        <v>-10.760055803929102</v>
      </c>
      <c r="AN341" s="187">
        <f ca="1">[1]!s_fa_cagr_netprofit($E341,AN$6,3)</f>
        <v>14.596131160021365</v>
      </c>
      <c r="AO341" s="187">
        <f ca="1">[1]!s_fa_cagr_netprofit($E341,AO$6,3)</f>
        <v>21.880769377827704</v>
      </c>
      <c r="AP341" s="189"/>
      <c r="AQ341" s="202">
        <f ca="1">[1]!s_fa_dupont_roe(E341,$C$3)</f>
        <v>11.008100000000001</v>
      </c>
      <c r="AR341" s="202">
        <f ca="1">[1]!s_fa_dupont_nptosales(B341,$C$3)</f>
        <v>8.1852999999999998</v>
      </c>
      <c r="AS341" s="237">
        <f ca="1">[1]!s_fa_dupont_faturnover(E341,$C$3)</f>
        <v>0.80920000000000003</v>
      </c>
      <c r="AT341" s="202">
        <f ca="1">[1]!s_fa_dupont_assetstoequity(E341,$C$3)</f>
        <v>1.6771</v>
      </c>
      <c r="AU341" s="189"/>
      <c r="AV341" s="189"/>
      <c r="AW341" s="189"/>
      <c r="AX341" s="189"/>
      <c r="AY341" s="189"/>
      <c r="AZ341" s="189"/>
      <c r="BA341" s="189"/>
      <c r="BB341" s="189"/>
      <c r="BC341" s="189"/>
      <c r="BD341" s="189"/>
      <c r="BE341" s="189"/>
    </row>
    <row r="342" spans="1:57" s="130" customFormat="1" ht="12" customHeight="1" x14ac:dyDescent="0.35">
      <c r="A342" s="121" t="s">
        <v>0</v>
      </c>
      <c r="B342" s="121" t="s">
        <v>162</v>
      </c>
      <c r="C342" s="121" t="s">
        <v>163</v>
      </c>
      <c r="D342" s="121" t="str">
        <f ca="1">[1]!cb_info_underlyingname(B342)</f>
        <v>华体科技</v>
      </c>
      <c r="E342" s="122" t="str">
        <f ca="1">[1]!cb_info_underlyingcode(B342)</f>
        <v>603679.SH</v>
      </c>
      <c r="F342" s="123" t="str">
        <f ca="1">[1]!s_info_industry_sw(B342,1)</f>
        <v>电子</v>
      </c>
      <c r="G342" s="123" t="str">
        <f ca="1">[1]!s_info_industry_sw(E342,2)</f>
        <v>光学光电子</v>
      </c>
      <c r="H342" s="123" t="str">
        <f ca="1">[1]!s_info_industry_sw(E342,3)</f>
        <v>LED</v>
      </c>
      <c r="I342" s="156" t="str">
        <f ca="1">[1]!s_info_majorproducttype(E342)</f>
        <v>半导体照明、移动通讯设备与配件、专业咨询服务</v>
      </c>
      <c r="J342" s="129">
        <f ca="1">[1]!s_val_ev(E342,$B$2,100000000)</f>
        <v>22.395238308899998</v>
      </c>
      <c r="K342" s="157">
        <f ca="1">[1]!s_share_total(E342,$B$2,100000000)</f>
        <v>1.42011657</v>
      </c>
      <c r="L342" s="157">
        <f ca="1">[1]!s_share_liqa(E342,$B$2,100000000)</f>
        <v>1.41570657</v>
      </c>
      <c r="M342" s="125">
        <f ca="1">[1]!s_fa_gr_ttm2(E342,$C$3,100000000)</f>
        <v>7.0860746577000002</v>
      </c>
      <c r="N342" s="126">
        <f ca="1">[1]!s_fa_netprofit_ttm2(E342,$C$3,100000000)</f>
        <v>0.6758421415000001</v>
      </c>
      <c r="O342" s="125"/>
      <c r="P342" s="126">
        <f ca="1">[1]!s_val_pe_ttm(E342,[1]!td($B$2-1))</f>
        <v>35.680049896240234</v>
      </c>
      <c r="Q342" s="126">
        <f ca="1">[1]!i_val_pe_percentile(E342,[1]!td($B$2-1),$B$2-365*5,[1]!td($B$2-1))</f>
        <v>7.4723846653671213</v>
      </c>
      <c r="R342" s="126">
        <f ca="1">[1]!pb_mrq(E342,[1]!td($B$2-1))</f>
        <v>2.9082532139883894</v>
      </c>
      <c r="S342" s="126">
        <f ca="1">[1]!i_val_pb_percentile(E342,[1]!td($B$2-1),$B$2-365*5,[1]!td($B$2-1))</f>
        <v>1.4944769330734242</v>
      </c>
      <c r="T342" s="126">
        <f ca="1">[1]!s_val_pe_ttm([1]!to_windcode_index(H342&amp;"(申万)"),[1]!td($B$2-1))</f>
        <v>69.629997253417969</v>
      </c>
      <c r="U342" s="126"/>
      <c r="V342" s="126">
        <f ca="1">[1]!s_fa_roe(E342,$C$3)</f>
        <v>7.4947999999999997</v>
      </c>
      <c r="W342" s="126">
        <f ca="1">[1]!s_fa_grossprofitmargin(E342,$C$3)</f>
        <v>28.1266</v>
      </c>
      <c r="X342" s="126">
        <f ca="1">[1]!s_fa_netprofitmargin(E342,$C$3)</f>
        <v>10.355700000000001</v>
      </c>
      <c r="Y342" s="126">
        <f ca="1">[1]!s_fa_roic(E342,$C$3)</f>
        <v>6.9901</v>
      </c>
      <c r="Z342" s="126">
        <f ca="1">[1]!s_fa_operateincometoebt_ttm2(E342,$C$3)</f>
        <v>90.843999999999994</v>
      </c>
      <c r="AA342" s="125"/>
      <c r="AB342" s="343"/>
      <c r="AC342" s="125">
        <f ca="1">[1]!s_fa_cagr_tr($E342,AC$6,3)</f>
        <v>0</v>
      </c>
      <c r="AD342" s="125">
        <f ca="1">[1]!s_fa_cagr_tr($E342,AD$6,3)</f>
        <v>13.507354884123179</v>
      </c>
      <c r="AE342" s="126">
        <f ca="1">[1]!s_fa_cagr_tr($E342,AE$6,3)</f>
        <v>20.381235081824144</v>
      </c>
      <c r="AF342" s="126">
        <f ca="1">[1]!s_fa_cagr_tr($E342,AF$6,3)</f>
        <v>12.387043184091562</v>
      </c>
      <c r="AG342" s="126">
        <f ca="1">[1]!s_fa_cagr_tr($E342,AG$6,3)</f>
        <v>10.012142877918961</v>
      </c>
      <c r="AH342" s="126">
        <f ca="1">[1]!s_fa_cagr_tr($E342,AH$6,3)</f>
        <v>4.944865651181507</v>
      </c>
      <c r="AI342" s="169"/>
      <c r="AJ342" s="126">
        <f ca="1">[1]!s_fa_cagr_netprofit($E342,AJ$6,3)</f>
        <v>0</v>
      </c>
      <c r="AK342" s="126">
        <f ca="1">[1]!s_fa_cagr_netprofit($E342,AK$6,3)</f>
        <v>7.72551048629746</v>
      </c>
      <c r="AL342" s="126">
        <f ca="1">[1]!s_fa_cagr_netprofit($E342,AL$6,3)</f>
        <v>25.104742493746922</v>
      </c>
      <c r="AM342" s="126">
        <f ca="1">[1]!s_fa_cagr_netprofit($E342,AM$6,3)</f>
        <v>18.348428205941246</v>
      </c>
      <c r="AN342" s="126">
        <f ca="1">[1]!s_fa_cagr_netprofit($E342,AN$6,3)</f>
        <v>14.129794079332703</v>
      </c>
      <c r="AO342" s="126">
        <f ca="1">[1]!s_fa_cagr_netprofit($E342,AO$6,3)</f>
        <v>5.8320421189630212</v>
      </c>
      <c r="AP342" s="129"/>
      <c r="AQ342" s="203">
        <f ca="1">[1]!s_fa_dupont_roe(E342,$C$3)</f>
        <v>7.4947999999999997</v>
      </c>
      <c r="AR342" s="203">
        <f ca="1">[1]!s_fa_dupont_nptosales(B342,$C$3)</f>
        <v>10.355700000000001</v>
      </c>
      <c r="AS342" s="238">
        <f ca="1">[1]!s_fa_dupont_faturnover(E342,$C$3)</f>
        <v>0.37630000000000002</v>
      </c>
      <c r="AT342" s="203">
        <f ca="1">[1]!s_fa_dupont_assetstoequity(E342,$C$3)</f>
        <v>1.9331</v>
      </c>
      <c r="AU342" s="129"/>
      <c r="AV342" s="129"/>
      <c r="AW342" s="129"/>
      <c r="AX342" s="129"/>
      <c r="AY342" s="129"/>
      <c r="AZ342" s="129"/>
      <c r="BA342" s="129"/>
      <c r="BB342" s="129"/>
      <c r="BC342" s="129"/>
      <c r="BD342" s="129"/>
      <c r="BE342" s="129"/>
    </row>
    <row r="343" spans="1:57" s="191" customFormat="1" ht="12" customHeight="1" x14ac:dyDescent="0.35">
      <c r="A343" s="182" t="s">
        <v>5</v>
      </c>
      <c r="B343" s="182" t="s">
        <v>100</v>
      </c>
      <c r="C343" s="182" t="s">
        <v>101</v>
      </c>
      <c r="D343" s="182" t="str">
        <f ca="1">[1]!cb_info_underlyingname(B343)</f>
        <v>瀛通通讯</v>
      </c>
      <c r="E343" s="183" t="str">
        <f ca="1">[1]!cb_info_underlyingcode(B343)</f>
        <v>002861.SZ</v>
      </c>
      <c r="F343" s="184" t="str">
        <f ca="1">[1]!s_info_industry_sw(B343,1)</f>
        <v>电子</v>
      </c>
      <c r="G343" s="184" t="str">
        <f ca="1">[1]!s_info_industry_sw(E343,2)</f>
        <v>电子制造</v>
      </c>
      <c r="H343" s="184" t="str">
        <f ca="1">[1]!s_info_industry_sw(E343,3)</f>
        <v>电子零部件制造</v>
      </c>
      <c r="I343" s="192" t="str">
        <f ca="1">[1]!s_info_majorproducttype(E343)</f>
        <v>专用设备与零部件</v>
      </c>
      <c r="J343" s="189">
        <f ca="1">[1]!s_val_ev(E343,$B$2,100000000)</f>
        <v>19.605199056</v>
      </c>
      <c r="K343" s="193">
        <f ca="1">[1]!s_share_total(E343,$B$2,100000000)</f>
        <v>1.58106444</v>
      </c>
      <c r="L343" s="193">
        <f ca="1">[1]!s_share_liqa(E343,$B$2,100000000)</f>
        <v>1.0798075199999999</v>
      </c>
      <c r="M343" s="186">
        <f ca="1">[1]!s_fa_gr_ttm2(E343,$C$3,100000000)</f>
        <v>11.795681909600001</v>
      </c>
      <c r="N343" s="187">
        <f ca="1">[1]!s_fa_netprofit_ttm2(E343,$C$3,100000000)</f>
        <v>0.57445721920000004</v>
      </c>
      <c r="O343" s="186"/>
      <c r="P343" s="187">
        <f ca="1">[1]!s_val_pe_ttm(E343,[1]!td($B$2-1))</f>
        <v>154.61346435546875</v>
      </c>
      <c r="Q343" s="187">
        <f ca="1">[1]!i_val_pe_percentile(E343,[1]!td($B$2-1),$B$2-365*5,[1]!td($B$2-1))</f>
        <v>100</v>
      </c>
      <c r="R343" s="187">
        <f ca="1">[1]!pb_mrq(E343,[1]!td($B$2-1))</f>
        <v>1.8751282157189186</v>
      </c>
      <c r="S343" s="187">
        <f ca="1">[1]!i_val_pb_percentile(E343,[1]!td($B$2-1),$B$2-365*5,[1]!td($B$2-1))</f>
        <v>0.808457711442786</v>
      </c>
      <c r="T343" s="187">
        <f ca="1">[1]!s_val_pe_ttm([1]!to_windcode_index(H343&amp;"(申万)"),[1]!td($B$2-1))</f>
        <v>37</v>
      </c>
      <c r="U343" s="187"/>
      <c r="V343" s="187">
        <f ca="1">[1]!s_fa_roe(E343,$C$3)</f>
        <v>3.1273</v>
      </c>
      <c r="W343" s="187">
        <f ca="1">[1]!s_fa_grossprofitmargin(E343,$C$3)</f>
        <v>21.805</v>
      </c>
      <c r="X343" s="187">
        <f ca="1">[1]!s_fa_netprofitmargin(E343,$C$3)</f>
        <v>3.7721</v>
      </c>
      <c r="Y343" s="187">
        <f ca="1">[1]!s_fa_roic(E343,$C$3)</f>
        <v>2.8157000000000001</v>
      </c>
      <c r="Z343" s="187">
        <f ca="1">[1]!s_fa_operateincometoebt_ttm2(E343,$C$3)</f>
        <v>79.801199999999994</v>
      </c>
      <c r="AA343" s="186"/>
      <c r="AB343" s="342"/>
      <c r="AC343" s="186">
        <f ca="1">[1]!s_fa_cagr_tr($E343,AC$6,3)</f>
        <v>0</v>
      </c>
      <c r="AD343" s="186">
        <f ca="1">[1]!s_fa_cagr_tr($E343,AD$6,3)</f>
        <v>18.729416694182333</v>
      </c>
      <c r="AE343" s="187">
        <f ca="1">[1]!s_fa_cagr_tr($E343,AE$6,3)</f>
        <v>22.294873575481809</v>
      </c>
      <c r="AF343" s="187">
        <f ca="1">[1]!s_fa_cagr_tr($E343,AF$6,3)</f>
        <v>5.2103950263926668</v>
      </c>
      <c r="AG343" s="187">
        <f ca="1">[1]!s_fa_cagr_tr($E343,AG$6,3)</f>
        <v>5.1811772637838871</v>
      </c>
      <c r="AH343" s="187">
        <f ca="1">[1]!s_fa_cagr_tr($E343,AH$6,3)</f>
        <v>6.4979607614493062</v>
      </c>
      <c r="AI343" s="194"/>
      <c r="AJ343" s="187">
        <f ca="1">[1]!s_fa_cagr_netprofit($E343,AJ$6,3)</f>
        <v>0</v>
      </c>
      <c r="AK343" s="187">
        <f ca="1">[1]!s_fa_cagr_netprofit($E343,AK$6,3)</f>
        <v>-19.397979841174585</v>
      </c>
      <c r="AL343" s="187">
        <f ca="1">[1]!s_fa_cagr_netprofit($E343,AL$6,3)</f>
        <v>-11.898850960530872</v>
      </c>
      <c r="AM343" s="187">
        <f ca="1">[1]!s_fa_cagr_netprofit($E343,AM$6,3)</f>
        <v>-21.74171585664817</v>
      </c>
      <c r="AN343" s="187">
        <f ca="1">[1]!s_fa_cagr_netprofit($E343,AN$6,3)</f>
        <v>-14.583391834116611</v>
      </c>
      <c r="AO343" s="187">
        <f ca="1">[1]!s_fa_cagr_netprofit($E343,AO$6,3)</f>
        <v>2.2025336427574427</v>
      </c>
      <c r="AP343" s="189"/>
      <c r="AQ343" s="202">
        <f ca="1">[1]!s_fa_dupont_roe(E343,$C$3)</f>
        <v>3.1273</v>
      </c>
      <c r="AR343" s="202">
        <f ca="1">[1]!s_fa_dupont_nptosales(B343,$C$3)</f>
        <v>3.7721</v>
      </c>
      <c r="AS343" s="237">
        <f ca="1">[1]!s_fa_dupont_faturnover(E343,$C$3)</f>
        <v>0.56779999999999997</v>
      </c>
      <c r="AT343" s="202">
        <f ca="1">[1]!s_fa_dupont_assetstoequity(E343,$C$3)</f>
        <v>1.4601</v>
      </c>
      <c r="AU343" s="189"/>
      <c r="AV343" s="201"/>
      <c r="AW343" s="189"/>
      <c r="AX343" s="189"/>
      <c r="AY343" s="189"/>
      <c r="AZ343" s="189"/>
      <c r="BA343" s="189"/>
      <c r="BB343" s="189"/>
      <c r="BC343" s="189"/>
      <c r="BD343" s="189"/>
      <c r="BE343" s="189"/>
    </row>
    <row r="344" spans="1:57" s="130" customFormat="1" ht="12" customHeight="1" x14ac:dyDescent="0.35">
      <c r="A344" s="121" t="s">
        <v>0</v>
      </c>
      <c r="B344" s="121" t="s">
        <v>50</v>
      </c>
      <c r="C344" s="121" t="s">
        <v>51</v>
      </c>
      <c r="D344" s="121" t="str">
        <f ca="1">[1]!cb_info_underlyingname(B344)</f>
        <v>隆基股份</v>
      </c>
      <c r="E344" s="122" t="str">
        <f ca="1">[1]!cb_info_underlyingcode(B344)</f>
        <v>601012.SH</v>
      </c>
      <c r="F344" s="123" t="str">
        <f ca="1">[1]!s_info_industry_sw(B344,1)</f>
        <v>电气设备</v>
      </c>
      <c r="G344" s="123" t="str">
        <f ca="1">[1]!s_info_industry_sw(E344,2)</f>
        <v>电源设备</v>
      </c>
      <c r="H344" s="123" t="str">
        <f ca="1">[1]!s_info_industry_sw(E344,3)</f>
        <v>光伏设备</v>
      </c>
      <c r="I344" s="156" t="str">
        <f ca="1">[1]!s_info_majorproducttype(E344)</f>
        <v>半导体材料</v>
      </c>
      <c r="J344" s="129">
        <f ca="1">[1]!s_val_ev(E344,$B$2,100000000)</f>
        <v>4736.8749147708004</v>
      </c>
      <c r="K344" s="157">
        <f ca="1">[1]!s_share_total(E344,$B$2,100000000)</f>
        <v>54.12952708000001</v>
      </c>
      <c r="L344" s="157">
        <f ca="1">[1]!s_share_liqa(E344,$B$2,100000000)</f>
        <v>54.128328540000012</v>
      </c>
      <c r="M344" s="125">
        <f ca="1">[1]!s_fa_gr_ttm2(E344,$C$3,100000000)</f>
        <v>440.3594383281</v>
      </c>
      <c r="N344" s="126">
        <f ca="1">[1]!s_fa_netprofit_ttm2(E344,$C$3,100000000)</f>
        <v>81.521054800900004</v>
      </c>
      <c r="O344" s="125"/>
      <c r="P344" s="126">
        <f ca="1">[1]!s_val_pe_ttm(E344,[1]!td($B$2-1))</f>
        <v>50.236797332763672</v>
      </c>
      <c r="Q344" s="126">
        <f ca="1">[1]!i_val_pe_percentile(E344,[1]!td($B$2-1),$B$2-365*5,[1]!td($B$2-1))</f>
        <v>95.285087719298247</v>
      </c>
      <c r="R344" s="126">
        <f ca="1">[1]!pb_mrq(E344,[1]!td($B$2-1))</f>
        <v>10.91169021083299</v>
      </c>
      <c r="S344" s="126">
        <f ca="1">[1]!i_val_pb_percentile(E344,[1]!td($B$2-1),$B$2-365*5,[1]!td($B$2-1))</f>
        <v>93.092105263157904</v>
      </c>
      <c r="T344" s="126">
        <f ca="1">[1]!s_val_pe_ttm([1]!to_windcode_index(H344&amp;"(申万)"),[1]!td($B$2-1))</f>
        <v>62.759998321533203</v>
      </c>
      <c r="U344" s="125"/>
      <c r="V344" s="125">
        <f ca="1">[1]!s_fa_roe(E344,$C$3)</f>
        <v>20.9284</v>
      </c>
      <c r="W344" s="125">
        <f ca="1">[1]!s_fa_grossprofitmargin(E344,$C$3)</f>
        <v>27.838200000000001</v>
      </c>
      <c r="X344" s="125">
        <f ca="1">[1]!s_fa_netprofitmargin(E344,$C$3)</f>
        <v>19.295999999999999</v>
      </c>
      <c r="Y344" s="125">
        <f ca="1">[1]!s_fa_roic(E344,$C$3)</f>
        <v>16.4208</v>
      </c>
      <c r="Z344" s="125">
        <f ca="1">[1]!s_fa_operateincometoebt_ttm2(E344,$C$3)</f>
        <v>90.560199999999995</v>
      </c>
      <c r="AA344" s="125"/>
      <c r="AB344" s="343"/>
      <c r="AC344" s="125">
        <f ca="1">[1]!s_fa_cagr_tr($E344,AC$6,3)</f>
        <v>0</v>
      </c>
      <c r="AD344" s="125">
        <f ca="1">[1]!s_fa_cagr_tr($E344,AD$6,3)</f>
        <v>49.418707139350751</v>
      </c>
      <c r="AE344" s="126">
        <f ca="1">[1]!s_fa_cagr_tr($E344,AE$6,3)</f>
        <v>41.830935914354029</v>
      </c>
      <c r="AF344" s="126">
        <f ca="1">[1]!s_fa_cagr_tr($E344,AF$6,3)</f>
        <v>54.629588747222527</v>
      </c>
      <c r="AG344" s="126">
        <f ca="1">[1]!s_fa_cagr_tr($E344,AG$6,3)</f>
        <v>64.434172756581276</v>
      </c>
      <c r="AH344" s="126">
        <f ca="1">[1]!s_fa_cagr_tr($E344,AH$6,3)</f>
        <v>71.636219235738125</v>
      </c>
      <c r="AI344" s="169"/>
      <c r="AJ344" s="126">
        <f ca="1">[1]!s_fa_cagr_netprofit($E344,AJ$6,3)</f>
        <v>0</v>
      </c>
      <c r="AK344" s="126">
        <f ca="1">[1]!s_fa_cagr_netprofit($E344,AK$6,3)</f>
        <v>33.873587011121245</v>
      </c>
      <c r="AL344" s="126">
        <f ca="1">[1]!s_fa_cagr_netprofit($E344,AL$6,3)</f>
        <v>50.549803938339011</v>
      </c>
      <c r="AM344" s="126">
        <f ca="1">[1]!s_fa_cagr_netprofit($E344,AM$6,3)</f>
        <v>70.035536178250581</v>
      </c>
      <c r="AN344" s="126">
        <f ca="1">[1]!s_fa_cagr_netprofit($E344,AN$6,3)</f>
        <v>129.84652440906029</v>
      </c>
      <c r="AO344" s="126">
        <f ca="1">[1]!s_fa_cagr_netprofit($E344,AO$6,3)</f>
        <v>179.40781339450683</v>
      </c>
      <c r="AP344" s="129"/>
      <c r="AQ344" s="203">
        <f ca="1">[1]!s_fa_dupont_roe(E344,$C$3)</f>
        <v>20.9284</v>
      </c>
      <c r="AR344" s="203">
        <f ca="1">[1]!s_fa_dupont_nptosales(B344,$C$3)</f>
        <v>19.295999999999999</v>
      </c>
      <c r="AS344" s="238">
        <f ca="1">[1]!s_fa_dupont_faturnover(E344,$C$3)</f>
        <v>0.4803</v>
      </c>
      <c r="AT344" s="203">
        <f ca="1">[1]!s_fa_dupont_assetstoequity(E344,$C$3)</f>
        <v>2.319</v>
      </c>
      <c r="AU344" s="129"/>
      <c r="AV344" s="129"/>
      <c r="AW344" s="129"/>
      <c r="AX344" s="129"/>
      <c r="AY344" s="129"/>
      <c r="AZ344" s="129"/>
      <c r="BA344" s="129"/>
      <c r="BB344" s="129"/>
      <c r="BC344" s="129"/>
      <c r="BD344" s="129"/>
      <c r="BE344" s="129"/>
    </row>
    <row r="345" spans="1:57" s="191" customFormat="1" ht="12" customHeight="1" x14ac:dyDescent="0.35">
      <c r="A345" s="182" t="s">
        <v>0</v>
      </c>
      <c r="B345" s="182" t="s">
        <v>567</v>
      </c>
      <c r="C345" s="182" t="s">
        <v>568</v>
      </c>
      <c r="D345" s="182" t="str">
        <f ca="1">[1]!cb_info_underlyingname(B345)</f>
        <v>福斯特</v>
      </c>
      <c r="E345" s="183" t="str">
        <f ca="1">[1]!cb_info_underlyingcode(B345)</f>
        <v>603806.SH</v>
      </c>
      <c r="F345" s="184" t="str">
        <f ca="1">[1]!s_info_industry_sw(B345,1)</f>
        <v>电气设备</v>
      </c>
      <c r="G345" s="184" t="str">
        <f ca="1">[1]!s_info_industry_sw(E345,2)</f>
        <v>电源设备</v>
      </c>
      <c r="H345" s="184" t="str">
        <f ca="1">[1]!s_info_industry_sw(E345,3)</f>
        <v>光伏设备</v>
      </c>
      <c r="I345" s="192" t="str">
        <f ca="1">[1]!s_info_majorproducttype(E345)</f>
        <v>其他化学品</v>
      </c>
      <c r="J345" s="189">
        <f ca="1">[1]!s_val_ev(E345,$B$2,100000000)</f>
        <v>1371.96715649</v>
      </c>
      <c r="K345" s="193">
        <f ca="1">[1]!s_share_total(E345,$B$2,100000000)</f>
        <v>9.5110374800000006</v>
      </c>
      <c r="L345" s="193">
        <f ca="1">[1]!s_share_liqa(E345,$B$2,100000000)</f>
        <v>9.5110374800000006</v>
      </c>
      <c r="M345" s="186">
        <f ca="1">[1]!s_fa_gr_ttm2(E345,$C$3,100000000)</f>
        <v>72.568019007900006</v>
      </c>
      <c r="N345" s="187">
        <f ca="1">[1]!s_fa_netprofit_ttm2(E345,$C$3,100000000)</f>
        <v>12.358776682</v>
      </c>
      <c r="O345" s="186"/>
      <c r="P345" s="187">
        <f ca="1">[1]!s_val_pe_ttm(E345,[1]!td($B$2-1))</f>
        <v>68.17437744140625</v>
      </c>
      <c r="Q345" s="187">
        <f ca="1">[1]!i_val_pe_percentile(E345,[1]!td($B$2-1),$B$2-365*5,[1]!td($B$2-1))</f>
        <v>99.17763157894737</v>
      </c>
      <c r="R345" s="187">
        <f ca="1">[1]!pb_mrq(E345,[1]!td($B$2-1))</f>
        <v>14.344743782330026</v>
      </c>
      <c r="S345" s="187">
        <f ca="1">[1]!i_val_pb_percentile(E345,[1]!td($B$2-1),$B$2-365*5,[1]!td($B$2-1))</f>
        <v>99.506578947368425</v>
      </c>
      <c r="T345" s="187">
        <f ca="1">[1]!s_val_pe_ttm([1]!to_windcode_index(H345&amp;"(申万)"),[1]!td($B$2-1))</f>
        <v>62.759998321533203</v>
      </c>
      <c r="U345" s="186"/>
      <c r="V345" s="186">
        <f ca="1">[1]!s_fa_roe(E345,$C$3)</f>
        <v>12.011799999999999</v>
      </c>
      <c r="W345" s="186">
        <f ca="1">[1]!s_fa_grossprofitmargin(E345,$C$3)</f>
        <v>24.571000000000002</v>
      </c>
      <c r="X345" s="186">
        <f ca="1">[1]!s_fa_netprofitmargin(E345,$C$3)</f>
        <v>15.936299999999999</v>
      </c>
      <c r="Y345" s="186">
        <f ca="1">[1]!s_fa_roic(E345,$C$3)</f>
        <v>11.1258</v>
      </c>
      <c r="Z345" s="186">
        <f ca="1">[1]!s_fa_operateincometoebt_ttm2(E345,$C$3)</f>
        <v>97.747699999999995</v>
      </c>
      <c r="AA345" s="186"/>
      <c r="AB345" s="342"/>
      <c r="AC345" s="186">
        <f ca="1">[1]!s_fa_cagr_tr($E345,AC$6,3)</f>
        <v>0</v>
      </c>
      <c r="AD345" s="186">
        <f ca="1">[1]!s_fa_cagr_tr($E345,AD$6,3)</f>
        <v>22.329427826681858</v>
      </c>
      <c r="AE345" s="187">
        <f ca="1">[1]!s_fa_cagr_tr($E345,AE$6,3)</f>
        <v>17.302431712439947</v>
      </c>
      <c r="AF345" s="187">
        <f ca="1">[1]!s_fa_cagr_tr($E345,AF$6,3)</f>
        <v>13.006595473307048</v>
      </c>
      <c r="AG345" s="187">
        <f ca="1">[1]!s_fa_cagr_tr($E345,AG$6,3)</f>
        <v>24.326094905882577</v>
      </c>
      <c r="AH345" s="187">
        <f ca="1">[1]!s_fa_cagr_tr($E345,AH$6,3)</f>
        <v>26.38549603753124</v>
      </c>
      <c r="AI345" s="194"/>
      <c r="AJ345" s="187">
        <f ca="1">[1]!s_fa_cagr_netprofit($E345,AJ$6,3)</f>
        <v>0</v>
      </c>
      <c r="AK345" s="187">
        <f ca="1">[1]!s_fa_cagr_netprofit($E345,AK$6,3)</f>
        <v>38.805266940636798</v>
      </c>
      <c r="AL345" s="187">
        <f ca="1">[1]!s_fa_cagr_netprofit($E345,AL$6,3)</f>
        <v>4.1261842395321491</v>
      </c>
      <c r="AM345" s="187">
        <f ca="1">[1]!s_fa_cagr_netprofit($E345,AM$6,3)</f>
        <v>5.0902155538190552</v>
      </c>
      <c r="AN345" s="187">
        <f ca="1">[1]!s_fa_cagr_netprofit($E345,AN$6,3)</f>
        <v>10.638630370806723</v>
      </c>
      <c r="AO345" s="187">
        <f ca="1">[1]!s_fa_cagr_netprofit($E345,AO$6,3)</f>
        <v>12.490024538264599</v>
      </c>
      <c r="AP345" s="189"/>
      <c r="AQ345" s="202">
        <f ca="1">[1]!s_fa_dupont_roe(E345,$C$3)</f>
        <v>12.011799999999999</v>
      </c>
      <c r="AR345" s="202">
        <f ca="1">[1]!s_fa_dupont_nptosales(B345,$C$3)</f>
        <v>15.936299999999999</v>
      </c>
      <c r="AS345" s="237">
        <f ca="1">[1]!s_fa_dupont_faturnover(E345,$C$3)</f>
        <v>0.63070000000000004</v>
      </c>
      <c r="AT345" s="202">
        <f ca="1">[1]!s_fa_dupont_assetstoequity(E345,$C$3)</f>
        <v>1.1955</v>
      </c>
      <c r="AU345" s="189"/>
      <c r="AV345" s="189"/>
      <c r="AW345" s="189"/>
      <c r="AX345" s="189"/>
      <c r="AY345" s="189"/>
      <c r="AZ345" s="189"/>
      <c r="BA345" s="189"/>
      <c r="BB345" s="189"/>
      <c r="BC345" s="189"/>
      <c r="BD345" s="189"/>
      <c r="BE345" s="189"/>
    </row>
    <row r="346" spans="1:57" s="130" customFormat="1" ht="12" customHeight="1" x14ac:dyDescent="0.35">
      <c r="A346" s="121" t="s">
        <v>0</v>
      </c>
      <c r="B346" s="121" t="s">
        <v>551</v>
      </c>
      <c r="C346" s="121" t="s">
        <v>552</v>
      </c>
      <c r="D346" s="121" t="str">
        <f ca="1">[1]!cb_info_underlyingname(B346)</f>
        <v>东方电缆</v>
      </c>
      <c r="E346" s="122" t="str">
        <f ca="1">[1]!cb_info_underlyingcode(B346)</f>
        <v>603606.SH</v>
      </c>
      <c r="F346" s="123" t="str">
        <f ca="1">[1]!s_info_industry_sw(B346,1)</f>
        <v>电气设备</v>
      </c>
      <c r="G346" s="123" t="str">
        <f ca="1">[1]!s_info_industry_sw(E346,2)</f>
        <v>高低压设备</v>
      </c>
      <c r="H346" s="123" t="str">
        <f ca="1">[1]!s_info_industry_sw(E346,3)</f>
        <v>线缆部件及其他</v>
      </c>
      <c r="I346" s="156" t="str">
        <f ca="1">[1]!s_info_majorproducttype(E346)</f>
        <v>输电设备</v>
      </c>
      <c r="J346" s="129">
        <f ca="1">[1]!s_val_ev(E346,$B$2,100000000)</f>
        <v>182.49625448099999</v>
      </c>
      <c r="K346" s="157">
        <f ca="1">[1]!s_share_total(E346,$B$2,100000000)</f>
        <v>6.54108439</v>
      </c>
      <c r="L346" s="157">
        <f ca="1">[1]!s_share_liqa(E346,$B$2,100000000)</f>
        <v>6.54108439</v>
      </c>
      <c r="M346" s="125">
        <f ca="1">[1]!s_fa_gr_ttm2(E346,$C$3,100000000)</f>
        <v>46.444280884599998</v>
      </c>
      <c r="N346" s="126">
        <f ca="1">[1]!s_fa_netprofit_ttm2(E346,$C$3,100000000)</f>
        <v>7.6313756991999995</v>
      </c>
      <c r="O346" s="125"/>
      <c r="P346" s="126">
        <f ca="1">[1]!s_val_pe_ttm(E346,[1]!td($B$2-1))</f>
        <v>15.744017601013184</v>
      </c>
      <c r="Q346" s="126">
        <f ca="1">[1]!i_val_pe_percentile(E346,[1]!td($B$2-1),$B$2-365*5,[1]!td($B$2-1))</f>
        <v>7.6206140350877192</v>
      </c>
      <c r="R346" s="126">
        <f ca="1">[1]!pb_mrq(E346,[1]!td($B$2-1))</f>
        <v>5.1640318252869486</v>
      </c>
      <c r="S346" s="126">
        <f ca="1">[1]!i_val_pb_percentile(E346,[1]!td($B$2-1),$B$2-365*5,[1]!td($B$2-1))</f>
        <v>75.219298245614027</v>
      </c>
      <c r="T346" s="126">
        <f ca="1">[1]!s_val_pe_ttm([1]!to_windcode_index(H346&amp;"(申万)"),[1]!td($B$2-1))</f>
        <v>30.120000839233398</v>
      </c>
      <c r="U346" s="126"/>
      <c r="V346" s="126">
        <f ca="1">[1]!s_fa_roe(E346,$C$3)</f>
        <v>24.5444</v>
      </c>
      <c r="W346" s="126">
        <f ca="1">[1]!s_fa_grossprofitmargin(E346,$C$3)</f>
        <v>30.824300000000001</v>
      </c>
      <c r="X346" s="126">
        <f ca="1">[1]!s_fa_netprofitmargin(E346,$C$3)</f>
        <v>17.414999999999999</v>
      </c>
      <c r="Y346" s="126">
        <f ca="1">[1]!s_fa_roic(E346,$C$3)</f>
        <v>20.016500000000001</v>
      </c>
      <c r="Z346" s="126">
        <f ca="1">[1]!s_fa_operateincometoebt_ttm2(E346,$C$3)</f>
        <v>92.518600000000006</v>
      </c>
      <c r="AA346" s="125"/>
      <c r="AB346" s="343"/>
      <c r="AC346" s="125">
        <f ca="1">[1]!s_fa_cagr_tr($E346,AC$6,3)</f>
        <v>0</v>
      </c>
      <c r="AD346" s="125">
        <f ca="1">[1]!s_fa_cagr_tr($E346,AD$6,3)</f>
        <v>34.814551075522182</v>
      </c>
      <c r="AE346" s="126">
        <f ca="1">[1]!s_fa_cagr_tr($E346,AE$6,3)</f>
        <v>28.443034614584551</v>
      </c>
      <c r="AF346" s="126">
        <f ca="1">[1]!s_fa_cagr_tr($E346,AF$6,3)</f>
        <v>18.409759380007952</v>
      </c>
      <c r="AG346" s="126">
        <f ca="1">[1]!s_fa_cagr_tr($E346,AG$6,3)</f>
        <v>8.9760738951691454</v>
      </c>
      <c r="AH346" s="126">
        <f ca="1">[1]!s_fa_cagr_tr($E346,AH$6,3)</f>
        <v>9.307494121930727</v>
      </c>
      <c r="AI346" s="169"/>
      <c r="AJ346" s="126">
        <f ca="1">[1]!s_fa_cagr_netprofit($E346,AJ$6,3)</f>
        <v>0</v>
      </c>
      <c r="AK346" s="126">
        <f ca="1">[1]!s_fa_cagr_netprofit($E346,AK$6,3)</f>
        <v>160.50455086003441</v>
      </c>
      <c r="AL346" s="126">
        <f ca="1">[1]!s_fa_cagr_netprofit($E346,AL$6,3)</f>
        <v>105.82514965779315</v>
      </c>
      <c r="AM346" s="126">
        <f ca="1">[1]!s_fa_cagr_netprofit($E346,AM$6,3)</f>
        <v>50.406938213651053</v>
      </c>
      <c r="AN346" s="126">
        <f ca="1">[1]!s_fa_cagr_netprofit($E346,AN$6,3)</f>
        <v>-8.2632825017847527</v>
      </c>
      <c r="AO346" s="126">
        <f ca="1">[1]!s_fa_cagr_netprofit($E346,AO$6,3)</f>
        <v>-6.0680348736935059</v>
      </c>
      <c r="AP346" s="129"/>
      <c r="AQ346" s="203">
        <f ca="1">[1]!s_fa_dupont_roe(E346,$C$3)</f>
        <v>24.5444</v>
      </c>
      <c r="AR346" s="203">
        <f ca="1">[1]!s_fa_dupont_nptosales(B346,$C$3)</f>
        <v>17.414999999999999</v>
      </c>
      <c r="AS346" s="238">
        <f ca="1">[1]!s_fa_dupont_faturnover(E346,$C$3)</f>
        <v>0.70799999999999996</v>
      </c>
      <c r="AT346" s="203">
        <f ca="1">[1]!s_fa_dupont_assetstoequity(E346,$C$3)</f>
        <v>1.9906999999999999</v>
      </c>
      <c r="AU346" s="129"/>
      <c r="AV346" s="129"/>
      <c r="AW346" s="129"/>
      <c r="AX346" s="129"/>
      <c r="AY346" s="129"/>
      <c r="AZ346" s="129"/>
      <c r="BA346" s="129"/>
      <c r="BB346" s="129"/>
      <c r="BC346" s="129"/>
      <c r="BD346" s="129"/>
      <c r="BE346" s="129"/>
    </row>
    <row r="347" spans="1:57" s="191" customFormat="1" ht="12" customHeight="1" x14ac:dyDescent="0.35">
      <c r="A347" s="182" t="s">
        <v>0</v>
      </c>
      <c r="B347" s="182" t="s">
        <v>487</v>
      </c>
      <c r="C347" s="182" t="s">
        <v>488</v>
      </c>
      <c r="D347" s="182" t="str">
        <f ca="1">[1]!cb_info_underlyingname(B347)</f>
        <v>林洋能源</v>
      </c>
      <c r="E347" s="183" t="str">
        <f ca="1">[1]!cb_info_underlyingcode(B347)</f>
        <v>601222.SH</v>
      </c>
      <c r="F347" s="184" t="str">
        <f ca="1">[1]!s_info_industry_sw(B347,1)</f>
        <v>电气设备</v>
      </c>
      <c r="G347" s="184" t="str">
        <f ca="1">[1]!s_info_industry_sw(E347,2)</f>
        <v>电气自动化设备</v>
      </c>
      <c r="H347" s="184" t="str">
        <f ca="1">[1]!s_info_industry_sw(E347,3)</f>
        <v>计量仪表</v>
      </c>
      <c r="I347" s="192" t="str">
        <f ca="1">[1]!s_info_majorproducttype(E347)</f>
        <v>半导体太阳能光伏、电气仪器仪表、电子测试和测量仪器、系统集成服务</v>
      </c>
      <c r="J347" s="189">
        <f ca="1">[1]!s_val_ev(E347,$B$2,100000000)</f>
        <v>240.99784884509998</v>
      </c>
      <c r="K347" s="193">
        <f ca="1">[1]!s_share_total(E347,$B$2,100000000)</f>
        <v>18.638658070000002</v>
      </c>
      <c r="L347" s="193">
        <f ca="1">[1]!s_share_liqa(E347,$B$2,100000000)</f>
        <v>18.638658070000002</v>
      </c>
      <c r="M347" s="186">
        <f ca="1">[1]!s_fa_gr_ttm2(E347,$C$3,100000000)</f>
        <v>52.3165727692</v>
      </c>
      <c r="N347" s="187">
        <f ca="1">[1]!s_fa_netprofit_ttm2(E347,$C$3,100000000)</f>
        <v>9.4953751953999994</v>
      </c>
      <c r="O347" s="186"/>
      <c r="P347" s="187">
        <f ca="1">[1]!s_val_pe_ttm(E347,[1]!td($B$2-1))</f>
        <v>23.380531311035156</v>
      </c>
      <c r="Q347" s="187">
        <f ca="1">[1]!i_val_pe_percentile(E347,[1]!td($B$2-1),$B$2-365*5,[1]!td($B$2-1))</f>
        <v>72.916666666666657</v>
      </c>
      <c r="R347" s="187">
        <f ca="1">[1]!pb_mrq(E347,[1]!td($B$2-1))</f>
        <v>2.1488227210920865</v>
      </c>
      <c r="S347" s="187">
        <f ca="1">[1]!i_val_pb_percentile(E347,[1]!td($B$2-1),$B$2-365*5,[1]!td($B$2-1))</f>
        <v>97.807017543859658</v>
      </c>
      <c r="T347" s="187">
        <f ca="1">[1]!s_val_pe_ttm([1]!to_windcode_index(H347&amp;"(申万)"),[1]!td($B$2-1))</f>
        <v>25.510000228881836</v>
      </c>
      <c r="U347" s="186"/>
      <c r="V347" s="186">
        <f ca="1">[1]!s_fa_roe(E347,$C$3)</f>
        <v>8.7565000000000008</v>
      </c>
      <c r="W347" s="186">
        <f ca="1">[1]!s_fa_grossprofitmargin(E347,$C$3)</f>
        <v>37.903500000000001</v>
      </c>
      <c r="X347" s="186">
        <f ca="1">[1]!s_fa_netprofitmargin(E347,$C$3)</f>
        <v>21.222300000000001</v>
      </c>
      <c r="Y347" s="186">
        <f ca="1">[1]!s_fa_roic(E347,$C$3)</f>
        <v>6.7378</v>
      </c>
      <c r="Z347" s="186">
        <f ca="1">[1]!s_fa_operateincometoebt_ttm2(E347,$C$3)</f>
        <v>86.420100000000005</v>
      </c>
      <c r="AA347" s="186"/>
      <c r="AB347" s="342"/>
      <c r="AC347" s="186">
        <f ca="1">[1]!s_fa_cagr_tr($E347,AC$6,3)</f>
        <v>0</v>
      </c>
      <c r="AD347" s="186">
        <f ca="1">[1]!s_fa_cagr_tr($E347,AD$6,3)</f>
        <v>17.35257234557168</v>
      </c>
      <c r="AE347" s="187">
        <f ca="1">[1]!s_fa_cagr_tr($E347,AE$6,3)</f>
        <v>2.551216569729875</v>
      </c>
      <c r="AF347" s="187">
        <f ca="1">[1]!s_fa_cagr_tr($E347,AF$6,3)</f>
        <v>13.810548373376829</v>
      </c>
      <c r="AG347" s="187">
        <f ca="1">[1]!s_fa_cagr_tr($E347,AG$6,3)</f>
        <v>17.597068321283494</v>
      </c>
      <c r="AH347" s="187">
        <f ca="1">[1]!s_fa_cagr_tr($E347,AH$6,3)</f>
        <v>16.077999867929506</v>
      </c>
      <c r="AI347" s="194"/>
      <c r="AJ347" s="187">
        <f ca="1">[1]!s_fa_cagr_netprofit($E347,AJ$6,3)</f>
        <v>0</v>
      </c>
      <c r="AK347" s="187">
        <f ca="1">[1]!s_fa_cagr_netprofit($E347,AK$6,3)</f>
        <v>13.277814776719609</v>
      </c>
      <c r="AL347" s="187">
        <f ca="1">[1]!s_fa_cagr_netprofit($E347,AL$6,3)</f>
        <v>13.865974243096858</v>
      </c>
      <c r="AM347" s="187">
        <f ca="1">[1]!s_fa_cagr_netprofit($E347,AM$6,3)</f>
        <v>15.377370807435442</v>
      </c>
      <c r="AN347" s="187">
        <f ca="1">[1]!s_fa_cagr_netprofit($E347,AN$6,3)</f>
        <v>18.726044270625696</v>
      </c>
      <c r="AO347" s="187">
        <f ca="1">[1]!s_fa_cagr_netprofit($E347,AO$6,3)</f>
        <v>8.4918476740490902</v>
      </c>
      <c r="AP347" s="189"/>
      <c r="AQ347" s="202">
        <f ca="1">[1]!s_fa_dupont_roe(E347,$C$3)</f>
        <v>8.7565000000000008</v>
      </c>
      <c r="AR347" s="202">
        <f ca="1">[1]!s_fa_dupont_nptosales(B347,$C$3)</f>
        <v>21.222300000000001</v>
      </c>
      <c r="AS347" s="237">
        <f ca="1">[1]!s_fa_dupont_faturnover(E347,$C$3)</f>
        <v>0.2366</v>
      </c>
      <c r="AT347" s="202">
        <f ca="1">[1]!s_fa_dupont_assetstoequity(E347,$C$3)</f>
        <v>1.7483</v>
      </c>
      <c r="AU347" s="189"/>
      <c r="AV347" s="201"/>
      <c r="AW347" s="189"/>
      <c r="AX347" s="189"/>
      <c r="AY347" s="189"/>
      <c r="AZ347" s="189"/>
      <c r="BA347" s="189"/>
      <c r="BB347" s="189"/>
      <c r="BC347" s="189"/>
      <c r="BD347" s="189"/>
      <c r="BE347" s="189"/>
    </row>
    <row r="348" spans="1:57" s="130" customFormat="1" ht="12" customHeight="1" x14ac:dyDescent="0.35">
      <c r="A348" s="121" t="s">
        <v>0</v>
      </c>
      <c r="B348" s="121" t="s">
        <v>40</v>
      </c>
      <c r="C348" s="121" t="s">
        <v>41</v>
      </c>
      <c r="D348" s="121" t="str">
        <f ca="1">[1]!cb_info_underlyingname(B348)</f>
        <v>精达股份</v>
      </c>
      <c r="E348" s="122" t="str">
        <f ca="1">[1]!cb_info_underlyingcode(B348)</f>
        <v>600577.SH</v>
      </c>
      <c r="F348" s="123" t="str">
        <f ca="1">[1]!s_info_industry_sw(B348,1)</f>
        <v>电气设备</v>
      </c>
      <c r="G348" s="123" t="str">
        <f ca="1">[1]!s_info_industry_sw(E348,2)</f>
        <v>高低压设备</v>
      </c>
      <c r="H348" s="123" t="str">
        <f ca="1">[1]!s_info_industry_sw(E348,3)</f>
        <v>线缆部件及其他</v>
      </c>
      <c r="I348" s="156" t="str">
        <f ca="1">[1]!s_info_majorproducttype(E348)</f>
        <v>家电零售与连锁、输电设备、冶金机械</v>
      </c>
      <c r="J348" s="129">
        <f ca="1">[1]!s_val_ev(E348,$B$2,100000000)</f>
        <v>172.69971388319999</v>
      </c>
      <c r="K348" s="157">
        <f ca="1">[1]!s_share_total(E348,$B$2,100000000)</f>
        <v>19.80501306</v>
      </c>
      <c r="L348" s="157">
        <f ca="1">[1]!s_share_liqa(E348,$B$2,100000000)</f>
        <v>19.80501306</v>
      </c>
      <c r="M348" s="125">
        <f ca="1">[1]!s_fa_gr_ttm2(E348,$C$3,100000000)</f>
        <v>118.96245807950001</v>
      </c>
      <c r="N348" s="126">
        <f ca="1">[1]!s_fa_netprofit_ttm2(E348,$C$3,100000000)</f>
        <v>4.3089678307000003</v>
      </c>
      <c r="O348" s="125"/>
      <c r="P348" s="126">
        <f ca="1">[1]!s_val_pe_ttm(E348,[1]!td($B$2-1))</f>
        <v>33.101383209228516</v>
      </c>
      <c r="Q348" s="126">
        <f ca="1">[1]!i_val_pe_percentile(E348,[1]!td($B$2-1),$B$2-365*5,[1]!td($B$2-1))</f>
        <v>79.714912280701753</v>
      </c>
      <c r="R348" s="126">
        <f ca="1">[1]!pb_mrq(E348,[1]!td($B$2-1))</f>
        <v>4.297258802462002</v>
      </c>
      <c r="S348" s="126">
        <f ca="1">[1]!i_val_pb_percentile(E348,[1]!td($B$2-1),$B$2-365*5,[1]!td($B$2-1))</f>
        <v>96.436403508771932</v>
      </c>
      <c r="T348" s="126">
        <f ca="1">[1]!s_val_pe_ttm([1]!to_windcode_index(H348&amp;"(申万)"),[1]!td($B$2-1))</f>
        <v>30.120000839233398</v>
      </c>
      <c r="U348" s="125"/>
      <c r="V348" s="125">
        <f ca="1">[1]!s_fa_roe(E348,$C$3)</f>
        <v>8.3373000000000008</v>
      </c>
      <c r="W348" s="125">
        <f ca="1">[1]!s_fa_grossprofitmargin(E348,$C$3)</f>
        <v>9.4239999999999995</v>
      </c>
      <c r="X348" s="125">
        <f ca="1">[1]!s_fa_netprofitmargin(E348,$C$3)</f>
        <v>4.1020000000000003</v>
      </c>
      <c r="Y348" s="125">
        <f ca="1">[1]!s_fa_roic(E348,$C$3)</f>
        <v>7.7727000000000004</v>
      </c>
      <c r="Z348" s="125">
        <f ca="1">[1]!s_fa_operateincometoebt_ttm2(E348,$C$3)</f>
        <v>93.5732</v>
      </c>
      <c r="AA348" s="125"/>
      <c r="AB348" s="343"/>
      <c r="AC348" s="125">
        <f ca="1">[1]!s_fa_cagr_tr($E348,AC$6,3)</f>
        <v>0</v>
      </c>
      <c r="AD348" s="125">
        <f ca="1">[1]!s_fa_cagr_tr($E348,AD$6,3)</f>
        <v>3.1404753263847729</v>
      </c>
      <c r="AE348" s="126">
        <f ca="1">[1]!s_fa_cagr_tr($E348,AE$6,3)</f>
        <v>13.807588224315403</v>
      </c>
      <c r="AF348" s="126">
        <f ca="1">[1]!s_fa_cagr_tr($E348,AF$6,3)</f>
        <v>15.405102021704087</v>
      </c>
      <c r="AG348" s="126">
        <f ca="1">[1]!s_fa_cagr_tr($E348,AG$6,3)</f>
        <v>6.969781404559372</v>
      </c>
      <c r="AH348" s="126">
        <f ca="1">[1]!s_fa_cagr_tr($E348,AH$6,3)</f>
        <v>-5.1879640456210403</v>
      </c>
      <c r="AI348" s="169"/>
      <c r="AJ348" s="126">
        <f ca="1">[1]!s_fa_cagr_netprofit($E348,AJ$6,3)</f>
        <v>0</v>
      </c>
      <c r="AK348" s="126">
        <f ca="1">[1]!s_fa_cagr_netprofit($E348,AK$6,3)</f>
        <v>5.784649093886407</v>
      </c>
      <c r="AL348" s="126">
        <f ca="1">[1]!s_fa_cagr_netprofit($E348,AL$6,3)</f>
        <v>25.032986562901804</v>
      </c>
      <c r="AM348" s="126">
        <f ca="1">[1]!s_fa_cagr_netprofit($E348,AM$6,3)</f>
        <v>49.904624763243135</v>
      </c>
      <c r="AN348" s="126">
        <f ca="1">[1]!s_fa_cagr_netprofit($E348,AN$6,3)</f>
        <v>37.920086202298322</v>
      </c>
      <c r="AO348" s="126">
        <f ca="1">[1]!s_fa_cagr_netprofit($E348,AO$6,3)</f>
        <v>19.354226637638085</v>
      </c>
      <c r="AP348" s="129"/>
      <c r="AQ348" s="203">
        <f ca="1">[1]!s_fa_dupont_roe(E348,$C$3)</f>
        <v>8.3373000000000008</v>
      </c>
      <c r="AR348" s="203">
        <f ca="1">[1]!s_fa_dupont_nptosales(B348,$C$3)</f>
        <v>4.1020000000000003</v>
      </c>
      <c r="AS348" s="238">
        <f ca="1">[1]!s_fa_dupont_faturnover(E348,$C$3)</f>
        <v>1.3127</v>
      </c>
      <c r="AT348" s="203">
        <f ca="1">[1]!s_fa_dupont_assetstoequity(E348,$C$3)</f>
        <v>1.8632</v>
      </c>
      <c r="AU348" s="129"/>
      <c r="AV348" s="129"/>
      <c r="AW348" s="129"/>
      <c r="AX348" s="129"/>
      <c r="AY348" s="129"/>
      <c r="AZ348" s="129"/>
      <c r="BA348" s="129"/>
      <c r="BB348" s="129"/>
      <c r="BC348" s="129"/>
      <c r="BD348" s="129"/>
      <c r="BE348" s="129"/>
    </row>
    <row r="349" spans="1:57" s="191" customFormat="1" ht="12" customHeight="1" x14ac:dyDescent="0.35">
      <c r="A349" s="182" t="s">
        <v>5</v>
      </c>
      <c r="B349" s="182" t="s">
        <v>581</v>
      </c>
      <c r="C349" s="182" t="s">
        <v>582</v>
      </c>
      <c r="D349" s="182" t="str">
        <f ca="1">[1]!cb_info_underlyingname(B349)</f>
        <v>鹏辉能源</v>
      </c>
      <c r="E349" s="183" t="str">
        <f ca="1">[1]!cb_info_underlyingcode(B349)</f>
        <v>300438.SZ</v>
      </c>
      <c r="F349" s="184" t="str">
        <f ca="1">[1]!s_info_industry_sw(B349,1)</f>
        <v>电气设备</v>
      </c>
      <c r="G349" s="184" t="str">
        <f ca="1">[1]!s_info_industry_sw(E349,2)</f>
        <v>电源设备</v>
      </c>
      <c r="H349" s="184" t="str">
        <f ca="1">[1]!s_info_industry_sw(E349,3)</f>
        <v>储能设备</v>
      </c>
      <c r="I349" s="192" t="str">
        <f ca="1">[1]!s_info_majorproducttype(E349)</f>
        <v>电子设备及加工</v>
      </c>
      <c r="J349" s="189">
        <f ca="1">[1]!s_val_ev(E349,$B$2,100000000)</f>
        <v>130.5285159984</v>
      </c>
      <c r="K349" s="193">
        <f ca="1">[1]!s_share_total(E349,$B$2,100000000)</f>
        <v>4.2600690600000002</v>
      </c>
      <c r="L349" s="193">
        <f ca="1">[1]!s_share_liqa(E349,$B$2,100000000)</f>
        <v>3.2238669299999998</v>
      </c>
      <c r="M349" s="186">
        <f ca="1">[1]!s_fa_gr_ttm2(E349,$C$3,100000000)</f>
        <v>32.892699801100001</v>
      </c>
      <c r="N349" s="187">
        <f ca="1">[1]!s_fa_netprofit_ttm2(E349,$C$3,100000000)</f>
        <v>0.3890218949</v>
      </c>
      <c r="O349" s="186"/>
      <c r="P349" s="187">
        <f ca="1">[1]!s_val_pe_ttm(E349,[1]!td($B$2-1))</f>
        <v>129.628173828125</v>
      </c>
      <c r="Q349" s="187">
        <f ca="1">[1]!i_val_pe_percentile(E349,[1]!td($B$2-1),$B$2-365*5,[1]!td($B$2-1))</f>
        <v>87.335526315789465</v>
      </c>
      <c r="R349" s="187">
        <f ca="1">[1]!pb_mrq(E349,[1]!td($B$2-1))</f>
        <v>5.4540532600409986</v>
      </c>
      <c r="S349" s="187">
        <f ca="1">[1]!i_val_pb_percentile(E349,[1]!td($B$2-1),$B$2-365*5,[1]!td($B$2-1))</f>
        <v>86.67763157894737</v>
      </c>
      <c r="T349" s="187">
        <f ca="1">[1]!s_val_pe_ttm([1]!to_windcode_index(H349&amp;"(申万)"),[1]!td($B$2-1))</f>
        <v>116.33000183105469</v>
      </c>
      <c r="U349" s="187"/>
      <c r="V349" s="187">
        <f ca="1">[1]!s_fa_roe(E349,$C$3)</f>
        <v>5.8646000000000003</v>
      </c>
      <c r="W349" s="187">
        <f ca="1">[1]!s_fa_grossprofitmargin(E349,$C$3)</f>
        <v>19.567599999999999</v>
      </c>
      <c r="X349" s="187">
        <f ca="1">[1]!s_fa_netprofitmargin(E349,$C$3)</f>
        <v>6.1886000000000001</v>
      </c>
      <c r="Y349" s="187">
        <f ca="1">[1]!s_fa_roic(E349,$C$3)</f>
        <v>5.4448999999999996</v>
      </c>
      <c r="Z349" s="187">
        <f ca="1">[1]!s_fa_operateincometoebt_ttm2(E349,$C$3)</f>
        <v>-9.4259000000000004</v>
      </c>
      <c r="AA349" s="186"/>
      <c r="AB349" s="342"/>
      <c r="AC349" s="186">
        <f ca="1">[1]!s_fa_cagr_tr($E349,AC$6,3)</f>
        <v>0</v>
      </c>
      <c r="AD349" s="186">
        <f ca="1">[1]!s_fa_cagr_tr($E349,AD$6,3)</f>
        <v>20.176571321976521</v>
      </c>
      <c r="AE349" s="187">
        <f ca="1">[1]!s_fa_cagr_tr($E349,AE$6,3)</f>
        <v>37.547483888910229</v>
      </c>
      <c r="AF349" s="187">
        <f ca="1">[1]!s_fa_cagr_tr($E349,AF$6,3)</f>
        <v>42.983310552772139</v>
      </c>
      <c r="AG349" s="187">
        <f ca="1">[1]!s_fa_cagr_tr($E349,AG$6,3)</f>
        <v>44.153703698469158</v>
      </c>
      <c r="AH349" s="187">
        <f ca="1">[1]!s_fa_cagr_tr($E349,AH$6,3)</f>
        <v>23.901155281806318</v>
      </c>
      <c r="AI349" s="194"/>
      <c r="AJ349" s="187">
        <f ca="1">[1]!s_fa_cagr_netprofit($E349,AJ$6,3)</f>
        <v>0</v>
      </c>
      <c r="AK349" s="187">
        <f ca="1">[1]!s_fa_cagr_netprofit($E349,AK$6,3)</f>
        <v>-40.407301099325132</v>
      </c>
      <c r="AL349" s="187">
        <f ca="1">[1]!s_fa_cagr_netprofit($E349,AL$6,3)</f>
        <v>6.6309343312493052</v>
      </c>
      <c r="AM349" s="187">
        <f ca="1">[1]!s_fa_cagr_netprofit($E349,AM$6,3)</f>
        <v>44.761904109212793</v>
      </c>
      <c r="AN349" s="187">
        <f ca="1">[1]!s_fa_cagr_netprofit($E349,AN$6,3)</f>
        <v>60.99607095275563</v>
      </c>
      <c r="AO349" s="187">
        <f ca="1">[1]!s_fa_cagr_netprofit($E349,AO$6,3)</f>
        <v>34.378992254950511</v>
      </c>
      <c r="AP349" s="189"/>
      <c r="AQ349" s="202">
        <f ca="1">[1]!s_fa_dupont_roe(E349,$C$3)</f>
        <v>5.8646000000000003</v>
      </c>
      <c r="AR349" s="202">
        <f ca="1">[1]!s_fa_dupont_nptosales(B349,$C$3)</f>
        <v>6.1886000000000001</v>
      </c>
      <c r="AS349" s="237">
        <f ca="1">[1]!s_fa_dupont_faturnover(E349,$C$3)</f>
        <v>0.43880000000000002</v>
      </c>
      <c r="AT349" s="202">
        <f ca="1">[1]!s_fa_dupont_assetstoequity(E349,$C$3)</f>
        <v>2.3511000000000002</v>
      </c>
      <c r="AU349" s="189"/>
      <c r="AV349" s="189"/>
      <c r="AW349" s="189"/>
      <c r="AX349" s="189"/>
      <c r="AY349" s="189"/>
      <c r="AZ349" s="189"/>
      <c r="BA349" s="189"/>
      <c r="BB349" s="189"/>
      <c r="BC349" s="189"/>
      <c r="BD349" s="189"/>
      <c r="BE349" s="189"/>
    </row>
    <row r="350" spans="1:57" s="130" customFormat="1" ht="12" customHeight="1" x14ac:dyDescent="0.35">
      <c r="A350" s="121" t="s">
        <v>5</v>
      </c>
      <c r="B350" s="121" t="s">
        <v>583</v>
      </c>
      <c r="C350" s="121" t="s">
        <v>584</v>
      </c>
      <c r="D350" s="121" t="str">
        <f ca="1">[1]!cb_info_underlyingname(B350)</f>
        <v>天能重工</v>
      </c>
      <c r="E350" s="122" t="str">
        <f ca="1">[1]!cb_info_underlyingcode(B350)</f>
        <v>300569.SZ</v>
      </c>
      <c r="F350" s="123" t="str">
        <f ca="1">[1]!s_info_industry_sw(B350,1)</f>
        <v>电气设备</v>
      </c>
      <c r="G350" s="123" t="str">
        <f ca="1">[1]!s_info_industry_sw(E350,2)</f>
        <v>电源设备</v>
      </c>
      <c r="H350" s="123" t="str">
        <f ca="1">[1]!s_info_industry_sw(E350,3)</f>
        <v>风电设备</v>
      </c>
      <c r="I350" s="156" t="str">
        <f ca="1">[1]!s_info_majorproducttype(E350)</f>
        <v>电气仪器仪表</v>
      </c>
      <c r="J350" s="129">
        <f ca="1">[1]!s_val_ev(E350,$B$2,100000000)</f>
        <v>86.943351404300003</v>
      </c>
      <c r="K350" s="157">
        <f ca="1">[1]!s_share_total(E350,$B$2,100000000)</f>
        <v>7.92555619</v>
      </c>
      <c r="L350" s="157">
        <f ca="1">[1]!s_share_liqa(E350,$B$2,100000000)</f>
        <v>4.98643517</v>
      </c>
      <c r="M350" s="125">
        <f ca="1">[1]!s_fa_gr_ttm2(E350,$C$3,100000000)</f>
        <v>29.738256728099998</v>
      </c>
      <c r="N350" s="126">
        <f ca="1">[1]!s_fa_netprofit_ttm2(E350,$C$3,100000000)</f>
        <v>3.7501976520999998</v>
      </c>
      <c r="O350" s="125"/>
      <c r="P350" s="126">
        <f ca="1">[1]!s_val_pe_ttm(E350,[1]!td($B$2-1))</f>
        <v>20.456727981567383</v>
      </c>
      <c r="Q350" s="126">
        <f ca="1">[1]!i_val_pe_percentile(E350,[1]!td($B$2-1),$B$2-365*5,[1]!td($B$2-1))</f>
        <v>37.893531768746428</v>
      </c>
      <c r="R350" s="126">
        <f ca="1">[1]!pb_mrq(E350,[1]!td($B$2-1))</f>
        <v>3.6710376368888937</v>
      </c>
      <c r="S350" s="126">
        <f ca="1">[1]!i_val_pb_percentile(E350,[1]!td($B$2-1),$B$2-365*5,[1]!td($B$2-1))</f>
        <v>70.807097882083568</v>
      </c>
      <c r="T350" s="126">
        <f ca="1">[1]!s_val_pe_ttm([1]!to_windcode_index(H350&amp;"(申万)"),[1]!td($B$2-1))</f>
        <v>26.020000457763672</v>
      </c>
      <c r="U350" s="126"/>
      <c r="V350" s="126">
        <f ca="1">[1]!s_fa_roe(E350,$C$3)</f>
        <v>11.8009</v>
      </c>
      <c r="W350" s="126">
        <f ca="1">[1]!s_fa_grossprofitmargin(E350,$C$3)</f>
        <v>33.193800000000003</v>
      </c>
      <c r="X350" s="126">
        <f ca="1">[1]!s_fa_netprofitmargin(E350,$C$3)</f>
        <v>14.0091</v>
      </c>
      <c r="Y350" s="126">
        <f ca="1">[1]!s_fa_roic(E350,$C$3)</f>
        <v>9.7969000000000008</v>
      </c>
      <c r="Z350" s="126">
        <f ca="1">[1]!s_fa_operateincometoebt_ttm2(E350,$C$3)</f>
        <v>99.245800000000003</v>
      </c>
      <c r="AA350" s="125"/>
      <c r="AB350" s="343"/>
      <c r="AC350" s="125">
        <f ca="1">[1]!s_fa_cagr_tr($E350,AC$6,3)</f>
        <v>0</v>
      </c>
      <c r="AD350" s="125">
        <f ca="1">[1]!s_fa_cagr_tr($E350,AD$6,3)</f>
        <v>66.799575612844549</v>
      </c>
      <c r="AE350" s="126">
        <f ca="1">[1]!s_fa_cagr_tr($E350,AE$6,3)</f>
        <v>36.883012392820611</v>
      </c>
      <c r="AF350" s="126">
        <f ca="1">[1]!s_fa_cagr_tr($E350,AF$6,3)</f>
        <v>11.232627017550501</v>
      </c>
      <c r="AG350" s="126">
        <f ca="1">[1]!s_fa_cagr_tr($E350,AG$6,3)</f>
        <v>-8.2549111850390489</v>
      </c>
      <c r="AH350" s="126">
        <f ca="1">[1]!s_fa_cagr_tr($E350,AH$6,3)</f>
        <v>18.440643575008984</v>
      </c>
      <c r="AI350" s="169"/>
      <c r="AJ350" s="126">
        <f ca="1">[1]!s_fa_cagr_netprofit($E350,AJ$6,3)</f>
        <v>0</v>
      </c>
      <c r="AK350" s="126">
        <f ca="1">[1]!s_fa_cagr_netprofit($E350,AK$6,3)</f>
        <v>64.770934146164507</v>
      </c>
      <c r="AL350" s="126">
        <f ca="1">[1]!s_fa_cagr_netprofit($E350,AL$6,3)</f>
        <v>16.293535553865944</v>
      </c>
      <c r="AM350" s="126">
        <f ca="1">[1]!s_fa_cagr_netprofit($E350,AM$6,3)</f>
        <v>-15.991733069807202</v>
      </c>
      <c r="AN350" s="126">
        <f ca="1">[1]!s_fa_cagr_netprofit($E350,AN$6,3)</f>
        <v>9.1087523896230103</v>
      </c>
      <c r="AO350" s="126">
        <f ca="1">[1]!s_fa_cagr_netprofit($E350,AO$6,3)</f>
        <v>63.544268575012453</v>
      </c>
      <c r="AP350" s="129"/>
      <c r="AQ350" s="203">
        <f ca="1">[1]!s_fa_dupont_roe(E350,$C$3)</f>
        <v>11.8009</v>
      </c>
      <c r="AR350" s="203">
        <f ca="1">[1]!s_fa_dupont_nptosales(B350,$C$3)</f>
        <v>14.0091</v>
      </c>
      <c r="AS350" s="238">
        <f ca="1">[1]!s_fa_dupont_faturnover(E350,$C$3)</f>
        <v>0.29599999999999999</v>
      </c>
      <c r="AT350" s="203">
        <f ca="1">[1]!s_fa_dupont_assetstoequity(E350,$C$3)</f>
        <v>3.1616</v>
      </c>
      <c r="AU350" s="129"/>
      <c r="AV350" s="129"/>
      <c r="AW350" s="129"/>
      <c r="AX350" s="129"/>
      <c r="AY350" s="129"/>
      <c r="AZ350" s="129"/>
      <c r="BA350" s="129"/>
      <c r="BB350" s="129"/>
      <c r="BC350" s="129"/>
      <c r="BD350" s="129"/>
      <c r="BE350" s="129"/>
    </row>
    <row r="351" spans="1:57" s="191" customFormat="1" ht="12" customHeight="1" x14ac:dyDescent="0.35">
      <c r="A351" s="182" t="s">
        <v>5</v>
      </c>
      <c r="B351" s="182" t="s">
        <v>176</v>
      </c>
      <c r="C351" s="182" t="s">
        <v>177</v>
      </c>
      <c r="D351" s="182" t="str">
        <f ca="1">[1]!cb_info_underlyingname(B351)</f>
        <v>红相股份</v>
      </c>
      <c r="E351" s="183" t="str">
        <f ca="1">[1]!cb_info_underlyingcode(B351)</f>
        <v>300427.SZ</v>
      </c>
      <c r="F351" s="184" t="str">
        <f ca="1">[1]!s_info_industry_sw(B351,1)</f>
        <v>电气设备</v>
      </c>
      <c r="G351" s="184" t="str">
        <f ca="1">[1]!s_info_industry_sw(E351,2)</f>
        <v>电气自动化设备</v>
      </c>
      <c r="H351" s="184" t="str">
        <f ca="1">[1]!s_info_industry_sw(E351,3)</f>
        <v>电网自动化</v>
      </c>
      <c r="I351" s="192" t="str">
        <f ca="1">[1]!s_info_majorproducttype(E351)</f>
        <v>继电保护及调度自动化</v>
      </c>
      <c r="J351" s="189">
        <f ca="1">[1]!s_val_ev(E351,$B$2,100000000)</f>
        <v>58.248113916300014</v>
      </c>
      <c r="K351" s="193">
        <f ca="1">[1]!s_share_total(E351,$B$2,100000000)</f>
        <v>3.6022333899999999</v>
      </c>
      <c r="L351" s="193">
        <f ca="1">[1]!s_share_liqa(E351,$B$2,100000000)</f>
        <v>3.1707991099999999</v>
      </c>
      <c r="M351" s="186">
        <f ca="1">[1]!s_fa_gr_ttm2(E351,$C$3,100000000)</f>
        <v>14.2075838159</v>
      </c>
      <c r="N351" s="187">
        <f ca="1">[1]!s_fa_netprofit_ttm2(E351,$C$3,100000000)</f>
        <v>2.618146152</v>
      </c>
      <c r="O351" s="186"/>
      <c r="P351" s="187">
        <f ca="1">[1]!s_val_pe_ttm(E351,[1]!td($B$2-1))</f>
        <v>40.961700439453125</v>
      </c>
      <c r="Q351" s="187">
        <f ca="1">[1]!i_val_pe_percentile(E351,[1]!td($B$2-1),$B$2-365*5,[1]!td($B$2-1))</f>
        <v>66.282894736842096</v>
      </c>
      <c r="R351" s="187">
        <f ca="1">[1]!pb_mrq(E351,[1]!td($B$2-1))</f>
        <v>2.4898983154793162</v>
      </c>
      <c r="S351" s="187">
        <f ca="1">[1]!i_val_pb_percentile(E351,[1]!td($B$2-1),$B$2-365*5,[1]!td($B$2-1))</f>
        <v>32.839912280701753</v>
      </c>
      <c r="T351" s="187">
        <f ca="1">[1]!s_val_pe_ttm([1]!to_windcode_index(H351&amp;"(申万)"),[1]!td($B$2-1))</f>
        <v>35.049999237060547</v>
      </c>
      <c r="U351" s="186"/>
      <c r="V351" s="186">
        <f ca="1">[1]!s_fa_roe(E351,$C$3)</f>
        <v>9.8401999999999994</v>
      </c>
      <c r="W351" s="186">
        <f ca="1">[1]!s_fa_grossprofitmargin(E351,$C$3)</f>
        <v>47.600299999999997</v>
      </c>
      <c r="X351" s="186">
        <f ca="1">[1]!s_fa_netprofitmargin(E351,$C$3)</f>
        <v>21.309000000000001</v>
      </c>
      <c r="Y351" s="186">
        <f ca="1">[1]!s_fa_roic(E351,$C$3)</f>
        <v>7.1474000000000002</v>
      </c>
      <c r="Z351" s="186">
        <f ca="1">[1]!s_fa_operateincometoebt_ttm2(E351,$C$3)</f>
        <v>80.459900000000005</v>
      </c>
      <c r="AA351" s="186"/>
      <c r="AB351" s="342"/>
      <c r="AC351" s="186">
        <f ca="1">[1]!s_fa_cagr_tr($E351,AC$6,3)</f>
        <v>0</v>
      </c>
      <c r="AD351" s="186">
        <f ca="1">[1]!s_fa_cagr_tr($E351,AD$6,3)</f>
        <v>26.785139867130159</v>
      </c>
      <c r="AE351" s="187">
        <f ca="1">[1]!s_fa_cagr_tr($E351,AE$6,3)</f>
        <v>48.352441890463972</v>
      </c>
      <c r="AF351" s="187">
        <f ca="1">[1]!s_fa_cagr_tr($E351,AF$6,3)</f>
        <v>62.567837908148036</v>
      </c>
      <c r="AG351" s="187">
        <f ca="1">[1]!s_fa_cagr_tr($E351,AG$6,3)</f>
        <v>40.605919433772186</v>
      </c>
      <c r="AH351" s="187">
        <f ca="1">[1]!s_fa_cagr_tr($E351,AH$6,3)</f>
        <v>19.25126909118433</v>
      </c>
      <c r="AI351" s="194"/>
      <c r="AJ351" s="187">
        <f ca="1">[1]!s_fa_cagr_netprofit($E351,AJ$6,3)</f>
        <v>0</v>
      </c>
      <c r="AK351" s="187">
        <f ca="1">[1]!s_fa_cagr_netprofit($E351,AK$6,3)</f>
        <v>25.231739575259905</v>
      </c>
      <c r="AL351" s="187">
        <f ca="1">[1]!s_fa_cagr_netprofit($E351,AL$6,3)</f>
        <v>47.05014790944724</v>
      </c>
      <c r="AM351" s="187">
        <f ca="1">[1]!s_fa_cagr_netprofit($E351,AM$6,3)</f>
        <v>47.878118502756827</v>
      </c>
      <c r="AN351" s="187">
        <f ca="1">[1]!s_fa_cagr_netprofit($E351,AN$6,3)</f>
        <v>27.952684699567353</v>
      </c>
      <c r="AO351" s="187">
        <f ca="1">[1]!s_fa_cagr_netprofit($E351,AO$6,3)</f>
        <v>11.623744440716411</v>
      </c>
      <c r="AP351" s="189"/>
      <c r="AQ351" s="202">
        <f ca="1">[1]!s_fa_dupont_roe(E351,$C$3)</f>
        <v>9.8401999999999994</v>
      </c>
      <c r="AR351" s="202">
        <f ca="1">[1]!s_fa_dupont_nptosales(B351,$C$3)</f>
        <v>21.309000000000001</v>
      </c>
      <c r="AS351" s="237">
        <f ca="1">[1]!s_fa_dupont_faturnover(E351,$C$3)</f>
        <v>0.2142</v>
      </c>
      <c r="AT351" s="202">
        <f ca="1">[1]!s_fa_dupont_assetstoequity(E351,$C$3)</f>
        <v>2.1143000000000001</v>
      </c>
      <c r="AU351" s="189"/>
      <c r="AV351" s="201"/>
      <c r="AW351" s="189"/>
      <c r="AX351" s="189"/>
      <c r="AY351" s="189"/>
      <c r="AZ351" s="189"/>
      <c r="BA351" s="189"/>
      <c r="BB351" s="189"/>
      <c r="BC351" s="189"/>
      <c r="BD351" s="189"/>
      <c r="BE351" s="189"/>
    </row>
    <row r="352" spans="1:57" s="130" customFormat="1" ht="12" customHeight="1" x14ac:dyDescent="0.35">
      <c r="A352" s="121" t="s">
        <v>5</v>
      </c>
      <c r="B352" s="121" t="s">
        <v>599</v>
      </c>
      <c r="C352" s="121" t="s">
        <v>600</v>
      </c>
      <c r="D352" s="121" t="str">
        <f ca="1">[1]!cb_info_underlyingname(B352)</f>
        <v>运达股份</v>
      </c>
      <c r="E352" s="122" t="str">
        <f ca="1">[1]!cb_info_underlyingcode(B352)</f>
        <v>300772.SZ</v>
      </c>
      <c r="F352" s="123" t="str">
        <f ca="1">[1]!s_info_industry_sw(B352,1)</f>
        <v>电气设备</v>
      </c>
      <c r="G352" s="123" t="str">
        <f ca="1">[1]!s_info_industry_sw(E352,2)</f>
        <v>电源设备</v>
      </c>
      <c r="H352" s="123" t="str">
        <f ca="1">[1]!s_info_industry_sw(E352,3)</f>
        <v>风电设备</v>
      </c>
      <c r="I352" s="156" t="str">
        <f ca="1">[1]!s_info_majorproducttype(E352)</f>
        <v>动力机械</v>
      </c>
      <c r="J352" s="129">
        <f ca="1">[1]!s_val_ev(E352,$B$2,100000000)</f>
        <v>142.69591170459998</v>
      </c>
      <c r="K352" s="157">
        <f ca="1">[1]!s_share_total(E352,$B$2,100000000)</f>
        <v>3.3646760599999999</v>
      </c>
      <c r="L352" s="157">
        <f ca="1">[1]!s_share_liqa(E352,$B$2,100000000)</f>
        <v>1.8952195599999999</v>
      </c>
      <c r="M352" s="125">
        <f ca="1">[1]!s_fa_gr_ttm2(E352,$C$3,100000000)</f>
        <v>92.547415227599998</v>
      </c>
      <c r="N352" s="126">
        <f ca="1">[1]!s_fa_netprofit_ttm2(E352,$C$3,100000000)</f>
        <v>1.4209134693000001</v>
      </c>
      <c r="O352" s="125"/>
      <c r="P352" s="126">
        <f ca="1">[1]!s_val_pe_ttm(E352,[1]!td($B$2-1))</f>
        <v>52.547782897949219</v>
      </c>
      <c r="Q352" s="126">
        <f ca="1">[1]!i_val_pe_percentile(E352,[1]!td($B$2-1),$B$2-365*5,[1]!td($B$2-1))</f>
        <v>98.959537572254334</v>
      </c>
      <c r="R352" s="126">
        <f ca="1">[1]!pb_mrq(E352,[1]!td($B$2-1))</f>
        <v>8.0300604102656923</v>
      </c>
      <c r="S352" s="126">
        <f ca="1">[1]!i_val_pb_percentile(E352,[1]!td($B$2-1),$B$2-365*5,[1]!td($B$2-1))</f>
        <v>99.537572254335259</v>
      </c>
      <c r="T352" s="126">
        <f ca="1">[1]!s_val_pe_ttm([1]!to_windcode_index(H352&amp;"(申万)"),[1]!td($B$2-1))</f>
        <v>26.020000457763672</v>
      </c>
      <c r="U352" s="125"/>
      <c r="V352" s="125">
        <f ca="1">[1]!s_fa_roe(E352,$C$3)</f>
        <v>4.3418000000000001</v>
      </c>
      <c r="W352" s="125">
        <f ca="1">[1]!s_fa_grossprofitmargin(E352,$C$3)</f>
        <v>12.8462</v>
      </c>
      <c r="X352" s="125">
        <f ca="1">[1]!s_fa_netprofitmargin(E352,$C$3)</f>
        <v>0.95399999999999996</v>
      </c>
      <c r="Y352" s="125">
        <f ca="1">[1]!s_fa_roic(E352,$C$3)</f>
        <v>0.83079999999999998</v>
      </c>
      <c r="Z352" s="125">
        <f ca="1">[1]!s_fa_operateincometoebt_ttm2(E352,$C$3)</f>
        <v>52.958799999999997</v>
      </c>
      <c r="AA352" s="125"/>
      <c r="AB352" s="343"/>
      <c r="AC352" s="125">
        <f ca="1">[1]!s_fa_cagr_tr($E352,AC$6,3)</f>
        <v>0</v>
      </c>
      <c r="AD352" s="125">
        <f ca="1">[1]!s_fa_cagr_tr($E352,AD$6,3)</f>
        <v>52.173366092930976</v>
      </c>
      <c r="AE352" s="126">
        <f ca="1">[1]!s_fa_cagr_tr($E352,AE$6,3)</f>
        <v>16.929087931837849</v>
      </c>
      <c r="AF352" s="126">
        <f ca="1">[1]!s_fa_cagr_tr($E352,AF$6,3)</f>
        <v>-5.1200928479158474</v>
      </c>
      <c r="AG352" s="126">
        <f ca="1">[1]!s_fa_cagr_tr($E352,AG$6,3)</f>
        <v>14.138173840588507</v>
      </c>
      <c r="AH352" s="126">
        <f ca="1">[1]!s_fa_cagr_tr($E352,AH$6,3)</f>
        <v>0</v>
      </c>
      <c r="AI352" s="169"/>
      <c r="AJ352" s="126">
        <f ca="1">[1]!s_fa_cagr_netprofit($E352,AJ$6,3)</f>
        <v>0</v>
      </c>
      <c r="AK352" s="126">
        <f ca="1">[1]!s_fa_cagr_netprofit($E352,AK$6,3)</f>
        <v>22.409444918794708</v>
      </c>
      <c r="AL352" s="126">
        <f ca="1">[1]!s_fa_cagr_netprofit($E352,AL$6,3)</f>
        <v>0.75771316281547652</v>
      </c>
      <c r="AM352" s="126">
        <f ca="1">[1]!s_fa_cagr_netprofit($E352,AM$6,3)</f>
        <v>-3.5277050585767356</v>
      </c>
      <c r="AN352" s="126">
        <f ca="1">[1]!s_fa_cagr_netprofit($E352,AN$6,3)</f>
        <v>72.820136030738951</v>
      </c>
      <c r="AO352" s="126">
        <f ca="1">[1]!s_fa_cagr_netprofit($E352,AO$6,3)</f>
        <v>0</v>
      </c>
      <c r="AP352" s="129"/>
      <c r="AQ352" s="203">
        <f ca="1">[1]!s_fa_dupont_roe(E352,$C$3)</f>
        <v>4.3418000000000001</v>
      </c>
      <c r="AR352" s="203">
        <f ca="1">[1]!s_fa_dupont_nptosales(B352,$C$3)</f>
        <v>0.95399999999999996</v>
      </c>
      <c r="AS352" s="238">
        <f ca="1">[1]!s_fa_dupont_faturnover(E352,$C$3)</f>
        <v>0.51649999999999996</v>
      </c>
      <c r="AT352" s="203">
        <f ca="1">[1]!s_fa_dupont_assetstoequity(E352,$C$3)</f>
        <v>8.8097999999999992</v>
      </c>
      <c r="AU352" s="129"/>
      <c r="AV352" s="129"/>
      <c r="AW352" s="129"/>
      <c r="AX352" s="129"/>
      <c r="AY352" s="129"/>
      <c r="AZ352" s="129"/>
      <c r="BA352" s="129"/>
      <c r="BB352" s="129"/>
      <c r="BC352" s="129"/>
      <c r="BD352" s="129"/>
      <c r="BE352" s="129"/>
    </row>
    <row r="353" spans="1:57" s="191" customFormat="1" ht="12" customHeight="1" x14ac:dyDescent="0.35">
      <c r="A353" s="182" t="s">
        <v>0</v>
      </c>
      <c r="B353" s="182" t="s">
        <v>445</v>
      </c>
      <c r="C353" s="182" t="s">
        <v>446</v>
      </c>
      <c r="D353" s="182" t="str">
        <f ca="1">[1]!cb_info_underlyingname(B353)</f>
        <v>杭电股份</v>
      </c>
      <c r="E353" s="183" t="str">
        <f ca="1">[1]!cb_info_underlyingcode(B353)</f>
        <v>603618.SH</v>
      </c>
      <c r="F353" s="184" t="str">
        <f ca="1">[1]!s_info_industry_sw(B353,1)</f>
        <v>电气设备</v>
      </c>
      <c r="G353" s="184" t="str">
        <f ca="1">[1]!s_info_industry_sw(E353,2)</f>
        <v>高低压设备</v>
      </c>
      <c r="H353" s="184" t="str">
        <f ca="1">[1]!s_info_industry_sw(E353,3)</f>
        <v>线缆部件及其他</v>
      </c>
      <c r="I353" s="192" t="str">
        <f ca="1">[1]!s_info_majorproducttype(E353)</f>
        <v>输电设备、通信线缆</v>
      </c>
      <c r="J353" s="189">
        <f ca="1">[1]!s_val_ev(E353,$B$2,100000000)</f>
        <v>45.885210446399995</v>
      </c>
      <c r="K353" s="193">
        <f ca="1">[1]!s_share_total(E353,$B$2,100000000)</f>
        <v>6.91042326</v>
      </c>
      <c r="L353" s="193">
        <f ca="1">[1]!s_share_liqa(E353,$B$2,100000000)</f>
        <v>6.91042326</v>
      </c>
      <c r="M353" s="186">
        <f ca="1">[1]!s_fa_gr_ttm2(E353,$C$3,100000000)</f>
        <v>58.941451134600001</v>
      </c>
      <c r="N353" s="187">
        <f ca="1">[1]!s_fa_netprofit_ttm2(E353,$C$3,100000000)</f>
        <v>1.3348072021999999</v>
      </c>
      <c r="O353" s="186"/>
      <c r="P353" s="187">
        <f ca="1">[1]!s_val_pe_ttm(E353,[1]!td($B$2-1))</f>
        <v>37.635993957519531</v>
      </c>
      <c r="Q353" s="187">
        <f ca="1">[1]!i_val_pe_percentile(E353,[1]!td($B$2-1),$B$2-365*5,[1]!td($B$2-1))</f>
        <v>39.199561403508767</v>
      </c>
      <c r="R353" s="187">
        <f ca="1">[1]!pb_mrq(E353,[1]!td($B$2-1))</f>
        <v>1.6990293421151572</v>
      </c>
      <c r="S353" s="187">
        <f ca="1">[1]!i_val_pb_percentile(E353,[1]!td($B$2-1),$B$2-365*5,[1]!td($B$2-1))</f>
        <v>37.171052631578952</v>
      </c>
      <c r="T353" s="187">
        <f ca="1">[1]!s_val_pe_ttm([1]!to_windcode_index(H353&amp;"(申万)"),[1]!td($B$2-1))</f>
        <v>30.120000839233398</v>
      </c>
      <c r="U353" s="187"/>
      <c r="V353" s="187">
        <f ca="1">[1]!s_fa_roe(E353,$C$3)</f>
        <v>4.3061999999999996</v>
      </c>
      <c r="W353" s="187">
        <f ca="1">[1]!s_fa_grossprofitmargin(E353,$C$3)</f>
        <v>15.9017</v>
      </c>
      <c r="X353" s="187">
        <f ca="1">[1]!s_fa_netprofitmargin(E353,$C$3)</f>
        <v>2.7381000000000002</v>
      </c>
      <c r="Y353" s="187">
        <f ca="1">[1]!s_fa_roic(E353,$C$3)</f>
        <v>3.7216999999999998</v>
      </c>
      <c r="Z353" s="187">
        <f ca="1">[1]!s_fa_operateincometoebt_ttm2(E353,$C$3)</f>
        <v>107.1508</v>
      </c>
      <c r="AA353" s="186"/>
      <c r="AB353" s="342"/>
      <c r="AC353" s="186">
        <f ca="1">[1]!s_fa_cagr_tr($E353,AC$6,3)</f>
        <v>0</v>
      </c>
      <c r="AD353" s="186">
        <f ca="1">[1]!s_fa_cagr_tr($E353,AD$6,3)</f>
        <v>11.794181056314068</v>
      </c>
      <c r="AE353" s="187">
        <f ca="1">[1]!s_fa_cagr_tr($E353,AE$6,3)</f>
        <v>12.701903362316514</v>
      </c>
      <c r="AF353" s="187">
        <f ca="1">[1]!s_fa_cagr_tr($E353,AF$6,3)</f>
        <v>12.017143241932304</v>
      </c>
      <c r="AG353" s="187">
        <f ca="1">[1]!s_fa_cagr_tr($E353,AG$6,3)</f>
        <v>15.96637412433628</v>
      </c>
      <c r="AH353" s="187">
        <f ca="1">[1]!s_fa_cagr_tr($E353,AH$6,3)</f>
        <v>12.512312495978218</v>
      </c>
      <c r="AI353" s="194"/>
      <c r="AJ353" s="187">
        <f ca="1">[1]!s_fa_cagr_netprofit($E353,AJ$6,3)</f>
        <v>0</v>
      </c>
      <c r="AK353" s="187">
        <f ca="1">[1]!s_fa_cagr_netprofit($E353,AK$6,3)</f>
        <v>5.5437007290960683</v>
      </c>
      <c r="AL353" s="187">
        <f ca="1">[1]!s_fa_cagr_netprofit($E353,AL$6,3)</f>
        <v>-5.0852053662087222</v>
      </c>
      <c r="AM353" s="187">
        <f ca="1">[1]!s_fa_cagr_netprofit($E353,AM$6,3)</f>
        <v>-9.3107637825749165</v>
      </c>
      <c r="AN353" s="187">
        <f ca="1">[1]!s_fa_cagr_netprofit($E353,AN$6,3)</f>
        <v>-4.997064631694526</v>
      </c>
      <c r="AO353" s="187">
        <f ca="1">[1]!s_fa_cagr_netprofit($E353,AO$6,3)</f>
        <v>12.064397886852586</v>
      </c>
      <c r="AP353" s="189"/>
      <c r="AQ353" s="202">
        <f ca="1">[1]!s_fa_dupont_roe(E353,$C$3)</f>
        <v>4.3061999999999996</v>
      </c>
      <c r="AR353" s="202">
        <f ca="1">[1]!s_fa_dupont_nptosales(B353,$C$3)</f>
        <v>2.7381000000000002</v>
      </c>
      <c r="AS353" s="237">
        <f ca="1">[1]!s_fa_dupont_faturnover(E353,$C$3)</f>
        <v>0.62</v>
      </c>
      <c r="AT353" s="202">
        <f ca="1">[1]!s_fa_dupont_assetstoequity(E353,$C$3)</f>
        <v>2.6385999999999998</v>
      </c>
      <c r="AU353" s="189"/>
      <c r="AV353" s="189"/>
      <c r="AW353" s="189"/>
      <c r="AX353" s="189"/>
      <c r="AY353" s="189"/>
      <c r="AZ353" s="189"/>
      <c r="BA353" s="189"/>
      <c r="BB353" s="189"/>
      <c r="BC353" s="189"/>
      <c r="BD353" s="189"/>
      <c r="BE353" s="189"/>
    </row>
    <row r="354" spans="1:57" s="130" customFormat="1" ht="12" customHeight="1" x14ac:dyDescent="0.35">
      <c r="A354" s="121" t="s">
        <v>5</v>
      </c>
      <c r="B354" s="121" t="s">
        <v>483</v>
      </c>
      <c r="C354" s="121" t="s">
        <v>484</v>
      </c>
      <c r="D354" s="121" t="str">
        <f ca="1">[1]!cb_info_underlyingname(B354)</f>
        <v>新时达</v>
      </c>
      <c r="E354" s="122" t="str">
        <f ca="1">[1]!cb_info_underlyingcode(B354)</f>
        <v>002527.SZ</v>
      </c>
      <c r="F354" s="123" t="str">
        <f ca="1">[1]!s_info_industry_sw(B354,1)</f>
        <v>电气设备</v>
      </c>
      <c r="G354" s="123" t="str">
        <f ca="1">[1]!s_info_industry_sw(E354,2)</f>
        <v>电气自动化设备</v>
      </c>
      <c r="H354" s="123" t="str">
        <f ca="1">[1]!s_info_industry_sw(E354,3)</f>
        <v>工控自动化</v>
      </c>
      <c r="I354" s="156" t="str">
        <f ca="1">[1]!s_info_majorproducttype(E354)</f>
        <v>变电设备、低压电器类、电子元器件、监控器材及系统、输电设备</v>
      </c>
      <c r="J354" s="129">
        <f ca="1">[1]!s_val_ev(E354,$B$2,100000000)</f>
        <v>62.154164655800002</v>
      </c>
      <c r="K354" s="157">
        <f ca="1">[1]!s_share_total(E354,$B$2,100000000)</f>
        <v>6.2278722100000001</v>
      </c>
      <c r="L354" s="157">
        <f ca="1">[1]!s_share_liqa(E354,$B$2,100000000)</f>
        <v>4.8873366100000002</v>
      </c>
      <c r="M354" s="125">
        <f ca="1">[1]!s_fa_gr_ttm2(E354,$C$3,100000000)</f>
        <v>37.801758120500004</v>
      </c>
      <c r="N354" s="126">
        <f ca="1">[1]!s_fa_netprofit_ttm2(E354,$C$3,100000000)</f>
        <v>0.74110223799999997</v>
      </c>
      <c r="O354" s="125"/>
      <c r="P354" s="126">
        <f ca="1">[1]!s_val_pe_ttm(E354,[1]!td($B$2-1))</f>
        <v>47.077468872070313</v>
      </c>
      <c r="Q354" s="126">
        <f ca="1">[1]!i_val_pe_percentile(E354,[1]!td($B$2-1),$B$2-365*5,[1]!td($B$2-1))</f>
        <v>52.945205479452049</v>
      </c>
      <c r="R354" s="126">
        <f ca="1">[1]!pb_mrq(E354,[1]!td($B$2-1))</f>
        <v>2.3088080058078422</v>
      </c>
      <c r="S354" s="126">
        <f ca="1">[1]!i_val_pb_percentile(E354,[1]!td($B$2-1),$B$2-365*5,[1]!td($B$2-1))</f>
        <v>75.657894736842096</v>
      </c>
      <c r="T354" s="126">
        <f ca="1">[1]!s_val_pe_ttm([1]!to_windcode_index(H354&amp;"(申万)"),[1]!td($B$2-1))</f>
        <v>50.720001220703125</v>
      </c>
      <c r="U354" s="126"/>
      <c r="V354" s="126">
        <f ca="1">[1]!s_fa_roe(E354,$C$3)</f>
        <v>2.8454000000000002</v>
      </c>
      <c r="W354" s="126">
        <f ca="1">[1]!s_fa_grossprofitmargin(E354,$C$3)</f>
        <v>20.6389</v>
      </c>
      <c r="X354" s="126">
        <f ca="1">[1]!s_fa_netprofitmargin(E354,$C$3)</f>
        <v>2.9925000000000002</v>
      </c>
      <c r="Y354" s="126">
        <f ca="1">[1]!s_fa_roic(E354,$C$3)</f>
        <v>2.274</v>
      </c>
      <c r="Z354" s="126">
        <f ca="1">[1]!s_fa_operateincometoebt_ttm2(E354,$C$3)</f>
        <v>16.956399999999999</v>
      </c>
      <c r="AA354" s="125"/>
      <c r="AB354" s="343"/>
      <c r="AC354" s="125">
        <f ca="1">[1]!s_fa_cagr_tr($E354,AC$6,3)</f>
        <v>0</v>
      </c>
      <c r="AD354" s="125">
        <f ca="1">[1]!s_fa_cagr_tr($E354,AD$6,3)</f>
        <v>5.1504130177765006</v>
      </c>
      <c r="AE354" s="126">
        <f ca="1">[1]!s_fa_cagr_tr($E354,AE$6,3)</f>
        <v>9.030705259992633</v>
      </c>
      <c r="AF354" s="126">
        <f ca="1">[1]!s_fa_cagr_tr($E354,AF$6,3)</f>
        <v>32.617436831574096</v>
      </c>
      <c r="AG354" s="126">
        <f ca="1">[1]!s_fa_cagr_tr($E354,AG$6,3)</f>
        <v>37.647439398503302</v>
      </c>
      <c r="AH354" s="126">
        <f ca="1">[1]!s_fa_cagr_tr($E354,AH$6,3)</f>
        <v>39.67650011485788</v>
      </c>
      <c r="AI354" s="169"/>
      <c r="AJ354" s="126">
        <f ca="1">[1]!s_fa_cagr_netprofit($E354,AJ$6,3)</f>
        <v>0</v>
      </c>
      <c r="AK354" s="126">
        <f ca="1">[1]!s_fa_cagr_netprofit($E354,AK$6,3)</f>
        <v>-14.252090386552574</v>
      </c>
      <c r="AL354" s="126">
        <f ca="1">[1]!s_fa_cagr_netprofit($E354,AL$6,3)</f>
        <v>-32.093891360045404</v>
      </c>
      <c r="AM354" s="126">
        <f ca="1">[1]!s_fa_cagr_netprofit($E354,AM$6,3)</f>
        <v>-211.18910862880136</v>
      </c>
      <c r="AN354" s="126">
        <f ca="1">[1]!s_fa_cagr_netprofit($E354,AN$6,3)</f>
        <v>-12.181809113318698</v>
      </c>
      <c r="AO354" s="126">
        <f ca="1">[1]!s_fa_cagr_netprofit($E354,AO$6,3)</f>
        <v>1.0002786362318883</v>
      </c>
      <c r="AP354" s="129"/>
      <c r="AQ354" s="203">
        <f ca="1">[1]!s_fa_dupont_roe(E354,$C$3)</f>
        <v>2.8454000000000002</v>
      </c>
      <c r="AR354" s="203">
        <f ca="1">[1]!s_fa_dupont_nptosales(B354,$C$3)</f>
        <v>2.9925000000000002</v>
      </c>
      <c r="AS354" s="238">
        <f ca="1">[1]!s_fa_dupont_faturnover(E354,$C$3)</f>
        <v>0.44540000000000002</v>
      </c>
      <c r="AT354" s="203">
        <f ca="1">[1]!s_fa_dupont_assetstoequity(E354,$C$3)</f>
        <v>2.3544</v>
      </c>
      <c r="AU354" s="129"/>
      <c r="AV354" s="129"/>
      <c r="AW354" s="129"/>
      <c r="AX354" s="129"/>
      <c r="AY354" s="129"/>
      <c r="AZ354" s="129"/>
      <c r="BA354" s="129"/>
      <c r="BB354" s="129"/>
      <c r="BC354" s="129"/>
      <c r="BD354" s="129"/>
      <c r="BE354" s="129"/>
    </row>
    <row r="355" spans="1:57" s="191" customFormat="1" ht="12" customHeight="1" x14ac:dyDescent="0.35">
      <c r="A355" s="182" t="s">
        <v>5</v>
      </c>
      <c r="B355" s="182" t="s">
        <v>258</v>
      </c>
      <c r="C355" s="182" t="s">
        <v>259</v>
      </c>
      <c r="D355" s="182" t="str">
        <f ca="1">[1]!cb_info_underlyingname(B355)</f>
        <v>通光线缆</v>
      </c>
      <c r="E355" s="183" t="str">
        <f ca="1">[1]!cb_info_underlyingcode(B355)</f>
        <v>300265.SZ</v>
      </c>
      <c r="F355" s="184" t="str">
        <f ca="1">[1]!s_info_industry_sw(B355,1)</f>
        <v>电气设备</v>
      </c>
      <c r="G355" s="184" t="str">
        <f ca="1">[1]!s_info_industry_sw(E355,2)</f>
        <v>高低压设备</v>
      </c>
      <c r="H355" s="184" t="str">
        <f ca="1">[1]!s_info_industry_sw(E355,3)</f>
        <v>线缆部件及其他</v>
      </c>
      <c r="I355" s="192" t="str">
        <f ca="1">[1]!s_info_majorproducttype(E355)</f>
        <v>通信线缆、专用设备与零部件</v>
      </c>
      <c r="J355" s="189">
        <f ca="1">[1]!s_val_ev(E355,$B$2,100000000)</f>
        <v>41.168280081599995</v>
      </c>
      <c r="K355" s="193">
        <f ca="1">[1]!s_share_total(E355,$B$2,100000000)</f>
        <v>3.64967022</v>
      </c>
      <c r="L355" s="193">
        <f ca="1">[1]!s_share_liqa(E355,$B$2,100000000)</f>
        <v>3.64633085</v>
      </c>
      <c r="M355" s="186">
        <f ca="1">[1]!s_fa_gr_ttm2(E355,$C$3,100000000)</f>
        <v>14.962961123099999</v>
      </c>
      <c r="N355" s="187">
        <f ca="1">[1]!s_fa_netprofit_ttm2(E355,$C$3,100000000)</f>
        <v>0.42178703100000003</v>
      </c>
      <c r="O355" s="186"/>
      <c r="P355" s="187">
        <f ca="1">[1]!s_val_pe_ttm(E355,[1]!td($B$2-1))</f>
        <v>64.933578491210938</v>
      </c>
      <c r="Q355" s="187">
        <f ca="1">[1]!i_val_pe_percentile(E355,[1]!td($B$2-1),$B$2-365*5,[1]!td($B$2-1))</f>
        <v>50.274122807017541</v>
      </c>
      <c r="R355" s="187">
        <f ca="1">[1]!pb_mrq(E355,[1]!td($B$2-1))</f>
        <v>3.1220687384874961</v>
      </c>
      <c r="S355" s="187">
        <f ca="1">[1]!i_val_pb_percentile(E355,[1]!td($B$2-1),$B$2-365*5,[1]!td($B$2-1))</f>
        <v>50.603070175438589</v>
      </c>
      <c r="T355" s="187">
        <f ca="1">[1]!s_val_pe_ttm([1]!to_windcode_index(H355&amp;"(申万)"),[1]!td($B$2-1))</f>
        <v>30.120000839233398</v>
      </c>
      <c r="U355" s="187"/>
      <c r="V355" s="187">
        <f ca="1">[1]!s_fa_roe(E355,$C$3)</f>
        <v>4.2343000000000002</v>
      </c>
      <c r="W355" s="187">
        <f ca="1">[1]!s_fa_grossprofitmargin(E355,$C$3)</f>
        <v>30.029499999999999</v>
      </c>
      <c r="X355" s="187">
        <f ca="1">[1]!s_fa_netprofitmargin(E355,$C$3)</f>
        <v>5.1571999999999996</v>
      </c>
      <c r="Y355" s="187">
        <f ca="1">[1]!s_fa_roic(E355,$C$3)</f>
        <v>3.8961999999999999</v>
      </c>
      <c r="Z355" s="187">
        <f ca="1">[1]!s_fa_operateincometoebt_ttm2(E355,$C$3)</f>
        <v>104.82680000000001</v>
      </c>
      <c r="AA355" s="186"/>
      <c r="AB355" s="342"/>
      <c r="AC355" s="186">
        <f ca="1">[1]!s_fa_cagr_tr($E355,AC$6,3)</f>
        <v>0</v>
      </c>
      <c r="AD355" s="186">
        <f ca="1">[1]!s_fa_cagr_tr($E355,AD$6,3)</f>
        <v>-1.0891876515353616</v>
      </c>
      <c r="AE355" s="187">
        <f ca="1">[1]!s_fa_cagr_tr($E355,AE$6,3)</f>
        <v>0.52652420083532103</v>
      </c>
      <c r="AF355" s="187">
        <f ca="1">[1]!s_fa_cagr_tr($E355,AF$6,3)</f>
        <v>17.959985777688669</v>
      </c>
      <c r="AG355" s="187">
        <f ca="1">[1]!s_fa_cagr_tr($E355,AG$6,3)</f>
        <v>20.960657438114549</v>
      </c>
      <c r="AH355" s="187">
        <f ca="1">[1]!s_fa_cagr_tr($E355,AH$6,3)</f>
        <v>23.685530968857126</v>
      </c>
      <c r="AI355" s="194"/>
      <c r="AJ355" s="187">
        <f ca="1">[1]!s_fa_cagr_netprofit($E355,AJ$6,3)</f>
        <v>0</v>
      </c>
      <c r="AK355" s="187">
        <f ca="1">[1]!s_fa_cagr_netprofit($E355,AK$6,3)</f>
        <v>11.894886300127204</v>
      </c>
      <c r="AL355" s="187">
        <f ca="1">[1]!s_fa_cagr_netprofit($E355,AL$6,3)</f>
        <v>-40.018035048772681</v>
      </c>
      <c r="AM355" s="187">
        <f ca="1">[1]!s_fa_cagr_netprofit($E355,AM$6,3)</f>
        <v>-25.562587887528963</v>
      </c>
      <c r="AN355" s="187">
        <f ca="1">[1]!s_fa_cagr_netprofit($E355,AN$6,3)</f>
        <v>9.4803517158556829</v>
      </c>
      <c r="AO355" s="187">
        <f ca="1">[1]!s_fa_cagr_netprofit($E355,AO$6,3)</f>
        <v>43.677039451352883</v>
      </c>
      <c r="AP355" s="189"/>
      <c r="AQ355" s="202">
        <f ca="1">[1]!s_fa_dupont_roe(E355,$C$3)</f>
        <v>4.2343000000000002</v>
      </c>
      <c r="AR355" s="202">
        <f ca="1">[1]!s_fa_dupont_nptosales(B355,$C$3)</f>
        <v>5.1571999999999996</v>
      </c>
      <c r="AS355" s="237">
        <f ca="1">[1]!s_fa_dupont_faturnover(E355,$C$3)</f>
        <v>0.42730000000000001</v>
      </c>
      <c r="AT355" s="202">
        <f ca="1">[1]!s_fa_dupont_assetstoequity(E355,$C$3)</f>
        <v>2.1118999999999999</v>
      </c>
      <c r="AU355" s="189"/>
      <c r="AV355" s="201"/>
      <c r="AW355" s="189"/>
      <c r="AX355" s="189"/>
      <c r="AY355" s="189"/>
      <c r="AZ355" s="189"/>
      <c r="BA355" s="189"/>
      <c r="BB355" s="189"/>
      <c r="BC355" s="189"/>
      <c r="BD355" s="189"/>
      <c r="BE355" s="189"/>
    </row>
    <row r="356" spans="1:57" s="130" customFormat="1" ht="12" customHeight="1" x14ac:dyDescent="0.35">
      <c r="A356" s="121" t="s">
        <v>0</v>
      </c>
      <c r="B356" s="121" t="s">
        <v>252</v>
      </c>
      <c r="C356" s="121" t="s">
        <v>253</v>
      </c>
      <c r="D356" s="121" t="str">
        <f ca="1">[1]!cb_info_underlyingname(B356)</f>
        <v>白云电器</v>
      </c>
      <c r="E356" s="122" t="str">
        <f ca="1">[1]!cb_info_underlyingcode(B356)</f>
        <v>603861.SH</v>
      </c>
      <c r="F356" s="123" t="str">
        <f ca="1">[1]!s_info_industry_sw(B356,1)</f>
        <v>电气设备</v>
      </c>
      <c r="G356" s="123" t="str">
        <f ca="1">[1]!s_info_industry_sw(E356,2)</f>
        <v>高低压设备</v>
      </c>
      <c r="H356" s="123" t="str">
        <f ca="1">[1]!s_info_industry_sw(E356,3)</f>
        <v>中压设备</v>
      </c>
      <c r="I356" s="156" t="str">
        <f ca="1">[1]!s_info_majorproducttype(E356)</f>
        <v>变电设备</v>
      </c>
      <c r="J356" s="129">
        <f ca="1">[1]!s_val_ev(E356,$B$2,100000000)</f>
        <v>42.676395220800003</v>
      </c>
      <c r="K356" s="157">
        <f ca="1">[1]!s_share_total(E356,$B$2,100000000)</f>
        <v>4.3905756399999998</v>
      </c>
      <c r="L356" s="157">
        <f ca="1">[1]!s_share_liqa(E356,$B$2,100000000)</f>
        <v>4.1278293000000001</v>
      </c>
      <c r="M356" s="125">
        <f ca="1">[1]!s_fa_gr_ttm2(E356,$C$3,100000000)</f>
        <v>30.936135400599998</v>
      </c>
      <c r="N356" s="126">
        <f ca="1">[1]!s_fa_netprofit_ttm2(E356,$C$3,100000000)</f>
        <v>0.37503765380000004</v>
      </c>
      <c r="O356" s="125"/>
      <c r="P356" s="126">
        <f ca="1">[1]!s_val_pe_ttm(E356,[1]!td($B$2-1))</f>
        <v>18.172845840454102</v>
      </c>
      <c r="Q356" s="126">
        <f ca="1">[1]!i_val_pe_percentile(E356,[1]!td($B$2-1),$B$2-365*5,[1]!td($B$2-1))</f>
        <v>6.7982456140350882</v>
      </c>
      <c r="R356" s="126">
        <f ca="1">[1]!pb_mrq(E356,[1]!td($B$2-1))</f>
        <v>1.6789202304418145</v>
      </c>
      <c r="S356" s="126">
        <f ca="1">[1]!i_val_pb_percentile(E356,[1]!td($B$2-1),$B$2-365*5,[1]!td($B$2-1))</f>
        <v>31.633771929824562</v>
      </c>
      <c r="T356" s="126">
        <f ca="1">[1]!s_val_pe_ttm([1]!to_windcode_index(H356&amp;"(申万)"),[1]!td($B$2-1))</f>
        <v>64.75</v>
      </c>
      <c r="U356" s="126"/>
      <c r="V356" s="126">
        <f ca="1">[1]!s_fa_roe(E356,$C$3)</f>
        <v>-2.75</v>
      </c>
      <c r="W356" s="126">
        <f ca="1">[1]!s_fa_grossprofitmargin(E356,$C$3)</f>
        <v>18.9695</v>
      </c>
      <c r="X356" s="126">
        <f ca="1">[1]!s_fa_netprofitmargin(E356,$C$3)</f>
        <v>-3.9276</v>
      </c>
      <c r="Y356" s="126">
        <f ca="1">[1]!s_fa_roic(E356,$C$3)</f>
        <v>-0.128</v>
      </c>
      <c r="Z356" s="126">
        <f ca="1">[1]!s_fa_operateincometoebt_ttm2(E356,$C$3)</f>
        <v>4.4657</v>
      </c>
      <c r="AA356" s="125"/>
      <c r="AB356" s="343"/>
      <c r="AC356" s="125">
        <f ca="1">[1]!s_fa_cagr_tr($E356,AC$6,3)</f>
        <v>0</v>
      </c>
      <c r="AD356" s="125">
        <f ca="1">[1]!s_fa_cagr_tr($E356,AD$6,3)</f>
        <v>26.006365435324462</v>
      </c>
      <c r="AE356" s="126">
        <f ca="1">[1]!s_fa_cagr_tr($E356,AE$6,3)</f>
        <v>28.004635181560044</v>
      </c>
      <c r="AF356" s="126">
        <f ca="1">[1]!s_fa_cagr_tr($E356,AF$6,3)</f>
        <v>26.785535365586966</v>
      </c>
      <c r="AG356" s="126">
        <f ca="1">[1]!s_fa_cagr_tr($E356,AG$6,3)</f>
        <v>10.586928018665077</v>
      </c>
      <c r="AH356" s="126">
        <f ca="1">[1]!s_fa_cagr_tr($E356,AH$6,3)</f>
        <v>8.6400000446978265</v>
      </c>
      <c r="AI356" s="169"/>
      <c r="AJ356" s="126">
        <f ca="1">[1]!s_fa_cagr_netprofit($E356,AJ$6,3)</f>
        <v>0</v>
      </c>
      <c r="AK356" s="126">
        <f ca="1">[1]!s_fa_cagr_netprofit($E356,AK$6,3)</f>
        <v>-15.294930300516629</v>
      </c>
      <c r="AL356" s="126">
        <f ca="1">[1]!s_fa_cagr_netprofit($E356,AL$6,3)</f>
        <v>-0.47080665459251492</v>
      </c>
      <c r="AM356" s="126">
        <f ca="1">[1]!s_fa_cagr_netprofit($E356,AM$6,3)</f>
        <v>-0.48836255434437925</v>
      </c>
      <c r="AN356" s="126">
        <f ca="1">[1]!s_fa_cagr_netprofit($E356,AN$6,3)</f>
        <v>4.8724552614071603</v>
      </c>
      <c r="AO356" s="126">
        <f ca="1">[1]!s_fa_cagr_netprofit($E356,AO$6,3)</f>
        <v>6.6115273598099655</v>
      </c>
      <c r="AP356" s="129"/>
      <c r="AQ356" s="203">
        <f ca="1">[1]!s_fa_dupont_roe(E356,$C$3)</f>
        <v>-2.75</v>
      </c>
      <c r="AR356" s="203">
        <f ca="1">[1]!s_fa_dupont_nptosales(B356,$C$3)</f>
        <v>-3.9276</v>
      </c>
      <c r="AS356" s="238">
        <f ca="1">[1]!s_fa_dupont_faturnover(E356,$C$3)</f>
        <v>0.2833</v>
      </c>
      <c r="AT356" s="203">
        <f ca="1">[1]!s_fa_dupont_assetstoequity(E356,$C$3)</f>
        <v>2.7393999999999998</v>
      </c>
      <c r="AU356" s="129"/>
      <c r="AV356" s="129"/>
      <c r="AW356" s="129"/>
      <c r="AX356" s="129"/>
      <c r="AY356" s="129"/>
      <c r="AZ356" s="129"/>
      <c r="BA356" s="129"/>
      <c r="BB356" s="129"/>
      <c r="BC356" s="129"/>
      <c r="BD356" s="129"/>
      <c r="BE356" s="129"/>
    </row>
    <row r="357" spans="1:57" s="191" customFormat="1" ht="12" customHeight="1" x14ac:dyDescent="0.35">
      <c r="A357" s="182" t="s">
        <v>5</v>
      </c>
      <c r="B357" s="182" t="s">
        <v>407</v>
      </c>
      <c r="C357" s="182" t="s">
        <v>408</v>
      </c>
      <c r="D357" s="182" t="str">
        <f ca="1">[1]!cb_info_underlyingname(B357)</f>
        <v>凯中精密</v>
      </c>
      <c r="E357" s="183" t="str">
        <f ca="1">[1]!cb_info_underlyingcode(B357)</f>
        <v>002823.SZ</v>
      </c>
      <c r="F357" s="184" t="str">
        <f ca="1">[1]!s_info_industry_sw(B357,1)</f>
        <v>电气设备</v>
      </c>
      <c r="G357" s="184" t="str">
        <f ca="1">[1]!s_info_industry_sw(E357,2)</f>
        <v>电机Ⅱ</v>
      </c>
      <c r="H357" s="184" t="str">
        <f ca="1">[1]!s_info_industry_sw(E357,3)</f>
        <v>电机Ⅲ</v>
      </c>
      <c r="I357" s="192" t="str">
        <f ca="1">[1]!s_info_majorproducttype(E357)</f>
        <v>专用设备与零部件</v>
      </c>
      <c r="J357" s="189">
        <f ca="1">[1]!s_val_ev(E357,$B$2,100000000)</f>
        <v>32.498405748000003</v>
      </c>
      <c r="K357" s="193">
        <f ca="1">[1]!s_share_total(E357,$B$2,100000000)</f>
        <v>2.8708838999999999</v>
      </c>
      <c r="L357" s="193">
        <f ca="1">[1]!s_share_liqa(E357,$B$2,100000000)</f>
        <v>1.5925734</v>
      </c>
      <c r="M357" s="186">
        <f ca="1">[1]!s_fa_gr_ttm2(E357,$C$3,100000000)</f>
        <v>18.091424311400001</v>
      </c>
      <c r="N357" s="187">
        <f ca="1">[1]!s_fa_netprofit_ttm2(E357,$C$3,100000000)</f>
        <v>1.1191058254999999</v>
      </c>
      <c r="O357" s="186"/>
      <c r="P357" s="187">
        <f ca="1">[1]!s_val_pe_ttm(E357,[1]!td($B$2-1))</f>
        <v>29.222927093505859</v>
      </c>
      <c r="Q357" s="187">
        <f ca="1">[1]!i_val_pe_percentile(E357,[1]!td($B$2-1),$B$2-365*5,[1]!td($B$2-1))</f>
        <v>36.098398169336384</v>
      </c>
      <c r="R357" s="187">
        <f ca="1">[1]!pb_mrq(E357,[1]!td($B$2-1))</f>
        <v>2.4019054737046157</v>
      </c>
      <c r="S357" s="187">
        <f ca="1">[1]!i_val_pb_percentile(E357,[1]!td($B$2-1),$B$2-365*5,[1]!td($B$2-1))</f>
        <v>29.805491990846683</v>
      </c>
      <c r="T357" s="187">
        <f ca="1">[1]!s_val_pe_ttm([1]!to_windcode_index(H357&amp;"(申万)"),[1]!td($B$2-1))</f>
        <v>52.099998474121094</v>
      </c>
      <c r="U357" s="186"/>
      <c r="V357" s="186">
        <f ca="1">[1]!s_fa_roe(E357,$C$3)</f>
        <v>6.6224999999999996</v>
      </c>
      <c r="W357" s="186">
        <f ca="1">[1]!s_fa_grossprofitmargin(E357,$C$3)</f>
        <v>19.746400000000001</v>
      </c>
      <c r="X357" s="186">
        <f ca="1">[1]!s_fa_netprofitmargin(E357,$C$3)</f>
        <v>7.3956999999999997</v>
      </c>
      <c r="Y357" s="186">
        <f ca="1">[1]!s_fa_roic(E357,$C$3)</f>
        <v>4.6821999999999999</v>
      </c>
      <c r="Z357" s="186">
        <f ca="1">[1]!s_fa_operateincometoebt_ttm2(E357,$C$3)</f>
        <v>11.6808</v>
      </c>
      <c r="AA357" s="186"/>
      <c r="AB357" s="342"/>
      <c r="AC357" s="186">
        <f ca="1">[1]!s_fa_cagr_tr($E357,AC$6,3)</f>
        <v>0</v>
      </c>
      <c r="AD357" s="186">
        <f ca="1">[1]!s_fa_cagr_tr($E357,AD$6,3)</f>
        <v>11.539246672398473</v>
      </c>
      <c r="AE357" s="187">
        <f ca="1">[1]!s_fa_cagr_tr($E357,AE$6,3)</f>
        <v>21.948651005134657</v>
      </c>
      <c r="AF357" s="187">
        <f ca="1">[1]!s_fa_cagr_tr($E357,AF$6,3)</f>
        <v>23.803620319212261</v>
      </c>
      <c r="AG357" s="187">
        <f ca="1">[1]!s_fa_cagr_tr($E357,AG$6,3)</f>
        <v>18.586358758441012</v>
      </c>
      <c r="AH357" s="187">
        <f ca="1">[1]!s_fa_cagr_tr($E357,AH$6,3)</f>
        <v>15.105948660348712</v>
      </c>
      <c r="AI357" s="194"/>
      <c r="AJ357" s="187">
        <f ca="1">[1]!s_fa_cagr_netprofit($E357,AJ$6,3)</f>
        <v>0</v>
      </c>
      <c r="AK357" s="187">
        <f ca="1">[1]!s_fa_cagr_netprofit($E357,AK$6,3)</f>
        <v>-18.131365395746645</v>
      </c>
      <c r="AL357" s="187">
        <f ca="1">[1]!s_fa_cagr_netprofit($E357,AL$6,3)</f>
        <v>-20.115482512516603</v>
      </c>
      <c r="AM357" s="187">
        <f ca="1">[1]!s_fa_cagr_netprofit($E357,AM$6,3)</f>
        <v>7.5248656007788517</v>
      </c>
      <c r="AN357" s="187">
        <f ca="1">[1]!s_fa_cagr_netprofit($E357,AN$6,3)</f>
        <v>26.156519355179597</v>
      </c>
      <c r="AO357" s="187">
        <f ca="1">[1]!s_fa_cagr_netprofit($E357,AO$6,3)</f>
        <v>18.998345561495732</v>
      </c>
      <c r="AP357" s="189"/>
      <c r="AQ357" s="202">
        <f ca="1">[1]!s_fa_dupont_roe(E357,$C$3)</f>
        <v>6.6224999999999996</v>
      </c>
      <c r="AR357" s="202">
        <f ca="1">[1]!s_fa_dupont_nptosales(B357,$C$3)</f>
        <v>7.3956999999999997</v>
      </c>
      <c r="AS357" s="237">
        <f ca="1">[1]!s_fa_dupont_faturnover(E357,$C$3)</f>
        <v>0.39250000000000002</v>
      </c>
      <c r="AT357" s="202">
        <f ca="1">[1]!s_fa_dupont_assetstoequity(E357,$C$3)</f>
        <v>2.2812999999999999</v>
      </c>
      <c r="AU357" s="189"/>
      <c r="AV357" s="189"/>
      <c r="AW357" s="189"/>
      <c r="AX357" s="189"/>
      <c r="AY357" s="189"/>
      <c r="AZ357" s="189"/>
      <c r="BA357" s="189"/>
      <c r="BB357" s="189"/>
      <c r="BC357" s="189"/>
      <c r="BD357" s="189"/>
      <c r="BE357" s="189"/>
    </row>
    <row r="358" spans="1:57" s="130" customFormat="1" ht="12" customHeight="1" x14ac:dyDescent="0.35">
      <c r="A358" s="121" t="s">
        <v>0</v>
      </c>
      <c r="B358" s="121" t="s">
        <v>360</v>
      </c>
      <c r="C358" s="121" t="s">
        <v>361</v>
      </c>
      <c r="D358" s="121" t="str">
        <f ca="1">[1]!cb_info_underlyingname(B358)</f>
        <v>长城科技</v>
      </c>
      <c r="E358" s="122" t="str">
        <f ca="1">[1]!cb_info_underlyingcode(B358)</f>
        <v>603897.SH</v>
      </c>
      <c r="F358" s="123" t="str">
        <f ca="1">[1]!s_info_industry_sw(B358,1)</f>
        <v>电气设备</v>
      </c>
      <c r="G358" s="123" t="str">
        <f ca="1">[1]!s_info_industry_sw(E358,2)</f>
        <v>高低压设备</v>
      </c>
      <c r="H358" s="123" t="str">
        <f ca="1">[1]!s_info_industry_sw(E358,3)</f>
        <v>线缆部件及其他</v>
      </c>
      <c r="I358" s="156" t="str">
        <f ca="1">[1]!s_info_majorproducttype(E358)</f>
        <v>输电设备</v>
      </c>
      <c r="J358" s="129">
        <f ca="1">[1]!s_val_ev(E358,$B$2,100000000)</f>
        <v>84.255417671999993</v>
      </c>
      <c r="K358" s="157">
        <f ca="1">[1]!s_share_total(E358,$B$2,100000000)</f>
        <v>1.81977144</v>
      </c>
      <c r="L358" s="157">
        <f ca="1">[1]!s_share_liqa(E358,$B$2,100000000)</f>
        <v>1.81977144</v>
      </c>
      <c r="M358" s="125">
        <f ca="1">[1]!s_fa_gr_ttm2(E358,$C$3,100000000)</f>
        <v>55.1863357792</v>
      </c>
      <c r="N358" s="126">
        <f ca="1">[1]!s_fa_netprofit_ttm2(E358,$C$3,100000000)</f>
        <v>1.6457881148</v>
      </c>
      <c r="O358" s="125"/>
      <c r="P358" s="126">
        <f ca="1">[1]!s_val_pe_ttm(E358,[1]!td($B$2-1))</f>
        <v>27.243646621704102</v>
      </c>
      <c r="Q358" s="126">
        <f ca="1">[1]!i_val_pe_percentile(E358,[1]!td($B$2-1),$B$2-365*5,[1]!td($B$2-1))</f>
        <v>86.757624398073844</v>
      </c>
      <c r="R358" s="126">
        <f ca="1">[1]!pb_mrq(E358,[1]!td($B$2-1))</f>
        <v>4.0635157228505356</v>
      </c>
      <c r="S358" s="126">
        <f ca="1">[1]!i_val_pb_percentile(E358,[1]!td($B$2-1),$B$2-365*5,[1]!td($B$2-1))</f>
        <v>92.134831460674164</v>
      </c>
      <c r="T358" s="126">
        <f ca="1">[1]!s_val_pe_ttm([1]!to_windcode_index(H358&amp;"(申万)"),[1]!td($B$2-1))</f>
        <v>30.120000839233398</v>
      </c>
      <c r="U358" s="126"/>
      <c r="V358" s="126">
        <f ca="1">[1]!s_fa_roe(E358,$C$3)</f>
        <v>6.5096999999999996</v>
      </c>
      <c r="W358" s="126">
        <f ca="1">[1]!s_fa_grossprofitmargin(E358,$C$3)</f>
        <v>8.1883999999999997</v>
      </c>
      <c r="X358" s="126">
        <f ca="1">[1]!s_fa_netprofitmargin(E358,$C$3)</f>
        <v>3.0346000000000002</v>
      </c>
      <c r="Y358" s="126">
        <f ca="1">[1]!s_fa_roic(E358,$C$3)</f>
        <v>6.0157999999999996</v>
      </c>
      <c r="Z358" s="126">
        <f ca="1">[1]!s_fa_operateincometoebt_ttm2(E358,$C$3)</f>
        <v>87.3857</v>
      </c>
      <c r="AA358" s="125"/>
      <c r="AB358" s="343"/>
      <c r="AC358" s="125">
        <f ca="1">[1]!s_fa_cagr_tr($E358,AC$6,3)</f>
        <v>0</v>
      </c>
      <c r="AD358" s="125">
        <f ca="1">[1]!s_fa_cagr_tr($E358,AD$6,3)</f>
        <v>11.025149684019709</v>
      </c>
      <c r="AE358" s="126">
        <f ca="1">[1]!s_fa_cagr_tr($E358,AE$6,3)</f>
        <v>15.473362777884269</v>
      </c>
      <c r="AF358" s="126">
        <f ca="1">[1]!s_fa_cagr_tr($E358,AF$6,3)</f>
        <v>19.888111673025932</v>
      </c>
      <c r="AG358" s="126">
        <f ca="1">[1]!s_fa_cagr_tr($E358,AG$6,3)</f>
        <v>11.624020002395063</v>
      </c>
      <c r="AH358" s="126">
        <f ca="1">[1]!s_fa_cagr_tr($E358,AH$6,3)</f>
        <v>0</v>
      </c>
      <c r="AI358" s="169"/>
      <c r="AJ358" s="126">
        <f ca="1">[1]!s_fa_cagr_netprofit($E358,AJ$6,3)</f>
        <v>0</v>
      </c>
      <c r="AK358" s="126">
        <f ca="1">[1]!s_fa_cagr_netprofit($E358,AK$6,3)</f>
        <v>-0.60548439348914185</v>
      </c>
      <c r="AL358" s="126">
        <f ca="1">[1]!s_fa_cagr_netprofit($E358,AL$6,3)</f>
        <v>11.032663015906241</v>
      </c>
      <c r="AM358" s="126">
        <f ca="1">[1]!s_fa_cagr_netprofit($E358,AM$6,3)</f>
        <v>51.138271729442451</v>
      </c>
      <c r="AN358" s="126">
        <f ca="1">[1]!s_fa_cagr_netprofit($E358,AN$6,3)</f>
        <v>59.518283583909557</v>
      </c>
      <c r="AO358" s="126">
        <f ca="1">[1]!s_fa_cagr_netprofit($E358,AO$6,3)</f>
        <v>0</v>
      </c>
      <c r="AP358" s="129"/>
      <c r="AQ358" s="203">
        <f ca="1">[1]!s_fa_dupont_roe(E358,$C$3)</f>
        <v>6.5096999999999996</v>
      </c>
      <c r="AR358" s="203">
        <f ca="1">[1]!s_fa_dupont_nptosales(B358,$C$3)</f>
        <v>3.0346000000000002</v>
      </c>
      <c r="AS358" s="238">
        <f ca="1">[1]!s_fa_dupont_faturnover(E358,$C$3)</f>
        <v>1.1819</v>
      </c>
      <c r="AT358" s="203">
        <f ca="1">[1]!s_fa_dupont_assetstoequity(E358,$C$3)</f>
        <v>1.8149</v>
      </c>
      <c r="AU358" s="129"/>
      <c r="AV358" s="129"/>
      <c r="AW358" s="129"/>
      <c r="AX358" s="129"/>
      <c r="AY358" s="129"/>
      <c r="AZ358" s="129"/>
      <c r="BA358" s="129"/>
      <c r="BB358" s="129"/>
      <c r="BC358" s="129"/>
      <c r="BD358" s="129"/>
      <c r="BE358" s="129"/>
    </row>
    <row r="359" spans="1:57" s="191" customFormat="1" ht="12" customHeight="1" x14ac:dyDescent="0.35">
      <c r="A359" s="182" t="s">
        <v>5</v>
      </c>
      <c r="B359" s="182" t="s">
        <v>284</v>
      </c>
      <c r="C359" s="182" t="s">
        <v>285</v>
      </c>
      <c r="D359" s="182" t="str">
        <f ca="1">[1]!cb_info_underlyingname(B359)</f>
        <v>九洲集团</v>
      </c>
      <c r="E359" s="183" t="str">
        <f ca="1">[1]!cb_info_underlyingcode(B359)</f>
        <v>300040.SZ</v>
      </c>
      <c r="F359" s="184" t="str">
        <f ca="1">[1]!s_info_industry_sw(B359,1)</f>
        <v>电气设备</v>
      </c>
      <c r="G359" s="184" t="str">
        <f ca="1">[1]!s_info_industry_sw(E359,2)</f>
        <v>电气自动化设备</v>
      </c>
      <c r="H359" s="184" t="str">
        <f ca="1">[1]!s_info_industry_sw(E359,3)</f>
        <v>工控自动化</v>
      </c>
      <c r="I359" s="192" t="str">
        <f ca="1">[1]!s_info_majorproducttype(E359)</f>
        <v>变电设备、继电保护及调度自动化、建筑钢结构、专业咨询服务</v>
      </c>
      <c r="J359" s="189">
        <f ca="1">[1]!s_val_ev(E359,$B$2,100000000)</f>
        <v>52.115824210199996</v>
      </c>
      <c r="K359" s="193">
        <f ca="1">[1]!s_share_total(E359,$B$2,100000000)</f>
        <v>5.62805877</v>
      </c>
      <c r="L359" s="193">
        <f ca="1">[1]!s_share_liqa(E359,$B$2,100000000)</f>
        <v>4.3045648200000004</v>
      </c>
      <c r="M359" s="186">
        <f ca="1">[1]!s_fa_gr_ttm2(E359,$C$3,100000000)</f>
        <v>12.093945172</v>
      </c>
      <c r="N359" s="187">
        <f ca="1">[1]!s_fa_netprofit_ttm2(E359,$C$3,100000000)</f>
        <v>0.64198477499999995</v>
      </c>
      <c r="O359" s="186"/>
      <c r="P359" s="187">
        <f ca="1">[1]!s_val_pe_ttm(E359,[1]!td($B$2-1))</f>
        <v>45.376144409179688</v>
      </c>
      <c r="Q359" s="187">
        <f ca="1">[1]!i_val_pe_percentile(E359,[1]!td($B$2-1),$B$2-365*5,[1]!td($B$2-1))</f>
        <v>62.609649122807021</v>
      </c>
      <c r="R359" s="187">
        <f ca="1">[1]!pb_mrq(E359,[1]!td($B$2-1))</f>
        <v>2.3016659972419271</v>
      </c>
      <c r="S359" s="187">
        <f ca="1">[1]!i_val_pb_percentile(E359,[1]!td($B$2-1),$B$2-365*5,[1]!td($B$2-1))</f>
        <v>99.945175438596493</v>
      </c>
      <c r="T359" s="187">
        <f ca="1">[1]!s_val_pe_ttm([1]!to_windcode_index(H359&amp;"(申万)"),[1]!td($B$2-1))</f>
        <v>50.720001220703125</v>
      </c>
      <c r="U359" s="187"/>
      <c r="V359" s="187">
        <f ca="1">[1]!s_fa_roe(E359,$C$3)</f>
        <v>2.6671999999999998</v>
      </c>
      <c r="W359" s="187">
        <f ca="1">[1]!s_fa_grossprofitmargin(E359,$C$3)</f>
        <v>26.4133</v>
      </c>
      <c r="X359" s="187">
        <f ca="1">[1]!s_fa_netprofitmargin(E359,$C$3)</f>
        <v>7.4997999999999996</v>
      </c>
      <c r="Y359" s="187">
        <f ca="1">[1]!s_fa_roic(E359,$C$3)</f>
        <v>3.5348000000000002</v>
      </c>
      <c r="Z359" s="187">
        <f ca="1">[1]!s_fa_operateincometoebt_ttm2(E359,$C$3)</f>
        <v>39.213900000000002</v>
      </c>
      <c r="AA359" s="186"/>
      <c r="AB359" s="342"/>
      <c r="AC359" s="186">
        <f ca="1">[1]!s_fa_cagr_tr($E359,AC$6,3)</f>
        <v>0</v>
      </c>
      <c r="AD359" s="186">
        <f ca="1">[1]!s_fa_cagr_tr($E359,AD$6,3)</f>
        <v>-3.5896097064505916</v>
      </c>
      <c r="AE359" s="187">
        <f ca="1">[1]!s_fa_cagr_tr($E359,AE$6,3)</f>
        <v>-15.664317116259186</v>
      </c>
      <c r="AF359" s="187">
        <f ca="1">[1]!s_fa_cagr_tr($E359,AF$6,3)</f>
        <v>10.501196914789501</v>
      </c>
      <c r="AG359" s="187">
        <f ca="1">[1]!s_fa_cagr_tr($E359,AG$6,3)</f>
        <v>96.057885907144595</v>
      </c>
      <c r="AH359" s="187">
        <f ca="1">[1]!s_fa_cagr_tr($E359,AH$6,3)</f>
        <v>84.762085739161108</v>
      </c>
      <c r="AI359" s="194"/>
      <c r="AJ359" s="187">
        <f ca="1">[1]!s_fa_cagr_netprofit($E359,AJ$6,3)</f>
        <v>0</v>
      </c>
      <c r="AK359" s="187">
        <f ca="1">[1]!s_fa_cagr_netprofit($E359,AK$6,3)</f>
        <v>-11.191392677633639</v>
      </c>
      <c r="AL359" s="187">
        <f ca="1">[1]!s_fa_cagr_netprofit($E359,AL$6,3)</f>
        <v>-27.213486366337413</v>
      </c>
      <c r="AM359" s="187">
        <f ca="1">[1]!s_fa_cagr_netprofit($E359,AM$6,3)</f>
        <v>30.940216981626499</v>
      </c>
      <c r="AN359" s="187">
        <f ca="1">[1]!s_fa_cagr_netprofit($E359,AN$6,3)</f>
        <v>56.00084190919452</v>
      </c>
      <c r="AO359" s="187">
        <f ca="1">[1]!s_fa_cagr_netprofit($E359,AO$6,3)</f>
        <v>143.18383223331813</v>
      </c>
      <c r="AP359" s="189"/>
      <c r="AQ359" s="202">
        <f ca="1">[1]!s_fa_dupont_roe(E359,$C$3)</f>
        <v>2.6671999999999998</v>
      </c>
      <c r="AR359" s="202">
        <f ca="1">[1]!s_fa_dupont_nptosales(B359,$C$3)</f>
        <v>7.4997999999999996</v>
      </c>
      <c r="AS359" s="237">
        <f ca="1">[1]!s_fa_dupont_faturnover(E359,$C$3)</f>
        <v>0.14860000000000001</v>
      </c>
      <c r="AT359" s="202">
        <f ca="1">[1]!s_fa_dupont_assetstoequity(E359,$C$3)</f>
        <v>2.6395</v>
      </c>
      <c r="AU359" s="189"/>
      <c r="AV359" s="201"/>
      <c r="AW359" s="189"/>
      <c r="AX359" s="189"/>
      <c r="AY359" s="189"/>
      <c r="AZ359" s="189"/>
      <c r="BA359" s="189"/>
      <c r="BB359" s="189"/>
      <c r="BC359" s="189"/>
      <c r="BD359" s="189"/>
      <c r="BE359" s="189"/>
    </row>
    <row r="360" spans="1:57" s="130" customFormat="1" ht="12" customHeight="1" x14ac:dyDescent="0.35">
      <c r="A360" s="121" t="s">
        <v>5</v>
      </c>
      <c r="B360" s="121" t="s">
        <v>618</v>
      </c>
      <c r="C360" s="121" t="s">
        <v>619</v>
      </c>
      <c r="D360" s="121" t="str">
        <f ca="1">[1]!cb_info_underlyingname(B360)</f>
        <v>九洲集团</v>
      </c>
      <c r="E360" s="122" t="str">
        <f ca="1">[1]!cb_info_underlyingcode(B360)</f>
        <v>300040.SZ</v>
      </c>
      <c r="F360" s="123" t="str">
        <f ca="1">[1]!s_info_industry_sw(B360,1)</f>
        <v>电气设备</v>
      </c>
      <c r="G360" s="123" t="str">
        <f ca="1">[1]!s_info_industry_sw(E360,2)</f>
        <v>电气自动化设备</v>
      </c>
      <c r="H360" s="123" t="str">
        <f ca="1">[1]!s_info_industry_sw(E360,3)</f>
        <v>工控自动化</v>
      </c>
      <c r="I360" s="156" t="str">
        <f ca="1">[1]!s_info_majorproducttype(E360)</f>
        <v>变电设备、继电保护及调度自动化、建筑钢结构、专业咨询服务</v>
      </c>
      <c r="J360" s="129">
        <f ca="1">[1]!s_val_ev(E360,$B$2,100000000)</f>
        <v>52.115824210199996</v>
      </c>
      <c r="K360" s="157">
        <f ca="1">[1]!s_share_total(E360,$B$2,100000000)</f>
        <v>5.62805877</v>
      </c>
      <c r="L360" s="157">
        <f ca="1">[1]!s_share_liqa(E360,$B$2,100000000)</f>
        <v>4.3045648200000004</v>
      </c>
      <c r="M360" s="125">
        <f ca="1">[1]!s_fa_gr_ttm2(E360,$C$3,100000000)</f>
        <v>12.093945172</v>
      </c>
      <c r="N360" s="126">
        <f ca="1">[1]!s_fa_netprofit_ttm2(E360,$C$3,100000000)</f>
        <v>0.64198477499999995</v>
      </c>
      <c r="O360" s="125"/>
      <c r="P360" s="126">
        <f ca="1">[1]!s_val_pe_ttm(E360,[1]!td($B$2-1))</f>
        <v>45.376144409179688</v>
      </c>
      <c r="Q360" s="126">
        <f ca="1">[1]!i_val_pe_percentile(E360,[1]!td($B$2-1),$B$2-365*5,[1]!td($B$2-1))</f>
        <v>62.609649122807021</v>
      </c>
      <c r="R360" s="126">
        <f ca="1">[1]!pb_mrq(E360,[1]!td($B$2-1))</f>
        <v>2.3016659972419271</v>
      </c>
      <c r="S360" s="126">
        <f ca="1">[1]!i_val_pb_percentile(E360,[1]!td($B$2-1),$B$2-365*5,[1]!td($B$2-1))</f>
        <v>99.945175438596493</v>
      </c>
      <c r="T360" s="126">
        <f ca="1">[1]!s_val_pe_ttm([1]!to_windcode_index(H360&amp;"(申万)"),[1]!td($B$2-1))</f>
        <v>50.720001220703125</v>
      </c>
      <c r="U360" s="125"/>
      <c r="V360" s="125">
        <f ca="1">[1]!s_fa_roe(E360,$C$3)</f>
        <v>2.6671999999999998</v>
      </c>
      <c r="W360" s="125">
        <f ca="1">[1]!s_fa_grossprofitmargin(E360,$C$3)</f>
        <v>26.4133</v>
      </c>
      <c r="X360" s="125">
        <f ca="1">[1]!s_fa_netprofitmargin(E360,$C$3)</f>
        <v>7.4997999999999996</v>
      </c>
      <c r="Y360" s="125">
        <f ca="1">[1]!s_fa_roic(E360,$C$3)</f>
        <v>3.5348000000000002</v>
      </c>
      <c r="Z360" s="125">
        <f ca="1">[1]!s_fa_operateincometoebt_ttm2(E360,$C$3)</f>
        <v>39.213900000000002</v>
      </c>
      <c r="AA360" s="125"/>
      <c r="AB360" s="343"/>
      <c r="AC360" s="125">
        <f ca="1">[1]!s_fa_cagr_tr($E360,AC$6,3)</f>
        <v>0</v>
      </c>
      <c r="AD360" s="125">
        <f ca="1">[1]!s_fa_cagr_tr($E360,AD$6,3)</f>
        <v>-3.5896097064505916</v>
      </c>
      <c r="AE360" s="126">
        <f ca="1">[1]!s_fa_cagr_tr($E360,AE$6,3)</f>
        <v>-15.664317116259186</v>
      </c>
      <c r="AF360" s="126">
        <f ca="1">[1]!s_fa_cagr_tr($E360,AF$6,3)</f>
        <v>10.501196914789501</v>
      </c>
      <c r="AG360" s="126">
        <f ca="1">[1]!s_fa_cagr_tr($E360,AG$6,3)</f>
        <v>96.057885907144595</v>
      </c>
      <c r="AH360" s="126">
        <f ca="1">[1]!s_fa_cagr_tr($E360,AH$6,3)</f>
        <v>84.762085739161108</v>
      </c>
      <c r="AI360" s="169"/>
      <c r="AJ360" s="126">
        <f ca="1">[1]!s_fa_cagr_netprofit($E360,AJ$6,3)</f>
        <v>0</v>
      </c>
      <c r="AK360" s="126">
        <f ca="1">[1]!s_fa_cagr_netprofit($E360,AK$6,3)</f>
        <v>-11.191392677633639</v>
      </c>
      <c r="AL360" s="126">
        <f ca="1">[1]!s_fa_cagr_netprofit($E360,AL$6,3)</f>
        <v>-27.213486366337413</v>
      </c>
      <c r="AM360" s="126">
        <f ca="1">[1]!s_fa_cagr_netprofit($E360,AM$6,3)</f>
        <v>30.940216981626499</v>
      </c>
      <c r="AN360" s="126">
        <f ca="1">[1]!s_fa_cagr_netprofit($E360,AN$6,3)</f>
        <v>56.00084190919452</v>
      </c>
      <c r="AO360" s="126">
        <f ca="1">[1]!s_fa_cagr_netprofit($E360,AO$6,3)</f>
        <v>143.18383223331813</v>
      </c>
      <c r="AP360" s="129"/>
      <c r="AQ360" s="203">
        <f ca="1">[1]!s_fa_dupont_roe(E360,$C$3)</f>
        <v>2.6671999999999998</v>
      </c>
      <c r="AR360" s="203">
        <f ca="1">[1]!s_fa_dupont_nptosales(B360,$C$3)</f>
        <v>7.4997999999999996</v>
      </c>
      <c r="AS360" s="238">
        <f ca="1">[1]!s_fa_dupont_faturnover(E360,$C$3)</f>
        <v>0.14860000000000001</v>
      </c>
      <c r="AT360" s="203">
        <f ca="1">[1]!s_fa_dupont_assetstoequity(E360,$C$3)</f>
        <v>2.6395</v>
      </c>
      <c r="AU360" s="129"/>
      <c r="AV360" s="129"/>
      <c r="AW360" s="129"/>
      <c r="AX360" s="129"/>
      <c r="AY360" s="129"/>
      <c r="AZ360" s="129"/>
      <c r="BA360" s="129"/>
      <c r="BB360" s="129"/>
      <c r="BC360" s="129"/>
      <c r="BD360" s="129"/>
      <c r="BE360" s="129"/>
    </row>
    <row r="361" spans="1:57" s="191" customFormat="1" ht="12" customHeight="1" x14ac:dyDescent="0.35">
      <c r="A361" s="182" t="s">
        <v>5</v>
      </c>
      <c r="B361" s="182" t="s">
        <v>904</v>
      </c>
      <c r="C361" s="182" t="s">
        <v>905</v>
      </c>
      <c r="D361" s="182" t="str">
        <f ca="1">[1]!cb_info_underlyingname(B361)</f>
        <v>华自科技</v>
      </c>
      <c r="E361" s="183" t="str">
        <f ca="1">[1]!cb_info_underlyingcode(B361)</f>
        <v>300490.SZ</v>
      </c>
      <c r="F361" s="184" t="str">
        <f ca="1">[1]!s_info_industry_sw(B361,1)</f>
        <v>电气设备</v>
      </c>
      <c r="G361" s="184" t="str">
        <f ca="1">[1]!s_info_industry_sw(E361,2)</f>
        <v>电气自动化设备</v>
      </c>
      <c r="H361" s="184" t="str">
        <f ca="1">[1]!s_info_industry_sw(E361,3)</f>
        <v>电网自动化</v>
      </c>
      <c r="I361" s="192" t="str">
        <f ca="1">[1]!s_info_majorproducttype(E361)</f>
        <v>行业专用软件</v>
      </c>
      <c r="J361" s="189">
        <f ca="1">[1]!s_val_ev(E361,$B$2,100000000)</f>
        <v>76.594952171799989</v>
      </c>
      <c r="K361" s="193">
        <f ca="1">[1]!s_share_total(E361,$B$2,100000000)</f>
        <v>2.5677154600000005</v>
      </c>
      <c r="L361" s="193">
        <f ca="1">[1]!s_share_liqa(E361,$B$2,100000000)</f>
        <v>2.5015840100000002</v>
      </c>
      <c r="M361" s="186">
        <f ca="1">[1]!s_fa_gr_ttm2(E361,$C$3,100000000)</f>
        <v>10.844860922300001</v>
      </c>
      <c r="N361" s="187">
        <f ca="1">[1]!s_fa_netprofit_ttm2(E361,$C$3,100000000)</f>
        <v>0.19452180050000001</v>
      </c>
      <c r="O361" s="186"/>
      <c r="P361" s="187">
        <f ca="1">[1]!s_val_pe_ttm(E361,[1]!td($B$2-1))</f>
        <v>99.470802307128906</v>
      </c>
      <c r="Q361" s="187">
        <f ca="1">[1]!i_val_pe_percentile(E361,[1]!td($B$2-1),$B$2-365*5,[1]!td($B$2-1))</f>
        <v>75.219298245614027</v>
      </c>
      <c r="R361" s="187">
        <f ca="1">[1]!pb_mrq(E361,[1]!td($B$2-1))</f>
        <v>4.3394236587015804</v>
      </c>
      <c r="S361" s="187">
        <f ca="1">[1]!i_val_pb_percentile(E361,[1]!td($B$2-1),$B$2-365*5,[1]!td($B$2-1))</f>
        <v>75.164473684210535</v>
      </c>
      <c r="T361" s="187">
        <f ca="1">[1]!s_val_pe_ttm([1]!to_windcode_index(H361&amp;"(申万)"),[1]!td($B$2-1))</f>
        <v>35.049999237060547</v>
      </c>
      <c r="U361" s="187"/>
      <c r="V361" s="187">
        <f ca="1">[1]!s_fa_roe(E361,$C$3)</f>
        <v>-0.71460000000000001</v>
      </c>
      <c r="W361" s="187">
        <f ca="1">[1]!s_fa_grossprofitmargin(E361,$C$3)</f>
        <v>37.155999999999999</v>
      </c>
      <c r="X361" s="187">
        <f ca="1">[1]!s_fa_netprofitmargin(E361,$C$3)</f>
        <v>-2.0878999999999999</v>
      </c>
      <c r="Y361" s="187">
        <f ca="1">[1]!s_fa_roic(E361,$C$3)</f>
        <v>-0.35659999999999997</v>
      </c>
      <c r="Z361" s="187">
        <f ca="1">[1]!s_fa_operateincometoebt_ttm2(E361,$C$3)</f>
        <v>-195.86930000000001</v>
      </c>
      <c r="AA361" s="186"/>
      <c r="AB361" s="342"/>
      <c r="AC361" s="186">
        <f ca="1">[1]!s_fa_cagr_tr($E361,AC$6,3)</f>
        <v>0</v>
      </c>
      <c r="AD361" s="186">
        <f ca="1">[1]!s_fa_cagr_tr($E361,AD$6,3)</f>
        <v>23.229785049668283</v>
      </c>
      <c r="AE361" s="187">
        <f ca="1">[1]!s_fa_cagr_tr($E361,AE$6,3)</f>
        <v>40.822693081365522</v>
      </c>
      <c r="AF361" s="187">
        <f ca="1">[1]!s_fa_cagr_tr($E361,AF$6,3)</f>
        <v>48.743998490502328</v>
      </c>
      <c r="AG361" s="187">
        <f ca="1">[1]!s_fa_cagr_tr($E361,AG$6,3)</f>
        <v>20.108772562074972</v>
      </c>
      <c r="AH361" s="187">
        <f ca="1">[1]!s_fa_cagr_tr($E361,AH$6,3)</f>
        <v>14.612034560027908</v>
      </c>
      <c r="AI361" s="194"/>
      <c r="AJ361" s="187">
        <f ca="1">[1]!s_fa_cagr_netprofit($E361,AJ$6,3)</f>
        <v>0</v>
      </c>
      <c r="AK361" s="187">
        <f ca="1">[1]!s_fa_cagr_netprofit($E361,AK$6,3)</f>
        <v>-19.265528241246233</v>
      </c>
      <c r="AL361" s="187">
        <f ca="1">[1]!s_fa_cagr_netprofit($E361,AL$6,3)</f>
        <v>22.179531855545886</v>
      </c>
      <c r="AM361" s="187">
        <f ca="1">[1]!s_fa_cagr_netprofit($E361,AM$6,3)</f>
        <v>30.728529971258478</v>
      </c>
      <c r="AN361" s="187">
        <f ca="1">[1]!s_fa_cagr_netprofit($E361,AN$6,3)</f>
        <v>9.0210610283743655</v>
      </c>
      <c r="AO361" s="187">
        <f ca="1">[1]!s_fa_cagr_netprofit($E361,AO$6,3)</f>
        <v>5.0933398558149712</v>
      </c>
      <c r="AP361" s="189"/>
      <c r="AQ361" s="202">
        <f ca="1">[1]!s_fa_dupont_roe(E361,$C$3)</f>
        <v>-0.71460000000000001</v>
      </c>
      <c r="AR361" s="202">
        <f ca="1">[1]!s_fa_dupont_nptosales(B361,$C$3)</f>
        <v>-2.0878999999999999</v>
      </c>
      <c r="AS361" s="237">
        <f ca="1">[1]!s_fa_dupont_faturnover(E361,$C$3)</f>
        <v>0.17180000000000001</v>
      </c>
      <c r="AT361" s="202">
        <f ca="1">[1]!s_fa_dupont_assetstoequity(E361,$C$3)</f>
        <v>1.8083</v>
      </c>
      <c r="AU361" s="189"/>
      <c r="AV361" s="189"/>
      <c r="AW361" s="189"/>
      <c r="AX361" s="189"/>
      <c r="AY361" s="189"/>
      <c r="AZ361" s="189"/>
      <c r="BA361" s="189"/>
      <c r="BB361" s="189"/>
      <c r="BC361" s="189"/>
      <c r="BD361" s="189"/>
      <c r="BE361" s="189"/>
    </row>
    <row r="362" spans="1:57" s="130" customFormat="1" ht="12" customHeight="1" x14ac:dyDescent="0.35">
      <c r="A362" s="121" t="s">
        <v>5</v>
      </c>
      <c r="B362" s="121" t="s">
        <v>489</v>
      </c>
      <c r="C362" s="121" t="s">
        <v>490</v>
      </c>
      <c r="D362" s="121" t="str">
        <f ca="1">[1]!cb_info_underlyingname(B362)</f>
        <v>凯发电气</v>
      </c>
      <c r="E362" s="122" t="str">
        <f ca="1">[1]!cb_info_underlyingcode(B362)</f>
        <v>300407.SZ</v>
      </c>
      <c r="F362" s="123" t="str">
        <f ca="1">[1]!s_info_industry_sw(B362,1)</f>
        <v>电气设备</v>
      </c>
      <c r="G362" s="123" t="str">
        <f ca="1">[1]!s_info_industry_sw(E362,2)</f>
        <v>电气自动化设备</v>
      </c>
      <c r="H362" s="123" t="str">
        <f ca="1">[1]!s_info_industry_sw(E362,3)</f>
        <v>电网自动化</v>
      </c>
      <c r="I362" s="156" t="str">
        <f ca="1">[1]!s_info_majorproducttype(E362)</f>
        <v>继电保护及调度自动化、专业咨询服务</v>
      </c>
      <c r="J362" s="129">
        <f ca="1">[1]!s_val_ev(E362,$B$2,100000000)</f>
        <v>26.817742646699998</v>
      </c>
      <c r="K362" s="157">
        <f ca="1">[1]!s_share_total(E362,$B$2,100000000)</f>
        <v>3.0509377299999998</v>
      </c>
      <c r="L362" s="157">
        <f ca="1">[1]!s_share_liqa(E362,$B$2,100000000)</f>
        <v>2.1088893899999999</v>
      </c>
      <c r="M362" s="125">
        <f ca="1">[1]!s_fa_gr_ttm2(E362,$C$3,100000000)</f>
        <v>18.143886742199999</v>
      </c>
      <c r="N362" s="126">
        <f ca="1">[1]!s_fa_netprofit_ttm2(E362,$C$3,100000000)</f>
        <v>0.60666499119999995</v>
      </c>
      <c r="O362" s="125"/>
      <c r="P362" s="126">
        <f ca="1">[1]!s_val_pe_ttm(E362,[1]!td($B$2-1))</f>
        <v>31.285465240478516</v>
      </c>
      <c r="Q362" s="126">
        <f ca="1">[1]!i_val_pe_percentile(E362,[1]!td($B$2-1),$B$2-365*5,[1]!td($B$2-1))</f>
        <v>13.541666666666666</v>
      </c>
      <c r="R362" s="126">
        <f ca="1">[1]!pb_mrq(E362,[1]!td($B$2-1))</f>
        <v>1.9561166149640983</v>
      </c>
      <c r="S362" s="126">
        <f ca="1">[1]!i_val_pb_percentile(E362,[1]!td($B$2-1),$B$2-365*5,[1]!td($B$2-1))</f>
        <v>29.440789473684209</v>
      </c>
      <c r="T362" s="126">
        <f ca="1">[1]!s_val_pe_ttm([1]!to_windcode_index(H362&amp;"(申万)"),[1]!td($B$2-1))</f>
        <v>35.049999237060547</v>
      </c>
      <c r="U362" s="126"/>
      <c r="V362" s="126">
        <f ca="1">[1]!s_fa_roe(E362,$C$3)</f>
        <v>1.2062999999999999</v>
      </c>
      <c r="W362" s="126">
        <f ca="1">[1]!s_fa_grossprofitmargin(E362,$C$3)</f>
        <v>22.4573</v>
      </c>
      <c r="X362" s="126">
        <f ca="1">[1]!s_fa_netprofitmargin(E362,$C$3)</f>
        <v>1.3684000000000001</v>
      </c>
      <c r="Y362" s="126">
        <f ca="1">[1]!s_fa_roic(E362,$C$3)</f>
        <v>1.3766</v>
      </c>
      <c r="Z362" s="126">
        <f ca="1">[1]!s_fa_operateincometoebt_ttm2(E362,$C$3)</f>
        <v>54.722299999999997</v>
      </c>
      <c r="AA362" s="125"/>
      <c r="AB362" s="343"/>
      <c r="AC362" s="125">
        <f ca="1">[1]!s_fa_cagr_tr($E362,AC$6,3)</f>
        <v>0</v>
      </c>
      <c r="AD362" s="125">
        <f ca="1">[1]!s_fa_cagr_tr($E362,AD$6,3)</f>
        <v>10.130504261321537</v>
      </c>
      <c r="AE362" s="126">
        <f ca="1">[1]!s_fa_cagr_tr($E362,AE$6,3)</f>
        <v>32.774068408852486</v>
      </c>
      <c r="AF362" s="126">
        <f ca="1">[1]!s_fa_cagr_tr($E362,AF$6,3)</f>
        <v>56.465126513376006</v>
      </c>
      <c r="AG362" s="126">
        <f ca="1">[1]!s_fa_cagr_tr($E362,AG$6,3)</f>
        <v>62.244449304753545</v>
      </c>
      <c r="AH362" s="126">
        <f ca="1">[1]!s_fa_cagr_tr($E362,AH$6,3)</f>
        <v>37.690967072765915</v>
      </c>
      <c r="AI362" s="169"/>
      <c r="AJ362" s="126">
        <f ca="1">[1]!s_fa_cagr_netprofit($E362,AJ$6,3)</f>
        <v>0</v>
      </c>
      <c r="AK362" s="126">
        <f ca="1">[1]!s_fa_cagr_netprofit($E362,AK$6,3)</f>
        <v>9.9085690374611559</v>
      </c>
      <c r="AL362" s="126">
        <f ca="1">[1]!s_fa_cagr_netprofit($E362,AL$6,3)</f>
        <v>-17.556249216703325</v>
      </c>
      <c r="AM362" s="126">
        <f ca="1">[1]!s_fa_cagr_netprofit($E362,AM$6,3)</f>
        <v>-40.300261827356564</v>
      </c>
      <c r="AN362" s="126">
        <f ca="1">[1]!s_fa_cagr_netprofit($E362,AN$6,3)</f>
        <v>-4.3895687735954318</v>
      </c>
      <c r="AO362" s="126">
        <f ca="1">[1]!s_fa_cagr_netprofit($E362,AO$6,3)</f>
        <v>21.447003936475895</v>
      </c>
      <c r="AP362" s="129"/>
      <c r="AQ362" s="203">
        <f ca="1">[1]!s_fa_dupont_roe(E362,$C$3)</f>
        <v>1.2062999999999999</v>
      </c>
      <c r="AR362" s="203">
        <f ca="1">[1]!s_fa_dupont_nptosales(B362,$C$3)</f>
        <v>1.3684000000000001</v>
      </c>
      <c r="AS362" s="238">
        <f ca="1">[1]!s_fa_dupont_faturnover(E362,$C$3)</f>
        <v>0.44700000000000001</v>
      </c>
      <c r="AT362" s="203">
        <f ca="1">[1]!s_fa_dupont_assetstoequity(E362,$C$3)</f>
        <v>1.9581999999999999</v>
      </c>
      <c r="AU362" s="129"/>
      <c r="AV362" s="129"/>
      <c r="AW362" s="129"/>
      <c r="AX362" s="129"/>
      <c r="AY362" s="129"/>
      <c r="AZ362" s="129"/>
      <c r="BA362" s="129"/>
      <c r="BB362" s="129"/>
      <c r="BC362" s="129"/>
      <c r="BD362" s="129"/>
      <c r="BE362" s="129"/>
    </row>
    <row r="363" spans="1:57" s="191" customFormat="1" ht="12" customHeight="1" x14ac:dyDescent="0.35">
      <c r="A363" s="182" t="s">
        <v>0</v>
      </c>
      <c r="B363" s="182" t="s">
        <v>268</v>
      </c>
      <c r="C363" s="182" t="s">
        <v>269</v>
      </c>
      <c r="D363" s="182" t="str">
        <f ca="1">[1]!cb_info_underlyingname(B363)</f>
        <v>迪贝电气</v>
      </c>
      <c r="E363" s="183" t="str">
        <f ca="1">[1]!cb_info_underlyingcode(B363)</f>
        <v>603320.SH</v>
      </c>
      <c r="F363" s="184" t="str">
        <f ca="1">[1]!s_info_industry_sw(B363,1)</f>
        <v>电气设备</v>
      </c>
      <c r="G363" s="184" t="str">
        <f ca="1">[1]!s_info_industry_sw(E363,2)</f>
        <v>电机Ⅱ</v>
      </c>
      <c r="H363" s="184" t="str">
        <f ca="1">[1]!s_info_industry_sw(E363,3)</f>
        <v>电机Ⅲ</v>
      </c>
      <c r="I363" s="192" t="str">
        <f ca="1">[1]!s_info_majorproducttype(E363)</f>
        <v>专用设备与零部件</v>
      </c>
      <c r="J363" s="189">
        <f ca="1">[1]!s_val_ev(E363,$B$2,100000000)</f>
        <v>18.4220667176</v>
      </c>
      <c r="K363" s="193">
        <f ca="1">[1]!s_share_total(E363,$B$2,100000000)</f>
        <v>1.3000752799999999</v>
      </c>
      <c r="L363" s="193">
        <f ca="1">[1]!s_share_liqa(E363,$B$2,100000000)</f>
        <v>1.3000752799999999</v>
      </c>
      <c r="M363" s="186">
        <f ca="1">[1]!s_fa_gr_ttm2(E363,$C$3,100000000)</f>
        <v>6.9454446022000003</v>
      </c>
      <c r="N363" s="187">
        <f ca="1">[1]!s_fa_netprofit_ttm2(E363,$C$3,100000000)</f>
        <v>0.38830875929999997</v>
      </c>
      <c r="O363" s="186"/>
      <c r="P363" s="187">
        <f ca="1">[1]!s_val_pe_ttm(E363,[1]!td($B$2-1))</f>
        <v>26.880069732666016</v>
      </c>
      <c r="Q363" s="187">
        <f ca="1">[1]!i_val_pe_percentile(E363,[1]!td($B$2-1),$B$2-365*5,[1]!td($B$2-1))</f>
        <v>0.75519194461925743</v>
      </c>
      <c r="R363" s="187">
        <f ca="1">[1]!pb_mrq(E363,[1]!td($B$2-1))</f>
        <v>2.5849189345183543</v>
      </c>
      <c r="S363" s="187">
        <f ca="1">[1]!i_val_pb_percentile(E363,[1]!td($B$2-1),$B$2-365*5,[1]!td($B$2-1))</f>
        <v>32.72498426683449</v>
      </c>
      <c r="T363" s="187">
        <f ca="1">[1]!s_val_pe_ttm([1]!to_windcode_index(H363&amp;"(申万)"),[1]!td($B$2-1))</f>
        <v>52.099998474121094</v>
      </c>
      <c r="U363" s="187"/>
      <c r="V363" s="187">
        <f ca="1">[1]!s_fa_roe(E363,$C$3)</f>
        <v>4.5378999999999996</v>
      </c>
      <c r="W363" s="187">
        <f ca="1">[1]!s_fa_grossprofitmargin(E363,$C$3)</f>
        <v>13.476900000000001</v>
      </c>
      <c r="X363" s="187">
        <f ca="1">[1]!s_fa_netprofitmargin(E363,$C$3)</f>
        <v>6.1786000000000003</v>
      </c>
      <c r="Y363" s="187">
        <f ca="1">[1]!s_fa_roic(E363,$C$3)</f>
        <v>3.8279999999999998</v>
      </c>
      <c r="Z363" s="187">
        <f ca="1">[1]!s_fa_operateincometoebt_ttm2(E363,$C$3)</f>
        <v>66.299300000000002</v>
      </c>
      <c r="AA363" s="186"/>
      <c r="AB363" s="342"/>
      <c r="AC363" s="186">
        <f ca="1">[1]!s_fa_cagr_tr($E363,AC$6,3)</f>
        <v>0</v>
      </c>
      <c r="AD363" s="186">
        <f ca="1">[1]!s_fa_cagr_tr($E363,AD$6,3)</f>
        <v>3.6899518939281784</v>
      </c>
      <c r="AE363" s="187">
        <f ca="1">[1]!s_fa_cagr_tr($E363,AE$6,3)</f>
        <v>10.575978224029647</v>
      </c>
      <c r="AF363" s="187">
        <f ca="1">[1]!s_fa_cagr_tr($E363,AF$6,3)</f>
        <v>14.87354385990729</v>
      </c>
      <c r="AG363" s="187">
        <f ca="1">[1]!s_fa_cagr_tr($E363,AG$6,3)</f>
        <v>13.852578008794914</v>
      </c>
      <c r="AH363" s="187">
        <f ca="1">[1]!s_fa_cagr_tr($E363,AH$6,3)</f>
        <v>2.1988725573627743</v>
      </c>
      <c r="AI363" s="194"/>
      <c r="AJ363" s="187">
        <f ca="1">[1]!s_fa_cagr_netprofit($E363,AJ$6,3)</f>
        <v>0</v>
      </c>
      <c r="AK363" s="187">
        <f ca="1">[1]!s_fa_cagr_netprofit($E363,AK$6,3)</f>
        <v>-6.7539081376874366</v>
      </c>
      <c r="AL363" s="187">
        <f ca="1">[1]!s_fa_cagr_netprofit($E363,AL$6,3)</f>
        <v>-3.6687983467623697</v>
      </c>
      <c r="AM363" s="187">
        <f ca="1">[1]!s_fa_cagr_netprofit($E363,AM$6,3)</f>
        <v>17.649726566022572</v>
      </c>
      <c r="AN363" s="187">
        <f ca="1">[1]!s_fa_cagr_netprofit($E363,AN$6,3)</f>
        <v>16.06074064008012</v>
      </c>
      <c r="AO363" s="187">
        <f ca="1">[1]!s_fa_cagr_netprofit($E363,AO$6,3)</f>
        <v>3.9832399210822045</v>
      </c>
      <c r="AP363" s="189"/>
      <c r="AQ363" s="202">
        <f ca="1">[1]!s_fa_dupont_roe(E363,$C$3)</f>
        <v>4.5378999999999996</v>
      </c>
      <c r="AR363" s="202">
        <f ca="1">[1]!s_fa_dupont_nptosales(B363,$C$3)</f>
        <v>6.1786000000000003</v>
      </c>
      <c r="AS363" s="237">
        <f ca="1">[1]!s_fa_dupont_faturnover(E363,$C$3)</f>
        <v>0.47199999999999998</v>
      </c>
      <c r="AT363" s="202">
        <f ca="1">[1]!s_fa_dupont_assetstoequity(E363,$C$3)</f>
        <v>1.5589999999999999</v>
      </c>
      <c r="AU363" s="189"/>
      <c r="AV363" s="201"/>
      <c r="AW363" s="189"/>
      <c r="AX363" s="189"/>
      <c r="AY363" s="189"/>
      <c r="AZ363" s="189"/>
      <c r="BA363" s="189"/>
      <c r="BB363" s="189"/>
      <c r="BC363" s="189"/>
      <c r="BD363" s="189"/>
      <c r="BE363" s="189"/>
    </row>
    <row r="364" spans="1:57" s="130" customFormat="1" ht="12" customHeight="1" x14ac:dyDescent="0.35">
      <c r="A364" s="121" t="s">
        <v>396</v>
      </c>
      <c r="B364" s="121" t="s">
        <v>533</v>
      </c>
      <c r="C364" s="121" t="s">
        <v>534</v>
      </c>
      <c r="D364" s="121" t="str">
        <f ca="1">[1]!cb_info_underlyingname(B364)</f>
        <v>凤凰传媒</v>
      </c>
      <c r="E364" s="122" t="str">
        <f ca="1">[1]!cb_info_underlyingcode(B364)</f>
        <v>601928.SH</v>
      </c>
      <c r="F364" s="123" t="str">
        <f ca="1">[1]!s_info_industry_sw(B364,1)</f>
        <v>传媒</v>
      </c>
      <c r="G364" s="123" t="str">
        <f ca="1">[1]!s_info_industry_sw(E364,2)</f>
        <v>文化传媒</v>
      </c>
      <c r="H364" s="123" t="str">
        <f ca="1">[1]!s_info_industry_sw(E364,3)</f>
        <v>平面媒体</v>
      </c>
      <c r="I364" s="156" t="str">
        <f ca="1">[1]!s_info_majorproducttype(E364)</f>
        <v>出版</v>
      </c>
      <c r="J364" s="129">
        <f ca="1">[1]!s_val_ev(E364,$B$2,100000000)</f>
        <v>179.92443</v>
      </c>
      <c r="K364" s="157">
        <f ca="1">[1]!s_share_total(E364,$B$2,100000000)</f>
        <v>25.449000000000002</v>
      </c>
      <c r="L364" s="157">
        <f ca="1">[1]!s_share_liqa(E364,$B$2,100000000)</f>
        <v>25.449000000000002</v>
      </c>
      <c r="M364" s="125">
        <f ca="1">[1]!s_fa_gr_ttm2(E364,$C$3,100000000)</f>
        <v>119.43848104790001</v>
      </c>
      <c r="N364" s="126">
        <f ca="1">[1]!s_fa_netprofit_ttm2(E364,$C$3,100000000)</f>
        <v>12.928232025</v>
      </c>
      <c r="O364" s="125"/>
      <c r="P364" s="126">
        <f ca="1">[1]!s_val_pe_ttm(E364,[1]!td($B$2-1))</f>
        <v>8.2736701965332031</v>
      </c>
      <c r="Q364" s="126">
        <f ca="1">[1]!i_val_pe_percentile(E364,[1]!td($B$2-1),$B$2-365*5,[1]!td($B$2-1))</f>
        <v>2.0010964912280702</v>
      </c>
      <c r="R364" s="126">
        <f ca="1">[1]!pb_mrq(E364,[1]!td($B$2-1))</f>
        <v>1.1921838116320373</v>
      </c>
      <c r="S364" s="126">
        <f ca="1">[1]!i_val_pb_percentile(E364,[1]!td($B$2-1),$B$2-365*5,[1]!td($B$2-1))</f>
        <v>11.759868421052632</v>
      </c>
      <c r="T364" s="126">
        <f ca="1">[1]!s_val_pe_ttm([1]!to_windcode_index(H364&amp;"(申万)"),[1]!td($B$2-1))</f>
        <v>14.880000114440918</v>
      </c>
      <c r="U364" s="125"/>
      <c r="V364" s="125">
        <f ca="1">[1]!s_fa_roe(E364,$C$3)</f>
        <v>7.7257999999999996</v>
      </c>
      <c r="W364" s="125">
        <f ca="1">[1]!s_fa_grossprofitmargin(E364,$C$3)</f>
        <v>39.7423</v>
      </c>
      <c r="X364" s="125">
        <f ca="1">[1]!s_fa_netprofitmargin(E364,$C$3)</f>
        <v>13.8057</v>
      </c>
      <c r="Y364" s="125">
        <f ca="1">[1]!s_fa_roic(E364,$C$3)</f>
        <v>6.0311000000000003</v>
      </c>
      <c r="Z364" s="125">
        <f ca="1">[1]!s_fa_operateincometoebt_ttm2(E364,$C$3)</f>
        <v>82.144499999999994</v>
      </c>
      <c r="AA364" s="125"/>
      <c r="AB364" s="343"/>
      <c r="AC364" s="125">
        <f ca="1">[1]!s_fa_cagr_tr($E364,AC$6,3)</f>
        <v>0</v>
      </c>
      <c r="AD364" s="125">
        <f ca="1">[1]!s_fa_cagr_tr($E364,AD$6,3)</f>
        <v>3.169537160271152</v>
      </c>
      <c r="AE364" s="126">
        <f ca="1">[1]!s_fa_cagr_tr($E364,AE$6,3)</f>
        <v>6.0685529864396015</v>
      </c>
      <c r="AF364" s="126">
        <f ca="1">[1]!s_fa_cagr_tr($E364,AF$6,3)</f>
        <v>5.4775236064061206</v>
      </c>
      <c r="AG364" s="126">
        <f ca="1">[1]!s_fa_cagr_tr($E364,AG$6,3)</f>
        <v>4.7358315739346679</v>
      </c>
      <c r="AH364" s="126">
        <f ca="1">[1]!s_fa_cagr_tr($E364,AH$6,3)</f>
        <v>12.965938897531903</v>
      </c>
      <c r="AI364" s="169"/>
      <c r="AJ364" s="126">
        <f ca="1">[1]!s_fa_cagr_netprofit($E364,AJ$6,3)</f>
        <v>0</v>
      </c>
      <c r="AK364" s="126">
        <f ca="1">[1]!s_fa_cagr_netprofit($E364,AK$6,3)</f>
        <v>11.022082708231506</v>
      </c>
      <c r="AL364" s="126">
        <f ca="1">[1]!s_fa_cagr_netprofit($E364,AL$6,3)</f>
        <v>4.7260798378923052</v>
      </c>
      <c r="AM364" s="126">
        <f ca="1">[1]!s_fa_cagr_netprofit($E364,AM$6,3)</f>
        <v>5.631342921441429</v>
      </c>
      <c r="AN364" s="126">
        <f ca="1">[1]!s_fa_cagr_netprofit($E364,AN$6,3)</f>
        <v>-1.1045623599385768</v>
      </c>
      <c r="AO364" s="126">
        <f ca="1">[1]!s_fa_cagr_netprofit($E364,AO$6,3)</f>
        <v>7.5610189421489338</v>
      </c>
      <c r="AP364" s="129"/>
      <c r="AQ364" s="203">
        <f ca="1">[1]!s_fa_dupont_roe(E364,$C$3)</f>
        <v>7.7257999999999996</v>
      </c>
      <c r="AR364" s="203">
        <f ca="1">[1]!s_fa_dupont_nptosales(B364,$C$3)</f>
        <v>18.790800000000001</v>
      </c>
      <c r="AS364" s="238">
        <f ca="1">[1]!s_fa_dupont_faturnover(E364,$C$3)</f>
        <v>0.3251</v>
      </c>
      <c r="AT364" s="203">
        <f ca="1">[1]!s_fa_dupont_assetstoequity(E364,$C$3)</f>
        <v>1.7523</v>
      </c>
      <c r="AU364" s="129"/>
      <c r="AV364" s="129"/>
      <c r="AW364" s="129"/>
      <c r="AX364" s="129"/>
      <c r="AY364" s="129"/>
      <c r="AZ364" s="129"/>
      <c r="BA364" s="129"/>
      <c r="BB364" s="129"/>
      <c r="BC364" s="129"/>
      <c r="BD364" s="129"/>
      <c r="BE364" s="129"/>
    </row>
    <row r="365" spans="1:57" s="191" customFormat="1" ht="12" customHeight="1" x14ac:dyDescent="0.35">
      <c r="A365" s="182" t="s">
        <v>5</v>
      </c>
      <c r="B365" s="182" t="s">
        <v>278</v>
      </c>
      <c r="C365" s="182" t="s">
        <v>279</v>
      </c>
      <c r="D365" s="182" t="str">
        <f ca="1">[1]!cb_info_underlyingname(B365)</f>
        <v>游族网络</v>
      </c>
      <c r="E365" s="183" t="str">
        <f ca="1">[1]!cb_info_underlyingcode(B365)</f>
        <v>002174.SZ</v>
      </c>
      <c r="F365" s="184" t="str">
        <f ca="1">[1]!s_info_industry_sw(B365,1)</f>
        <v>传媒</v>
      </c>
      <c r="G365" s="184" t="str">
        <f ca="1">[1]!s_info_industry_sw(E365,2)</f>
        <v>互联网传媒</v>
      </c>
      <c r="H365" s="184" t="str">
        <f ca="1">[1]!s_info_industry_sw(E365,3)</f>
        <v>移动互联网服务</v>
      </c>
      <c r="I365" s="192" t="str">
        <f ca="1">[1]!s_info_majorproducttype(E365)</f>
        <v>网络游戏</v>
      </c>
      <c r="J365" s="189">
        <f ca="1">[1]!s_val_ev(E365,$B$2,100000000)</f>
        <v>122.45015390019998</v>
      </c>
      <c r="K365" s="193">
        <f ca="1">[1]!s_share_total(E365,$B$2,100000000)</f>
        <v>9.1585754599999998</v>
      </c>
      <c r="L365" s="193">
        <f ca="1">[1]!s_share_liqa(E365,$B$2,100000000)</f>
        <v>8.0287300800000008</v>
      </c>
      <c r="M365" s="186">
        <f ca="1">[1]!s_fa_gr_ttm2(E365,$C$3,100000000)</f>
        <v>43.025168749300001</v>
      </c>
      <c r="N365" s="187">
        <f ca="1">[1]!s_fa_netprofit_ttm2(E365,$C$3,100000000)</f>
        <v>1.1152537112000001</v>
      </c>
      <c r="O365" s="186"/>
      <c r="P365" s="187">
        <f ca="1">[1]!s_val_pe_ttm(E365,[1]!td($B$2-1))</f>
        <v>-29.184209823608398</v>
      </c>
      <c r="Q365" s="187">
        <f ca="1">[1]!i_val_pe_percentile(E365,[1]!td($B$2-1),$B$2-365*5,[1]!td($B$2-1))</f>
        <v>0</v>
      </c>
      <c r="R365" s="187">
        <f ca="1">[1]!pb_mrq(E365,[1]!td($B$2-1))</f>
        <v>2.3873910863337464</v>
      </c>
      <c r="S365" s="187">
        <f ca="1">[1]!i_val_pb_percentile(E365,[1]!td($B$2-1),$B$2-365*5,[1]!td($B$2-1))</f>
        <v>9.155701754385964</v>
      </c>
      <c r="T365" s="187">
        <f ca="1">[1]!s_val_pe_ttm([1]!to_windcode_index(H365&amp;"(申万)"),[1]!td($B$2-1))</f>
        <v>28.209999084472656</v>
      </c>
      <c r="U365" s="187"/>
      <c r="V365" s="187">
        <f ca="1">[1]!s_fa_roe(E365,$C$3)</f>
        <v>10.4672</v>
      </c>
      <c r="W365" s="187">
        <f ca="1">[1]!s_fa_grossprofitmargin(E365,$C$3)</f>
        <v>37.8733</v>
      </c>
      <c r="X365" s="187">
        <f ca="1">[1]!s_fa_netprofitmargin(E365,$C$3)</f>
        <v>15.0786</v>
      </c>
      <c r="Y365" s="187">
        <f ca="1">[1]!s_fa_roic(E365,$C$3)</f>
        <v>7.6398999999999999</v>
      </c>
      <c r="Z365" s="187">
        <f ca="1">[1]!s_fa_operateincometoebt_ttm2(E365,$C$3)</f>
        <v>-2102.6590000000001</v>
      </c>
      <c r="AA365" s="186"/>
      <c r="AB365" s="342"/>
      <c r="AC365" s="186">
        <f ca="1">[1]!s_fa_cagr_tr($E365,AC$6,3)</f>
        <v>0</v>
      </c>
      <c r="AD365" s="186">
        <f ca="1">[1]!s_fa_cagr_tr($E365,AD$6,3)</f>
        <v>13.276784813345021</v>
      </c>
      <c r="AE365" s="187">
        <f ca="1">[1]!s_fa_cagr_tr($E365,AE$6,3)</f>
        <v>8.3746731230065041</v>
      </c>
      <c r="AF365" s="187">
        <f ca="1">[1]!s_fa_cagr_tr($E365,AF$6,3)</f>
        <v>32.639147092514456</v>
      </c>
      <c r="AG365" s="187">
        <f ca="1">[1]!s_fa_cagr_tr($E365,AG$6,3)</f>
        <v>56.538258767481643</v>
      </c>
      <c r="AH365" s="187">
        <f ca="1">[1]!s_fa_cagr_tr($E365,AH$6,3)</f>
        <v>40.113961441445035</v>
      </c>
      <c r="AI365" s="194"/>
      <c r="AJ365" s="187">
        <f ca="1">[1]!s_fa_cagr_netprofit($E365,AJ$6,3)</f>
        <v>0</v>
      </c>
      <c r="AK365" s="187">
        <f ca="1">[1]!s_fa_cagr_netprofit($E365,AK$6,3)</f>
        <v>-165.90067620233395</v>
      </c>
      <c r="AL365" s="187">
        <f ca="1">[1]!s_fa_cagr_netprofit($E365,AL$6,3)</f>
        <v>-24.15020107717951</v>
      </c>
      <c r="AM365" s="187">
        <f ca="1">[1]!s_fa_cagr_netprofit($E365,AM$6,3)</f>
        <v>25.088938241291416</v>
      </c>
      <c r="AN365" s="187">
        <f ca="1">[1]!s_fa_cagr_netprofit($E365,AN$6,3)</f>
        <v>16.520674859527993</v>
      </c>
      <c r="AO365" s="187">
        <f ca="1">[1]!s_fa_cagr_netprofit($E365,AO$6,3)</f>
        <v>213.23331701479691</v>
      </c>
      <c r="AP365" s="189"/>
      <c r="AQ365" s="202">
        <f ca="1">[1]!s_fa_dupont_roe(E365,$C$3)</f>
        <v>10.4672</v>
      </c>
      <c r="AR365" s="202">
        <f ca="1">[1]!s_fa_dupont_nptosales(B365,$C$3)</f>
        <v>15.0786</v>
      </c>
      <c r="AS365" s="237">
        <f ca="1">[1]!s_fa_dupont_faturnover(E365,$C$3)</f>
        <v>0.41189999999999999</v>
      </c>
      <c r="AT365" s="202">
        <f ca="1">[1]!s_fa_dupont_assetstoequity(E365,$C$3)</f>
        <v>1.6892</v>
      </c>
      <c r="AU365" s="189"/>
      <c r="AV365" s="189"/>
      <c r="AW365" s="189"/>
      <c r="AX365" s="189"/>
      <c r="AY365" s="189"/>
      <c r="AZ365" s="189"/>
      <c r="BA365" s="189"/>
      <c r="BB365" s="189"/>
      <c r="BC365" s="189"/>
      <c r="BD365" s="189"/>
      <c r="BE365" s="189"/>
    </row>
    <row r="366" spans="1:57" s="130" customFormat="1" ht="12" customHeight="1" x14ac:dyDescent="0.35">
      <c r="A366" s="121" t="s">
        <v>396</v>
      </c>
      <c r="B366" s="121" t="s">
        <v>509</v>
      </c>
      <c r="C366" s="121" t="s">
        <v>510</v>
      </c>
      <c r="D366" s="121" t="str">
        <f ca="1">[1]!cb_info_underlyingname(B366)</f>
        <v>浙数文化</v>
      </c>
      <c r="E366" s="122" t="str">
        <f ca="1">[1]!cb_info_underlyingcode(B366)</f>
        <v>600633.SH</v>
      </c>
      <c r="F366" s="123" t="str">
        <f ca="1">[1]!s_info_industry_sw(B366,1)</f>
        <v>传媒</v>
      </c>
      <c r="G366" s="123" t="str">
        <f ca="1">[1]!s_info_industry_sw(E366,2)</f>
        <v>互联网传媒</v>
      </c>
      <c r="H366" s="123" t="str">
        <f ca="1">[1]!s_info_industry_sw(E366,3)</f>
        <v>移动互联网服务</v>
      </c>
      <c r="I366" s="156" t="str">
        <f ca="1">[1]!s_info_majorproducttype(E366)</f>
        <v>发行投递、广告代理、互联网服务、商业印刷、网络游戏、专业咨询服务</v>
      </c>
      <c r="J366" s="129">
        <f ca="1">[1]!s_val_ev(E366,$B$2,100000000)</f>
        <v>90.744099524099994</v>
      </c>
      <c r="K366" s="157">
        <f ca="1">[1]!s_share_total(E366,$B$2,100000000)</f>
        <v>13.01923953</v>
      </c>
      <c r="L366" s="157">
        <f ca="1">[1]!s_share_liqa(E366,$B$2,100000000)</f>
        <v>13.01923953</v>
      </c>
      <c r="M366" s="125">
        <f ca="1">[1]!s_fa_gr_ttm2(E366,$C$3,100000000)</f>
        <v>35.109563016700001</v>
      </c>
      <c r="N366" s="126">
        <f ca="1">[1]!s_fa_netprofit_ttm2(E366,$C$3,100000000)</f>
        <v>5.2460146770999998</v>
      </c>
      <c r="O366" s="125"/>
      <c r="P366" s="126">
        <f ca="1">[1]!s_val_pe_ttm(E366,[1]!td($B$2-1))</f>
        <v>20.785104751586914</v>
      </c>
      <c r="Q366" s="126">
        <f ca="1">[1]!i_val_pe_percentile(E366,[1]!td($B$2-1),$B$2-365*5,[1]!td($B$2-1))</f>
        <v>44.901315789473685</v>
      </c>
      <c r="R366" s="126">
        <f ca="1">[1]!pb_mrq(E366,[1]!td($B$2-1))</f>
        <v>1.0603045865375036</v>
      </c>
      <c r="S366" s="126">
        <f ca="1">[1]!i_val_pb_percentile(E366,[1]!td($B$2-1),$B$2-365*5,[1]!td($B$2-1))</f>
        <v>2.3574561403508771</v>
      </c>
      <c r="T366" s="126">
        <f ca="1">[1]!s_val_pe_ttm([1]!to_windcode_index(H366&amp;"(申万)"),[1]!td($B$2-1))</f>
        <v>28.209999084472656</v>
      </c>
      <c r="U366" s="126"/>
      <c r="V366" s="126">
        <f ca="1">[1]!s_fa_roe(E366,$C$3)</f>
        <v>5.2469999999999999</v>
      </c>
      <c r="W366" s="126">
        <f ca="1">[1]!s_fa_grossprofitmargin(E366,$C$3)</f>
        <v>69.481999999999999</v>
      </c>
      <c r="X366" s="126">
        <f ca="1">[1]!s_fa_netprofitmargin(E366,$C$3)</f>
        <v>22.0703</v>
      </c>
      <c r="Y366" s="126">
        <f ca="1">[1]!s_fa_roic(E366,$C$3)</f>
        <v>5.8666</v>
      </c>
      <c r="Z366" s="126">
        <f ca="1">[1]!s_fa_operateincometoebt_ttm2(E366,$C$3)</f>
        <v>85.301100000000005</v>
      </c>
      <c r="AA366" s="125"/>
      <c r="AB366" s="343"/>
      <c r="AC366" s="125">
        <f ca="1">[1]!s_fa_cagr_tr($E366,AC$6,3)</f>
        <v>0</v>
      </c>
      <c r="AD366" s="125">
        <f ca="1">[1]!s_fa_cagr_tr($E366,AD$6,3)</f>
        <v>29.575389452085577</v>
      </c>
      <c r="AE366" s="126">
        <f ca="1">[1]!s_fa_cagr_tr($E366,AE$6,3)</f>
        <v>-7.3060896818812786</v>
      </c>
      <c r="AF366" s="126">
        <f ca="1">[1]!s_fa_cagr_tr($E366,AF$6,3)</f>
        <v>-17.94935582389212</v>
      </c>
      <c r="AG366" s="126">
        <f ca="1">[1]!s_fa_cagr_tr($E366,AG$6,3)</f>
        <v>-19.045586752629106</v>
      </c>
      <c r="AH366" s="126">
        <f ca="1">[1]!s_fa_cagr_tr($E366,AH$6,3)</f>
        <v>14.647252556615008</v>
      </c>
      <c r="AI366" s="169"/>
      <c r="AJ366" s="126">
        <f ca="1">[1]!s_fa_cagr_netprofit($E366,AJ$6,3)</f>
        <v>0</v>
      </c>
      <c r="AK366" s="126">
        <f ca="1">[1]!s_fa_cagr_netprofit($E366,AK$6,3)</f>
        <v>-32.411701725737608</v>
      </c>
      <c r="AL366" s="126">
        <f ca="1">[1]!s_fa_cagr_netprofit($E366,AL$6,3)</f>
        <v>-5.9790206616567758</v>
      </c>
      <c r="AM366" s="126">
        <f ca="1">[1]!s_fa_cagr_netprofit($E366,AM$6,3)</f>
        <v>-7.799171809955241</v>
      </c>
      <c r="AN366" s="126">
        <f ca="1">[1]!s_fa_cagr_netprofit($E366,AN$6,3)</f>
        <v>47.407916248521808</v>
      </c>
      <c r="AO366" s="126">
        <f ca="1">[1]!s_fa_cagr_netprofit($E366,AO$6,3)</f>
        <v>14.108452289783502</v>
      </c>
      <c r="AP366" s="129"/>
      <c r="AQ366" s="203">
        <f ca="1">[1]!s_fa_dupont_roe(E366,$C$3)</f>
        <v>5.2469999999999999</v>
      </c>
      <c r="AR366" s="203">
        <f ca="1">[1]!s_fa_dupont_nptosales(B366,$C$3)</f>
        <v>0</v>
      </c>
      <c r="AS366" s="238">
        <f ca="1">[1]!s_fa_dupont_faturnover(E366,$C$3)</f>
        <v>0.24010000000000001</v>
      </c>
      <c r="AT366" s="203">
        <f ca="1">[1]!s_fa_dupont_assetstoequity(E366,$C$3)</f>
        <v>1.3701000000000001</v>
      </c>
      <c r="AU366" s="129"/>
      <c r="AV366" s="129"/>
      <c r="AW366" s="129"/>
      <c r="AX366" s="129"/>
      <c r="AY366" s="129"/>
      <c r="AZ366" s="129"/>
      <c r="BA366" s="129"/>
      <c r="BB366" s="129"/>
      <c r="BC366" s="129"/>
      <c r="BD366" s="129"/>
      <c r="BE366" s="129"/>
    </row>
    <row r="367" spans="1:57" s="191" customFormat="1" ht="12" customHeight="1" x14ac:dyDescent="0.35">
      <c r="A367" s="182" t="s">
        <v>396</v>
      </c>
      <c r="B367" s="182" t="s">
        <v>535</v>
      </c>
      <c r="C367" s="182" t="s">
        <v>536</v>
      </c>
      <c r="D367" s="182" t="str">
        <f ca="1">[1]!cb_info_underlyingname(B367)</f>
        <v>皖新传媒</v>
      </c>
      <c r="E367" s="183" t="str">
        <f ca="1">[1]!cb_info_underlyingcode(B367)</f>
        <v>601801.SH</v>
      </c>
      <c r="F367" s="184" t="str">
        <f ca="1">[1]!s_info_industry_sw(B367,1)</f>
        <v>传媒</v>
      </c>
      <c r="G367" s="184" t="str">
        <f ca="1">[1]!s_info_industry_sw(E367,2)</f>
        <v>文化传媒</v>
      </c>
      <c r="H367" s="184" t="str">
        <f ca="1">[1]!s_info_industry_sw(E367,3)</f>
        <v>平面媒体</v>
      </c>
      <c r="I367" s="192" t="str">
        <f ca="1">[1]!s_info_majorproducttype(E367)</f>
        <v>出版、其他物流、书报刊零售、影视制作发行</v>
      </c>
      <c r="J367" s="189">
        <f ca="1">[1]!s_val_ev(E367,$B$2,100000000)</f>
        <v>95.680747849699998</v>
      </c>
      <c r="K367" s="193">
        <f ca="1">[1]!s_share_total(E367,$B$2,100000000)</f>
        <v>19.89204737</v>
      </c>
      <c r="L367" s="193">
        <f ca="1">[1]!s_share_liqa(E367,$B$2,100000000)</f>
        <v>19.89204737</v>
      </c>
      <c r="M367" s="186">
        <f ca="1">[1]!s_fa_gr_ttm2(E367,$C$3,100000000)</f>
        <v>84.147715524500001</v>
      </c>
      <c r="N367" s="187">
        <f ca="1">[1]!s_fa_netprofit_ttm2(E367,$C$3,100000000)</f>
        <v>6.0787147910000003</v>
      </c>
      <c r="O367" s="186"/>
      <c r="P367" s="187">
        <f ca="1">[1]!s_val_pe_ttm(E367,[1]!td($B$2-1))</f>
        <v>13.524802207946777</v>
      </c>
      <c r="Q367" s="187">
        <f ca="1">[1]!i_val_pe_percentile(E367,[1]!td($B$2-1),$B$2-365*5,[1]!td($B$2-1))</f>
        <v>18.475877192982455</v>
      </c>
      <c r="R367" s="187">
        <f ca="1">[1]!pb_mrq(E367,[1]!td($B$2-1))</f>
        <v>0.8815199124265225</v>
      </c>
      <c r="S367" s="187">
        <f ca="1">[1]!i_val_pb_percentile(E367,[1]!td($B$2-1),$B$2-365*5,[1]!td($B$2-1))</f>
        <v>6.5789473684210522</v>
      </c>
      <c r="T367" s="187">
        <f ca="1">[1]!s_val_pe_ttm([1]!to_windcode_index(H367&amp;"(申万)"),[1]!td($B$2-1))</f>
        <v>14.880000114440918</v>
      </c>
      <c r="U367" s="186"/>
      <c r="V367" s="186">
        <f ca="1">[1]!s_fa_roe(E367,$C$3)</f>
        <v>6.2870999999999997</v>
      </c>
      <c r="W367" s="186">
        <f ca="1">[1]!s_fa_grossprofitmargin(E367,$C$3)</f>
        <v>22.608000000000001</v>
      </c>
      <c r="X367" s="186">
        <f ca="1">[1]!s_fa_netprofitmargin(E367,$C$3)</f>
        <v>10.6005</v>
      </c>
      <c r="Y367" s="186">
        <f ca="1">[1]!s_fa_roic(E367,$C$3)</f>
        <v>4.9745999999999997</v>
      </c>
      <c r="Z367" s="186">
        <f ca="1">[1]!s_fa_operateincometoebt_ttm2(E367,$C$3)</f>
        <v>86.263900000000007</v>
      </c>
      <c r="AA367" s="186"/>
      <c r="AB367" s="342"/>
      <c r="AC367" s="186">
        <f ca="1">[1]!s_fa_cagr_tr($E367,AC$6,3)</f>
        <v>0</v>
      </c>
      <c r="AD367" s="186">
        <f ca="1">[1]!s_fa_cagr_tr($E367,AD$6,3)</f>
        <v>0.53817299516845107</v>
      </c>
      <c r="AE367" s="187">
        <f ca="1">[1]!s_fa_cagr_tr($E367,AE$6,3)</f>
        <v>5.1678381622096481</v>
      </c>
      <c r="AF367" s="187">
        <f ca="1">[1]!s_fa_cagr_tr($E367,AF$6,3)</f>
        <v>14.316382355664526</v>
      </c>
      <c r="AG367" s="187">
        <f ca="1">[1]!s_fa_cagr_tr($E367,AG$6,3)</f>
        <v>14.879541131137564</v>
      </c>
      <c r="AH367" s="187">
        <f ca="1">[1]!s_fa_cagr_tr($E367,AH$6,3)</f>
        <v>18.221269499599792</v>
      </c>
      <c r="AI367" s="194"/>
      <c r="AJ367" s="187">
        <f ca="1">[1]!s_fa_cagr_netprofit($E367,AJ$6,3)</f>
        <v>0</v>
      </c>
      <c r="AK367" s="187">
        <f ca="1">[1]!s_fa_cagr_netprofit($E367,AK$6,3)</f>
        <v>-18.086840515904246</v>
      </c>
      <c r="AL367" s="187">
        <f ca="1">[1]!s_fa_cagr_netprofit($E367,AL$6,3)</f>
        <v>-19.269341376951321</v>
      </c>
      <c r="AM367" s="187">
        <f ca="1">[1]!s_fa_cagr_netprofit($E367,AM$6,3)</f>
        <v>12.040672173181409</v>
      </c>
      <c r="AN367" s="187">
        <f ca="1">[1]!s_fa_cagr_netprofit($E367,AN$6,3)</f>
        <v>17.167505596548427</v>
      </c>
      <c r="AO367" s="187">
        <f ca="1">[1]!s_fa_cagr_netprofit($E367,AO$6,3)</f>
        <v>20.457332557076867</v>
      </c>
      <c r="AP367" s="189"/>
      <c r="AQ367" s="202">
        <f ca="1">[1]!s_fa_dupont_roe(E367,$C$3)</f>
        <v>6.2870999999999997</v>
      </c>
      <c r="AR367" s="202">
        <f ca="1">[1]!s_fa_dupont_nptosales(B367,$C$3)</f>
        <v>7.9863999999999997</v>
      </c>
      <c r="AS367" s="237">
        <f ca="1">[1]!s_fa_dupont_faturnover(E367,$C$3)</f>
        <v>0.43030000000000002</v>
      </c>
      <c r="AT367" s="202">
        <f ca="1">[1]!s_fa_dupont_assetstoequity(E367,$C$3)</f>
        <v>1.405</v>
      </c>
      <c r="AU367" s="189"/>
      <c r="AV367" s="201"/>
      <c r="AW367" s="189"/>
      <c r="AX367" s="189"/>
      <c r="AY367" s="189"/>
      <c r="AZ367" s="189"/>
      <c r="BA367" s="189"/>
      <c r="BB367" s="189"/>
      <c r="BC367" s="189"/>
      <c r="BD367" s="189"/>
      <c r="BE367" s="189"/>
    </row>
    <row r="368" spans="1:57" s="130" customFormat="1" ht="12" customHeight="1" x14ac:dyDescent="0.35">
      <c r="A368" s="121" t="s">
        <v>5</v>
      </c>
      <c r="B368" s="121" t="s">
        <v>459</v>
      </c>
      <c r="C368" s="121" t="s">
        <v>460</v>
      </c>
      <c r="D368" s="121" t="str">
        <f ca="1">[1]!cb_info_underlyingname(B368)</f>
        <v>中原传媒</v>
      </c>
      <c r="E368" s="122" t="str">
        <f ca="1">[1]!cb_info_underlyingcode(B368)</f>
        <v>000719.SZ</v>
      </c>
      <c r="F368" s="123" t="str">
        <f ca="1">[1]!s_info_industry_sw(B368,1)</f>
        <v>传媒</v>
      </c>
      <c r="G368" s="123" t="str">
        <f ca="1">[1]!s_info_industry_sw(E368,2)</f>
        <v>文化传媒</v>
      </c>
      <c r="H368" s="123" t="str">
        <f ca="1">[1]!s_info_industry_sw(E368,3)</f>
        <v>平面媒体</v>
      </c>
      <c r="I368" s="156" t="str">
        <f ca="1">[1]!s_info_majorproducttype(E368)</f>
        <v>出版</v>
      </c>
      <c r="J368" s="129">
        <f ca="1">[1]!s_val_ev(E368,$B$2,100000000)</f>
        <v>70.396417931200006</v>
      </c>
      <c r="K368" s="157">
        <f ca="1">[1]!s_share_total(E368,$B$2,100000000)</f>
        <v>10.23203749</v>
      </c>
      <c r="L368" s="157">
        <f ca="1">[1]!s_share_liqa(E368,$B$2,100000000)</f>
        <v>6.6714754300000001</v>
      </c>
      <c r="M368" s="125">
        <f ca="1">[1]!s_fa_gr_ttm2(E368,$C$3,100000000)</f>
        <v>95.271755566200014</v>
      </c>
      <c r="N368" s="126">
        <f ca="1">[1]!s_fa_netprofit_ttm2(E368,$C$3,100000000)</f>
        <v>8.7656570263999996</v>
      </c>
      <c r="O368" s="125"/>
      <c r="P368" s="126">
        <f ca="1">[1]!s_val_pe_ttm(E368,[1]!td($B$2-1))</f>
        <v>7.3270220756530762</v>
      </c>
      <c r="Q368" s="126">
        <f ca="1">[1]!i_val_pe_percentile(E368,[1]!td($B$2-1),$B$2-365*5,[1]!td($B$2-1))</f>
        <v>3.7280701754385963</v>
      </c>
      <c r="R368" s="126">
        <f ca="1">[1]!pb_mrq(E368,[1]!td($B$2-1))</f>
        <v>0.77758832462947536</v>
      </c>
      <c r="S368" s="126">
        <f ca="1">[1]!i_val_pb_percentile(E368,[1]!td($B$2-1),$B$2-365*5,[1]!td($B$2-1))</f>
        <v>4.1118421052631584</v>
      </c>
      <c r="T368" s="126">
        <f ca="1">[1]!s_val_pe_ttm([1]!to_windcode_index(H368&amp;"(申万)"),[1]!td($B$2-1))</f>
        <v>14.880000114440918</v>
      </c>
      <c r="U368" s="125"/>
      <c r="V368" s="125">
        <f ca="1">[1]!s_fa_roe(E368,$C$3)</f>
        <v>6.8830999999999998</v>
      </c>
      <c r="W368" s="125">
        <f ca="1">[1]!s_fa_grossprofitmargin(E368,$C$3)</f>
        <v>32.434600000000003</v>
      </c>
      <c r="X368" s="125">
        <f ca="1">[1]!s_fa_netprofitmargin(E368,$C$3)</f>
        <v>9.4259000000000004</v>
      </c>
      <c r="Y368" s="125">
        <f ca="1">[1]!s_fa_roic(E368,$C$3)</f>
        <v>6.4343000000000004</v>
      </c>
      <c r="Z368" s="125">
        <f ca="1">[1]!s_fa_operateincometoebt_ttm2(E368,$C$3)</f>
        <v>87.096599999999995</v>
      </c>
      <c r="AA368" s="125"/>
      <c r="AB368" s="343"/>
      <c r="AC368" s="125">
        <f ca="1">[1]!s_fa_cagr_tr($E368,AC$6,3)</f>
        <v>0</v>
      </c>
      <c r="AD368" s="125">
        <f ca="1">[1]!s_fa_cagr_tr($E368,AD$6,3)</f>
        <v>5.4689349518263652</v>
      </c>
      <c r="AE368" s="126">
        <f ca="1">[1]!s_fa_cagr_tr($E368,AE$6,3)</f>
        <v>6.3808833256693509</v>
      </c>
      <c r="AF368" s="126">
        <f ca="1">[1]!s_fa_cagr_tr($E368,AF$6,3)</f>
        <v>8.0341237854808956</v>
      </c>
      <c r="AG368" s="126">
        <f ca="1">[1]!s_fa_cagr_tr($E368,AG$6,3)</f>
        <v>4.796906553937319</v>
      </c>
      <c r="AH368" s="126">
        <f ca="1">[1]!s_fa_cagr_tr($E368,AH$6,3)</f>
        <v>39.836881863326653</v>
      </c>
      <c r="AI368" s="169"/>
      <c r="AJ368" s="126">
        <f ca="1">[1]!s_fa_cagr_netprofit($E368,AJ$6,3)</f>
        <v>0</v>
      </c>
      <c r="AK368" s="126">
        <f ca="1">[1]!s_fa_cagr_netprofit($E368,AK$6,3)</f>
        <v>10.20033313782751</v>
      </c>
      <c r="AL368" s="126">
        <f ca="1">[1]!s_fa_cagr_netprofit($E368,AL$6,3)</f>
        <v>7.1731896469236389</v>
      </c>
      <c r="AM368" s="126">
        <f ca="1">[1]!s_fa_cagr_netprofit($E368,AM$6,3)</f>
        <v>1.4511736783461737</v>
      </c>
      <c r="AN368" s="126">
        <f ca="1">[1]!s_fa_cagr_netprofit($E368,AN$6,3)</f>
        <v>2.6065135213586332</v>
      </c>
      <c r="AO368" s="126">
        <f ca="1">[1]!s_fa_cagr_netprofit($E368,AO$6,3)</f>
        <v>33.105937021698331</v>
      </c>
      <c r="AP368" s="129"/>
      <c r="AQ368" s="203">
        <f ca="1">[1]!s_fa_dupont_roe(E368,$C$3)</f>
        <v>6.8830999999999998</v>
      </c>
      <c r="AR368" s="203">
        <f ca="1">[1]!s_fa_dupont_nptosales(B368,$C$3)</f>
        <v>3.8534999999999999</v>
      </c>
      <c r="AS368" s="238">
        <f ca="1">[1]!s_fa_dupont_faturnover(E368,$C$3)</f>
        <v>0.47970000000000002</v>
      </c>
      <c r="AT368" s="203">
        <f ca="1">[1]!s_fa_dupont_assetstoequity(E368,$C$3)</f>
        <v>1.5263</v>
      </c>
      <c r="AU368" s="129"/>
      <c r="AV368" s="129"/>
      <c r="AW368" s="129"/>
      <c r="AX368" s="129"/>
      <c r="AY368" s="129"/>
      <c r="AZ368" s="129"/>
      <c r="BA368" s="129"/>
      <c r="BB368" s="129"/>
      <c r="BC368" s="129"/>
      <c r="BD368" s="129"/>
      <c r="BE368" s="129"/>
    </row>
    <row r="369" spans="1:57" s="191" customFormat="1" ht="12" customHeight="1" x14ac:dyDescent="0.35">
      <c r="A369" s="182" t="s">
        <v>5</v>
      </c>
      <c r="B369" s="182" t="s">
        <v>128</v>
      </c>
      <c r="C369" s="182" t="s">
        <v>129</v>
      </c>
      <c r="D369" s="182" t="str">
        <f ca="1">[1]!cb_info_underlyingname(B369)</f>
        <v>宝通科技</v>
      </c>
      <c r="E369" s="183" t="str">
        <f ca="1">[1]!cb_info_underlyingcode(B369)</f>
        <v>300031.SZ</v>
      </c>
      <c r="F369" s="184" t="str">
        <f ca="1">[1]!s_info_industry_sw(B369,1)</f>
        <v>传媒</v>
      </c>
      <c r="G369" s="184" t="str">
        <f ca="1">[1]!s_info_industry_sw(E369,2)</f>
        <v>互联网传媒</v>
      </c>
      <c r="H369" s="184" t="str">
        <f ca="1">[1]!s_info_industry_sw(E369,3)</f>
        <v>移动互联网服务</v>
      </c>
      <c r="I369" s="192" t="str">
        <f ca="1">[1]!s_info_majorproducttype(E369)</f>
        <v>高分子聚合物、网络游戏</v>
      </c>
      <c r="J369" s="189">
        <f ca="1">[1]!s_val_ev(E369,$B$2,100000000)</f>
        <v>79.711310976500002</v>
      </c>
      <c r="K369" s="193">
        <f ca="1">[1]!s_share_total(E369,$B$2,100000000)</f>
        <v>3.96771085</v>
      </c>
      <c r="L369" s="193">
        <f ca="1">[1]!s_share_liqa(E369,$B$2,100000000)</f>
        <v>3.2452740699999998</v>
      </c>
      <c r="M369" s="186">
        <f ca="1">[1]!s_fa_gr_ttm2(E369,$C$3,100000000)</f>
        <v>26.582421553400003</v>
      </c>
      <c r="N369" s="187">
        <f ca="1">[1]!s_fa_netprofit_ttm2(E369,$C$3,100000000)</f>
        <v>3.8847656126999999</v>
      </c>
      <c r="O369" s="186"/>
      <c r="P369" s="187">
        <f ca="1">[1]!s_val_pe_ttm(E369,[1]!td($B$2-1))</f>
        <v>17.70018196105957</v>
      </c>
      <c r="Q369" s="187">
        <f ca="1">[1]!i_val_pe_percentile(E369,[1]!td($B$2-1),$B$2-365*5,[1]!td($B$2-1))</f>
        <v>29.714912280701753</v>
      </c>
      <c r="R369" s="187">
        <f ca="1">[1]!pb_mrq(E369,[1]!td($B$2-1))</f>
        <v>2.59045343036269</v>
      </c>
      <c r="S369" s="187">
        <f ca="1">[1]!i_val_pb_percentile(E369,[1]!td($B$2-1),$B$2-365*5,[1]!td($B$2-1))</f>
        <v>51.041666666666664</v>
      </c>
      <c r="T369" s="187">
        <f ca="1">[1]!s_val_pe_ttm([1]!to_windcode_index(H369&amp;"(申万)"),[1]!td($B$2-1))</f>
        <v>28.209999084472656</v>
      </c>
      <c r="U369" s="186"/>
      <c r="V369" s="186">
        <f ca="1">[1]!s_fa_roe(E369,$C$3)</f>
        <v>11.226699999999999</v>
      </c>
      <c r="W369" s="186">
        <f ca="1">[1]!s_fa_grossprofitmargin(E369,$C$3)</f>
        <v>60.491599999999998</v>
      </c>
      <c r="X369" s="186">
        <f ca="1">[1]!s_fa_netprofitmargin(E369,$C$3)</f>
        <v>16.585100000000001</v>
      </c>
      <c r="Y369" s="186">
        <f ca="1">[1]!s_fa_roic(E369,$C$3)</f>
        <v>9.2791999999999994</v>
      </c>
      <c r="Z369" s="186">
        <f ca="1">[1]!s_fa_operateincometoebt_ttm2(E369,$C$3)</f>
        <v>81.347999999999999</v>
      </c>
      <c r="AA369" s="186"/>
      <c r="AB369" s="342"/>
      <c r="AC369" s="186">
        <f ca="1">[1]!s_fa_cagr_tr($E369,AC$6,3)</f>
        <v>0</v>
      </c>
      <c r="AD369" s="186">
        <f ca="1">[1]!s_fa_cagr_tr($E369,AD$6,3)</f>
        <v>18.636479953623386</v>
      </c>
      <c r="AE369" s="187">
        <f ca="1">[1]!s_fa_cagr_tr($E369,AE$6,3)</f>
        <v>19.120879975467076</v>
      </c>
      <c r="AF369" s="187">
        <f ca="1">[1]!s_fa_cagr_tr($E369,AF$6,3)</f>
        <v>66.439929519528391</v>
      </c>
      <c r="AG369" s="187">
        <f ca="1">[1]!s_fa_cagr_tr($E369,AG$6,3)</f>
        <v>46.500110645624737</v>
      </c>
      <c r="AH369" s="187">
        <f ca="1">[1]!s_fa_cagr_tr($E369,AH$6,3)</f>
        <v>37.694503509000455</v>
      </c>
      <c r="AI369" s="194"/>
      <c r="AJ369" s="187">
        <f ca="1">[1]!s_fa_cagr_netprofit($E369,AJ$6,3)</f>
        <v>0</v>
      </c>
      <c r="AK369" s="187">
        <f ca="1">[1]!s_fa_cagr_netprofit($E369,AK$6,3)</f>
        <v>25.4914794054651</v>
      </c>
      <c r="AL369" s="187">
        <f ca="1">[1]!s_fa_cagr_netprofit($E369,AL$6,3)</f>
        <v>29.418244942383474</v>
      </c>
      <c r="AM369" s="187">
        <f ca="1">[1]!s_fa_cagr_netprofit($E369,AM$6,3)</f>
        <v>58.45947329788104</v>
      </c>
      <c r="AN369" s="187">
        <f ca="1">[1]!s_fa_cagr_netprofit($E369,AN$6,3)</f>
        <v>44.282073626290064</v>
      </c>
      <c r="AO369" s="187">
        <f ca="1">[1]!s_fa_cagr_netprofit($E369,AO$6,3)</f>
        <v>11.271441961516215</v>
      </c>
      <c r="AP369" s="189"/>
      <c r="AQ369" s="202">
        <f ca="1">[1]!s_fa_dupont_roe(E369,$C$3)</f>
        <v>11.226699999999999</v>
      </c>
      <c r="AR369" s="202">
        <f ca="1">[1]!s_fa_dupont_nptosales(B369,$C$3)</f>
        <v>16.585100000000001</v>
      </c>
      <c r="AS369" s="237">
        <f ca="1">[1]!s_fa_dupont_faturnover(E369,$C$3)</f>
        <v>0.45610000000000001</v>
      </c>
      <c r="AT369" s="202">
        <f ca="1">[1]!s_fa_dupont_assetstoequity(E369,$C$3)</f>
        <v>1.5194000000000001</v>
      </c>
      <c r="AU369" s="189"/>
      <c r="AV369" s="189"/>
      <c r="AW369" s="189"/>
      <c r="AX369" s="189"/>
      <c r="AY369" s="189"/>
      <c r="AZ369" s="189"/>
      <c r="BA369" s="189"/>
      <c r="BB369" s="189"/>
      <c r="BC369" s="189"/>
      <c r="BD369" s="189"/>
      <c r="BE369" s="189"/>
    </row>
    <row r="370" spans="1:57" s="130" customFormat="1" ht="12" customHeight="1" x14ac:dyDescent="0.35">
      <c r="A370" s="121" t="s">
        <v>0</v>
      </c>
      <c r="B370" s="121" t="s">
        <v>453</v>
      </c>
      <c r="C370" s="121" t="s">
        <v>454</v>
      </c>
      <c r="D370" s="121" t="str">
        <f ca="1">[1]!cb_info_underlyingname(B370)</f>
        <v>吉视传媒</v>
      </c>
      <c r="E370" s="122" t="str">
        <f ca="1">[1]!cb_info_underlyingcode(B370)</f>
        <v>601929.SH</v>
      </c>
      <c r="F370" s="123" t="str">
        <f ca="1">[1]!s_info_industry_sw(B370,1)</f>
        <v>传媒</v>
      </c>
      <c r="G370" s="123" t="str">
        <f ca="1">[1]!s_info_industry_sw(E370,2)</f>
        <v>文化传媒</v>
      </c>
      <c r="H370" s="123" t="str">
        <f ca="1">[1]!s_info_industry_sw(E370,3)</f>
        <v>有线电视网络</v>
      </c>
      <c r="I370" s="156" t="str">
        <f ca="1">[1]!s_info_majorproducttype(E370)</f>
        <v>电信服务、数字电视服务</v>
      </c>
      <c r="J370" s="129">
        <f ca="1">[1]!s_val_ev(E370,$B$2,100000000)</f>
        <v>59.733443328</v>
      </c>
      <c r="K370" s="157">
        <f ca="1">[1]!s_share_total(E370,$B$2,100000000)</f>
        <v>31.1111684</v>
      </c>
      <c r="L370" s="157">
        <f ca="1">[1]!s_share_liqa(E370,$B$2,100000000)</f>
        <v>31.1111684</v>
      </c>
      <c r="M370" s="125">
        <f ca="1">[1]!s_fa_gr_ttm2(E370,$C$3,100000000)</f>
        <v>18.2164829936</v>
      </c>
      <c r="N370" s="126">
        <f ca="1">[1]!s_fa_netprofit_ttm2(E370,$C$3,100000000)</f>
        <v>0.31508650859999998</v>
      </c>
      <c r="O370" s="125"/>
      <c r="P370" s="126">
        <f ca="1">[1]!s_val_pe_ttm(E370,[1]!td($B$2-1))</f>
        <v>84.825729370117188</v>
      </c>
      <c r="Q370" s="126">
        <f ca="1">[1]!i_val_pe_percentile(E370,[1]!td($B$2-1),$B$2-365*5,[1]!td($B$2-1))</f>
        <v>81.524122807017534</v>
      </c>
      <c r="R370" s="126">
        <f ca="1">[1]!pb_mrq(E370,[1]!td($B$2-1))</f>
        <v>0.89766539978793292</v>
      </c>
      <c r="S370" s="126">
        <f ca="1">[1]!i_val_pb_percentile(E370,[1]!td($B$2-1),$B$2-365*5,[1]!td($B$2-1))</f>
        <v>13.596491228070176</v>
      </c>
      <c r="T370" s="126">
        <f ca="1">[1]!s_val_pe_ttm([1]!to_windcode_index(H370&amp;"(申万)"),[1]!td($B$2-1))</f>
        <v>39.900001525878906</v>
      </c>
      <c r="U370" s="126"/>
      <c r="V370" s="126">
        <f ca="1">[1]!s_fa_roe(E370,$C$3)</f>
        <v>0.57820000000000005</v>
      </c>
      <c r="W370" s="126">
        <f ca="1">[1]!s_fa_grossprofitmargin(E370,$C$3)</f>
        <v>30.597100000000001</v>
      </c>
      <c r="X370" s="126">
        <f ca="1">[1]!s_fa_netprofitmargin(E370,$C$3)</f>
        <v>2.887</v>
      </c>
      <c r="Y370" s="126">
        <f ca="1">[1]!s_fa_roic(E370,$C$3)</f>
        <v>0.65680000000000005</v>
      </c>
      <c r="Z370" s="126">
        <f ca="1">[1]!s_fa_operateincometoebt_ttm2(E370,$C$3)</f>
        <v>-464.45830000000001</v>
      </c>
      <c r="AA370" s="125"/>
      <c r="AB370" s="343"/>
      <c r="AC370" s="125">
        <f ca="1">[1]!s_fa_cagr_tr($E370,AC$6,3)</f>
        <v>0</v>
      </c>
      <c r="AD370" s="125">
        <f ca="1">[1]!s_fa_cagr_tr($E370,AD$6,3)</f>
        <v>-1.2553677542246455</v>
      </c>
      <c r="AE370" s="126">
        <f ca="1">[1]!s_fa_cagr_tr($E370,AE$6,3)</f>
        <v>-4.5215982590965709</v>
      </c>
      <c r="AF370" s="126">
        <f ca="1">[1]!s_fa_cagr_tr($E370,AF$6,3)</f>
        <v>-2.5747920471423269</v>
      </c>
      <c r="AG370" s="126">
        <f ca="1">[1]!s_fa_cagr_tr($E370,AG$6,3)</f>
        <v>-4.2726883143673344E-2</v>
      </c>
      <c r="AH370" s="126">
        <f ca="1">[1]!s_fa_cagr_tr($E370,AH$6,3)</f>
        <v>4.8517187173725551</v>
      </c>
      <c r="AI370" s="169"/>
      <c r="AJ370" s="126">
        <f ca="1">[1]!s_fa_cagr_netprofit($E370,AJ$6,3)</f>
        <v>0</v>
      </c>
      <c r="AK370" s="126">
        <f ca="1">[1]!s_fa_cagr_netprofit($E370,AK$6,3)</f>
        <v>-44.31554641855594</v>
      </c>
      <c r="AL370" s="126">
        <f ca="1">[1]!s_fa_cagr_netprofit($E370,AL$6,3)</f>
        <v>-35.030221889961744</v>
      </c>
      <c r="AM370" s="126">
        <f ca="1">[1]!s_fa_cagr_netprofit($E370,AM$6,3)</f>
        <v>-9.5424097276475486</v>
      </c>
      <c r="AN370" s="126">
        <f ca="1">[1]!s_fa_cagr_netprofit($E370,AN$6,3)</f>
        <v>-2.8780476730668969</v>
      </c>
      <c r="AO370" s="126">
        <f ca="1">[1]!s_fa_cagr_netprofit($E370,AO$6,3)</f>
        <v>-3.0859643604725706</v>
      </c>
      <c r="AP370" s="129"/>
      <c r="AQ370" s="203">
        <f ca="1">[1]!s_fa_dupont_roe(E370,$C$3)</f>
        <v>0.57820000000000005</v>
      </c>
      <c r="AR370" s="203">
        <f ca="1">[1]!s_fa_dupont_nptosales(B370,$C$3)</f>
        <v>2.887</v>
      </c>
      <c r="AS370" s="238">
        <f ca="1">[1]!s_fa_dupont_faturnover(E370,$C$3)</f>
        <v>9.1300000000000006E-2</v>
      </c>
      <c r="AT370" s="203">
        <f ca="1">[1]!s_fa_dupont_assetstoequity(E370,$C$3)</f>
        <v>2.0211000000000001</v>
      </c>
      <c r="AU370" s="129"/>
      <c r="AV370" s="129"/>
      <c r="AW370" s="129"/>
      <c r="AX370" s="129"/>
      <c r="AY370" s="129"/>
      <c r="AZ370" s="129"/>
      <c r="BA370" s="129"/>
      <c r="BB370" s="129"/>
      <c r="BC370" s="129"/>
      <c r="BD370" s="129"/>
      <c r="BE370" s="129"/>
    </row>
    <row r="371" spans="1:57" s="191" customFormat="1" ht="12" customHeight="1" x14ac:dyDescent="0.35">
      <c r="A371" s="182" t="s">
        <v>0</v>
      </c>
      <c r="B371" s="182" t="s">
        <v>356</v>
      </c>
      <c r="C371" s="182" t="s">
        <v>357</v>
      </c>
      <c r="D371" s="182" t="str">
        <f ca="1">[1]!cb_info_underlyingname(B371)</f>
        <v>贵广网络</v>
      </c>
      <c r="E371" s="183" t="str">
        <f ca="1">[1]!cb_info_underlyingcode(B371)</f>
        <v>600996.SH</v>
      </c>
      <c r="F371" s="184" t="str">
        <f ca="1">[1]!s_info_industry_sw(B371,1)</f>
        <v>传媒</v>
      </c>
      <c r="G371" s="184" t="str">
        <f ca="1">[1]!s_info_industry_sw(E371,2)</f>
        <v>文化传媒</v>
      </c>
      <c r="H371" s="184" t="str">
        <f ca="1">[1]!s_info_industry_sw(E371,3)</f>
        <v>有线电视网络</v>
      </c>
      <c r="I371" s="192" t="str">
        <f ca="1">[1]!s_info_majorproducttype(E371)</f>
        <v>电信服务、有线电视网</v>
      </c>
      <c r="J371" s="189">
        <f ca="1">[1]!s_val_ev(E371,$B$2,100000000)</f>
        <v>50.902402500400001</v>
      </c>
      <c r="K371" s="193">
        <f ca="1">[1]!s_share_total(E371,$B$2,100000000)</f>
        <v>10.517025309999999</v>
      </c>
      <c r="L371" s="193">
        <f ca="1">[1]!s_share_liqa(E371,$B$2,100000000)</f>
        <v>10.517025309999999</v>
      </c>
      <c r="M371" s="186">
        <f ca="1">[1]!s_fa_gr_ttm2(E371,$C$3,100000000)</f>
        <v>35.252363023299999</v>
      </c>
      <c r="N371" s="187">
        <f ca="1">[1]!s_fa_netprofit_ttm2(E371,$C$3,100000000)</f>
        <v>1.7091068399999999E-2</v>
      </c>
      <c r="O371" s="186"/>
      <c r="P371" s="187">
        <f ca="1">[1]!s_val_pe_ttm(E371,[1]!td($B$2-1))</f>
        <v>-13.253239631652832</v>
      </c>
      <c r="Q371" s="187">
        <f ca="1">[1]!i_val_pe_percentile(E371,[1]!td($B$2-1),$B$2-365*5,[1]!td($B$2-1))</f>
        <v>0</v>
      </c>
      <c r="R371" s="187">
        <f ca="1">[1]!pb_mrq(E371,[1]!td($B$2-1))</f>
        <v>1.2578300302666856</v>
      </c>
      <c r="S371" s="187">
        <f ca="1">[1]!i_val_pb_percentile(E371,[1]!td($B$2-1),$B$2-365*5,[1]!td($B$2-1))</f>
        <v>13.082750582750583</v>
      </c>
      <c r="T371" s="187">
        <f ca="1">[1]!s_val_pe_ttm([1]!to_windcode_index(H371&amp;"(申万)"),[1]!td($B$2-1))</f>
        <v>39.900001525878906</v>
      </c>
      <c r="U371" s="187"/>
      <c r="V371" s="187">
        <f ca="1">[1]!s_fa_roe(E371,$C$3)</f>
        <v>-0.90480000000000005</v>
      </c>
      <c r="W371" s="187">
        <f ca="1">[1]!s_fa_grossprofitmargin(E371,$C$3)</f>
        <v>18.058399999999999</v>
      </c>
      <c r="X371" s="187">
        <f ca="1">[1]!s_fa_netprofitmargin(E371,$C$3)</f>
        <v>-1.8231999999999999</v>
      </c>
      <c r="Y371" s="187">
        <f ca="1">[1]!s_fa_roic(E371,$C$3)</f>
        <v>1.0039</v>
      </c>
      <c r="Z371" s="187">
        <f ca="1">[1]!s_fa_operateincometoebt_ttm2(E371,$C$3)</f>
        <v>-8504.1628999999994</v>
      </c>
      <c r="AA371" s="186"/>
      <c r="AB371" s="342"/>
      <c r="AC371" s="186">
        <f ca="1">[1]!s_fa_cagr_tr($E371,AC$6,3)</f>
        <v>0</v>
      </c>
      <c r="AD371" s="186">
        <f ca="1">[1]!s_fa_cagr_tr($E371,AD$6,3)</f>
        <v>10.509881021428381</v>
      </c>
      <c r="AE371" s="187">
        <f ca="1">[1]!s_fa_cagr_tr($E371,AE$6,3)</f>
        <v>14.295484264242608</v>
      </c>
      <c r="AF371" s="187">
        <f ca="1">[1]!s_fa_cagr_tr($E371,AF$6,3)</f>
        <v>15.396748969007934</v>
      </c>
      <c r="AG371" s="187">
        <f ca="1">[1]!s_fa_cagr_tr($E371,AG$6,3)</f>
        <v>13.73199868448669</v>
      </c>
      <c r="AH371" s="187">
        <f ca="1">[1]!s_fa_cagr_tr($E371,AH$6,3)</f>
        <v>15.859510325571291</v>
      </c>
      <c r="AI371" s="194"/>
      <c r="AJ371" s="187">
        <f ca="1">[1]!s_fa_cagr_netprofit($E371,AJ$6,3)</f>
        <v>0</v>
      </c>
      <c r="AK371" s="187">
        <f ca="1">[1]!s_fa_cagr_netprofit($E371,AK$6,3)</f>
        <v>-150.05810223924504</v>
      </c>
      <c r="AL371" s="187">
        <f ca="1">[1]!s_fa_cagr_netprofit($E371,AL$6,3)</f>
        <v>-21.468452060327603</v>
      </c>
      <c r="AM371" s="187">
        <f ca="1">[1]!s_fa_cagr_netprofit($E371,AM$6,3)</f>
        <v>-9.1290125257350816</v>
      </c>
      <c r="AN371" s="187">
        <f ca="1">[1]!s_fa_cagr_netprofit($E371,AN$6,3)</f>
        <v>7.9906765504115462</v>
      </c>
      <c r="AO371" s="187">
        <f ca="1">[1]!s_fa_cagr_netprofit($E371,AO$6,3)</f>
        <v>26.440034184028029</v>
      </c>
      <c r="AP371" s="189"/>
      <c r="AQ371" s="202">
        <f ca="1">[1]!s_fa_dupont_roe(E371,$C$3)</f>
        <v>-0.90480000000000005</v>
      </c>
      <c r="AR371" s="202">
        <f ca="1">[1]!s_fa_dupont_nptosales(B371,$C$3)</f>
        <v>-1.8231999999999999</v>
      </c>
      <c r="AS371" s="237">
        <f ca="1">[1]!s_fa_dupont_faturnover(E371,$C$3)</f>
        <v>0.14910000000000001</v>
      </c>
      <c r="AT371" s="202">
        <f ca="1">[1]!s_fa_dupont_assetstoequity(E371,$C$3)</f>
        <v>3.3123999999999998</v>
      </c>
      <c r="AU371" s="189"/>
      <c r="AV371" s="201"/>
      <c r="AW371" s="189"/>
      <c r="AX371" s="189"/>
      <c r="AY371" s="189"/>
      <c r="AZ371" s="189"/>
      <c r="BA371" s="189"/>
      <c r="BB371" s="189"/>
      <c r="BC371" s="189"/>
      <c r="BD371" s="189"/>
      <c r="BE371" s="189"/>
    </row>
    <row r="372" spans="1:57" s="130" customFormat="1" ht="12" customHeight="1" x14ac:dyDescent="0.35">
      <c r="A372" s="121" t="s">
        <v>0</v>
      </c>
      <c r="B372" s="121" t="s">
        <v>423</v>
      </c>
      <c r="C372" s="121" t="s">
        <v>424</v>
      </c>
      <c r="D372" s="121" t="str">
        <f ca="1">[1]!cb_info_underlyingname(B372)</f>
        <v>广电网络</v>
      </c>
      <c r="E372" s="122" t="str">
        <f ca="1">[1]!cb_info_underlyingcode(B372)</f>
        <v>600831.SH</v>
      </c>
      <c r="F372" s="123" t="str">
        <f ca="1">[1]!s_info_industry_sw(B372,1)</f>
        <v>传媒</v>
      </c>
      <c r="G372" s="123" t="str">
        <f ca="1">[1]!s_info_industry_sw(E372,2)</f>
        <v>文化传媒</v>
      </c>
      <c r="H372" s="123" t="str">
        <f ca="1">[1]!s_info_industry_sw(E372,3)</f>
        <v>有线电视网络</v>
      </c>
      <c r="I372" s="156" t="str">
        <f ca="1">[1]!s_info_majorproducttype(E372)</f>
        <v>广告代理、影视制作发行、有线电视网</v>
      </c>
      <c r="J372" s="129">
        <f ca="1">[1]!s_val_ev(E372,$B$2,100000000)</f>
        <v>41.350154017200005</v>
      </c>
      <c r="K372" s="157">
        <f ca="1">[1]!s_share_total(E372,$B$2,100000000)</f>
        <v>7.1048374599999997</v>
      </c>
      <c r="L372" s="157">
        <f ca="1">[1]!s_share_liqa(E372,$B$2,100000000)</f>
        <v>7.1048374599999997</v>
      </c>
      <c r="M372" s="125">
        <f ca="1">[1]!s_fa_gr_ttm2(E372,$C$3,100000000)</f>
        <v>26.388569621199998</v>
      </c>
      <c r="N372" s="126">
        <f ca="1">[1]!s_fa_netprofit_ttm2(E372,$C$3,100000000)</f>
        <v>-1.4250463152000001</v>
      </c>
      <c r="O372" s="125"/>
      <c r="P372" s="126">
        <f ca="1">[1]!s_val_pe_ttm(E372,[1]!td($B$2-1))</f>
        <v>55.734477996826172</v>
      </c>
      <c r="Q372" s="126">
        <f ca="1">[1]!i_val_pe_percentile(E372,[1]!td($B$2-1),$B$2-365*5,[1]!td($B$2-1))</f>
        <v>71.604095563139936</v>
      </c>
      <c r="R372" s="126">
        <f ca="1">[1]!pb_mrq(E372,[1]!td($B$2-1))</f>
        <v>1.0986600927634369</v>
      </c>
      <c r="S372" s="126">
        <f ca="1">[1]!i_val_pb_percentile(E372,[1]!td($B$2-1),$B$2-365*5,[1]!td($B$2-1))</f>
        <v>9.6491228070175428</v>
      </c>
      <c r="T372" s="126">
        <f ca="1">[1]!s_val_pe_ttm([1]!to_windcode_index(H372&amp;"(申万)"),[1]!td($B$2-1))</f>
        <v>39.900001525878906</v>
      </c>
      <c r="U372" s="126"/>
      <c r="V372" s="126">
        <f ca="1">[1]!s_fa_roe(E372,$C$3)</f>
        <v>1.2115</v>
      </c>
      <c r="W372" s="126">
        <f ca="1">[1]!s_fa_grossprofitmargin(E372,$C$3)</f>
        <v>28.733000000000001</v>
      </c>
      <c r="X372" s="126">
        <f ca="1">[1]!s_fa_netprofitmargin(E372,$C$3)</f>
        <v>1.9675</v>
      </c>
      <c r="Y372" s="126">
        <f ca="1">[1]!s_fa_roic(E372,$C$3)</f>
        <v>1.4932000000000001</v>
      </c>
      <c r="Z372" s="126">
        <f ca="1">[1]!s_fa_operateincometoebt_ttm2(E372,$C$3)</f>
        <v>0</v>
      </c>
      <c r="AA372" s="125"/>
      <c r="AB372" s="343"/>
      <c r="AC372" s="125">
        <f ca="1">[1]!s_fa_cagr_tr($E372,AC$6,3)</f>
        <v>0</v>
      </c>
      <c r="AD372" s="125">
        <f ca="1">[1]!s_fa_cagr_tr($E372,AD$6,3)</f>
        <v>-1.1012906353060514</v>
      </c>
      <c r="AE372" s="126">
        <f ca="1">[1]!s_fa_cagr_tr($E372,AE$6,3)</f>
        <v>0.42935749534809275</v>
      </c>
      <c r="AF372" s="126">
        <f ca="1">[1]!s_fa_cagr_tr($E372,AF$6,3)</f>
        <v>4.3724612796990359</v>
      </c>
      <c r="AG372" s="126">
        <f ca="1">[1]!s_fa_cagr_tr($E372,AG$6,3)</f>
        <v>7.4792830285823175</v>
      </c>
      <c r="AH372" s="126">
        <f ca="1">[1]!s_fa_cagr_tr($E372,AH$6,3)</f>
        <v>8.5136694556434236</v>
      </c>
      <c r="AI372" s="169"/>
      <c r="AJ372" s="126">
        <f ca="1">[1]!s_fa_cagr_netprofit($E372,AJ$6,3)</f>
        <v>0</v>
      </c>
      <c r="AK372" s="126">
        <f ca="1">[1]!s_fa_cagr_netprofit($E372,AK$6,3)</f>
        <v>-29.766677987089896</v>
      </c>
      <c r="AL372" s="126">
        <f ca="1">[1]!s_fa_cagr_netprofit($E372,AL$6,3)</f>
        <v>-190.86359855557049</v>
      </c>
      <c r="AM372" s="126">
        <f ca="1">[1]!s_fa_cagr_netprofit($E372,AM$6,3)</f>
        <v>-7.611334835392169</v>
      </c>
      <c r="AN372" s="126">
        <f ca="1">[1]!s_fa_cagr_netprofit($E372,AN$6,3)</f>
        <v>14.62979934801365</v>
      </c>
      <c r="AO372" s="126">
        <f ca="1">[1]!s_fa_cagr_netprofit($E372,AO$6,3)</f>
        <v>-0.92640927456500988</v>
      </c>
      <c r="AP372" s="129"/>
      <c r="AQ372" s="203">
        <f ca="1">[1]!s_fa_dupont_roe(E372,$C$3)</f>
        <v>1.2115</v>
      </c>
      <c r="AR372" s="203">
        <f ca="1">[1]!s_fa_dupont_nptosales(B372,$C$3)</f>
        <v>1.9675</v>
      </c>
      <c r="AS372" s="238">
        <f ca="1">[1]!s_fa_dupont_faturnover(E372,$C$3)</f>
        <v>0.2344</v>
      </c>
      <c r="AT372" s="203">
        <f ca="1">[1]!s_fa_dupont_assetstoequity(E372,$C$3)</f>
        <v>2.2795999999999998</v>
      </c>
      <c r="AU372" s="129"/>
      <c r="AV372" s="129"/>
      <c r="AW372" s="129"/>
      <c r="AX372" s="129"/>
      <c r="AY372" s="129"/>
      <c r="AZ372" s="129"/>
      <c r="BA372" s="129"/>
      <c r="BB372" s="129"/>
      <c r="BC372" s="129"/>
      <c r="BD372" s="129"/>
      <c r="BE372" s="129"/>
    </row>
    <row r="373" spans="1:57" s="191" customFormat="1" ht="12" customHeight="1" x14ac:dyDescent="0.35">
      <c r="A373" s="182" t="s">
        <v>5</v>
      </c>
      <c r="B373" s="182" t="s">
        <v>421</v>
      </c>
      <c r="C373" s="182" t="s">
        <v>422</v>
      </c>
      <c r="D373" s="182" t="str">
        <f ca="1">[1]!cb_info_underlyingname(B373)</f>
        <v>湖北广电</v>
      </c>
      <c r="E373" s="183" t="str">
        <f ca="1">[1]!cb_info_underlyingcode(B373)</f>
        <v>000665.SZ</v>
      </c>
      <c r="F373" s="184" t="str">
        <f ca="1">[1]!s_info_industry_sw(B373,1)</f>
        <v>传媒</v>
      </c>
      <c r="G373" s="184" t="str">
        <f ca="1">[1]!s_info_industry_sw(E373,2)</f>
        <v>文化传媒</v>
      </c>
      <c r="H373" s="184" t="str">
        <f ca="1">[1]!s_info_industry_sw(E373,3)</f>
        <v>有线电视网络</v>
      </c>
      <c r="I373" s="192" t="str">
        <f ca="1">[1]!s_info_majorproducttype(E373)</f>
        <v>有线电视网</v>
      </c>
      <c r="J373" s="189">
        <f ca="1">[1]!s_val_ev(E373,$B$2,100000000)</f>
        <v>37.410111679500005</v>
      </c>
      <c r="K373" s="193">
        <f ca="1">[1]!s_share_total(E373,$B$2,100000000)</f>
        <v>9.8189269499999998</v>
      </c>
      <c r="L373" s="193">
        <f ca="1">[1]!s_share_liqa(E373,$B$2,100000000)</f>
        <v>9.8183799</v>
      </c>
      <c r="M373" s="186">
        <f ca="1">[1]!s_fa_gr_ttm2(E373,$C$3,100000000)</f>
        <v>23.742614735300002</v>
      </c>
      <c r="N373" s="187">
        <f ca="1">[1]!s_fa_netprofit_ttm2(E373,$C$3,100000000)</f>
        <v>-1.2127134475000001</v>
      </c>
      <c r="O373" s="186"/>
      <c r="P373" s="187">
        <f ca="1">[1]!s_val_pe_ttm(E373,[1]!td($B$2-1))</f>
        <v>-4.9578895568847656</v>
      </c>
      <c r="Q373" s="187">
        <f ca="1">[1]!i_val_pe_percentile(E373,[1]!td($B$2-1),$B$2-365*5,[1]!td($B$2-1))</f>
        <v>0</v>
      </c>
      <c r="R373" s="187">
        <f ca="1">[1]!pb_mrq(E373,[1]!td($B$2-1))</f>
        <v>0.6462657347650218</v>
      </c>
      <c r="S373" s="187">
        <f ca="1">[1]!i_val_pb_percentile(E373,[1]!td($B$2-1),$B$2-365*5,[1]!td($B$2-1))</f>
        <v>8.0043859649122808</v>
      </c>
      <c r="T373" s="187">
        <f ca="1">[1]!s_val_pe_ttm([1]!to_windcode_index(H373&amp;"(申万)"),[1]!td($B$2-1))</f>
        <v>39.900001525878906</v>
      </c>
      <c r="U373" s="186"/>
      <c r="V373" s="186">
        <f ca="1">[1]!s_fa_roe(E373,$C$3)</f>
        <v>-1.0947</v>
      </c>
      <c r="W373" s="186">
        <f ca="1">[1]!s_fa_grossprofitmargin(E373,$C$3)</f>
        <v>28.450500000000002</v>
      </c>
      <c r="X373" s="186">
        <f ca="1">[1]!s_fa_netprofitmargin(E373,$C$3)</f>
        <v>-4.0143000000000004</v>
      </c>
      <c r="Y373" s="186">
        <f ca="1">[1]!s_fa_roic(E373,$C$3)</f>
        <v>-0.45650000000000002</v>
      </c>
      <c r="Z373" s="186">
        <f ca="1">[1]!s_fa_operateincometoebt_ttm2(E373,$C$3)</f>
        <v>0</v>
      </c>
      <c r="AA373" s="186"/>
      <c r="AB373" s="342"/>
      <c r="AC373" s="186">
        <f ca="1">[1]!s_fa_cagr_tr($E373,AC$6,3)</f>
        <v>0</v>
      </c>
      <c r="AD373" s="186">
        <f ca="1">[1]!s_fa_cagr_tr($E373,AD$6,3)</f>
        <v>-3.0078364009343161</v>
      </c>
      <c r="AE373" s="187">
        <f ca="1">[1]!s_fa_cagr_tr($E373,AE$6,3)</f>
        <v>1.8773456130953381</v>
      </c>
      <c r="AF373" s="187">
        <f ca="1">[1]!s_fa_cagr_tr($E373,AF$6,3)</f>
        <v>4.5006429146622562</v>
      </c>
      <c r="AG373" s="187">
        <f ca="1">[1]!s_fa_cagr_tr($E373,AG$6,3)</f>
        <v>13.611620059076479</v>
      </c>
      <c r="AH373" s="187">
        <f ca="1">[1]!s_fa_cagr_tr($E373,AH$6,3)</f>
        <v>29.103990915243383</v>
      </c>
      <c r="AI373" s="194"/>
      <c r="AJ373" s="187">
        <f ca="1">[1]!s_fa_cagr_netprofit($E373,AJ$6,3)</f>
        <v>0</v>
      </c>
      <c r="AK373" s="187">
        <f ca="1">[1]!s_fa_cagr_netprofit($E373,AK$6,3)</f>
        <v>-227.21539246950692</v>
      </c>
      <c r="AL373" s="187">
        <f ca="1">[1]!s_fa_cagr_netprofit($E373,AL$6,3)</f>
        <v>-30.246271808450011</v>
      </c>
      <c r="AM373" s="187">
        <f ca="1">[1]!s_fa_cagr_netprofit($E373,AM$6,3)</f>
        <v>-21.018748245368137</v>
      </c>
      <c r="AN373" s="187">
        <f ca="1">[1]!s_fa_cagr_netprofit($E373,AN$6,3)</f>
        <v>11.018263572573851</v>
      </c>
      <c r="AO373" s="187">
        <f ca="1">[1]!s_fa_cagr_netprofit($E373,AO$6,3)</f>
        <v>18.144114724791983</v>
      </c>
      <c r="AP373" s="189"/>
      <c r="AQ373" s="202">
        <f ca="1">[1]!s_fa_dupont_roe(E373,$C$3)</f>
        <v>-1.0947</v>
      </c>
      <c r="AR373" s="202">
        <f ca="1">[1]!s_fa_dupont_nptosales(B373,$C$3)</f>
        <v>-4.0143000000000004</v>
      </c>
      <c r="AS373" s="237">
        <f ca="1">[1]!s_fa_dupont_faturnover(E373,$C$3)</f>
        <v>0.1348</v>
      </c>
      <c r="AT373" s="202">
        <f ca="1">[1]!s_fa_dupont_assetstoequity(E373,$C$3)</f>
        <v>1.7663</v>
      </c>
      <c r="AU373" s="189"/>
      <c r="AV373" s="189"/>
      <c r="AW373" s="189"/>
      <c r="AX373" s="189"/>
      <c r="AY373" s="189"/>
      <c r="AZ373" s="189"/>
      <c r="BA373" s="189"/>
      <c r="BB373" s="189"/>
      <c r="BC373" s="189"/>
      <c r="BD373" s="189"/>
      <c r="BE373" s="189"/>
    </row>
    <row r="374" spans="1:57" s="130" customFormat="1" ht="12" customHeight="1" x14ac:dyDescent="0.35">
      <c r="A374" s="121" t="s">
        <v>396</v>
      </c>
      <c r="B374" s="121" t="s">
        <v>513</v>
      </c>
      <c r="C374" s="121" t="s">
        <v>514</v>
      </c>
      <c r="D374" s="121" t="str">
        <f ca="1">[1]!cb_info_underlyingname(B374)</f>
        <v>中国石油</v>
      </c>
      <c r="E374" s="122" t="str">
        <f ca="1">[1]!cb_info_underlyingcode(B374)</f>
        <v>601857.SH</v>
      </c>
      <c r="F374" s="123" t="str">
        <f ca="1">[1]!s_info_industry_sw(B374,1)</f>
        <v>采掘</v>
      </c>
      <c r="G374" s="123" t="str">
        <f ca="1">[1]!s_info_industry_sw(E374,2)</f>
        <v>石油开采Ⅱ</v>
      </c>
      <c r="H374" s="123" t="str">
        <f ca="1">[1]!s_info_industry_sw(E374,3)</f>
        <v>石油开采Ⅲ</v>
      </c>
      <c r="I374" s="156" t="str">
        <f ca="1">[1]!s_info_majorproducttype(E374)</f>
        <v>成品油、氮肥、复合(混)肥、高分子聚合物、加油站、勘探采油设备及配件、溶剂油、润滑油、塑料包装制品、天然气勘探与生产、液化气、有机化工原料、原油勘探与生产、钻井设备及配件</v>
      </c>
      <c r="J374" s="129">
        <f ca="1">[1]!s_val_ev(E374,$B$2,100000000)</f>
        <v>8926.6873210859994</v>
      </c>
      <c r="K374" s="157">
        <f ca="1">[1]!s_share_total(E374,$B$2,100000000)</f>
        <v>1830.2097781800003</v>
      </c>
      <c r="L374" s="157">
        <f ca="1">[1]!s_share_liqa(E374,$B$2,100000000)</f>
        <v>1619.22077818</v>
      </c>
      <c r="M374" s="125">
        <f ca="1">[1]!s_fa_gr_ttm2(E374,$C$3,100000000)</f>
        <v>21285.78</v>
      </c>
      <c r="N374" s="126">
        <f ca="1">[1]!s_fa_netprofit_ttm2(E374,$C$3,100000000)</f>
        <v>184.59</v>
      </c>
      <c r="O374" s="125"/>
      <c r="P374" s="126">
        <f ca="1">[1]!s_val_pe_ttm(E374,[1]!td($B$2-1))</f>
        <v>9.2027130126953125</v>
      </c>
      <c r="Q374" s="126">
        <f ca="1">[1]!i_val_pe_percentile(E374,[1]!td($B$2-1),$B$2-365*5,[1]!td($B$2-1))</f>
        <v>0.62464508801817142</v>
      </c>
      <c r="R374" s="126">
        <f ca="1">[1]!pb_mrq(E374,[1]!td($B$2-1))</f>
        <v>0.75008177997785463</v>
      </c>
      <c r="S374" s="126">
        <f ca="1">[1]!i_val_pb_percentile(E374,[1]!td($B$2-1),$B$2-365*5,[1]!td($B$2-1))</f>
        <v>28.07017543859649</v>
      </c>
      <c r="T374" s="126">
        <f ca="1">[1]!s_val_pe_ttm([1]!to_windcode_index(H374&amp;"(申万)"),[1]!td($B$2-1))</f>
        <v>11.670000076293945</v>
      </c>
      <c r="U374" s="126"/>
      <c r="V374" s="126">
        <f ca="1">[1]!s_fa_roe(E374,$C$3)</f>
        <v>0.8246</v>
      </c>
      <c r="W374" s="126">
        <f ca="1">[1]!s_fa_grossprofitmargin(E374,$C$3)</f>
        <v>18.4011</v>
      </c>
      <c r="X374" s="126">
        <f ca="1">[1]!s_fa_netprofitmargin(E374,$C$3)</f>
        <v>1.4497</v>
      </c>
      <c r="Y374" s="126">
        <f ca="1">[1]!s_fa_roic(E374,$C$3)</f>
        <v>1.6105</v>
      </c>
      <c r="Z374" s="126">
        <f ca="1">[1]!s_fa_operateincometoebt_ttm2(E374,$C$3)</f>
        <v>17.7165</v>
      </c>
      <c r="AA374" s="125"/>
      <c r="AB374" s="343"/>
      <c r="AC374" s="125">
        <f ca="1">[1]!s_fa_cagr_tr($E374,AC$6,3)</f>
        <v>0</v>
      </c>
      <c r="AD374" s="125">
        <f ca="1">[1]!s_fa_cagr_tr($E374,AD$6,3)</f>
        <v>-1.3756236259998222</v>
      </c>
      <c r="AE374" s="126">
        <f ca="1">[1]!s_fa_cagr_tr($E374,AE$6,3)</f>
        <v>15.892541780452984</v>
      </c>
      <c r="AF374" s="126">
        <f ca="1">[1]!s_fa_cagr_tr($E374,AF$6,3)</f>
        <v>10.903316385636774</v>
      </c>
      <c r="AG374" s="126">
        <f ca="1">[1]!s_fa_cagr_tr($E374,AG$6,3)</f>
        <v>-4.0622823110203825</v>
      </c>
      <c r="AH374" s="126">
        <f ca="1">[1]!s_fa_cagr_tr($E374,AH$6,3)</f>
        <v>-10.536601199744455</v>
      </c>
      <c r="AI374" s="169"/>
      <c r="AJ374" s="126">
        <f ca="1">[1]!s_fa_cagr_netprofit($E374,AJ$6,3)</f>
        <v>0</v>
      </c>
      <c r="AK374" s="126">
        <f ca="1">[1]!s_fa_cagr_netprofit($E374,AK$6,3)</f>
        <v>-5.8834625516751116</v>
      </c>
      <c r="AL374" s="126">
        <f ca="1">[1]!s_fa_cagr_netprofit($E374,AL$6,3)</f>
        <v>79.483071772843488</v>
      </c>
      <c r="AM374" s="126">
        <f ca="1">[1]!s_fa_cagr_netprofit($E374,AM$6,3)</f>
        <v>13.829614842901329</v>
      </c>
      <c r="AN374" s="126">
        <f ca="1">[1]!s_fa_cagr_netprofit($E374,AN$6,3)</f>
        <v>-40.309479272952146</v>
      </c>
      <c r="AO374" s="126">
        <f ca="1">[1]!s_fa_cagr_netprofit($E374,AO$6,3)</f>
        <v>-60.641996789047049</v>
      </c>
      <c r="AP374" s="129"/>
      <c r="AQ374" s="203">
        <f ca="1">[1]!s_fa_dupont_roe(E374,$C$3)</f>
        <v>0.8246</v>
      </c>
      <c r="AR374" s="203">
        <f ca="1">[1]!s_fa_dupont_nptosales(B374,$C$3)</f>
        <v>1.4764999999999999</v>
      </c>
      <c r="AS374" s="238">
        <f ca="1">[1]!s_fa_dupont_faturnover(E374,$C$3)</f>
        <v>0.53820000000000001</v>
      </c>
      <c r="AT374" s="203">
        <f ca="1">[1]!s_fa_dupont_assetstoequity(E374,$C$3)</f>
        <v>2.1713</v>
      </c>
      <c r="AU374" s="129"/>
      <c r="AV374" s="129"/>
      <c r="AW374" s="129"/>
      <c r="AX374" s="129"/>
      <c r="AY374" s="129"/>
      <c r="AZ374" s="129"/>
      <c r="BA374" s="129"/>
      <c r="BB374" s="129"/>
      <c r="BC374" s="129"/>
      <c r="BD374" s="129"/>
      <c r="BE374" s="129"/>
    </row>
    <row r="375" spans="1:57" s="191" customFormat="1" ht="12" customHeight="1" x14ac:dyDescent="0.35">
      <c r="A375" s="182" t="s">
        <v>396</v>
      </c>
      <c r="B375" s="182" t="s">
        <v>501</v>
      </c>
      <c r="C375" s="182" t="s">
        <v>502</v>
      </c>
      <c r="D375" s="182" t="str">
        <f ca="1">[1]!cb_info_underlyingname(B375)</f>
        <v>中国石油</v>
      </c>
      <c r="E375" s="183" t="str">
        <f ca="1">[1]!cb_info_underlyingcode(B375)</f>
        <v>601857.SH</v>
      </c>
      <c r="F375" s="184" t="str">
        <f ca="1">[1]!s_info_industry_sw(B375,1)</f>
        <v>采掘</v>
      </c>
      <c r="G375" s="184" t="str">
        <f ca="1">[1]!s_info_industry_sw(E375,2)</f>
        <v>石油开采Ⅱ</v>
      </c>
      <c r="H375" s="184" t="str">
        <f ca="1">[1]!s_info_industry_sw(E375,3)</f>
        <v>石油开采Ⅲ</v>
      </c>
      <c r="I375" s="192" t="str">
        <f ca="1">[1]!s_info_majorproducttype(E375)</f>
        <v>成品油、氮肥、复合(混)肥、高分子聚合物、加油站、勘探采油设备及配件、溶剂油、润滑油、塑料包装制品、天然气勘探与生产、液化气、有机化工原料、原油勘探与生产、钻井设备及配件</v>
      </c>
      <c r="J375" s="189">
        <f ca="1">[1]!s_val_ev(E375,$B$2,100000000)</f>
        <v>8926.6873210859994</v>
      </c>
      <c r="K375" s="193">
        <f ca="1">[1]!s_share_total(E375,$B$2,100000000)</f>
        <v>1830.2097781800003</v>
      </c>
      <c r="L375" s="193">
        <f ca="1">[1]!s_share_liqa(E375,$B$2,100000000)</f>
        <v>1619.22077818</v>
      </c>
      <c r="M375" s="186">
        <f ca="1">[1]!s_fa_gr_ttm2(E375,$C$3,100000000)</f>
        <v>21285.78</v>
      </c>
      <c r="N375" s="187">
        <f ca="1">[1]!s_fa_netprofit_ttm2(E375,$C$3,100000000)</f>
        <v>184.59</v>
      </c>
      <c r="O375" s="186"/>
      <c r="P375" s="187">
        <f ca="1">[1]!s_val_pe_ttm(E375,[1]!td($B$2-1))</f>
        <v>9.2027130126953125</v>
      </c>
      <c r="Q375" s="187">
        <f ca="1">[1]!i_val_pe_percentile(E375,[1]!td($B$2-1),$B$2-365*5,[1]!td($B$2-1))</f>
        <v>0.62464508801817142</v>
      </c>
      <c r="R375" s="187">
        <f ca="1">[1]!pb_mrq(E375,[1]!td($B$2-1))</f>
        <v>0.75008177997785463</v>
      </c>
      <c r="S375" s="187">
        <f ca="1">[1]!i_val_pb_percentile(E375,[1]!td($B$2-1),$B$2-365*5,[1]!td($B$2-1))</f>
        <v>28.07017543859649</v>
      </c>
      <c r="T375" s="187">
        <f ca="1">[1]!s_val_pe_ttm([1]!to_windcode_index(H375&amp;"(申万)"),[1]!td($B$2-1))</f>
        <v>11.670000076293945</v>
      </c>
      <c r="U375" s="187"/>
      <c r="V375" s="187">
        <f ca="1">[1]!s_fa_roe(E375,$C$3)</f>
        <v>0.8246</v>
      </c>
      <c r="W375" s="187">
        <f ca="1">[1]!s_fa_grossprofitmargin(E375,$C$3)</f>
        <v>18.4011</v>
      </c>
      <c r="X375" s="187">
        <f ca="1">[1]!s_fa_netprofitmargin(E375,$C$3)</f>
        <v>1.4497</v>
      </c>
      <c r="Y375" s="187">
        <f ca="1">[1]!s_fa_roic(E375,$C$3)</f>
        <v>1.6105</v>
      </c>
      <c r="Z375" s="187">
        <f ca="1">[1]!s_fa_operateincometoebt_ttm2(E375,$C$3)</f>
        <v>17.7165</v>
      </c>
      <c r="AA375" s="186"/>
      <c r="AB375" s="342"/>
      <c r="AC375" s="186">
        <f ca="1">[1]!s_fa_cagr_tr($E375,AC$6,3)</f>
        <v>0</v>
      </c>
      <c r="AD375" s="186">
        <f ca="1">[1]!s_fa_cagr_tr($E375,AD$6,3)</f>
        <v>-1.3756236259998222</v>
      </c>
      <c r="AE375" s="187">
        <f ca="1">[1]!s_fa_cagr_tr($E375,AE$6,3)</f>
        <v>15.892541780452984</v>
      </c>
      <c r="AF375" s="187">
        <f ca="1">[1]!s_fa_cagr_tr($E375,AF$6,3)</f>
        <v>10.903316385636774</v>
      </c>
      <c r="AG375" s="187">
        <f ca="1">[1]!s_fa_cagr_tr($E375,AG$6,3)</f>
        <v>-4.0622823110203825</v>
      </c>
      <c r="AH375" s="187">
        <f ca="1">[1]!s_fa_cagr_tr($E375,AH$6,3)</f>
        <v>-10.536601199744455</v>
      </c>
      <c r="AI375" s="194"/>
      <c r="AJ375" s="187">
        <f ca="1">[1]!s_fa_cagr_netprofit($E375,AJ$6,3)</f>
        <v>0</v>
      </c>
      <c r="AK375" s="187">
        <f ca="1">[1]!s_fa_cagr_netprofit($E375,AK$6,3)</f>
        <v>-5.8834625516751116</v>
      </c>
      <c r="AL375" s="187">
        <f ca="1">[1]!s_fa_cagr_netprofit($E375,AL$6,3)</f>
        <v>79.483071772843488</v>
      </c>
      <c r="AM375" s="187">
        <f ca="1">[1]!s_fa_cagr_netprofit($E375,AM$6,3)</f>
        <v>13.829614842901329</v>
      </c>
      <c r="AN375" s="187">
        <f ca="1">[1]!s_fa_cagr_netprofit($E375,AN$6,3)</f>
        <v>-40.309479272952146</v>
      </c>
      <c r="AO375" s="187">
        <f ca="1">[1]!s_fa_cagr_netprofit($E375,AO$6,3)</f>
        <v>-60.641996789047049</v>
      </c>
      <c r="AP375" s="189"/>
      <c r="AQ375" s="202">
        <f ca="1">[1]!s_fa_dupont_roe(E375,$C$3)</f>
        <v>0.8246</v>
      </c>
      <c r="AR375" s="202">
        <f ca="1">[1]!s_fa_dupont_nptosales(B375,$C$3)</f>
        <v>1.4764999999999999</v>
      </c>
      <c r="AS375" s="237">
        <f ca="1">[1]!s_fa_dupont_faturnover(E375,$C$3)</f>
        <v>0.53820000000000001</v>
      </c>
      <c r="AT375" s="202">
        <f ca="1">[1]!s_fa_dupont_assetstoequity(E375,$C$3)</f>
        <v>2.1713</v>
      </c>
      <c r="AU375" s="189"/>
      <c r="AV375" s="201"/>
      <c r="AW375" s="189"/>
      <c r="AX375" s="189"/>
      <c r="AY375" s="189"/>
      <c r="AZ375" s="189"/>
      <c r="BA375" s="189"/>
      <c r="BB375" s="189"/>
      <c r="BC375" s="189"/>
      <c r="BD375" s="189"/>
      <c r="BE375" s="189"/>
    </row>
    <row r="376" spans="1:57" s="130" customFormat="1" ht="12" customHeight="1" x14ac:dyDescent="0.35">
      <c r="A376" s="121" t="s">
        <v>0</v>
      </c>
      <c r="B376" s="121" t="s">
        <v>228</v>
      </c>
      <c r="C376" s="121" t="s">
        <v>229</v>
      </c>
      <c r="D376" s="121" t="str">
        <f ca="1">[1]!cb_info_underlyingname(B376)</f>
        <v>淮北矿业</v>
      </c>
      <c r="E376" s="122" t="str">
        <f ca="1">[1]!cb_info_underlyingcode(B376)</f>
        <v>600985.SH</v>
      </c>
      <c r="F376" s="123" t="str">
        <f ca="1">[1]!s_info_industry_sw(B376,1)</f>
        <v>采掘</v>
      </c>
      <c r="G376" s="123" t="str">
        <f ca="1">[1]!s_info_industry_sw(E376,2)</f>
        <v>煤炭开采Ⅱ</v>
      </c>
      <c r="H376" s="123" t="str">
        <f ca="1">[1]!s_info_industry_sw(E376,3)</f>
        <v>煤炭开采Ⅲ</v>
      </c>
      <c r="I376" s="156" t="str">
        <f ca="1">[1]!s_info_majorproducttype(E376)</f>
        <v>化学矿、火工产品、煤制品、箱板纸、原煤</v>
      </c>
      <c r="J376" s="129">
        <f ca="1">[1]!s_val_ev(E376,$B$2,100000000)</f>
        <v>414.82920666000001</v>
      </c>
      <c r="K376" s="157">
        <f ca="1">[1]!s_share_total(E376,$B$2,100000000)</f>
        <v>24.810359250000001</v>
      </c>
      <c r="L376" s="157">
        <f ca="1">[1]!s_share_liqa(E376,$B$2,100000000)</f>
        <v>9.5870404600000008</v>
      </c>
      <c r="M376" s="125">
        <f ca="1">[1]!s_fa_gr_ttm2(E376,$C$3,100000000)</f>
        <v>522.75791313949992</v>
      </c>
      <c r="N376" s="126">
        <f ca="1">[1]!s_fa_netprofit_ttm2(E376,$C$3,100000000)</f>
        <v>35.686764970200002</v>
      </c>
      <c r="O376" s="125"/>
      <c r="P376" s="126">
        <f ca="1">[1]!s_val_pe_ttm(E376,[1]!td($B$2-1))</f>
        <v>9.5882940292358398</v>
      </c>
      <c r="Q376" s="126">
        <f ca="1">[1]!i_val_pe_percentile(E376,[1]!td($B$2-1),$B$2-365*5,[1]!td($B$2-1))</f>
        <v>55.317982456140349</v>
      </c>
      <c r="R376" s="126">
        <f ca="1">[1]!pb_mrq(E376,[1]!td($B$2-1))</f>
        <v>1.6399581479535132</v>
      </c>
      <c r="S376" s="126">
        <f ca="1">[1]!i_val_pb_percentile(E376,[1]!td($B$2-1),$B$2-365*5,[1]!td($B$2-1))</f>
        <v>59.320175438596493</v>
      </c>
      <c r="T376" s="126">
        <f ca="1">[1]!s_val_pe_ttm([1]!to_windcode_index(H376&amp;"(申万)"),[1]!td($B$2-1))</f>
        <v>12.229999542236328</v>
      </c>
      <c r="U376" s="126"/>
      <c r="V376" s="126">
        <f ca="1">[1]!s_fa_roe(E376,$C$3)</f>
        <v>13.869199999999999</v>
      </c>
      <c r="W376" s="126">
        <f ca="1">[1]!s_fa_grossprofitmargin(E376,$C$3)</f>
        <v>18.5261</v>
      </c>
      <c r="X376" s="126">
        <f ca="1">[1]!s_fa_netprofitmargin(E376,$C$3)</f>
        <v>7.4417</v>
      </c>
      <c r="Y376" s="126">
        <f ca="1">[1]!s_fa_roic(E376,$C$3)</f>
        <v>7.4343000000000004</v>
      </c>
      <c r="Z376" s="126">
        <f ca="1">[1]!s_fa_operateincometoebt_ttm2(E376,$C$3)</f>
        <v>82.546800000000005</v>
      </c>
      <c r="AA376" s="125"/>
      <c r="AB376" s="343"/>
      <c r="AC376" s="125">
        <f ca="1">[1]!s_fa_cagr_tr($E376,AC$6,3)</f>
        <v>0</v>
      </c>
      <c r="AD376" s="125">
        <f ca="1">[1]!s_fa_cagr_tr($E376,AD$6,3)</f>
        <v>279.7206883368176</v>
      </c>
      <c r="AE376" s="126">
        <f ca="1">[1]!s_fa_cagr_tr($E376,AE$6,3)</f>
        <v>315.79696905454352</v>
      </c>
      <c r="AF376" s="126">
        <f ca="1">[1]!s_fa_cagr_tr($E376,AF$6,3)</f>
        <v>292.53845695096857</v>
      </c>
      <c r="AG376" s="126">
        <f ca="1">[1]!s_fa_cagr_tr($E376,AG$6,3)</f>
        <v>-1.0664199060527291</v>
      </c>
      <c r="AH376" s="126">
        <f ca="1">[1]!s_fa_cagr_tr($E376,AH$6,3)</f>
        <v>-3.8358781101990647</v>
      </c>
      <c r="AI376" s="169"/>
      <c r="AJ376" s="126">
        <f ca="1">[1]!s_fa_cagr_netprofit($E376,AJ$6,3)</f>
        <v>0</v>
      </c>
      <c r="AK376" s="126">
        <f ca="1">[1]!s_fa_cagr_netprofit($E376,AK$6,3)</f>
        <v>207.84242953519998</v>
      </c>
      <c r="AL376" s="126">
        <f ca="1">[1]!s_fa_cagr_netprofit($E376,AL$6,3)</f>
        <v>242.80478357499337</v>
      </c>
      <c r="AM376" s="126">
        <f ca="1">[1]!s_fa_cagr_netprofit($E376,AM$6,3)</f>
        <v>212.57383234256952</v>
      </c>
      <c r="AN376" s="126">
        <f ca="1">[1]!s_fa_cagr_netprofit($E376,AN$6,3)</f>
        <v>6.6643626117157906</v>
      </c>
      <c r="AO376" s="126">
        <f ca="1">[1]!s_fa_cagr_netprofit($E376,AO$6,3)</f>
        <v>2.9463594319676156</v>
      </c>
      <c r="AP376" s="129"/>
      <c r="AQ376" s="203">
        <f ca="1">[1]!s_fa_dupont_roe(E376,$C$3)</f>
        <v>13.869199999999999</v>
      </c>
      <c r="AR376" s="203">
        <f ca="1">[1]!s_fa_dupont_nptosales(B376,$C$3)</f>
        <v>7.4244000000000003</v>
      </c>
      <c r="AS376" s="238">
        <f ca="1">[1]!s_fa_dupont_faturnover(E376,$C$3)</f>
        <v>0.58930000000000005</v>
      </c>
      <c r="AT376" s="203">
        <f ca="1">[1]!s_fa_dupont_assetstoequity(E376,$C$3)</f>
        <v>3.2614999999999998</v>
      </c>
      <c r="AU376" s="129"/>
      <c r="AV376" s="129"/>
      <c r="AW376" s="129"/>
      <c r="AX376" s="129"/>
      <c r="AY376" s="129"/>
      <c r="AZ376" s="129"/>
      <c r="BA376" s="129"/>
      <c r="BB376" s="129"/>
      <c r="BC376" s="129"/>
      <c r="BD376" s="129"/>
      <c r="BE376" s="129"/>
    </row>
    <row r="377" spans="1:57" s="191" customFormat="1" ht="12" customHeight="1" x14ac:dyDescent="0.35">
      <c r="A377" s="182" t="s">
        <v>396</v>
      </c>
      <c r="B377" s="182" t="s">
        <v>521</v>
      </c>
      <c r="C377" s="182" t="s">
        <v>522</v>
      </c>
      <c r="D377" s="182" t="str">
        <f ca="1">[1]!cb_info_underlyingname(B377)</f>
        <v>新钢股份</v>
      </c>
      <c r="E377" s="183" t="str">
        <f ca="1">[1]!cb_info_underlyingcode(B377)</f>
        <v>600782.SH</v>
      </c>
      <c r="F377" s="184" t="str">
        <f ca="1">[1]!s_info_industry_sw(B377,1)</f>
        <v>采掘</v>
      </c>
      <c r="G377" s="184" t="str">
        <f ca="1">[1]!s_info_industry_sw(E377,2)</f>
        <v>钢铁Ⅱ</v>
      </c>
      <c r="H377" s="184" t="str">
        <f ca="1">[1]!s_info_industry_sw(E377,3)</f>
        <v>普钢</v>
      </c>
      <c r="I377" s="192" t="str">
        <f ca="1">[1]!s_info_majorproducttype(E377)</f>
        <v>钢板类、钢丝类、铝加工材、型钢类</v>
      </c>
      <c r="J377" s="189">
        <f ca="1">[1]!s_val_ev(E377,$B$2,100000000)</f>
        <v>312.81369647760005</v>
      </c>
      <c r="K377" s="193">
        <f ca="1">[1]!s_share_total(E377,$B$2,100000000)</f>
        <v>31.88722696</v>
      </c>
      <c r="L377" s="193">
        <f ca="1">[1]!s_share_liqa(E377,$B$2,100000000)</f>
        <v>31.88722696</v>
      </c>
      <c r="M377" s="186">
        <f ca="1">[1]!s_fa_gr_ttm2(E377,$C$3,100000000)</f>
        <v>685.06692161069998</v>
      </c>
      <c r="N377" s="187">
        <f ca="1">[1]!s_fa_netprofit_ttm2(E377,$C$3,100000000)</f>
        <v>26.540385408500001</v>
      </c>
      <c r="O377" s="186"/>
      <c r="P377" s="187">
        <f ca="1">[1]!s_val_pe_ttm(E377,[1]!td($B$2-1))</f>
        <v>7.7982325553894043</v>
      </c>
      <c r="Q377" s="187">
        <f ca="1">[1]!i_val_pe_percentile(E377,[1]!td($B$2-1),$B$2-365*5,[1]!td($B$2-1))</f>
        <v>67.214912280701753</v>
      </c>
      <c r="R377" s="187">
        <f ca="1">[1]!pb_mrq(E377,[1]!td($B$2-1))</f>
        <v>1.2531319410056716</v>
      </c>
      <c r="S377" s="187">
        <f ca="1">[1]!i_val_pb_percentile(E377,[1]!td($B$2-1),$B$2-365*5,[1]!td($B$2-1))</f>
        <v>72.203947368421055</v>
      </c>
      <c r="T377" s="187">
        <f ca="1">[1]!s_val_pe_ttm([1]!to_windcode_index(H377&amp;"(申万)"),[1]!td($B$2-1))</f>
        <v>10.590000152587891</v>
      </c>
      <c r="U377" s="186"/>
      <c r="V377" s="186">
        <f ca="1">[1]!s_fa_roe(E377,$C$3)</f>
        <v>8.4986999999999995</v>
      </c>
      <c r="W377" s="186">
        <f ca="1">[1]!s_fa_grossprofitmargin(E377,$C$3)</f>
        <v>5.6870000000000003</v>
      </c>
      <c r="X377" s="186">
        <f ca="1">[1]!s_fa_netprofitmargin(E377,$C$3)</f>
        <v>3.6913999999999998</v>
      </c>
      <c r="Y377" s="186">
        <f ca="1">[1]!s_fa_roic(E377,$C$3)</f>
        <v>7.3536999999999999</v>
      </c>
      <c r="Z377" s="186">
        <f ca="1">[1]!s_fa_operateincometoebt_ttm2(E377,$C$3)</f>
        <v>77.302400000000006</v>
      </c>
      <c r="AA377" s="186"/>
      <c r="AB377" s="342"/>
      <c r="AC377" s="186">
        <f ca="1">[1]!s_fa_cagr_tr($E377,AC$6,3)</f>
        <v>0</v>
      </c>
      <c r="AD377" s="186">
        <f ca="1">[1]!s_fa_cagr_tr($E377,AD$6,3)</f>
        <v>13.164163965614106</v>
      </c>
      <c r="AE377" s="187">
        <f ca="1">[1]!s_fa_cagr_tr($E377,AE$6,3)</f>
        <v>23.875294694497072</v>
      </c>
      <c r="AF377" s="187">
        <f ca="1">[1]!s_fa_cagr_tr($E377,AF$6,3)</f>
        <v>30.944053126647365</v>
      </c>
      <c r="AG377" s="187">
        <f ca="1">[1]!s_fa_cagr_tr($E377,AG$6,3)</f>
        <v>15.570125018076887</v>
      </c>
      <c r="AH377" s="187">
        <f ca="1">[1]!s_fa_cagr_tr($E377,AH$6,3)</f>
        <v>-3.3220311404321134</v>
      </c>
      <c r="AI377" s="194"/>
      <c r="AJ377" s="187">
        <f ca="1">[1]!s_fa_cagr_netprofit($E377,AJ$6,3)</f>
        <v>0</v>
      </c>
      <c r="AK377" s="187">
        <f ca="1">[1]!s_fa_cagr_netprofit($E377,AK$6,3)</f>
        <v>-4.6072343758799539</v>
      </c>
      <c r="AL377" s="187">
        <f ca="1">[1]!s_fa_cagr_netprofit($E377,AL$6,3)</f>
        <v>89.344091465846162</v>
      </c>
      <c r="AM377" s="187">
        <f ca="1">[1]!s_fa_cagr_netprofit($E377,AM$6,3)</f>
        <v>360.27291975868854</v>
      </c>
      <c r="AN377" s="187">
        <f ca="1">[1]!s_fa_cagr_netprofit($E377,AN$6,3)</f>
        <v>97.070095111388682</v>
      </c>
      <c r="AO377" s="187">
        <f ca="1">[1]!s_fa_cagr_netprofit($E377,AO$6,3)</f>
        <v>66.174687533293735</v>
      </c>
      <c r="AP377" s="189"/>
      <c r="AQ377" s="202">
        <f ca="1">[1]!s_fa_dupont_roe(E377,$C$3)</f>
        <v>8.4986999999999995</v>
      </c>
      <c r="AR377" s="202">
        <f ca="1">[1]!s_fa_dupont_nptosales(B377,$C$3)</f>
        <v>3.3881999999999999</v>
      </c>
      <c r="AS377" s="237">
        <f ca="1">[1]!s_fa_dupont_faturnover(E377,$C$3)</f>
        <v>1.0804</v>
      </c>
      <c r="AT377" s="202">
        <f ca="1">[1]!s_fa_dupont_assetstoequity(E377,$C$3)</f>
        <v>2.1648000000000001</v>
      </c>
      <c r="AU377" s="189"/>
      <c r="AV377" s="189"/>
      <c r="AW377" s="189"/>
      <c r="AX377" s="189"/>
      <c r="AY377" s="189"/>
      <c r="AZ377" s="189"/>
      <c r="BA377" s="189"/>
      <c r="BB377" s="189"/>
      <c r="BC377" s="189"/>
      <c r="BD377" s="189"/>
      <c r="BE377" s="189"/>
    </row>
    <row r="378" spans="1:57" s="130" customFormat="1" ht="12" customHeight="1" x14ac:dyDescent="0.35">
      <c r="A378" s="121" t="s">
        <v>0</v>
      </c>
      <c r="B378" s="121" t="s">
        <v>274</v>
      </c>
      <c r="C378" s="121" t="s">
        <v>275</v>
      </c>
      <c r="D378" s="121" t="str">
        <f ca="1">[1]!cb_info_underlyingname(B378)</f>
        <v>金能科技</v>
      </c>
      <c r="E378" s="122" t="str">
        <f ca="1">[1]!cb_info_underlyingcode(B378)</f>
        <v>603113.SH</v>
      </c>
      <c r="F378" s="123" t="str">
        <f ca="1">[1]!s_info_industry_sw(B378,1)</f>
        <v>采掘</v>
      </c>
      <c r="G378" s="123" t="str">
        <f ca="1">[1]!s_info_industry_sw(E378,2)</f>
        <v>煤炭开采Ⅱ</v>
      </c>
      <c r="H378" s="123" t="str">
        <f ca="1">[1]!s_info_industry_sw(E378,3)</f>
        <v>焦炭加工</v>
      </c>
      <c r="I378" s="156" t="str">
        <f ca="1">[1]!s_info_majorproducttype(E378)</f>
        <v>化工产品经销、无机化工原料</v>
      </c>
      <c r="J378" s="129">
        <f ca="1">[1]!s_val_ev(E378,$B$2,100000000)</f>
        <v>175.61381578200002</v>
      </c>
      <c r="K378" s="157">
        <f ca="1">[1]!s_share_total(E378,$B$2,100000000)</f>
        <v>8.5208062000000009</v>
      </c>
      <c r="L378" s="157">
        <f ca="1">[1]!s_share_liqa(E378,$B$2,100000000)</f>
        <v>7.2067457599999996</v>
      </c>
      <c r="M378" s="125">
        <f ca="1">[1]!s_fa_gr_ttm2(E378,$C$3,100000000)</f>
        <v>73.342217184299997</v>
      </c>
      <c r="N378" s="126">
        <f ca="1">[1]!s_fa_netprofit_ttm2(E378,$C$3,100000000)</f>
        <v>8.1014816986000007</v>
      </c>
      <c r="O378" s="125"/>
      <c r="P378" s="126">
        <f ca="1">[1]!s_val_pe_ttm(E378,[1]!td($B$2-1))</f>
        <v>12.697821617126465</v>
      </c>
      <c r="Q378" s="126">
        <f ca="1">[1]!i_val_pe_percentile(E378,[1]!td($B$2-1),$B$2-365*5,[1]!td($B$2-1))</f>
        <v>53.860759493670884</v>
      </c>
      <c r="R378" s="126">
        <f ca="1">[1]!pb_mrq(E378,[1]!td($B$2-1))</f>
        <v>2.0756113916729642</v>
      </c>
      <c r="S378" s="126">
        <f ca="1">[1]!i_val_pb_percentile(E378,[1]!td($B$2-1),$B$2-365*5,[1]!td($B$2-1))</f>
        <v>61.645569620253163</v>
      </c>
      <c r="T378" s="126">
        <f ca="1">[1]!s_val_pe_ttm([1]!to_windcode_index(H378&amp;"(申万)"),[1]!td($B$2-1))</f>
        <v>19.059999465942383</v>
      </c>
      <c r="U378" s="126"/>
      <c r="V378" s="126">
        <f ca="1">[1]!s_fa_roe(E378,$C$3)</f>
        <v>10.3696</v>
      </c>
      <c r="W378" s="126">
        <f ca="1">[1]!s_fa_grossprofitmargin(E378,$C$3)</f>
        <v>18.6813</v>
      </c>
      <c r="X378" s="126">
        <f ca="1">[1]!s_fa_netprofitmargin(E378,$C$3)</f>
        <v>11.8813</v>
      </c>
      <c r="Y378" s="126">
        <f ca="1">[1]!s_fa_roic(E378,$C$3)</f>
        <v>8.3818000000000001</v>
      </c>
      <c r="Z378" s="126">
        <f ca="1">[1]!s_fa_operateincometoebt_ttm2(E378,$C$3)</f>
        <v>84.739900000000006</v>
      </c>
      <c r="AA378" s="125"/>
      <c r="AB378" s="343"/>
      <c r="AC378" s="125">
        <f ca="1">[1]!s_fa_cagr_tr($E378,AC$6,3)</f>
        <v>0</v>
      </c>
      <c r="AD378" s="125">
        <f ca="1">[1]!s_fa_cagr_tr($E378,AD$6,3)</f>
        <v>4.288827922458438</v>
      </c>
      <c r="AE378" s="126">
        <f ca="1">[1]!s_fa_cagr_tr($E378,AE$6,3)</f>
        <v>24.355785271350761</v>
      </c>
      <c r="AF378" s="126">
        <f ca="1">[1]!s_fa_cagr_tr($E378,AF$6,3)</f>
        <v>34.526923084128988</v>
      </c>
      <c r="AG378" s="126">
        <f ca="1">[1]!s_fa_cagr_tr($E378,AG$6,3)</f>
        <v>13.859989224035685</v>
      </c>
      <c r="AH378" s="126">
        <f ca="1">[1]!s_fa_cagr_tr($E378,AH$6,3)</f>
        <v>-5.7934464374963301</v>
      </c>
      <c r="AI378" s="169"/>
      <c r="AJ378" s="126">
        <f ca="1">[1]!s_fa_cagr_netprofit($E378,AJ$6,3)</f>
        <v>0</v>
      </c>
      <c r="AK378" s="126">
        <f ca="1">[1]!s_fa_cagr_netprofit($E378,AK$6,3)</f>
        <v>9.418296020915772</v>
      </c>
      <c r="AL378" s="126">
        <f ca="1">[1]!s_fa_cagr_netprofit($E378,AL$6,3)</f>
        <v>22.001693714770788</v>
      </c>
      <c r="AM378" s="126">
        <f ca="1">[1]!s_fa_cagr_netprofit($E378,AM$6,3)</f>
        <v>140.82858984916643</v>
      </c>
      <c r="AN378" s="126">
        <f ca="1">[1]!s_fa_cagr_netprofit($E378,AN$6,3)</f>
        <v>66.068532595144262</v>
      </c>
      <c r="AO378" s="126">
        <f ca="1">[1]!s_fa_cagr_netprofit($E378,AO$6,3)</f>
        <v>54.768935594301226</v>
      </c>
      <c r="AP378" s="129"/>
      <c r="AQ378" s="203">
        <f ca="1">[1]!s_fa_dupont_roe(E378,$C$3)</f>
        <v>10.3696</v>
      </c>
      <c r="AR378" s="203">
        <f ca="1">[1]!s_fa_dupont_nptosales(B378,$C$3)</f>
        <v>11.8813</v>
      </c>
      <c r="AS378" s="238">
        <f ca="1">[1]!s_fa_dupont_faturnover(E378,$C$3)</f>
        <v>0.57310000000000005</v>
      </c>
      <c r="AT378" s="203">
        <f ca="1">[1]!s_fa_dupont_assetstoequity(E378,$C$3)</f>
        <v>1.5227999999999999</v>
      </c>
      <c r="AU378" s="129"/>
      <c r="AV378" s="129"/>
      <c r="AW378" s="129"/>
      <c r="AX378" s="129"/>
      <c r="AY378" s="129"/>
      <c r="AZ378" s="129"/>
      <c r="BA378" s="129"/>
      <c r="BB378" s="129"/>
      <c r="BC378" s="129"/>
      <c r="BD378" s="129"/>
      <c r="BE378" s="129"/>
    </row>
    <row r="379" spans="1:57" s="191" customFormat="1" ht="12" customHeight="1" x14ac:dyDescent="0.35">
      <c r="A379" s="182" t="s">
        <v>0</v>
      </c>
      <c r="B379" s="182" t="s">
        <v>573</v>
      </c>
      <c r="C379" s="182" t="s">
        <v>574</v>
      </c>
      <c r="D379" s="182" t="str">
        <f ca="1">[1]!cb_info_underlyingname(B379)</f>
        <v>金诚信</v>
      </c>
      <c r="E379" s="183" t="str">
        <f ca="1">[1]!cb_info_underlyingcode(B379)</f>
        <v>603979.SH</v>
      </c>
      <c r="F379" s="184" t="str">
        <f ca="1">[1]!s_info_industry_sw(B379,1)</f>
        <v>采掘</v>
      </c>
      <c r="G379" s="184" t="str">
        <f ca="1">[1]!s_info_industry_sw(E379,2)</f>
        <v>采掘服务</v>
      </c>
      <c r="H379" s="184" t="str">
        <f ca="1">[1]!s_info_industry_sw(E379,3)</f>
        <v>其他采掘服务</v>
      </c>
      <c r="I379" s="192" t="str">
        <f ca="1">[1]!s_info_majorproducttype(E379)</f>
        <v>专业咨询服务</v>
      </c>
      <c r="J379" s="189">
        <f ca="1">[1]!s_val_ev(E379,$B$2,100000000)</f>
        <v>130.94454611340001</v>
      </c>
      <c r="K379" s="193">
        <f ca="1">[1]!s_share_total(E379,$B$2,100000000)</f>
        <v>5.91438781</v>
      </c>
      <c r="L379" s="193">
        <f ca="1">[1]!s_share_liqa(E379,$B$2,100000000)</f>
        <v>5.91438781</v>
      </c>
      <c r="M379" s="186">
        <f ca="1">[1]!s_fa_gr_ttm2(E379,$C$3,100000000)</f>
        <v>38.068616735500001</v>
      </c>
      <c r="N379" s="187">
        <f ca="1">[1]!s_fa_netprofit_ttm2(E379,$C$3,100000000)</f>
        <v>3.5259091111999998</v>
      </c>
      <c r="O379" s="186"/>
      <c r="P379" s="187">
        <f ca="1">[1]!s_val_pe_ttm(E379,[1]!td($B$2-1))</f>
        <v>32.200645446777344</v>
      </c>
      <c r="Q379" s="187">
        <f ca="1">[1]!i_val_pe_percentile(E379,[1]!td($B$2-1),$B$2-365*5,[1]!td($B$2-1))</f>
        <v>69.57236842105263</v>
      </c>
      <c r="R379" s="187">
        <f ca="1">[1]!pb_mrq(E379,[1]!td($B$2-1))</f>
        <v>2.7820327721211124</v>
      </c>
      <c r="S379" s="187">
        <f ca="1">[1]!i_val_pb_percentile(E379,[1]!td($B$2-1),$B$2-365*5,[1]!td($B$2-1))</f>
        <v>99.287280701754383</v>
      </c>
      <c r="T379" s="187">
        <f ca="1">[1]!s_val_pe_ttm([1]!to_windcode_index(H379&amp;"(申万)"),[1]!td($B$2-1))</f>
        <v>31.760000228881836</v>
      </c>
      <c r="U379" s="187"/>
      <c r="V379" s="187">
        <f ca="1">[1]!s_fa_roe(E379,$C$3)</f>
        <v>6.3185000000000002</v>
      </c>
      <c r="W379" s="187">
        <f ca="1">[1]!s_fa_grossprofitmargin(E379,$C$3)</f>
        <v>26.817</v>
      </c>
      <c r="X379" s="187">
        <f ca="1">[1]!s_fa_netprofitmargin(E379,$C$3)</f>
        <v>9.8297000000000008</v>
      </c>
      <c r="Y379" s="187">
        <f ca="1">[1]!s_fa_roic(E379,$C$3)</f>
        <v>5.5951000000000004</v>
      </c>
      <c r="Z379" s="187">
        <f ca="1">[1]!s_fa_operateincometoebt_ttm2(E379,$C$3)</f>
        <v>103.66930000000001</v>
      </c>
      <c r="AA379" s="186"/>
      <c r="AB379" s="342"/>
      <c r="AC379" s="186">
        <f ca="1">[1]!s_fa_cagr_tr($E379,AC$6,3)</f>
        <v>0</v>
      </c>
      <c r="AD379" s="186">
        <f ca="1">[1]!s_fa_cagr_tr($E379,AD$6,3)</f>
        <v>16.548901736629507</v>
      </c>
      <c r="AE379" s="187">
        <f ca="1">[1]!s_fa_cagr_tr($E379,AE$6,3)</f>
        <v>12.745285915167859</v>
      </c>
      <c r="AF379" s="187">
        <f ca="1">[1]!s_fa_cagr_tr($E379,AF$6,3)</f>
        <v>6.0088477880658964</v>
      </c>
      <c r="AG379" s="187">
        <f ca="1">[1]!s_fa_cagr_tr($E379,AG$6,3)</f>
        <v>-4.3267774234824312</v>
      </c>
      <c r="AH379" s="187">
        <f ca="1">[1]!s_fa_cagr_tr($E379,AH$6,3)</f>
        <v>-3.1476926041436037</v>
      </c>
      <c r="AI379" s="194"/>
      <c r="AJ379" s="187">
        <f ca="1">[1]!s_fa_cagr_netprofit($E379,AJ$6,3)</f>
        <v>0</v>
      </c>
      <c r="AK379" s="187">
        <f ca="1">[1]!s_fa_cagr_netprofit($E379,AK$6,3)</f>
        <v>21.193984466712436</v>
      </c>
      <c r="AL379" s="187">
        <f ca="1">[1]!s_fa_cagr_netprofit($E379,AL$6,3)</f>
        <v>21.953959234116738</v>
      </c>
      <c r="AM379" s="187">
        <f ca="1">[1]!s_fa_cagr_netprofit($E379,AM$6,3)</f>
        <v>12.449617182938288</v>
      </c>
      <c r="AN379" s="187">
        <f ca="1">[1]!s_fa_cagr_netprofit($E379,AN$6,3)</f>
        <v>-10.250450526100552</v>
      </c>
      <c r="AO379" s="187">
        <f ca="1">[1]!s_fa_cagr_netprofit($E379,AO$6,3)</f>
        <v>-23.782544841638575</v>
      </c>
      <c r="AP379" s="189"/>
      <c r="AQ379" s="202">
        <f ca="1">[1]!s_fa_dupont_roe(E379,$C$3)</f>
        <v>6.3185000000000002</v>
      </c>
      <c r="AR379" s="202">
        <f ca="1">[1]!s_fa_dupont_nptosales(B379,$C$3)</f>
        <v>9.8297000000000008</v>
      </c>
      <c r="AS379" s="237">
        <f ca="1">[1]!s_fa_dupont_faturnover(E379,$C$3)</f>
        <v>0.4138</v>
      </c>
      <c r="AT379" s="202">
        <f ca="1">[1]!s_fa_dupont_assetstoequity(E379,$C$3)</f>
        <v>1.5334000000000001</v>
      </c>
      <c r="AU379" s="189"/>
      <c r="AV379" s="201"/>
      <c r="AW379" s="189"/>
      <c r="AX379" s="189"/>
      <c r="AY379" s="189"/>
      <c r="AZ379" s="189"/>
      <c r="BA379" s="189"/>
      <c r="BB379" s="189"/>
      <c r="BC379" s="189"/>
      <c r="BD379" s="189"/>
      <c r="BE379" s="189"/>
    </row>
    <row r="380" spans="1:57" s="130" customFormat="1" ht="12" customHeight="1" x14ac:dyDescent="0.35">
      <c r="A380" s="121" t="s">
        <v>5</v>
      </c>
      <c r="B380" s="121" t="s">
        <v>636</v>
      </c>
      <c r="C380" s="121" t="s">
        <v>637</v>
      </c>
      <c r="D380" s="121" t="str">
        <f ca="1">[1]!cb_info_underlyingname(B380)</f>
        <v>靖远煤电</v>
      </c>
      <c r="E380" s="122" t="str">
        <f ca="1">[1]!cb_info_underlyingcode(B380)</f>
        <v>000552.SZ</v>
      </c>
      <c r="F380" s="123" t="str">
        <f ca="1">[1]!s_info_industry_sw(B380,1)</f>
        <v>采掘</v>
      </c>
      <c r="G380" s="123" t="str">
        <f ca="1">[1]!s_info_industry_sw(E380,2)</f>
        <v>煤炭开采Ⅱ</v>
      </c>
      <c r="H380" s="123" t="str">
        <f ca="1">[1]!s_info_industry_sw(E380,3)</f>
        <v>煤炭开采Ⅲ</v>
      </c>
      <c r="I380" s="156" t="str">
        <f ca="1">[1]!s_info_majorproducttype(E380)</f>
        <v>煤制品</v>
      </c>
      <c r="J380" s="129">
        <f ca="1">[1]!s_val_ev(E380,$B$2,100000000)</f>
        <v>81.187472275000005</v>
      </c>
      <c r="K380" s="157">
        <f ca="1">[1]!s_share_total(E380,$B$2,100000000)</f>
        <v>22.8697105</v>
      </c>
      <c r="L380" s="157">
        <f ca="1">[1]!s_share_liqa(E380,$B$2,100000000)</f>
        <v>22.837412619999998</v>
      </c>
      <c r="M380" s="125">
        <f ca="1">[1]!s_fa_gr_ttm2(E380,$C$3,100000000)</f>
        <v>38.7397533133</v>
      </c>
      <c r="N380" s="126">
        <f ca="1">[1]!s_fa_netprofit_ttm2(E380,$C$3,100000000)</f>
        <v>5.2314189291000002</v>
      </c>
      <c r="O380" s="125"/>
      <c r="P380" s="126">
        <f ca="1">[1]!s_val_pe_ttm(E380,[1]!td($B$2-1))</f>
        <v>17.841560363769531</v>
      </c>
      <c r="Q380" s="126">
        <f ca="1">[1]!i_val_pe_percentile(E380,[1]!td($B$2-1),$B$2-365*5,[1]!td($B$2-1))</f>
        <v>75.932017543859658</v>
      </c>
      <c r="R380" s="126">
        <f ca="1">[1]!pb_mrq(E380,[1]!td($B$2-1))</f>
        <v>1.0245459608064595</v>
      </c>
      <c r="S380" s="126">
        <f ca="1">[1]!i_val_pb_percentile(E380,[1]!td($B$2-1),$B$2-365*5,[1]!td($B$2-1))</f>
        <v>59.594298245614027</v>
      </c>
      <c r="T380" s="126">
        <f ca="1">[1]!s_val_pe_ttm([1]!to_windcode_index(H380&amp;"(申万)"),[1]!td($B$2-1))</f>
        <v>12.229999542236328</v>
      </c>
      <c r="U380" s="126"/>
      <c r="V380" s="126">
        <f ca="1">[1]!s_fa_roe(E380,$C$3)</f>
        <v>4.9185999999999996</v>
      </c>
      <c r="W380" s="126">
        <f ca="1">[1]!s_fa_grossprofitmargin(E380,$C$3)</f>
        <v>27.023499999999999</v>
      </c>
      <c r="X380" s="126">
        <f ca="1">[1]!s_fa_netprofitmargin(E380,$C$3)</f>
        <v>13.988300000000001</v>
      </c>
      <c r="Y380" s="126">
        <f ca="1">[1]!s_fa_roic(E380,$C$3)</f>
        <v>4.7625999999999999</v>
      </c>
      <c r="Z380" s="126">
        <f ca="1">[1]!s_fa_operateincometoebt_ttm2(E380,$C$3)</f>
        <v>99.0428</v>
      </c>
      <c r="AA380" s="125"/>
      <c r="AB380" s="343"/>
      <c r="AC380" s="125">
        <f ca="1">[1]!s_fa_cagr_tr($E380,AC$6,3)</f>
        <v>0</v>
      </c>
      <c r="AD380" s="125">
        <f ca="1">[1]!s_fa_cagr_tr($E380,AD$6,3)</f>
        <v>-2.5201629772830247</v>
      </c>
      <c r="AE380" s="126">
        <f ca="1">[1]!s_fa_cagr_tr($E380,AE$6,3)</f>
        <v>10.853693554226229</v>
      </c>
      <c r="AF380" s="126">
        <f ca="1">[1]!s_fa_cagr_tr($E380,AF$6,3)</f>
        <v>15.632082216133526</v>
      </c>
      <c r="AG380" s="126">
        <f ca="1">[1]!s_fa_cagr_tr($E380,AG$6,3)</f>
        <v>6.4124177149777362</v>
      </c>
      <c r="AH380" s="126">
        <f ca="1">[1]!s_fa_cagr_tr($E380,AH$6,3)</f>
        <v>-7.1874995880354735</v>
      </c>
      <c r="AI380" s="169"/>
      <c r="AJ380" s="126">
        <f ca="1">[1]!s_fa_cagr_netprofit($E380,AJ$6,3)</f>
        <v>0</v>
      </c>
      <c r="AK380" s="126">
        <f ca="1">[1]!s_fa_cagr_netprofit($E380,AK$6,3)</f>
        <v>-6.938493864658291</v>
      </c>
      <c r="AL380" s="126">
        <f ca="1">[1]!s_fa_cagr_netprofit($E380,AL$6,3)</f>
        <v>33.264416070845606</v>
      </c>
      <c r="AM380" s="126">
        <f ca="1">[1]!s_fa_cagr_netprofit($E380,AM$6,3)</f>
        <v>47.133888477744826</v>
      </c>
      <c r="AN380" s="126">
        <f ca="1">[1]!s_fa_cagr_netprofit($E380,AN$6,3)</f>
        <v>18.484228566155569</v>
      </c>
      <c r="AO380" s="126">
        <f ca="1">[1]!s_fa_cagr_netprofit($E380,AO$6,3)</f>
        <v>-19.714591141016079</v>
      </c>
      <c r="AP380" s="129"/>
      <c r="AQ380" s="203">
        <f ca="1">[1]!s_fa_dupont_roe(E380,$C$3)</f>
        <v>4.9185999999999996</v>
      </c>
      <c r="AR380" s="203">
        <f ca="1">[1]!s_fa_dupont_nptosales(B380,$C$3)</f>
        <v>13.988300000000001</v>
      </c>
      <c r="AS380" s="238">
        <f ca="1">[1]!s_fa_dupont_faturnover(E380,$C$3)</f>
        <v>0.25009999999999999</v>
      </c>
      <c r="AT380" s="203">
        <f ca="1">[1]!s_fa_dupont_assetstoequity(E380,$C$3)</f>
        <v>1.4071</v>
      </c>
      <c r="AU380" s="129"/>
      <c r="AV380" s="129"/>
      <c r="AW380" s="129"/>
      <c r="AX380" s="129"/>
      <c r="AY380" s="129"/>
      <c r="AZ380" s="129"/>
      <c r="BA380" s="129"/>
      <c r="BB380" s="129"/>
      <c r="BC380" s="129"/>
      <c r="BD380" s="129"/>
      <c r="BE380" s="129"/>
    </row>
    <row r="381" spans="1:57" s="191" customFormat="1" ht="12" customHeight="1" x14ac:dyDescent="0.35">
      <c r="A381" s="182" t="s">
        <v>5</v>
      </c>
      <c r="B381" s="182" t="s">
        <v>1285</v>
      </c>
      <c r="C381" s="182" t="s">
        <v>1286</v>
      </c>
      <c r="D381" s="182" t="str">
        <f ca="1">[1]!cb_info_underlyingname(B381)</f>
        <v>东方日升</v>
      </c>
      <c r="E381" s="183" t="str">
        <f ca="1">[1]!cb_info_underlyingcode(B381)</f>
        <v>300118.SZ</v>
      </c>
      <c r="F381" s="184">
        <f ca="1">[1]!s_info_industry_sw(B381,1)</f>
        <v>0</v>
      </c>
      <c r="G381" s="184" t="str">
        <f ca="1">[1]!s_info_industry_sw(E381,2)</f>
        <v>电源设备</v>
      </c>
      <c r="H381" s="184" t="str">
        <f ca="1">[1]!s_info_industry_sw(E381,3)</f>
        <v>光伏设备</v>
      </c>
      <c r="I381" s="192" t="str">
        <f ca="1">[1]!s_info_majorproducttype(E381)</f>
        <v>半导体太阳能光伏</v>
      </c>
      <c r="J381" s="189">
        <f ca="1">[1]!s_val_ev(E381,$B$2,100000000)</f>
        <v>201.81449078990002</v>
      </c>
      <c r="K381" s="193">
        <f ca="1">[1]!s_share_total(E381,$B$2,100000000)</f>
        <v>9.0135994099999994</v>
      </c>
      <c r="L381" s="193">
        <f ca="1">[1]!s_share_liqa(E381,$B$2,100000000)</f>
        <v>8.9944594099999993</v>
      </c>
      <c r="M381" s="186">
        <f ca="1">[1]!s_fa_gr_ttm2(E381,$C$3,100000000)</f>
        <v>154.60000356770001</v>
      </c>
      <c r="N381" s="187">
        <f ca="1">[1]!s_fa_netprofit_ttm2(E381,$C$3,100000000)</f>
        <v>8.3785312448999996</v>
      </c>
      <c r="O381" s="186"/>
      <c r="P381" s="187">
        <f ca="1">[1]!s_val_pe_ttm(E381,[1]!td($B$2-1))</f>
        <v>-74.463691711425781</v>
      </c>
      <c r="Q381" s="187">
        <f ca="1">[1]!i_val_pe_percentile(E381,[1]!td($B$2-1),$B$2-365*5,[1]!td($B$2-1))</f>
        <v>0</v>
      </c>
      <c r="R381" s="187">
        <f ca="1">[1]!pb_mrq(E381,[1]!td($B$2-1))</f>
        <v>2.4608554681530421</v>
      </c>
      <c r="S381" s="187">
        <f ca="1">[1]!i_val_pb_percentile(E381,[1]!td($B$2-1),$B$2-365*5,[1]!td($B$2-1))</f>
        <v>85.416666666666657</v>
      </c>
      <c r="T381" s="187">
        <f ca="1">[1]!s_val_pe_ttm([1]!to_windcode_index(H381&amp;"(申万)"),[1]!td($B$2-1))</f>
        <v>62.759998321533203</v>
      </c>
      <c r="U381" s="187"/>
      <c r="V381" s="187">
        <f ca="1">[1]!s_fa_roe(E381,$C$3)</f>
        <v>7.5026000000000002</v>
      </c>
      <c r="W381" s="187">
        <f ca="1">[1]!s_fa_grossprofitmargin(E381,$C$3)</f>
        <v>21.069199999999999</v>
      </c>
      <c r="X381" s="187">
        <f ca="1">[1]!s_fa_netprofitmargin(E381,$C$3)</f>
        <v>6.2744999999999997</v>
      </c>
      <c r="Y381" s="187">
        <f ca="1">[1]!s_fa_roic(E381,$C$3)</f>
        <v>5.5675999999999997</v>
      </c>
      <c r="Z381" s="187">
        <f ca="1">[1]!s_fa_operateincometoebt_ttm2(E381,$C$3)</f>
        <v>59.919800000000002</v>
      </c>
      <c r="AA381" s="186"/>
      <c r="AB381" s="342"/>
      <c r="AC381" s="186">
        <f ca="1">[1]!s_fa_cagr_tr($E381,AC$6,3)</f>
        <v>0</v>
      </c>
      <c r="AD381" s="186">
        <f ca="1">[1]!s_fa_cagr_tr($E381,AD$6,3)</f>
        <v>11.941019582365664</v>
      </c>
      <c r="AE381" s="187">
        <f ca="1">[1]!s_fa_cagr_tr($E381,AE$6,3)</f>
        <v>27.09196695944247</v>
      </c>
      <c r="AF381" s="187">
        <f ca="1">[1]!s_fa_cagr_tr($E381,AF$6,3)</f>
        <v>22.853409860910713</v>
      </c>
      <c r="AG381" s="187">
        <f ca="1">[1]!s_fa_cagr_tr($E381,AG$6,3)</f>
        <v>57.123996826949529</v>
      </c>
      <c r="AH381" s="187">
        <f ca="1">[1]!s_fa_cagr_tr($E381,AH$6,3)</f>
        <v>48.017114591838016</v>
      </c>
      <c r="AI381" s="194"/>
      <c r="AJ381" s="187">
        <f ca="1">[1]!s_fa_cagr_netprofit($E381,AJ$6,3)</f>
        <v>0</v>
      </c>
      <c r="AK381" s="187">
        <f ca="1">[1]!s_fa_cagr_netprofit($E381,AK$6,3)</f>
        <v>-36.6312658053929</v>
      </c>
      <c r="AL381" s="187">
        <f ca="1">[1]!s_fa_cagr_netprofit($E381,AL$6,3)</f>
        <v>12.226007983527598</v>
      </c>
      <c r="AM381" s="187">
        <f ca="1">[1]!s_fa_cagr_netprofit($E381,AM$6,3)</f>
        <v>-10.339777155982976</v>
      </c>
      <c r="AN381" s="187">
        <f ca="1">[1]!s_fa_cagr_netprofit($E381,AN$6,3)</f>
        <v>113.30871475170122</v>
      </c>
      <c r="AO381" s="187">
        <f ca="1">[1]!s_fa_cagr_netprofit($E381,AO$6,3)</f>
        <v>108.81699658534383</v>
      </c>
      <c r="AP381" s="189"/>
      <c r="AQ381" s="202">
        <f ca="1">[1]!s_fa_dupont_roe(E381,$C$3)</f>
        <v>7.5026000000000002</v>
      </c>
      <c r="AR381" s="202">
        <f ca="1">[1]!s_fa_dupont_nptosales(B381,$C$3)</f>
        <v>6.2744999999999997</v>
      </c>
      <c r="AS381" s="237">
        <f ca="1">[1]!s_fa_dupont_faturnover(E381,$C$3)</f>
        <v>0.40689999999999998</v>
      </c>
      <c r="AT381" s="202">
        <f ca="1">[1]!s_fa_dupont_assetstoequity(E381,$C$3)</f>
        <v>3.0832999999999999</v>
      </c>
      <c r="AU381" s="189"/>
      <c r="AV381" s="189"/>
      <c r="AW381" s="189"/>
      <c r="AX381" s="189"/>
      <c r="AY381" s="189"/>
      <c r="AZ381" s="189"/>
      <c r="BA381" s="189"/>
      <c r="BB381" s="189"/>
      <c r="BC381" s="189"/>
      <c r="BD381" s="189"/>
      <c r="BE381" s="189"/>
    </row>
    <row r="382" spans="1:57" s="130" customFormat="1" ht="12" customHeight="1" x14ac:dyDescent="0.35">
      <c r="A382" s="121"/>
      <c r="B382" s="121"/>
      <c r="C382" s="121"/>
      <c r="D382" s="121"/>
      <c r="E382" s="122"/>
      <c r="F382" s="123"/>
      <c r="G382" s="123"/>
      <c r="H382" s="123"/>
      <c r="I382" s="156"/>
      <c r="J382" s="129"/>
      <c r="K382" s="157"/>
      <c r="L382" s="157"/>
      <c r="M382" s="125"/>
      <c r="N382" s="126"/>
      <c r="O382" s="125"/>
      <c r="P382" s="126"/>
      <c r="Q382" s="126"/>
      <c r="R382" s="126"/>
      <c r="S382" s="126"/>
      <c r="T382" s="126"/>
      <c r="U382" s="125"/>
      <c r="V382" s="125"/>
      <c r="W382" s="125"/>
      <c r="X382" s="125"/>
      <c r="Y382" s="125"/>
      <c r="Z382" s="125"/>
      <c r="AA382" s="125"/>
      <c r="AB382" s="343"/>
      <c r="AC382" s="125"/>
      <c r="AD382" s="125"/>
      <c r="AE382" s="126"/>
      <c r="AF382" s="126"/>
      <c r="AG382" s="126"/>
      <c r="AH382" s="126"/>
      <c r="AI382" s="169"/>
      <c r="AJ382" s="126"/>
      <c r="AK382" s="126"/>
      <c r="AL382" s="126"/>
      <c r="AM382" s="126"/>
      <c r="AN382" s="126"/>
      <c r="AO382" s="126"/>
      <c r="AP382" s="129"/>
      <c r="AQ382" s="203"/>
      <c r="AR382" s="203"/>
      <c r="AS382" s="238"/>
      <c r="AT382" s="203"/>
      <c r="AU382" s="129"/>
      <c r="AV382" s="129"/>
      <c r="AW382" s="129"/>
      <c r="AX382" s="129"/>
      <c r="AY382" s="129"/>
      <c r="AZ382" s="129"/>
      <c r="BA382" s="129"/>
      <c r="BB382" s="129"/>
      <c r="BC382" s="129"/>
      <c r="BD382" s="129"/>
      <c r="BE382" s="129"/>
    </row>
    <row r="383" spans="1:57" s="191" customFormat="1" ht="12" customHeight="1" x14ac:dyDescent="0.35">
      <c r="A383" s="182"/>
      <c r="B383" s="182"/>
      <c r="C383" s="182"/>
      <c r="D383" s="182"/>
      <c r="E383" s="183"/>
      <c r="F383" s="184"/>
      <c r="G383" s="184"/>
      <c r="H383" s="184"/>
      <c r="I383" s="192"/>
      <c r="J383" s="189"/>
      <c r="K383" s="193"/>
      <c r="L383" s="193"/>
      <c r="M383" s="186"/>
      <c r="N383" s="187"/>
      <c r="O383" s="186"/>
      <c r="P383" s="187"/>
      <c r="Q383" s="187"/>
      <c r="R383" s="187"/>
      <c r="S383" s="187"/>
      <c r="T383" s="187"/>
      <c r="U383" s="187"/>
      <c r="V383" s="187"/>
      <c r="W383" s="187"/>
      <c r="X383" s="187"/>
      <c r="Y383" s="187"/>
      <c r="Z383" s="187"/>
      <c r="AA383" s="186"/>
      <c r="AB383" s="342"/>
      <c r="AC383" s="186"/>
      <c r="AD383" s="186"/>
      <c r="AE383" s="187"/>
      <c r="AF383" s="187"/>
      <c r="AG383" s="187"/>
      <c r="AH383" s="187"/>
      <c r="AI383" s="194"/>
      <c r="AJ383" s="187"/>
      <c r="AK383" s="187"/>
      <c r="AL383" s="187"/>
      <c r="AM383" s="187"/>
      <c r="AN383" s="187"/>
      <c r="AO383" s="187"/>
      <c r="AP383" s="189"/>
      <c r="AQ383" s="202"/>
      <c r="AR383" s="202"/>
      <c r="AS383" s="237"/>
      <c r="AT383" s="202"/>
      <c r="AU383" s="189"/>
      <c r="AV383" s="201"/>
      <c r="AW383" s="189"/>
      <c r="AX383" s="189"/>
      <c r="AY383" s="189"/>
      <c r="AZ383" s="189"/>
      <c r="BA383" s="189"/>
      <c r="BB383" s="189"/>
      <c r="BC383" s="189"/>
      <c r="BD383" s="189"/>
      <c r="BE383" s="189"/>
    </row>
    <row r="384" spans="1:57" s="130" customFormat="1" ht="12" customHeight="1" x14ac:dyDescent="0.35">
      <c r="A384" s="121"/>
      <c r="B384" s="121"/>
      <c r="C384" s="121"/>
      <c r="D384" s="121"/>
      <c r="E384" s="122"/>
      <c r="F384" s="123"/>
      <c r="G384" s="123"/>
      <c r="H384" s="123"/>
      <c r="I384" s="156"/>
      <c r="J384" s="129"/>
      <c r="K384" s="157"/>
      <c r="L384" s="157"/>
      <c r="M384" s="125"/>
      <c r="N384" s="126"/>
      <c r="O384" s="125"/>
      <c r="P384" s="126"/>
      <c r="Q384" s="126"/>
      <c r="R384" s="126"/>
      <c r="S384" s="126"/>
      <c r="T384" s="126"/>
      <c r="U384" s="126"/>
      <c r="V384" s="126"/>
      <c r="W384" s="126"/>
      <c r="X384" s="126"/>
      <c r="Y384" s="126"/>
      <c r="Z384" s="126"/>
      <c r="AA384" s="125"/>
      <c r="AB384" s="343"/>
      <c r="AC384" s="125"/>
      <c r="AD384" s="125"/>
      <c r="AE384" s="126"/>
      <c r="AF384" s="126"/>
      <c r="AG384" s="126"/>
      <c r="AH384" s="126"/>
      <c r="AI384" s="169"/>
      <c r="AJ384" s="126"/>
      <c r="AK384" s="126"/>
      <c r="AL384" s="126"/>
      <c r="AM384" s="126"/>
      <c r="AN384" s="126"/>
      <c r="AO384" s="126"/>
      <c r="AP384" s="129"/>
      <c r="AQ384" s="203"/>
      <c r="AR384" s="203"/>
      <c r="AS384" s="238"/>
      <c r="AT384" s="203"/>
      <c r="AU384" s="129"/>
      <c r="AV384" s="129"/>
      <c r="AW384" s="129"/>
      <c r="AX384" s="129"/>
      <c r="AY384" s="129"/>
      <c r="AZ384" s="129"/>
      <c r="BA384" s="129"/>
      <c r="BB384" s="129"/>
      <c r="BC384" s="129"/>
      <c r="BD384" s="129"/>
      <c r="BE384" s="129"/>
    </row>
    <row r="385" spans="1:57" s="191" customFormat="1" ht="12" customHeight="1" x14ac:dyDescent="0.35">
      <c r="A385" s="182"/>
      <c r="B385" s="182"/>
      <c r="C385" s="182"/>
      <c r="D385" s="182"/>
      <c r="E385" s="183"/>
      <c r="F385" s="184"/>
      <c r="G385" s="184"/>
      <c r="H385" s="184"/>
      <c r="I385" s="192"/>
      <c r="J385" s="189"/>
      <c r="K385" s="193"/>
      <c r="L385" s="193"/>
      <c r="M385" s="186"/>
      <c r="N385" s="187"/>
      <c r="O385" s="186"/>
      <c r="P385" s="187"/>
      <c r="Q385" s="187"/>
      <c r="R385" s="187"/>
      <c r="S385" s="187"/>
      <c r="T385" s="187"/>
      <c r="U385" s="187"/>
      <c r="V385" s="187"/>
      <c r="W385" s="187"/>
      <c r="X385" s="187"/>
      <c r="Y385" s="187"/>
      <c r="Z385" s="187"/>
      <c r="AA385" s="186"/>
      <c r="AB385" s="342"/>
      <c r="AC385" s="186"/>
      <c r="AD385" s="186"/>
      <c r="AE385" s="187"/>
      <c r="AF385" s="187"/>
      <c r="AG385" s="187"/>
      <c r="AH385" s="187"/>
      <c r="AI385" s="194"/>
      <c r="AJ385" s="187"/>
      <c r="AK385" s="187"/>
      <c r="AL385" s="187"/>
      <c r="AM385" s="187"/>
      <c r="AN385" s="187"/>
      <c r="AO385" s="187"/>
      <c r="AP385" s="189"/>
      <c r="AQ385" s="202"/>
      <c r="AR385" s="202"/>
      <c r="AS385" s="237"/>
      <c r="AT385" s="202"/>
      <c r="AU385" s="189"/>
      <c r="AV385" s="189"/>
      <c r="AW385" s="189"/>
      <c r="AX385" s="189"/>
      <c r="AY385" s="189"/>
      <c r="AZ385" s="189"/>
      <c r="BA385" s="189"/>
      <c r="BB385" s="189"/>
      <c r="BC385" s="189"/>
      <c r="BD385" s="189"/>
      <c r="BE385" s="189"/>
    </row>
    <row r="386" spans="1:57" s="130" customFormat="1" ht="12" customHeight="1" x14ac:dyDescent="0.35">
      <c r="A386" s="121"/>
      <c r="B386" s="121"/>
      <c r="C386" s="121"/>
      <c r="D386" s="121"/>
      <c r="E386" s="122"/>
      <c r="F386" s="123"/>
      <c r="G386" s="123"/>
      <c r="H386" s="123"/>
      <c r="I386" s="156"/>
      <c r="J386" s="129"/>
      <c r="K386" s="157"/>
      <c r="L386" s="157"/>
      <c r="M386" s="125"/>
      <c r="N386" s="126"/>
      <c r="O386" s="125"/>
      <c r="P386" s="126"/>
      <c r="Q386" s="126"/>
      <c r="R386" s="126"/>
      <c r="S386" s="126"/>
      <c r="T386" s="126"/>
      <c r="U386" s="125"/>
      <c r="V386" s="125"/>
      <c r="W386" s="125"/>
      <c r="X386" s="125"/>
      <c r="Y386" s="125"/>
      <c r="Z386" s="125"/>
      <c r="AA386" s="125"/>
      <c r="AB386" s="343"/>
      <c r="AC386" s="125"/>
      <c r="AD386" s="125"/>
      <c r="AE386" s="126"/>
      <c r="AF386" s="126"/>
      <c r="AG386" s="126"/>
      <c r="AH386" s="126"/>
      <c r="AI386" s="169"/>
      <c r="AJ386" s="126"/>
      <c r="AK386" s="126"/>
      <c r="AL386" s="126"/>
      <c r="AM386" s="126"/>
      <c r="AN386" s="126"/>
      <c r="AO386" s="126"/>
      <c r="AP386" s="129"/>
      <c r="AQ386" s="203"/>
      <c r="AR386" s="203"/>
      <c r="AS386" s="238"/>
      <c r="AT386" s="203"/>
      <c r="AU386" s="129"/>
      <c r="AV386" s="129"/>
      <c r="AW386" s="129"/>
      <c r="AX386" s="129"/>
      <c r="AY386" s="129"/>
      <c r="AZ386" s="129"/>
      <c r="BA386" s="129"/>
      <c r="BB386" s="129"/>
      <c r="BC386" s="129"/>
      <c r="BD386" s="129"/>
      <c r="BE386" s="129"/>
    </row>
    <row r="387" spans="1:57" s="191" customFormat="1" ht="12" customHeight="1" x14ac:dyDescent="0.35">
      <c r="A387" s="182"/>
      <c r="B387" s="182"/>
      <c r="C387" s="182"/>
      <c r="D387" s="182"/>
      <c r="E387" s="183"/>
      <c r="F387" s="184"/>
      <c r="G387" s="184"/>
      <c r="H387" s="184"/>
      <c r="I387" s="192"/>
      <c r="J387" s="189"/>
      <c r="K387" s="193"/>
      <c r="L387" s="193"/>
      <c r="M387" s="186"/>
      <c r="N387" s="187"/>
      <c r="O387" s="186"/>
      <c r="P387" s="187"/>
      <c r="Q387" s="187"/>
      <c r="R387" s="187"/>
      <c r="S387" s="187"/>
      <c r="T387" s="187"/>
      <c r="U387" s="187"/>
      <c r="V387" s="187"/>
      <c r="W387" s="187"/>
      <c r="X387" s="187"/>
      <c r="Y387" s="187"/>
      <c r="Z387" s="187"/>
      <c r="AA387" s="186"/>
      <c r="AB387" s="342"/>
      <c r="AC387" s="186"/>
      <c r="AD387" s="186"/>
      <c r="AE387" s="187"/>
      <c r="AF387" s="187"/>
      <c r="AG387" s="187"/>
      <c r="AH387" s="187"/>
      <c r="AI387" s="194"/>
      <c r="AJ387" s="187"/>
      <c r="AK387" s="187"/>
      <c r="AL387" s="187"/>
      <c r="AM387" s="187"/>
      <c r="AN387" s="187"/>
      <c r="AO387" s="187"/>
      <c r="AP387" s="189"/>
      <c r="AQ387" s="202"/>
      <c r="AR387" s="202"/>
      <c r="AS387" s="237"/>
      <c r="AT387" s="202"/>
      <c r="AU387" s="189"/>
      <c r="AV387" s="201"/>
      <c r="AW387" s="189"/>
      <c r="AX387" s="189"/>
      <c r="AY387" s="189"/>
      <c r="AZ387" s="189"/>
      <c r="BA387" s="189"/>
      <c r="BB387" s="189"/>
      <c r="BC387" s="189"/>
      <c r="BD387" s="189"/>
      <c r="BE387" s="189"/>
    </row>
    <row r="388" spans="1:57" s="130" customFormat="1" ht="12" customHeight="1" x14ac:dyDescent="0.35">
      <c r="A388" s="121"/>
      <c r="B388" s="121"/>
      <c r="C388" s="121"/>
      <c r="D388" s="121"/>
      <c r="E388" s="122"/>
      <c r="F388" s="123"/>
      <c r="G388" s="123"/>
      <c r="H388" s="123"/>
      <c r="I388" s="156"/>
      <c r="J388" s="129"/>
      <c r="K388" s="157"/>
      <c r="L388" s="157"/>
      <c r="M388" s="125"/>
      <c r="N388" s="126"/>
      <c r="O388" s="125"/>
      <c r="P388" s="126"/>
      <c r="Q388" s="126"/>
      <c r="R388" s="126"/>
      <c r="S388" s="126"/>
      <c r="T388" s="126"/>
      <c r="U388" s="126"/>
      <c r="V388" s="126"/>
      <c r="W388" s="126"/>
      <c r="X388" s="126"/>
      <c r="Y388" s="126"/>
      <c r="Z388" s="126"/>
      <c r="AA388" s="125"/>
      <c r="AB388" s="343"/>
      <c r="AC388" s="125"/>
      <c r="AD388" s="125"/>
      <c r="AE388" s="126"/>
      <c r="AF388" s="126"/>
      <c r="AG388" s="126"/>
      <c r="AH388" s="126"/>
      <c r="AI388" s="169"/>
      <c r="AJ388" s="126"/>
      <c r="AK388" s="126"/>
      <c r="AL388" s="126"/>
      <c r="AM388" s="126"/>
      <c r="AN388" s="126"/>
      <c r="AO388" s="126"/>
      <c r="AP388" s="129"/>
      <c r="AQ388" s="203"/>
      <c r="AR388" s="203"/>
      <c r="AS388" s="238"/>
      <c r="AT388" s="203"/>
      <c r="AU388" s="129"/>
      <c r="AV388" s="129"/>
      <c r="AW388" s="129"/>
      <c r="AX388" s="129"/>
      <c r="AY388" s="129"/>
      <c r="AZ388" s="129"/>
      <c r="BA388" s="129"/>
      <c r="BB388" s="129"/>
      <c r="BC388" s="129"/>
      <c r="BD388" s="129"/>
      <c r="BE388" s="129"/>
    </row>
    <row r="389" spans="1:57" s="191" customFormat="1" ht="12" customHeight="1" x14ac:dyDescent="0.35">
      <c r="A389" s="182"/>
      <c r="B389" s="182"/>
      <c r="C389" s="182"/>
      <c r="D389" s="182"/>
      <c r="E389" s="183"/>
      <c r="F389" s="184"/>
      <c r="G389" s="184"/>
      <c r="H389" s="184"/>
      <c r="I389" s="192"/>
      <c r="J389" s="189"/>
      <c r="K389" s="193"/>
      <c r="L389" s="193"/>
      <c r="M389" s="186"/>
      <c r="N389" s="187"/>
      <c r="O389" s="186"/>
      <c r="P389" s="187"/>
      <c r="Q389" s="187"/>
      <c r="R389" s="187"/>
      <c r="S389" s="187"/>
      <c r="T389" s="187"/>
      <c r="U389" s="187"/>
      <c r="V389" s="187"/>
      <c r="W389" s="187"/>
      <c r="X389" s="187"/>
      <c r="Y389" s="187"/>
      <c r="Z389" s="187"/>
      <c r="AA389" s="186"/>
      <c r="AB389" s="342"/>
      <c r="AC389" s="186"/>
      <c r="AD389" s="186"/>
      <c r="AE389" s="187"/>
      <c r="AF389" s="187"/>
      <c r="AG389" s="187"/>
      <c r="AH389" s="187"/>
      <c r="AI389" s="194"/>
      <c r="AJ389" s="187"/>
      <c r="AK389" s="187"/>
      <c r="AL389" s="187"/>
      <c r="AM389" s="187"/>
      <c r="AN389" s="187"/>
      <c r="AO389" s="187"/>
      <c r="AP389" s="189"/>
      <c r="AQ389" s="202"/>
      <c r="AR389" s="202"/>
      <c r="AS389" s="237"/>
      <c r="AT389" s="202"/>
      <c r="AU389" s="189"/>
      <c r="AV389" s="189"/>
      <c r="AW389" s="189"/>
      <c r="AX389" s="189"/>
      <c r="AY389" s="189"/>
      <c r="AZ389" s="189"/>
      <c r="BA389" s="189"/>
      <c r="BB389" s="189"/>
      <c r="BC389" s="189"/>
      <c r="BD389" s="189"/>
      <c r="BE389" s="189"/>
    </row>
    <row r="390" spans="1:57" s="130" customFormat="1" ht="12" customHeight="1" x14ac:dyDescent="0.35">
      <c r="A390" s="121"/>
      <c r="B390" s="121"/>
      <c r="C390" s="121"/>
      <c r="D390" s="121"/>
      <c r="E390" s="122"/>
      <c r="F390" s="123"/>
      <c r="G390" s="123"/>
      <c r="H390" s="123"/>
      <c r="I390" s="156"/>
      <c r="J390" s="129"/>
      <c r="K390" s="157"/>
      <c r="L390" s="157"/>
      <c r="M390" s="125"/>
      <c r="N390" s="126"/>
      <c r="O390" s="125"/>
      <c r="P390" s="126"/>
      <c r="Q390" s="126"/>
      <c r="R390" s="126"/>
      <c r="S390" s="126"/>
      <c r="T390" s="126"/>
      <c r="U390" s="125"/>
      <c r="V390" s="125"/>
      <c r="W390" s="125"/>
      <c r="X390" s="125"/>
      <c r="Y390" s="125"/>
      <c r="Z390" s="125"/>
      <c r="AA390" s="125"/>
      <c r="AB390" s="343"/>
      <c r="AC390" s="125"/>
      <c r="AD390" s="125"/>
      <c r="AE390" s="126"/>
      <c r="AF390" s="126"/>
      <c r="AG390" s="126"/>
      <c r="AH390" s="126"/>
      <c r="AI390" s="169"/>
      <c r="AJ390" s="126"/>
      <c r="AK390" s="126"/>
      <c r="AL390" s="126"/>
      <c r="AM390" s="126"/>
      <c r="AN390" s="126"/>
      <c r="AO390" s="126"/>
      <c r="AP390" s="129"/>
      <c r="AQ390" s="203"/>
      <c r="AR390" s="203"/>
      <c r="AS390" s="238"/>
      <c r="AT390" s="203"/>
      <c r="AU390" s="129"/>
      <c r="AV390" s="129"/>
      <c r="AW390" s="129"/>
      <c r="AX390" s="129"/>
      <c r="AY390" s="129"/>
      <c r="AZ390" s="129"/>
      <c r="BA390" s="129"/>
      <c r="BB390" s="129"/>
      <c r="BC390" s="129"/>
      <c r="BD390" s="129"/>
      <c r="BE390" s="129"/>
    </row>
    <row r="391" spans="1:57" s="191" customFormat="1" ht="12" customHeight="1" x14ac:dyDescent="0.35">
      <c r="A391" s="182"/>
      <c r="B391" s="182"/>
      <c r="C391" s="182"/>
      <c r="D391" s="182"/>
      <c r="E391" s="183"/>
      <c r="F391" s="184"/>
      <c r="G391" s="184"/>
      <c r="H391" s="184"/>
      <c r="I391" s="192"/>
      <c r="J391" s="189"/>
      <c r="K391" s="193"/>
      <c r="L391" s="193"/>
      <c r="M391" s="186"/>
      <c r="N391" s="187"/>
      <c r="O391" s="186"/>
      <c r="P391" s="187"/>
      <c r="Q391" s="187"/>
      <c r="R391" s="187"/>
      <c r="S391" s="187"/>
      <c r="T391" s="187"/>
      <c r="U391" s="187"/>
      <c r="V391" s="187"/>
      <c r="W391" s="187"/>
      <c r="X391" s="187"/>
      <c r="Y391" s="187"/>
      <c r="Z391" s="187"/>
      <c r="AA391" s="186"/>
      <c r="AB391" s="342"/>
      <c r="AC391" s="186"/>
      <c r="AD391" s="186"/>
      <c r="AE391" s="187"/>
      <c r="AF391" s="187"/>
      <c r="AG391" s="187"/>
      <c r="AH391" s="187"/>
      <c r="AI391" s="194"/>
      <c r="AJ391" s="187"/>
      <c r="AK391" s="187"/>
      <c r="AL391" s="187"/>
      <c r="AM391" s="187"/>
      <c r="AN391" s="187"/>
      <c r="AO391" s="187"/>
      <c r="AP391" s="189"/>
      <c r="AQ391" s="202"/>
      <c r="AR391" s="202"/>
      <c r="AS391" s="237"/>
      <c r="AT391" s="202"/>
      <c r="AU391" s="189"/>
      <c r="AV391" s="201"/>
      <c r="AW391" s="189"/>
      <c r="AX391" s="189"/>
      <c r="AY391" s="189"/>
      <c r="AZ391" s="189"/>
      <c r="BA391" s="189"/>
      <c r="BB391" s="189"/>
      <c r="BC391" s="189"/>
      <c r="BD391" s="189"/>
      <c r="BE391" s="189"/>
    </row>
    <row r="392" spans="1:57" s="130" customFormat="1" ht="12" customHeight="1" x14ac:dyDescent="0.35">
      <c r="A392" s="121"/>
      <c r="B392" s="121"/>
      <c r="C392" s="121"/>
      <c r="D392" s="121"/>
      <c r="E392" s="122"/>
      <c r="F392" s="123"/>
      <c r="G392" s="123"/>
      <c r="H392" s="123"/>
      <c r="I392" s="156"/>
      <c r="J392" s="129"/>
      <c r="K392" s="157"/>
      <c r="L392" s="157"/>
      <c r="M392" s="125"/>
      <c r="N392" s="126"/>
      <c r="O392" s="125"/>
      <c r="P392" s="126"/>
      <c r="Q392" s="126"/>
      <c r="R392" s="126"/>
      <c r="S392" s="126"/>
      <c r="T392" s="126"/>
      <c r="U392" s="126"/>
      <c r="V392" s="126"/>
      <c r="W392" s="126"/>
      <c r="X392" s="126"/>
      <c r="Y392" s="126"/>
      <c r="Z392" s="126"/>
      <c r="AA392" s="125"/>
      <c r="AB392" s="343"/>
      <c r="AC392" s="125"/>
      <c r="AD392" s="125"/>
      <c r="AE392" s="126"/>
      <c r="AF392" s="126"/>
      <c r="AG392" s="126"/>
      <c r="AH392" s="126"/>
      <c r="AI392" s="169"/>
      <c r="AJ392" s="126"/>
      <c r="AK392" s="126"/>
      <c r="AL392" s="126"/>
      <c r="AM392" s="126"/>
      <c r="AN392" s="126"/>
      <c r="AO392" s="126"/>
      <c r="AP392" s="129"/>
      <c r="AQ392" s="203"/>
      <c r="AR392" s="203"/>
      <c r="AS392" s="238"/>
      <c r="AT392" s="203"/>
      <c r="AU392" s="129"/>
      <c r="AV392" s="129"/>
      <c r="AW392" s="129"/>
      <c r="AX392" s="129"/>
      <c r="AY392" s="129"/>
      <c r="AZ392" s="129"/>
      <c r="BA392" s="129"/>
      <c r="BB392" s="129"/>
      <c r="BC392" s="129"/>
      <c r="BD392" s="129"/>
      <c r="BE392" s="129"/>
    </row>
    <row r="393" spans="1:57" s="191" customFormat="1" ht="12" customHeight="1" x14ac:dyDescent="0.35">
      <c r="A393" s="182"/>
      <c r="B393" s="182"/>
      <c r="C393" s="182"/>
      <c r="D393" s="182"/>
      <c r="E393" s="183"/>
      <c r="F393" s="184"/>
      <c r="G393" s="184"/>
      <c r="H393" s="184"/>
      <c r="I393" s="192"/>
      <c r="J393" s="189"/>
      <c r="K393" s="193"/>
      <c r="L393" s="193"/>
      <c r="M393" s="186"/>
      <c r="N393" s="187"/>
      <c r="O393" s="186"/>
      <c r="P393" s="187"/>
      <c r="Q393" s="187"/>
      <c r="R393" s="187"/>
      <c r="S393" s="187"/>
      <c r="T393" s="187"/>
      <c r="U393" s="187"/>
      <c r="V393" s="187"/>
      <c r="W393" s="187"/>
      <c r="X393" s="187"/>
      <c r="Y393" s="187"/>
      <c r="Z393" s="187"/>
      <c r="AA393" s="186"/>
      <c r="AB393" s="342"/>
      <c r="AC393" s="186"/>
      <c r="AD393" s="186"/>
      <c r="AE393" s="187"/>
      <c r="AF393" s="187"/>
      <c r="AG393" s="187"/>
      <c r="AH393" s="187"/>
      <c r="AI393" s="194"/>
      <c r="AJ393" s="187"/>
      <c r="AK393" s="187"/>
      <c r="AL393" s="187"/>
      <c r="AM393" s="187"/>
      <c r="AN393" s="187"/>
      <c r="AO393" s="187"/>
      <c r="AP393" s="189"/>
      <c r="AQ393" s="202"/>
      <c r="AR393" s="202"/>
      <c r="AS393" s="237"/>
      <c r="AT393" s="202"/>
      <c r="AU393" s="189"/>
      <c r="AV393" s="189"/>
      <c r="AW393" s="189"/>
      <c r="AX393" s="189"/>
      <c r="AY393" s="189"/>
      <c r="AZ393" s="189"/>
      <c r="BA393" s="189"/>
      <c r="BB393" s="189"/>
      <c r="BC393" s="189"/>
      <c r="BD393" s="189"/>
      <c r="BE393" s="189"/>
    </row>
    <row r="394" spans="1:57" s="130" customFormat="1" ht="12" customHeight="1" x14ac:dyDescent="0.35">
      <c r="A394" s="121"/>
      <c r="B394" s="121"/>
      <c r="C394" s="121"/>
      <c r="D394" s="121"/>
      <c r="E394" s="122"/>
      <c r="F394" s="123"/>
      <c r="G394" s="123"/>
      <c r="H394" s="123"/>
      <c r="I394" s="156"/>
      <c r="J394" s="129"/>
      <c r="K394" s="157"/>
      <c r="L394" s="157"/>
      <c r="M394" s="125"/>
      <c r="N394" s="126"/>
      <c r="O394" s="125"/>
      <c r="P394" s="126"/>
      <c r="Q394" s="126"/>
      <c r="R394" s="126"/>
      <c r="S394" s="126"/>
      <c r="T394" s="126"/>
      <c r="U394" s="125"/>
      <c r="V394" s="125"/>
      <c r="W394" s="125"/>
      <c r="X394" s="125"/>
      <c r="Y394" s="125"/>
      <c r="Z394" s="125"/>
      <c r="AA394" s="125"/>
      <c r="AB394" s="343"/>
      <c r="AC394" s="125"/>
      <c r="AD394" s="125"/>
      <c r="AE394" s="126"/>
      <c r="AF394" s="126"/>
      <c r="AG394" s="126"/>
      <c r="AH394" s="126"/>
      <c r="AI394" s="169"/>
      <c r="AJ394" s="126"/>
      <c r="AK394" s="126"/>
      <c r="AL394" s="126"/>
      <c r="AM394" s="126"/>
      <c r="AN394" s="126"/>
      <c r="AO394" s="126"/>
      <c r="AP394" s="129"/>
      <c r="AQ394" s="203"/>
      <c r="AR394" s="203"/>
      <c r="AS394" s="238"/>
      <c r="AT394" s="203"/>
      <c r="AU394" s="129"/>
      <c r="AV394" s="129"/>
      <c r="AW394" s="129"/>
      <c r="AX394" s="129"/>
      <c r="AY394" s="129"/>
      <c r="AZ394" s="129"/>
      <c r="BA394" s="129"/>
      <c r="BB394" s="129"/>
      <c r="BC394" s="129"/>
      <c r="BD394" s="129"/>
      <c r="BE394" s="129"/>
    </row>
    <row r="395" spans="1:57" s="191" customFormat="1" ht="12" customHeight="1" x14ac:dyDescent="0.35">
      <c r="A395" s="182"/>
      <c r="B395" s="182"/>
      <c r="C395" s="182"/>
      <c r="D395" s="182"/>
      <c r="E395" s="183"/>
      <c r="F395" s="184"/>
      <c r="G395" s="184"/>
      <c r="H395" s="184"/>
      <c r="I395" s="192"/>
      <c r="J395" s="189"/>
      <c r="K395" s="193"/>
      <c r="L395" s="193"/>
      <c r="M395" s="186"/>
      <c r="N395" s="187"/>
      <c r="O395" s="186"/>
      <c r="P395" s="187"/>
      <c r="Q395" s="187"/>
      <c r="R395" s="187"/>
      <c r="S395" s="187"/>
      <c r="T395" s="187"/>
      <c r="U395" s="187"/>
      <c r="V395" s="187"/>
      <c r="W395" s="187"/>
      <c r="X395" s="187"/>
      <c r="Y395" s="187"/>
      <c r="Z395" s="187"/>
      <c r="AA395" s="186"/>
      <c r="AB395" s="342"/>
      <c r="AC395" s="186"/>
      <c r="AD395" s="186"/>
      <c r="AE395" s="187"/>
      <c r="AF395" s="187"/>
      <c r="AG395" s="187"/>
      <c r="AH395" s="187"/>
      <c r="AI395" s="194"/>
      <c r="AJ395" s="187"/>
      <c r="AK395" s="187"/>
      <c r="AL395" s="187"/>
      <c r="AM395" s="187"/>
      <c r="AN395" s="187"/>
      <c r="AO395" s="187"/>
      <c r="AP395" s="189"/>
      <c r="AQ395" s="202"/>
      <c r="AR395" s="202"/>
      <c r="AS395" s="237"/>
      <c r="AT395" s="202"/>
      <c r="AU395" s="189"/>
      <c r="AV395" s="201"/>
      <c r="AW395" s="189"/>
      <c r="AX395" s="189"/>
      <c r="AY395" s="189"/>
      <c r="AZ395" s="189"/>
      <c r="BA395" s="189"/>
      <c r="BB395" s="189"/>
      <c r="BC395" s="189"/>
      <c r="BD395" s="189"/>
      <c r="BE395" s="189"/>
    </row>
    <row r="396" spans="1:57" s="130" customFormat="1" ht="12" customHeight="1" x14ac:dyDescent="0.35">
      <c r="A396" s="121"/>
      <c r="B396" s="121"/>
      <c r="C396" s="121"/>
      <c r="D396" s="121"/>
      <c r="E396" s="122"/>
      <c r="F396" s="123"/>
      <c r="G396" s="123"/>
      <c r="H396" s="123"/>
      <c r="I396" s="156"/>
      <c r="J396" s="129"/>
      <c r="K396" s="157"/>
      <c r="L396" s="157"/>
      <c r="M396" s="125"/>
      <c r="N396" s="126"/>
      <c r="O396" s="125"/>
      <c r="P396" s="126"/>
      <c r="Q396" s="126"/>
      <c r="R396" s="126"/>
      <c r="S396" s="126"/>
      <c r="T396" s="126"/>
      <c r="U396" s="126"/>
      <c r="V396" s="126"/>
      <c r="W396" s="126"/>
      <c r="X396" s="126"/>
      <c r="Y396" s="126"/>
      <c r="Z396" s="126"/>
      <c r="AA396" s="125"/>
      <c r="AB396" s="343"/>
      <c r="AC396" s="125"/>
      <c r="AD396" s="125"/>
      <c r="AE396" s="126"/>
      <c r="AF396" s="126"/>
      <c r="AG396" s="126"/>
      <c r="AH396" s="126"/>
      <c r="AI396" s="169"/>
      <c r="AJ396" s="126"/>
      <c r="AK396" s="126"/>
      <c r="AL396" s="126"/>
      <c r="AM396" s="126"/>
      <c r="AN396" s="126"/>
      <c r="AO396" s="126"/>
      <c r="AP396" s="129"/>
      <c r="AQ396" s="203"/>
      <c r="AR396" s="203"/>
      <c r="AS396" s="238"/>
      <c r="AT396" s="203"/>
      <c r="AU396" s="129"/>
      <c r="AV396" s="129"/>
      <c r="AW396" s="129"/>
      <c r="AX396" s="129"/>
      <c r="AY396" s="129"/>
      <c r="AZ396" s="129"/>
      <c r="BA396" s="129"/>
      <c r="BB396" s="129"/>
      <c r="BC396" s="129"/>
      <c r="BD396" s="129"/>
      <c r="BE396" s="129"/>
    </row>
    <row r="397" spans="1:57" s="191" customFormat="1" ht="12" customHeight="1" x14ac:dyDescent="0.35">
      <c r="A397" s="182"/>
      <c r="B397" s="182"/>
      <c r="C397" s="182"/>
      <c r="D397" s="182"/>
      <c r="E397" s="183"/>
      <c r="F397" s="184"/>
      <c r="G397" s="184"/>
      <c r="H397" s="184"/>
      <c r="I397" s="192"/>
      <c r="J397" s="189"/>
      <c r="K397" s="193"/>
      <c r="L397" s="193"/>
      <c r="M397" s="186"/>
      <c r="N397" s="187"/>
      <c r="O397" s="186"/>
      <c r="P397" s="187"/>
      <c r="Q397" s="187"/>
      <c r="R397" s="187"/>
      <c r="S397" s="187"/>
      <c r="T397" s="187"/>
      <c r="U397" s="187"/>
      <c r="V397" s="187"/>
      <c r="W397" s="187"/>
      <c r="X397" s="187"/>
      <c r="Y397" s="187"/>
      <c r="Z397" s="187"/>
      <c r="AA397" s="186"/>
      <c r="AB397" s="342"/>
      <c r="AC397" s="186"/>
      <c r="AD397" s="186"/>
      <c r="AE397" s="187"/>
      <c r="AF397" s="187"/>
      <c r="AG397" s="187"/>
      <c r="AH397" s="187"/>
      <c r="AI397" s="194"/>
      <c r="AJ397" s="187"/>
      <c r="AK397" s="187"/>
      <c r="AL397" s="187"/>
      <c r="AM397" s="187"/>
      <c r="AN397" s="187"/>
      <c r="AO397" s="187"/>
      <c r="AP397" s="189"/>
      <c r="AQ397" s="202"/>
      <c r="AR397" s="202"/>
      <c r="AS397" s="237"/>
      <c r="AT397" s="202"/>
      <c r="AU397" s="189"/>
      <c r="AV397" s="189"/>
      <c r="AW397" s="189"/>
      <c r="AX397" s="189"/>
      <c r="AY397" s="189"/>
      <c r="AZ397" s="189"/>
      <c r="BA397" s="189"/>
      <c r="BB397" s="189"/>
      <c r="BC397" s="189"/>
      <c r="BD397" s="189"/>
      <c r="BE397" s="189"/>
    </row>
    <row r="398" spans="1:57" s="130" customFormat="1" ht="12" customHeight="1" x14ac:dyDescent="0.35">
      <c r="A398" s="121"/>
      <c r="B398" s="121"/>
      <c r="C398" s="121"/>
      <c r="D398" s="121"/>
      <c r="E398" s="122"/>
      <c r="F398" s="123"/>
      <c r="G398" s="123"/>
      <c r="H398" s="123"/>
      <c r="I398" s="156"/>
      <c r="J398" s="129"/>
      <c r="K398" s="157"/>
      <c r="L398" s="157"/>
      <c r="M398" s="125"/>
      <c r="N398" s="126"/>
      <c r="O398" s="125"/>
      <c r="P398" s="126"/>
      <c r="Q398" s="126"/>
      <c r="R398" s="126"/>
      <c r="S398" s="126"/>
      <c r="T398" s="126"/>
      <c r="U398" s="125"/>
      <c r="V398" s="125"/>
      <c r="W398" s="125"/>
      <c r="X398" s="125"/>
      <c r="Y398" s="125"/>
      <c r="Z398" s="125"/>
      <c r="AA398" s="125"/>
      <c r="AB398" s="343"/>
      <c r="AC398" s="125"/>
      <c r="AD398" s="125"/>
      <c r="AE398" s="126"/>
      <c r="AF398" s="126"/>
      <c r="AG398" s="126"/>
      <c r="AH398" s="126"/>
      <c r="AI398" s="169"/>
      <c r="AJ398" s="126"/>
      <c r="AK398" s="126"/>
      <c r="AL398" s="126"/>
      <c r="AM398" s="126"/>
      <c r="AN398" s="126"/>
      <c r="AO398" s="126"/>
      <c r="AP398" s="129"/>
      <c r="AQ398" s="203"/>
      <c r="AR398" s="203"/>
      <c r="AS398" s="238"/>
      <c r="AT398" s="203"/>
      <c r="AU398" s="129"/>
      <c r="AV398" s="129"/>
      <c r="AW398" s="129"/>
      <c r="AX398" s="129"/>
      <c r="AY398" s="129"/>
      <c r="AZ398" s="129"/>
      <c r="BA398" s="129"/>
      <c r="BB398" s="129"/>
      <c r="BC398" s="129"/>
      <c r="BD398" s="129"/>
      <c r="BE398" s="129"/>
    </row>
    <row r="399" spans="1:57" s="191" customFormat="1" ht="12" customHeight="1" x14ac:dyDescent="0.35">
      <c r="A399" s="182"/>
      <c r="B399" s="182"/>
      <c r="C399" s="182"/>
      <c r="D399" s="182"/>
      <c r="E399" s="183"/>
      <c r="F399" s="184"/>
      <c r="G399" s="184"/>
      <c r="H399" s="184"/>
      <c r="I399" s="192"/>
      <c r="J399" s="189"/>
      <c r="K399" s="193"/>
      <c r="L399" s="193"/>
      <c r="M399" s="186"/>
      <c r="N399" s="187"/>
      <c r="O399" s="186"/>
      <c r="P399" s="187"/>
      <c r="Q399" s="187"/>
      <c r="R399" s="187"/>
      <c r="S399" s="187"/>
      <c r="T399" s="187"/>
      <c r="U399" s="187"/>
      <c r="V399" s="187"/>
      <c r="W399" s="187"/>
      <c r="X399" s="187"/>
      <c r="Y399" s="187"/>
      <c r="Z399" s="187"/>
      <c r="AA399" s="186"/>
      <c r="AB399" s="342"/>
      <c r="AC399" s="186"/>
      <c r="AD399" s="186"/>
      <c r="AE399" s="187"/>
      <c r="AF399" s="187"/>
      <c r="AG399" s="187"/>
      <c r="AH399" s="187"/>
      <c r="AI399" s="194"/>
      <c r="AJ399" s="187"/>
      <c r="AK399" s="187"/>
      <c r="AL399" s="187"/>
      <c r="AM399" s="187"/>
      <c r="AN399" s="187"/>
      <c r="AO399" s="187"/>
      <c r="AP399" s="189"/>
      <c r="AQ399" s="202"/>
      <c r="AR399" s="202"/>
      <c r="AS399" s="237"/>
      <c r="AT399" s="202"/>
      <c r="AU399" s="189"/>
      <c r="AV399" s="201"/>
      <c r="AW399" s="189"/>
      <c r="AX399" s="189"/>
      <c r="AY399" s="189"/>
      <c r="AZ399" s="189"/>
      <c r="BA399" s="189"/>
      <c r="BB399" s="189"/>
      <c r="BC399" s="189"/>
      <c r="BD399" s="189"/>
      <c r="BE399" s="189"/>
    </row>
    <row r="400" spans="1:57" s="130" customFormat="1" ht="12" customHeight="1" x14ac:dyDescent="0.35">
      <c r="A400" s="121"/>
      <c r="B400" s="121"/>
      <c r="C400" s="121"/>
      <c r="D400" s="121"/>
      <c r="E400" s="122"/>
      <c r="F400" s="123"/>
      <c r="G400" s="123"/>
      <c r="H400" s="123"/>
      <c r="I400" s="156"/>
      <c r="J400" s="129"/>
      <c r="K400" s="157"/>
      <c r="L400" s="157"/>
      <c r="M400" s="125"/>
      <c r="N400" s="126"/>
      <c r="O400" s="125"/>
      <c r="P400" s="126"/>
      <c r="Q400" s="126"/>
      <c r="R400" s="126"/>
      <c r="S400" s="126"/>
      <c r="T400" s="126"/>
      <c r="U400" s="126"/>
      <c r="V400" s="126"/>
      <c r="W400" s="126"/>
      <c r="X400" s="126"/>
      <c r="Y400" s="126"/>
      <c r="Z400" s="126"/>
      <c r="AA400" s="125"/>
      <c r="AB400" s="343"/>
      <c r="AC400" s="125"/>
      <c r="AD400" s="125"/>
      <c r="AE400" s="126"/>
      <c r="AF400" s="126"/>
      <c r="AG400" s="126"/>
      <c r="AH400" s="126"/>
      <c r="AI400" s="169"/>
      <c r="AJ400" s="126"/>
      <c r="AK400" s="126"/>
      <c r="AL400" s="126"/>
      <c r="AM400" s="126"/>
      <c r="AN400" s="126"/>
      <c r="AO400" s="126"/>
      <c r="AP400" s="129"/>
      <c r="AQ400" s="203"/>
      <c r="AR400" s="203"/>
      <c r="AS400" s="238"/>
      <c r="AT400" s="203"/>
      <c r="AU400" s="129"/>
      <c r="AV400" s="129"/>
      <c r="AW400" s="129"/>
      <c r="AX400" s="129"/>
      <c r="AY400" s="129"/>
      <c r="AZ400" s="129"/>
      <c r="BA400" s="129"/>
      <c r="BB400" s="129"/>
      <c r="BC400" s="129"/>
      <c r="BD400" s="129"/>
      <c r="BE400" s="129"/>
    </row>
    <row r="401" spans="1:57" s="191" customFormat="1" ht="12" customHeight="1" x14ac:dyDescent="0.35">
      <c r="A401" s="182"/>
      <c r="B401" s="182"/>
      <c r="C401" s="182"/>
      <c r="D401" s="182"/>
      <c r="E401" s="183"/>
      <c r="F401" s="184"/>
      <c r="G401" s="184"/>
      <c r="H401" s="184"/>
      <c r="I401" s="192"/>
      <c r="J401" s="189"/>
      <c r="K401" s="193"/>
      <c r="L401" s="193"/>
      <c r="M401" s="186"/>
      <c r="N401" s="187"/>
      <c r="O401" s="186"/>
      <c r="P401" s="187"/>
      <c r="Q401" s="187"/>
      <c r="R401" s="187"/>
      <c r="S401" s="187"/>
      <c r="T401" s="187"/>
      <c r="U401" s="187"/>
      <c r="V401" s="187"/>
      <c r="W401" s="187"/>
      <c r="X401" s="187"/>
      <c r="Y401" s="187"/>
      <c r="Z401" s="187"/>
      <c r="AA401" s="186"/>
      <c r="AB401" s="342"/>
      <c r="AC401" s="186"/>
      <c r="AD401" s="186"/>
      <c r="AE401" s="187"/>
      <c r="AF401" s="187"/>
      <c r="AG401" s="187"/>
      <c r="AH401" s="187"/>
      <c r="AI401" s="194"/>
      <c r="AJ401" s="187"/>
      <c r="AK401" s="187"/>
      <c r="AL401" s="187"/>
      <c r="AM401" s="187"/>
      <c r="AN401" s="187"/>
      <c r="AO401" s="187"/>
      <c r="AP401" s="189"/>
      <c r="AQ401" s="202"/>
      <c r="AR401" s="202"/>
      <c r="AS401" s="237"/>
      <c r="AT401" s="202"/>
      <c r="AU401" s="189"/>
      <c r="AV401" s="189"/>
      <c r="AW401" s="189"/>
      <c r="AX401" s="189"/>
      <c r="AY401" s="189"/>
      <c r="AZ401" s="189"/>
      <c r="BA401" s="189"/>
      <c r="BB401" s="189"/>
      <c r="BC401" s="189"/>
      <c r="BD401" s="189"/>
      <c r="BE401" s="189"/>
    </row>
    <row r="402" spans="1:57" s="130" customFormat="1" ht="12" customHeight="1" x14ac:dyDescent="0.35">
      <c r="A402" s="121"/>
      <c r="B402" s="121"/>
      <c r="C402" s="121"/>
      <c r="D402" s="121"/>
      <c r="E402" s="122"/>
      <c r="F402" s="123"/>
      <c r="G402" s="123"/>
      <c r="H402" s="123"/>
      <c r="I402" s="156"/>
      <c r="J402" s="129"/>
      <c r="K402" s="157"/>
      <c r="L402" s="157"/>
      <c r="M402" s="125"/>
      <c r="N402" s="126"/>
      <c r="O402" s="125"/>
      <c r="P402" s="126"/>
      <c r="Q402" s="126"/>
      <c r="R402" s="126"/>
      <c r="S402" s="126"/>
      <c r="T402" s="126"/>
      <c r="U402" s="125"/>
      <c r="V402" s="125"/>
      <c r="W402" s="125"/>
      <c r="X402" s="125"/>
      <c r="Y402" s="125"/>
      <c r="Z402" s="125"/>
      <c r="AA402" s="125"/>
      <c r="AB402" s="343"/>
      <c r="AC402" s="125"/>
      <c r="AD402" s="125"/>
      <c r="AE402" s="126"/>
      <c r="AF402" s="126"/>
      <c r="AG402" s="126"/>
      <c r="AH402" s="126"/>
      <c r="AI402" s="169"/>
      <c r="AJ402" s="126"/>
      <c r="AK402" s="126"/>
      <c r="AL402" s="126"/>
      <c r="AM402" s="126"/>
      <c r="AN402" s="126"/>
      <c r="AO402" s="126"/>
      <c r="AP402" s="129"/>
      <c r="AQ402" s="203"/>
      <c r="AR402" s="203"/>
      <c r="AS402" s="238"/>
      <c r="AT402" s="203"/>
      <c r="AU402" s="129"/>
      <c r="AV402" s="129"/>
      <c r="AW402" s="129"/>
      <c r="AX402" s="129"/>
      <c r="AY402" s="129"/>
      <c r="AZ402" s="129"/>
      <c r="BA402" s="129"/>
      <c r="BB402" s="129"/>
      <c r="BC402" s="129"/>
      <c r="BD402" s="129"/>
      <c r="BE402" s="129"/>
    </row>
    <row r="403" spans="1:57" s="191" customFormat="1" ht="12" customHeight="1" x14ac:dyDescent="0.35">
      <c r="A403" s="182"/>
      <c r="B403" s="182"/>
      <c r="C403" s="182"/>
      <c r="D403" s="182"/>
      <c r="E403" s="183"/>
      <c r="F403" s="184"/>
      <c r="G403" s="184"/>
      <c r="H403" s="184"/>
      <c r="I403" s="192"/>
      <c r="J403" s="189"/>
      <c r="K403" s="193"/>
      <c r="L403" s="193"/>
      <c r="M403" s="186"/>
      <c r="N403" s="187"/>
      <c r="O403" s="186"/>
      <c r="P403" s="187"/>
      <c r="Q403" s="187"/>
      <c r="R403" s="187"/>
      <c r="S403" s="187"/>
      <c r="T403" s="187"/>
      <c r="U403" s="187"/>
      <c r="V403" s="187"/>
      <c r="W403" s="187"/>
      <c r="X403" s="187"/>
      <c r="Y403" s="187"/>
      <c r="Z403" s="187"/>
      <c r="AA403" s="186"/>
      <c r="AB403" s="342"/>
      <c r="AC403" s="186"/>
      <c r="AD403" s="186"/>
      <c r="AE403" s="187"/>
      <c r="AF403" s="187"/>
      <c r="AG403" s="187"/>
      <c r="AH403" s="187"/>
      <c r="AI403" s="194"/>
      <c r="AJ403" s="187"/>
      <c r="AK403" s="187"/>
      <c r="AL403" s="187"/>
      <c r="AM403" s="187"/>
      <c r="AN403" s="187"/>
      <c r="AO403" s="187"/>
      <c r="AP403" s="189"/>
      <c r="AQ403" s="202"/>
      <c r="AR403" s="202"/>
      <c r="AS403" s="237"/>
      <c r="AT403" s="202"/>
      <c r="AU403" s="189"/>
      <c r="AV403" s="201"/>
      <c r="AW403" s="189"/>
      <c r="AX403" s="189"/>
      <c r="AY403" s="189"/>
      <c r="AZ403" s="189"/>
      <c r="BA403" s="189"/>
      <c r="BB403" s="189"/>
      <c r="BC403" s="189"/>
      <c r="BD403" s="189"/>
      <c r="BE403" s="189"/>
    </row>
    <row r="404" spans="1:57" s="130" customFormat="1" ht="12" customHeight="1" x14ac:dyDescent="0.35">
      <c r="A404" s="121"/>
      <c r="B404" s="121"/>
      <c r="C404" s="121"/>
      <c r="D404" s="121"/>
      <c r="E404" s="122"/>
      <c r="F404" s="123"/>
      <c r="G404" s="123"/>
      <c r="H404" s="123"/>
      <c r="I404" s="156"/>
      <c r="J404" s="129"/>
      <c r="K404" s="157"/>
      <c r="L404" s="157"/>
      <c r="M404" s="125"/>
      <c r="N404" s="126"/>
      <c r="O404" s="125"/>
      <c r="P404" s="126"/>
      <c r="Q404" s="126"/>
      <c r="R404" s="126"/>
      <c r="S404" s="126"/>
      <c r="T404" s="126"/>
      <c r="U404" s="126"/>
      <c r="V404" s="126"/>
      <c r="W404" s="126"/>
      <c r="X404" s="126"/>
      <c r="Y404" s="126"/>
      <c r="Z404" s="126"/>
      <c r="AA404" s="125"/>
      <c r="AB404" s="343"/>
      <c r="AC404" s="125"/>
      <c r="AD404" s="125"/>
      <c r="AE404" s="126"/>
      <c r="AF404" s="126"/>
      <c r="AG404" s="126"/>
      <c r="AH404" s="126"/>
      <c r="AI404" s="169"/>
      <c r="AJ404" s="126"/>
      <c r="AK404" s="126"/>
      <c r="AL404" s="126"/>
      <c r="AM404" s="126"/>
      <c r="AN404" s="126"/>
      <c r="AO404" s="126"/>
      <c r="AP404" s="129"/>
      <c r="AQ404" s="203"/>
      <c r="AR404" s="203"/>
      <c r="AS404" s="238"/>
      <c r="AT404" s="203"/>
      <c r="AU404" s="129"/>
      <c r="AV404" s="129"/>
      <c r="AW404" s="129"/>
      <c r="AX404" s="129"/>
      <c r="AY404" s="129"/>
      <c r="AZ404" s="129"/>
      <c r="BA404" s="129"/>
      <c r="BB404" s="129"/>
      <c r="BC404" s="129"/>
      <c r="BD404" s="129"/>
      <c r="BE404" s="129"/>
    </row>
    <row r="405" spans="1:57" s="191" customFormat="1" ht="12" customHeight="1" x14ac:dyDescent="0.35">
      <c r="A405" s="182"/>
      <c r="B405" s="182"/>
      <c r="C405" s="182"/>
      <c r="D405" s="182"/>
      <c r="E405" s="183"/>
      <c r="F405" s="184"/>
      <c r="G405" s="184"/>
      <c r="H405" s="184"/>
      <c r="I405" s="192"/>
      <c r="J405" s="189"/>
      <c r="K405" s="193"/>
      <c r="L405" s="193"/>
      <c r="M405" s="186"/>
      <c r="N405" s="187"/>
      <c r="O405" s="186"/>
      <c r="P405" s="187"/>
      <c r="Q405" s="187"/>
      <c r="R405" s="187"/>
      <c r="S405" s="187"/>
      <c r="T405" s="187"/>
      <c r="U405" s="187"/>
      <c r="V405" s="187"/>
      <c r="W405" s="187"/>
      <c r="X405" s="187"/>
      <c r="Y405" s="187"/>
      <c r="Z405" s="187"/>
      <c r="AA405" s="186"/>
      <c r="AB405" s="342"/>
      <c r="AC405" s="186"/>
      <c r="AD405" s="186"/>
      <c r="AE405" s="187"/>
      <c r="AF405" s="187"/>
      <c r="AG405" s="187"/>
      <c r="AH405" s="187"/>
      <c r="AI405" s="194"/>
      <c r="AJ405" s="187"/>
      <c r="AK405" s="187"/>
      <c r="AL405" s="187"/>
      <c r="AM405" s="187"/>
      <c r="AN405" s="187"/>
      <c r="AO405" s="187"/>
      <c r="AP405" s="189"/>
      <c r="AQ405" s="202"/>
      <c r="AR405" s="202"/>
      <c r="AS405" s="237"/>
      <c r="AT405" s="202"/>
      <c r="AU405" s="189"/>
      <c r="AV405" s="189"/>
      <c r="AW405" s="189"/>
      <c r="AX405" s="189"/>
      <c r="AY405" s="189"/>
      <c r="AZ405" s="189"/>
      <c r="BA405" s="189"/>
      <c r="BB405" s="189"/>
      <c r="BC405" s="189"/>
      <c r="BD405" s="189"/>
      <c r="BE405" s="189"/>
    </row>
    <row r="406" spans="1:57" s="130" customFormat="1" ht="12" customHeight="1" x14ac:dyDescent="0.35">
      <c r="A406" s="121"/>
      <c r="B406" s="121"/>
      <c r="C406" s="121"/>
      <c r="D406" s="121"/>
      <c r="E406" s="122"/>
      <c r="F406" s="123"/>
      <c r="G406" s="123"/>
      <c r="H406" s="123"/>
      <c r="I406" s="156"/>
      <c r="J406" s="129"/>
      <c r="K406" s="157"/>
      <c r="L406" s="157"/>
      <c r="M406" s="125"/>
      <c r="N406" s="126"/>
      <c r="O406" s="125"/>
      <c r="P406" s="126"/>
      <c r="Q406" s="126"/>
      <c r="R406" s="126"/>
      <c r="S406" s="126"/>
      <c r="T406" s="126"/>
      <c r="U406" s="125"/>
      <c r="V406" s="125"/>
      <c r="W406" s="125"/>
      <c r="X406" s="125"/>
      <c r="Y406" s="125"/>
      <c r="Z406" s="125"/>
      <c r="AA406" s="125"/>
      <c r="AB406" s="343"/>
      <c r="AC406" s="125"/>
      <c r="AD406" s="125"/>
      <c r="AE406" s="126"/>
      <c r="AF406" s="126"/>
      <c r="AG406" s="126"/>
      <c r="AH406" s="126"/>
      <c r="AI406" s="169"/>
      <c r="AJ406" s="126"/>
      <c r="AK406" s="126"/>
      <c r="AL406" s="126"/>
      <c r="AM406" s="126"/>
      <c r="AN406" s="126"/>
      <c r="AO406" s="126"/>
      <c r="AP406" s="129"/>
      <c r="AQ406" s="203"/>
      <c r="AR406" s="203"/>
      <c r="AS406" s="238"/>
      <c r="AT406" s="203"/>
      <c r="AU406" s="129"/>
      <c r="AV406" s="129"/>
      <c r="AW406" s="129"/>
      <c r="AX406" s="129"/>
      <c r="AY406" s="129"/>
      <c r="AZ406" s="129"/>
      <c r="BA406" s="129"/>
      <c r="BB406" s="129"/>
      <c r="BC406" s="129"/>
      <c r="BD406" s="129"/>
      <c r="BE406" s="129"/>
    </row>
    <row r="407" spans="1:57" s="191" customFormat="1" ht="12" customHeight="1" x14ac:dyDescent="0.35">
      <c r="A407" s="182"/>
      <c r="B407" s="182"/>
      <c r="C407" s="182"/>
      <c r="D407" s="182"/>
      <c r="E407" s="183"/>
      <c r="F407" s="184"/>
      <c r="G407" s="184"/>
      <c r="H407" s="184"/>
      <c r="I407" s="192"/>
      <c r="J407" s="189"/>
      <c r="K407" s="193"/>
      <c r="L407" s="193"/>
      <c r="M407" s="186"/>
      <c r="N407" s="187"/>
      <c r="O407" s="186"/>
      <c r="P407" s="187"/>
      <c r="Q407" s="187"/>
      <c r="R407" s="187"/>
      <c r="S407" s="187"/>
      <c r="T407" s="187"/>
      <c r="U407" s="187"/>
      <c r="V407" s="187"/>
      <c r="W407" s="187"/>
      <c r="X407" s="187"/>
      <c r="Y407" s="187"/>
      <c r="Z407" s="187"/>
      <c r="AA407" s="186"/>
      <c r="AB407" s="342"/>
      <c r="AC407" s="186"/>
      <c r="AD407" s="186"/>
      <c r="AE407" s="187"/>
      <c r="AF407" s="187"/>
      <c r="AG407" s="187"/>
      <c r="AH407" s="187"/>
      <c r="AI407" s="194"/>
      <c r="AJ407" s="187"/>
      <c r="AK407" s="187"/>
      <c r="AL407" s="187"/>
      <c r="AM407" s="187"/>
      <c r="AN407" s="187"/>
      <c r="AO407" s="187"/>
      <c r="AP407" s="189"/>
      <c r="AQ407" s="202"/>
      <c r="AR407" s="202"/>
      <c r="AS407" s="237"/>
      <c r="AT407" s="202"/>
      <c r="AU407" s="189"/>
      <c r="AV407" s="201"/>
      <c r="AW407" s="189"/>
      <c r="AX407" s="189"/>
      <c r="AY407" s="189"/>
      <c r="AZ407" s="189"/>
      <c r="BA407" s="189"/>
      <c r="BB407" s="189"/>
      <c r="BC407" s="189"/>
      <c r="BD407" s="189"/>
      <c r="BE407" s="189"/>
    </row>
    <row r="408" spans="1:57" s="130" customFormat="1" ht="12" customHeight="1" x14ac:dyDescent="0.35">
      <c r="A408" s="121"/>
      <c r="B408" s="121"/>
      <c r="C408" s="121"/>
      <c r="D408" s="121"/>
      <c r="E408" s="122"/>
      <c r="F408" s="123"/>
      <c r="G408" s="123"/>
      <c r="H408" s="123"/>
      <c r="I408" s="156"/>
      <c r="J408" s="129"/>
      <c r="K408" s="157"/>
      <c r="L408" s="157"/>
      <c r="M408" s="125"/>
      <c r="N408" s="126"/>
      <c r="O408" s="125"/>
      <c r="P408" s="126"/>
      <c r="Q408" s="126"/>
      <c r="R408" s="126"/>
      <c r="S408" s="126"/>
      <c r="T408" s="126"/>
      <c r="U408" s="126"/>
      <c r="V408" s="126"/>
      <c r="W408" s="126"/>
      <c r="X408" s="126"/>
      <c r="Y408" s="126"/>
      <c r="Z408" s="126"/>
      <c r="AA408" s="125"/>
      <c r="AB408" s="343"/>
      <c r="AC408" s="125"/>
      <c r="AD408" s="125"/>
      <c r="AE408" s="126"/>
      <c r="AF408" s="126"/>
      <c r="AG408" s="126"/>
      <c r="AH408" s="126"/>
      <c r="AI408" s="169"/>
      <c r="AJ408" s="126"/>
      <c r="AK408" s="126"/>
      <c r="AL408" s="126"/>
      <c r="AM408" s="126"/>
      <c r="AN408" s="126"/>
      <c r="AO408" s="126"/>
      <c r="AP408" s="129"/>
      <c r="AQ408" s="203"/>
      <c r="AR408" s="203"/>
      <c r="AS408" s="238"/>
      <c r="AT408" s="203"/>
      <c r="AU408" s="129"/>
      <c r="AV408" s="129"/>
      <c r="AW408" s="129"/>
      <c r="AX408" s="129"/>
      <c r="AY408" s="129"/>
      <c r="AZ408" s="129"/>
      <c r="BA408" s="129"/>
      <c r="BB408" s="129"/>
      <c r="BC408" s="129"/>
      <c r="BD408" s="129"/>
      <c r="BE408" s="129"/>
    </row>
    <row r="409" spans="1:57" s="191" customFormat="1" ht="12" customHeight="1" x14ac:dyDescent="0.35">
      <c r="A409" s="182"/>
      <c r="B409" s="182"/>
      <c r="C409" s="182"/>
      <c r="D409" s="182"/>
      <c r="E409" s="183"/>
      <c r="F409" s="184"/>
      <c r="G409" s="184"/>
      <c r="H409" s="184"/>
      <c r="I409" s="192"/>
      <c r="J409" s="189"/>
      <c r="K409" s="193"/>
      <c r="L409" s="193"/>
      <c r="M409" s="186"/>
      <c r="N409" s="187"/>
      <c r="O409" s="186"/>
      <c r="P409" s="187"/>
      <c r="Q409" s="187"/>
      <c r="R409" s="187"/>
      <c r="S409" s="187"/>
      <c r="T409" s="187"/>
      <c r="U409" s="187"/>
      <c r="V409" s="187"/>
      <c r="W409" s="187"/>
      <c r="X409" s="187"/>
      <c r="Y409" s="187"/>
      <c r="Z409" s="187"/>
      <c r="AA409" s="186"/>
      <c r="AB409" s="342"/>
      <c r="AC409" s="186"/>
      <c r="AD409" s="186"/>
      <c r="AE409" s="187"/>
      <c r="AF409" s="187"/>
      <c r="AG409" s="187"/>
      <c r="AH409" s="187"/>
      <c r="AI409" s="194"/>
      <c r="AJ409" s="187"/>
      <c r="AK409" s="187"/>
      <c r="AL409" s="187"/>
      <c r="AM409" s="187"/>
      <c r="AN409" s="187"/>
      <c r="AO409" s="187"/>
      <c r="AP409" s="189"/>
      <c r="AQ409" s="202"/>
      <c r="AR409" s="202"/>
      <c r="AS409" s="237"/>
      <c r="AT409" s="202"/>
      <c r="AU409" s="189"/>
      <c r="AV409" s="189"/>
      <c r="AW409" s="189"/>
      <c r="AX409" s="189"/>
      <c r="AY409" s="189"/>
      <c r="AZ409" s="189"/>
      <c r="BA409" s="189"/>
      <c r="BB409" s="189"/>
      <c r="BC409" s="189"/>
      <c r="BD409" s="189"/>
      <c r="BE409" s="189"/>
    </row>
    <row r="410" spans="1:57" s="130" customFormat="1" ht="12" customHeight="1" x14ac:dyDescent="0.35">
      <c r="A410" s="121"/>
      <c r="B410" s="121"/>
      <c r="C410" s="121"/>
      <c r="D410" s="121"/>
      <c r="E410" s="122"/>
      <c r="F410" s="123"/>
      <c r="G410" s="123"/>
      <c r="H410" s="123"/>
      <c r="I410" s="156"/>
      <c r="J410" s="129"/>
      <c r="K410" s="157"/>
      <c r="L410" s="157"/>
      <c r="M410" s="125"/>
      <c r="N410" s="126"/>
      <c r="O410" s="125"/>
      <c r="P410" s="126"/>
      <c r="Q410" s="126"/>
      <c r="R410" s="126"/>
      <c r="S410" s="126"/>
      <c r="T410" s="126"/>
      <c r="U410" s="125"/>
      <c r="V410" s="125"/>
      <c r="W410" s="125"/>
      <c r="X410" s="125"/>
      <c r="Y410" s="125"/>
      <c r="Z410" s="125"/>
      <c r="AA410" s="125"/>
      <c r="AB410" s="343"/>
      <c r="AC410" s="125"/>
      <c r="AD410" s="125"/>
      <c r="AE410" s="126"/>
      <c r="AF410" s="126"/>
      <c r="AG410" s="126"/>
      <c r="AH410" s="126"/>
      <c r="AI410" s="169"/>
      <c r="AJ410" s="126"/>
      <c r="AK410" s="126"/>
      <c r="AL410" s="126"/>
      <c r="AM410" s="126"/>
      <c r="AN410" s="126"/>
      <c r="AO410" s="126"/>
      <c r="AP410" s="129"/>
      <c r="AQ410" s="203"/>
      <c r="AR410" s="203"/>
      <c r="AS410" s="238"/>
      <c r="AT410" s="203"/>
      <c r="AU410" s="129"/>
      <c r="AV410" s="129"/>
      <c r="AW410" s="129"/>
      <c r="AX410" s="129"/>
      <c r="AY410" s="129"/>
      <c r="AZ410" s="129"/>
      <c r="BA410" s="129"/>
      <c r="BB410" s="129"/>
      <c r="BC410" s="129"/>
      <c r="BD410" s="129"/>
      <c r="BE410" s="129"/>
    </row>
    <row r="411" spans="1:57" s="191" customFormat="1" ht="12" customHeight="1" x14ac:dyDescent="0.35">
      <c r="A411" s="182"/>
      <c r="B411" s="182"/>
      <c r="C411" s="182"/>
      <c r="D411" s="182"/>
      <c r="E411" s="183"/>
      <c r="F411" s="184"/>
      <c r="G411" s="184"/>
      <c r="H411" s="184"/>
      <c r="I411" s="192"/>
      <c r="J411" s="189"/>
      <c r="K411" s="193"/>
      <c r="L411" s="193"/>
      <c r="M411" s="186"/>
      <c r="N411" s="187"/>
      <c r="O411" s="186"/>
      <c r="P411" s="187"/>
      <c r="Q411" s="187"/>
      <c r="R411" s="187"/>
      <c r="S411" s="187"/>
      <c r="T411" s="187"/>
      <c r="U411" s="187"/>
      <c r="V411" s="187"/>
      <c r="W411" s="187"/>
      <c r="X411" s="187"/>
      <c r="Y411" s="187"/>
      <c r="Z411" s="187"/>
      <c r="AA411" s="186"/>
      <c r="AB411" s="342"/>
      <c r="AC411" s="186"/>
      <c r="AD411" s="186"/>
      <c r="AE411" s="187"/>
      <c r="AF411" s="187"/>
      <c r="AG411" s="187"/>
      <c r="AH411" s="187"/>
      <c r="AI411" s="194"/>
      <c r="AJ411" s="187"/>
      <c r="AK411" s="187"/>
      <c r="AL411" s="187"/>
      <c r="AM411" s="187"/>
      <c r="AN411" s="187"/>
      <c r="AO411" s="187"/>
      <c r="AP411" s="189"/>
      <c r="AQ411" s="202"/>
      <c r="AR411" s="202"/>
      <c r="AS411" s="237"/>
      <c r="AT411" s="202"/>
      <c r="AU411" s="189"/>
      <c r="AV411" s="201"/>
      <c r="AW411" s="189"/>
      <c r="AX411" s="189"/>
      <c r="AY411" s="189"/>
      <c r="AZ411" s="189"/>
      <c r="BA411" s="189"/>
      <c r="BB411" s="189"/>
      <c r="BC411" s="189"/>
      <c r="BD411" s="189"/>
      <c r="BE411" s="189"/>
    </row>
    <row r="412" spans="1:57" s="130" customFormat="1" ht="12" customHeight="1" x14ac:dyDescent="0.35">
      <c r="A412" s="121"/>
      <c r="B412" s="121"/>
      <c r="C412" s="121"/>
      <c r="D412" s="121"/>
      <c r="E412" s="122"/>
      <c r="F412" s="123"/>
      <c r="G412" s="123"/>
      <c r="H412" s="123"/>
      <c r="I412" s="156"/>
      <c r="J412" s="129"/>
      <c r="K412" s="157"/>
      <c r="L412" s="157"/>
      <c r="M412" s="125"/>
      <c r="N412" s="126"/>
      <c r="O412" s="125"/>
      <c r="P412" s="126"/>
      <c r="Q412" s="126"/>
      <c r="R412" s="126"/>
      <c r="S412" s="126"/>
      <c r="T412" s="126"/>
      <c r="U412" s="126"/>
      <c r="V412" s="126"/>
      <c r="W412" s="126"/>
      <c r="X412" s="126"/>
      <c r="Y412" s="126"/>
      <c r="Z412" s="126"/>
      <c r="AA412" s="125"/>
      <c r="AB412" s="343"/>
      <c r="AC412" s="125"/>
      <c r="AD412" s="125"/>
      <c r="AE412" s="126"/>
      <c r="AF412" s="126"/>
      <c r="AG412" s="126"/>
      <c r="AH412" s="126"/>
      <c r="AI412" s="169"/>
      <c r="AJ412" s="126"/>
      <c r="AK412" s="126"/>
      <c r="AL412" s="126"/>
      <c r="AM412" s="126"/>
      <c r="AN412" s="126"/>
      <c r="AO412" s="126"/>
      <c r="AP412" s="129"/>
      <c r="AQ412" s="203"/>
      <c r="AR412" s="203"/>
      <c r="AS412" s="238"/>
      <c r="AT412" s="203"/>
      <c r="AU412" s="129"/>
      <c r="AV412" s="129"/>
      <c r="AW412" s="129"/>
      <c r="AX412" s="129"/>
      <c r="AY412" s="129"/>
      <c r="AZ412" s="129"/>
      <c r="BA412" s="129"/>
      <c r="BB412" s="129"/>
      <c r="BC412" s="129"/>
      <c r="BD412" s="129"/>
      <c r="BE412" s="129"/>
    </row>
    <row r="413" spans="1:57" s="191" customFormat="1" ht="12" customHeight="1" x14ac:dyDescent="0.35">
      <c r="A413" s="182"/>
      <c r="B413" s="182"/>
      <c r="C413" s="182"/>
      <c r="D413" s="182"/>
      <c r="E413" s="183"/>
      <c r="F413" s="184"/>
      <c r="G413" s="184"/>
      <c r="H413" s="184"/>
      <c r="I413" s="192"/>
      <c r="J413" s="189"/>
      <c r="K413" s="193"/>
      <c r="L413" s="193"/>
      <c r="M413" s="186"/>
      <c r="N413" s="187"/>
      <c r="O413" s="186"/>
      <c r="P413" s="187"/>
      <c r="Q413" s="187"/>
      <c r="R413" s="187"/>
      <c r="S413" s="187"/>
      <c r="T413" s="187"/>
      <c r="U413" s="187"/>
      <c r="V413" s="187"/>
      <c r="W413" s="187"/>
      <c r="X413" s="187"/>
      <c r="Y413" s="187"/>
      <c r="Z413" s="187"/>
      <c r="AA413" s="186"/>
      <c r="AB413" s="342"/>
      <c r="AC413" s="186"/>
      <c r="AD413" s="186"/>
      <c r="AE413" s="187"/>
      <c r="AF413" s="187"/>
      <c r="AG413" s="187"/>
      <c r="AH413" s="187"/>
      <c r="AI413" s="194"/>
      <c r="AJ413" s="187"/>
      <c r="AK413" s="187"/>
      <c r="AL413" s="187"/>
      <c r="AM413" s="187"/>
      <c r="AN413" s="187"/>
      <c r="AO413" s="187"/>
      <c r="AP413" s="189"/>
      <c r="AQ413" s="202"/>
      <c r="AR413" s="202"/>
      <c r="AS413" s="237"/>
      <c r="AT413" s="202"/>
      <c r="AU413" s="189"/>
      <c r="AV413" s="189"/>
      <c r="AW413" s="189"/>
      <c r="AX413" s="189"/>
      <c r="AY413" s="189"/>
      <c r="AZ413" s="189"/>
      <c r="BA413" s="189"/>
      <c r="BB413" s="189"/>
      <c r="BC413" s="189"/>
      <c r="BD413" s="189"/>
      <c r="BE413" s="189"/>
    </row>
    <row r="414" spans="1:57" s="130" customFormat="1" ht="12" customHeight="1" x14ac:dyDescent="0.35">
      <c r="A414" s="121"/>
      <c r="B414" s="121"/>
      <c r="C414" s="121"/>
      <c r="D414" s="121"/>
      <c r="E414" s="122"/>
      <c r="F414" s="123"/>
      <c r="G414" s="123"/>
      <c r="H414" s="123"/>
      <c r="I414" s="156"/>
      <c r="J414" s="129"/>
      <c r="K414" s="157"/>
      <c r="L414" s="157"/>
      <c r="M414" s="125"/>
      <c r="N414" s="126"/>
      <c r="O414" s="125"/>
      <c r="P414" s="126"/>
      <c r="Q414" s="126"/>
      <c r="R414" s="126"/>
      <c r="S414" s="126"/>
      <c r="T414" s="126"/>
      <c r="U414" s="125"/>
      <c r="V414" s="125"/>
      <c r="W414" s="125"/>
      <c r="X414" s="125"/>
      <c r="Y414" s="125"/>
      <c r="Z414" s="125"/>
      <c r="AA414" s="125"/>
      <c r="AB414" s="343"/>
      <c r="AC414" s="125"/>
      <c r="AD414" s="125"/>
      <c r="AE414" s="126"/>
      <c r="AF414" s="126"/>
      <c r="AG414" s="126"/>
      <c r="AH414" s="126"/>
      <c r="AI414" s="169"/>
      <c r="AJ414" s="126"/>
      <c r="AK414" s="126"/>
      <c r="AL414" s="126"/>
      <c r="AM414" s="126"/>
      <c r="AN414" s="126"/>
      <c r="AO414" s="126"/>
      <c r="AP414" s="129"/>
      <c r="AQ414" s="203"/>
      <c r="AR414" s="203"/>
      <c r="AS414" s="238"/>
      <c r="AT414" s="203"/>
      <c r="AU414" s="129"/>
      <c r="AV414" s="129"/>
      <c r="AW414" s="129"/>
      <c r="AX414" s="129"/>
      <c r="AY414" s="129"/>
      <c r="AZ414" s="129"/>
      <c r="BA414" s="129"/>
      <c r="BB414" s="129"/>
      <c r="BC414" s="129"/>
      <c r="BD414" s="129"/>
      <c r="BE414" s="129"/>
    </row>
    <row r="415" spans="1:57" s="191" customFormat="1" ht="12" customHeight="1" x14ac:dyDescent="0.35">
      <c r="A415" s="182"/>
      <c r="B415" s="182"/>
      <c r="C415" s="182"/>
      <c r="D415" s="182"/>
      <c r="E415" s="183"/>
      <c r="F415" s="184"/>
      <c r="G415" s="184"/>
      <c r="H415" s="184"/>
      <c r="I415" s="192"/>
      <c r="J415" s="189"/>
      <c r="K415" s="193"/>
      <c r="L415" s="193"/>
      <c r="M415" s="186"/>
      <c r="N415" s="187"/>
      <c r="O415" s="186"/>
      <c r="P415" s="187"/>
      <c r="Q415" s="187"/>
      <c r="R415" s="187"/>
      <c r="S415" s="187"/>
      <c r="T415" s="187"/>
      <c r="U415" s="187"/>
      <c r="V415" s="187"/>
      <c r="W415" s="187"/>
      <c r="X415" s="187"/>
      <c r="Y415" s="187"/>
      <c r="Z415" s="187"/>
      <c r="AA415" s="186"/>
      <c r="AB415" s="342"/>
      <c r="AC415" s="186"/>
      <c r="AD415" s="186"/>
      <c r="AE415" s="187"/>
      <c r="AF415" s="187"/>
      <c r="AG415" s="187"/>
      <c r="AH415" s="187"/>
      <c r="AI415" s="194"/>
      <c r="AJ415" s="187"/>
      <c r="AK415" s="187"/>
      <c r="AL415" s="187"/>
      <c r="AM415" s="187"/>
      <c r="AN415" s="187"/>
      <c r="AO415" s="187"/>
      <c r="AP415" s="189"/>
      <c r="AQ415" s="202"/>
      <c r="AR415" s="202"/>
      <c r="AS415" s="237"/>
      <c r="AT415" s="202"/>
      <c r="AU415" s="189"/>
      <c r="AV415" s="201"/>
      <c r="AW415" s="189"/>
      <c r="AX415" s="189"/>
      <c r="AY415" s="189"/>
      <c r="AZ415" s="189"/>
      <c r="BA415" s="189"/>
      <c r="BB415" s="189"/>
      <c r="BC415" s="189"/>
      <c r="BD415" s="189"/>
      <c r="BE415" s="189"/>
    </row>
    <row r="416" spans="1:57" s="130" customFormat="1" ht="12" customHeight="1" x14ac:dyDescent="0.35">
      <c r="A416" s="121"/>
      <c r="B416" s="121"/>
      <c r="C416" s="121"/>
      <c r="D416" s="121"/>
      <c r="E416" s="122"/>
      <c r="F416" s="123"/>
      <c r="G416" s="123"/>
      <c r="H416" s="123"/>
      <c r="I416" s="156"/>
      <c r="J416" s="129"/>
      <c r="K416" s="157"/>
      <c r="L416" s="157"/>
      <c r="M416" s="125"/>
      <c r="N416" s="126"/>
      <c r="O416" s="125"/>
      <c r="P416" s="126"/>
      <c r="Q416" s="126"/>
      <c r="R416" s="126"/>
      <c r="S416" s="126"/>
      <c r="T416" s="126"/>
      <c r="U416" s="126"/>
      <c r="V416" s="126"/>
      <c r="W416" s="126"/>
      <c r="X416" s="126"/>
      <c r="Y416" s="126"/>
      <c r="Z416" s="126"/>
      <c r="AA416" s="125"/>
      <c r="AB416" s="343"/>
      <c r="AC416" s="125"/>
      <c r="AD416" s="125"/>
      <c r="AE416" s="126"/>
      <c r="AF416" s="126"/>
      <c r="AG416" s="126"/>
      <c r="AH416" s="126"/>
      <c r="AI416" s="169"/>
      <c r="AJ416" s="126"/>
      <c r="AK416" s="126"/>
      <c r="AL416" s="126"/>
      <c r="AM416" s="126"/>
      <c r="AN416" s="126"/>
      <c r="AO416" s="126"/>
      <c r="AP416" s="129"/>
      <c r="AQ416" s="203"/>
      <c r="AR416" s="203"/>
      <c r="AS416" s="238"/>
      <c r="AT416" s="203"/>
      <c r="AU416" s="129"/>
      <c r="AV416" s="129"/>
      <c r="AW416" s="129"/>
      <c r="AX416" s="129"/>
      <c r="AY416" s="129"/>
      <c r="AZ416" s="129"/>
      <c r="BA416" s="129"/>
      <c r="BB416" s="129"/>
      <c r="BC416" s="129"/>
      <c r="BD416" s="129"/>
      <c r="BE416" s="129"/>
    </row>
    <row r="417" spans="1:57" s="191" customFormat="1" ht="12" customHeight="1" x14ac:dyDescent="0.35">
      <c r="A417" s="182"/>
      <c r="B417" s="182"/>
      <c r="C417" s="182"/>
      <c r="D417" s="182"/>
      <c r="E417" s="183"/>
      <c r="F417" s="184"/>
      <c r="G417" s="184"/>
      <c r="H417" s="184"/>
      <c r="I417" s="192"/>
      <c r="J417" s="189"/>
      <c r="K417" s="193"/>
      <c r="L417" s="193"/>
      <c r="M417" s="186"/>
      <c r="N417" s="187"/>
      <c r="O417" s="186"/>
      <c r="P417" s="187"/>
      <c r="Q417" s="187"/>
      <c r="R417" s="187"/>
      <c r="S417" s="187"/>
      <c r="T417" s="187"/>
      <c r="U417" s="187"/>
      <c r="V417" s="187"/>
      <c r="W417" s="187"/>
      <c r="X417" s="187"/>
      <c r="Y417" s="187"/>
      <c r="Z417" s="187"/>
      <c r="AA417" s="186"/>
      <c r="AB417" s="342"/>
      <c r="AC417" s="186"/>
      <c r="AD417" s="186"/>
      <c r="AE417" s="187"/>
      <c r="AF417" s="187"/>
      <c r="AG417" s="187"/>
      <c r="AH417" s="187"/>
      <c r="AI417" s="194"/>
      <c r="AJ417" s="187"/>
      <c r="AK417" s="187"/>
      <c r="AL417" s="187"/>
      <c r="AM417" s="187"/>
      <c r="AN417" s="187"/>
      <c r="AO417" s="187"/>
      <c r="AP417" s="189"/>
      <c r="AQ417" s="202"/>
      <c r="AR417" s="202"/>
      <c r="AS417" s="237"/>
      <c r="AT417" s="202"/>
      <c r="AU417" s="189"/>
      <c r="AV417" s="189"/>
      <c r="AW417" s="189"/>
      <c r="AX417" s="189"/>
      <c r="AY417" s="189"/>
      <c r="AZ417" s="189"/>
      <c r="BA417" s="189"/>
      <c r="BB417" s="189"/>
      <c r="BC417" s="189"/>
      <c r="BD417" s="189"/>
      <c r="BE417" s="189"/>
    </row>
    <row r="418" spans="1:57" s="130" customFormat="1" ht="12" customHeight="1" x14ac:dyDescent="0.35">
      <c r="A418" s="121"/>
      <c r="B418" s="121"/>
      <c r="C418" s="121"/>
      <c r="D418" s="121"/>
      <c r="E418" s="122"/>
      <c r="F418" s="123"/>
      <c r="G418" s="123"/>
      <c r="H418" s="123"/>
      <c r="I418" s="156"/>
      <c r="J418" s="129"/>
      <c r="K418" s="157"/>
      <c r="L418" s="157"/>
      <c r="M418" s="125"/>
      <c r="N418" s="126"/>
      <c r="O418" s="125"/>
      <c r="P418" s="126"/>
      <c r="Q418" s="126"/>
      <c r="R418" s="126"/>
      <c r="S418" s="126"/>
      <c r="T418" s="126"/>
      <c r="U418" s="125"/>
      <c r="V418" s="125"/>
      <c r="W418" s="125"/>
      <c r="X418" s="125"/>
      <c r="Y418" s="125"/>
      <c r="Z418" s="125"/>
      <c r="AA418" s="125"/>
      <c r="AB418" s="343"/>
      <c r="AC418" s="125"/>
      <c r="AD418" s="125"/>
      <c r="AE418" s="126"/>
      <c r="AF418" s="126"/>
      <c r="AG418" s="126"/>
      <c r="AH418" s="126"/>
      <c r="AI418" s="169"/>
      <c r="AJ418" s="126"/>
      <c r="AK418" s="126"/>
      <c r="AL418" s="126"/>
      <c r="AM418" s="126"/>
      <c r="AN418" s="126"/>
      <c r="AO418" s="126"/>
      <c r="AP418" s="129"/>
      <c r="AQ418" s="203"/>
      <c r="AR418" s="203"/>
      <c r="AS418" s="238"/>
      <c r="AT418" s="203"/>
      <c r="AU418" s="129"/>
      <c r="AV418" s="129"/>
      <c r="AW418" s="129"/>
      <c r="AX418" s="129"/>
      <c r="AY418" s="129"/>
      <c r="AZ418" s="129"/>
      <c r="BA418" s="129"/>
      <c r="BB418" s="129"/>
      <c r="BC418" s="129"/>
      <c r="BD418" s="129"/>
      <c r="BE418" s="129"/>
    </row>
    <row r="419" spans="1:57" s="191" customFormat="1" ht="12" customHeight="1" x14ac:dyDescent="0.35">
      <c r="A419" s="182"/>
      <c r="B419" s="182"/>
      <c r="C419" s="182"/>
      <c r="D419" s="182"/>
      <c r="E419" s="183"/>
      <c r="F419" s="184"/>
      <c r="G419" s="184"/>
      <c r="H419" s="184"/>
      <c r="I419" s="192"/>
      <c r="J419" s="189"/>
      <c r="K419" s="193"/>
      <c r="L419" s="193"/>
      <c r="M419" s="186"/>
      <c r="N419" s="187"/>
      <c r="O419" s="186"/>
      <c r="P419" s="187"/>
      <c r="Q419" s="187"/>
      <c r="R419" s="187"/>
      <c r="S419" s="187"/>
      <c r="T419" s="187"/>
      <c r="U419" s="187"/>
      <c r="V419" s="187"/>
      <c r="W419" s="187"/>
      <c r="X419" s="187"/>
      <c r="Y419" s="187"/>
      <c r="Z419" s="187"/>
      <c r="AA419" s="186"/>
      <c r="AB419" s="342"/>
      <c r="AC419" s="186"/>
      <c r="AD419" s="186"/>
      <c r="AE419" s="187"/>
      <c r="AF419" s="187"/>
      <c r="AG419" s="187"/>
      <c r="AH419" s="187"/>
      <c r="AI419" s="194"/>
      <c r="AJ419" s="187"/>
      <c r="AK419" s="187"/>
      <c r="AL419" s="187"/>
      <c r="AM419" s="187"/>
      <c r="AN419" s="187"/>
      <c r="AO419" s="187"/>
      <c r="AP419" s="189"/>
      <c r="AQ419" s="202"/>
      <c r="AR419" s="202"/>
      <c r="AS419" s="237"/>
      <c r="AT419" s="202"/>
      <c r="AU419" s="189"/>
      <c r="AV419" s="201"/>
      <c r="AW419" s="189"/>
      <c r="AX419" s="189"/>
      <c r="AY419" s="189"/>
      <c r="AZ419" s="189"/>
      <c r="BA419" s="189"/>
      <c r="BB419" s="189"/>
      <c r="BC419" s="189"/>
      <c r="BD419" s="189"/>
      <c r="BE419" s="189"/>
    </row>
    <row r="420" spans="1:57" s="130" customFormat="1" ht="12" customHeight="1" x14ac:dyDescent="0.35">
      <c r="A420" s="121"/>
      <c r="B420" s="121"/>
      <c r="C420" s="121"/>
      <c r="D420" s="121"/>
      <c r="E420" s="122"/>
      <c r="F420" s="123"/>
      <c r="G420" s="123"/>
      <c r="H420" s="123"/>
      <c r="I420" s="156"/>
      <c r="J420" s="129"/>
      <c r="K420" s="157"/>
      <c r="L420" s="157"/>
      <c r="M420" s="125"/>
      <c r="N420" s="126"/>
      <c r="O420" s="125"/>
      <c r="P420" s="126"/>
      <c r="Q420" s="126"/>
      <c r="R420" s="126"/>
      <c r="S420" s="126"/>
      <c r="T420" s="126"/>
      <c r="U420" s="126"/>
      <c r="V420" s="126"/>
      <c r="W420" s="126"/>
      <c r="X420" s="126"/>
      <c r="Y420" s="126"/>
      <c r="Z420" s="126"/>
      <c r="AA420" s="125"/>
      <c r="AB420" s="343"/>
      <c r="AC420" s="125"/>
      <c r="AD420" s="125"/>
      <c r="AE420" s="126"/>
      <c r="AF420" s="126"/>
      <c r="AG420" s="126"/>
      <c r="AH420" s="126"/>
      <c r="AI420" s="169"/>
      <c r="AJ420" s="126"/>
      <c r="AK420" s="126"/>
      <c r="AL420" s="126"/>
      <c r="AM420" s="126"/>
      <c r="AN420" s="126"/>
      <c r="AO420" s="126"/>
      <c r="AP420" s="129"/>
      <c r="AQ420" s="203"/>
      <c r="AR420" s="203"/>
      <c r="AS420" s="238"/>
      <c r="AT420" s="203"/>
      <c r="AU420" s="129"/>
      <c r="AV420" s="129"/>
      <c r="AW420" s="129"/>
      <c r="AX420" s="129"/>
      <c r="AY420" s="129"/>
      <c r="AZ420" s="129"/>
      <c r="BA420" s="129"/>
      <c r="BB420" s="129"/>
      <c r="BC420" s="129"/>
      <c r="BD420" s="129"/>
      <c r="BE420" s="129"/>
    </row>
    <row r="421" spans="1:57" s="191" customFormat="1" ht="12" customHeight="1" x14ac:dyDescent="0.35">
      <c r="A421" s="182"/>
      <c r="B421" s="182"/>
      <c r="C421" s="182"/>
      <c r="D421" s="182"/>
      <c r="E421" s="183"/>
      <c r="F421" s="184"/>
      <c r="G421" s="184"/>
      <c r="H421" s="184"/>
      <c r="I421" s="192"/>
      <c r="J421" s="189"/>
      <c r="K421" s="193"/>
      <c r="L421" s="193"/>
      <c r="M421" s="186"/>
      <c r="N421" s="187"/>
      <c r="O421" s="186"/>
      <c r="P421" s="187"/>
      <c r="Q421" s="187"/>
      <c r="R421" s="187"/>
      <c r="S421" s="187"/>
      <c r="T421" s="187"/>
      <c r="U421" s="187"/>
      <c r="V421" s="187"/>
      <c r="W421" s="187"/>
      <c r="X421" s="187"/>
      <c r="Y421" s="187"/>
      <c r="Z421" s="187"/>
      <c r="AA421" s="186"/>
      <c r="AB421" s="342"/>
      <c r="AC421" s="186"/>
      <c r="AD421" s="186"/>
      <c r="AE421" s="187"/>
      <c r="AF421" s="187"/>
      <c r="AG421" s="187"/>
      <c r="AH421" s="187"/>
      <c r="AI421" s="194"/>
      <c r="AJ421" s="187"/>
      <c r="AK421" s="187"/>
      <c r="AL421" s="187"/>
      <c r="AM421" s="187"/>
      <c r="AN421" s="187"/>
      <c r="AO421" s="187"/>
      <c r="AP421" s="189"/>
      <c r="AQ421" s="202"/>
      <c r="AR421" s="202"/>
      <c r="AS421" s="237"/>
      <c r="AT421" s="202"/>
      <c r="AU421" s="189"/>
      <c r="AV421" s="189"/>
      <c r="AW421" s="189"/>
      <c r="AX421" s="189"/>
      <c r="AY421" s="189"/>
      <c r="AZ421" s="189"/>
      <c r="BA421" s="189"/>
      <c r="BB421" s="189"/>
      <c r="BC421" s="189"/>
      <c r="BD421" s="189"/>
      <c r="BE421" s="189"/>
    </row>
    <row r="422" spans="1:57" s="130" customFormat="1" ht="12" customHeight="1" x14ac:dyDescent="0.35">
      <c r="A422" s="121"/>
      <c r="B422" s="121"/>
      <c r="C422" s="121"/>
      <c r="D422" s="121"/>
      <c r="E422" s="122"/>
      <c r="F422" s="123"/>
      <c r="G422" s="123"/>
      <c r="H422" s="123"/>
      <c r="I422" s="156"/>
      <c r="J422" s="129"/>
      <c r="K422" s="157"/>
      <c r="L422" s="157"/>
      <c r="M422" s="125"/>
      <c r="N422" s="126"/>
      <c r="O422" s="125"/>
      <c r="P422" s="126"/>
      <c r="Q422" s="126"/>
      <c r="R422" s="126"/>
      <c r="S422" s="126"/>
      <c r="T422" s="126"/>
      <c r="U422" s="125"/>
      <c r="V422" s="125"/>
      <c r="W422" s="125"/>
      <c r="X422" s="125"/>
      <c r="Y422" s="125"/>
      <c r="Z422" s="125"/>
      <c r="AA422" s="125"/>
      <c r="AB422" s="343"/>
      <c r="AC422" s="125"/>
      <c r="AD422" s="125"/>
      <c r="AE422" s="126"/>
      <c r="AF422" s="126"/>
      <c r="AG422" s="126"/>
      <c r="AH422" s="126"/>
      <c r="AI422" s="169"/>
      <c r="AJ422" s="126"/>
      <c r="AK422" s="126"/>
      <c r="AL422" s="126"/>
      <c r="AM422" s="126"/>
      <c r="AN422" s="126"/>
      <c r="AO422" s="126"/>
      <c r="AP422" s="129"/>
      <c r="AQ422" s="203"/>
      <c r="AR422" s="203"/>
      <c r="AS422" s="238"/>
      <c r="AT422" s="203"/>
      <c r="AU422" s="129"/>
      <c r="AV422" s="129"/>
      <c r="AW422" s="129"/>
      <c r="AX422" s="129"/>
      <c r="AY422" s="129"/>
      <c r="AZ422" s="129"/>
      <c r="BA422" s="129"/>
      <c r="BB422" s="129"/>
      <c r="BC422" s="129"/>
      <c r="BD422" s="129"/>
      <c r="BE422" s="129"/>
    </row>
    <row r="423" spans="1:57" s="191" customFormat="1" ht="12" customHeight="1" x14ac:dyDescent="0.35">
      <c r="A423" s="182"/>
      <c r="B423" s="182"/>
      <c r="C423" s="182"/>
      <c r="D423" s="182"/>
      <c r="E423" s="183"/>
      <c r="F423" s="184"/>
      <c r="G423" s="184"/>
      <c r="H423" s="184"/>
      <c r="I423" s="192"/>
      <c r="J423" s="189"/>
      <c r="K423" s="193"/>
      <c r="L423" s="193"/>
      <c r="M423" s="186"/>
      <c r="N423" s="187"/>
      <c r="O423" s="186"/>
      <c r="P423" s="187"/>
      <c r="Q423" s="187"/>
      <c r="R423" s="187"/>
      <c r="S423" s="187"/>
      <c r="T423" s="187"/>
      <c r="U423" s="187"/>
      <c r="V423" s="187"/>
      <c r="W423" s="187"/>
      <c r="X423" s="187"/>
      <c r="Y423" s="187"/>
      <c r="Z423" s="187"/>
      <c r="AA423" s="186"/>
      <c r="AB423" s="342"/>
      <c r="AC423" s="186"/>
      <c r="AD423" s="186"/>
      <c r="AE423" s="187"/>
      <c r="AF423" s="187"/>
      <c r="AG423" s="187"/>
      <c r="AH423" s="187"/>
      <c r="AI423" s="194"/>
      <c r="AJ423" s="187"/>
      <c r="AK423" s="187"/>
      <c r="AL423" s="187"/>
      <c r="AM423" s="187"/>
      <c r="AN423" s="187"/>
      <c r="AO423" s="187"/>
      <c r="AP423" s="189"/>
      <c r="AQ423" s="202"/>
      <c r="AR423" s="202"/>
      <c r="AS423" s="237"/>
      <c r="AT423" s="202"/>
      <c r="AU423" s="189"/>
      <c r="AV423" s="201"/>
      <c r="AW423" s="189"/>
      <c r="AX423" s="189"/>
      <c r="AY423" s="189"/>
      <c r="AZ423" s="189"/>
      <c r="BA423" s="189"/>
      <c r="BB423" s="189"/>
      <c r="BC423" s="189"/>
      <c r="BD423" s="189"/>
      <c r="BE423" s="189"/>
    </row>
    <row r="424" spans="1:57" s="130" customFormat="1" ht="12" customHeight="1" x14ac:dyDescent="0.35">
      <c r="A424" s="121"/>
      <c r="B424" s="121"/>
      <c r="C424" s="121"/>
      <c r="D424" s="121"/>
      <c r="E424" s="122"/>
      <c r="F424" s="123"/>
      <c r="G424" s="123"/>
      <c r="H424" s="123"/>
      <c r="I424" s="156"/>
      <c r="J424" s="129"/>
      <c r="K424" s="157"/>
      <c r="L424" s="157"/>
      <c r="M424" s="125"/>
      <c r="N424" s="126"/>
      <c r="O424" s="125"/>
      <c r="P424" s="126"/>
      <c r="Q424" s="126"/>
      <c r="R424" s="126"/>
      <c r="S424" s="126"/>
      <c r="T424" s="126"/>
      <c r="U424" s="126"/>
      <c r="V424" s="126"/>
      <c r="W424" s="126"/>
      <c r="X424" s="126"/>
      <c r="Y424" s="126"/>
      <c r="Z424" s="126"/>
      <c r="AA424" s="125"/>
      <c r="AB424" s="343"/>
      <c r="AC424" s="125"/>
      <c r="AD424" s="125"/>
      <c r="AE424" s="126"/>
      <c r="AF424" s="126"/>
      <c r="AG424" s="126"/>
      <c r="AH424" s="126"/>
      <c r="AI424" s="169"/>
      <c r="AJ424" s="126"/>
      <c r="AK424" s="126"/>
      <c r="AL424" s="126"/>
      <c r="AM424" s="126"/>
      <c r="AN424" s="126"/>
      <c r="AO424" s="126"/>
      <c r="AP424" s="129"/>
      <c r="AQ424" s="203"/>
      <c r="AR424" s="203"/>
      <c r="AS424" s="238"/>
      <c r="AT424" s="203"/>
      <c r="AU424" s="129"/>
      <c r="AV424" s="129"/>
      <c r="AW424" s="129"/>
      <c r="AX424" s="129"/>
      <c r="AY424" s="129"/>
      <c r="AZ424" s="129"/>
      <c r="BA424" s="129"/>
      <c r="BB424" s="129"/>
      <c r="BC424" s="129"/>
      <c r="BD424" s="129"/>
      <c r="BE424" s="129"/>
    </row>
    <row r="425" spans="1:57" s="191" customFormat="1" ht="12" customHeight="1" x14ac:dyDescent="0.35">
      <c r="A425" s="182"/>
      <c r="B425" s="182"/>
      <c r="C425" s="182"/>
      <c r="D425" s="182"/>
      <c r="E425" s="183"/>
      <c r="F425" s="184"/>
      <c r="G425" s="184"/>
      <c r="H425" s="184"/>
      <c r="I425" s="192"/>
      <c r="J425" s="189"/>
      <c r="K425" s="193"/>
      <c r="L425" s="193"/>
      <c r="M425" s="186"/>
      <c r="N425" s="187"/>
      <c r="O425" s="186"/>
      <c r="P425" s="187"/>
      <c r="Q425" s="187"/>
      <c r="R425" s="187"/>
      <c r="S425" s="187"/>
      <c r="T425" s="187"/>
      <c r="U425" s="187"/>
      <c r="V425" s="187"/>
      <c r="W425" s="187"/>
      <c r="X425" s="187"/>
      <c r="Y425" s="187"/>
      <c r="Z425" s="187"/>
      <c r="AA425" s="186"/>
      <c r="AB425" s="342"/>
      <c r="AC425" s="186"/>
      <c r="AD425" s="186"/>
      <c r="AE425" s="187"/>
      <c r="AF425" s="187"/>
      <c r="AG425" s="187"/>
      <c r="AH425" s="187"/>
      <c r="AI425" s="194"/>
      <c r="AJ425" s="187"/>
      <c r="AK425" s="187"/>
      <c r="AL425" s="187"/>
      <c r="AM425" s="187"/>
      <c r="AN425" s="187"/>
      <c r="AO425" s="187"/>
      <c r="AP425" s="189"/>
      <c r="AQ425" s="202"/>
      <c r="AR425" s="202"/>
      <c r="AS425" s="237"/>
      <c r="AT425" s="202"/>
      <c r="AU425" s="189"/>
      <c r="AV425" s="189"/>
      <c r="AW425" s="189"/>
      <c r="AX425" s="189"/>
      <c r="AY425" s="189"/>
      <c r="AZ425" s="189"/>
      <c r="BA425" s="189"/>
      <c r="BB425" s="189"/>
      <c r="BC425" s="189"/>
      <c r="BD425" s="189"/>
      <c r="BE425" s="189"/>
    </row>
    <row r="426" spans="1:57" s="130" customFormat="1" ht="12" customHeight="1" x14ac:dyDescent="0.35">
      <c r="A426" s="121"/>
      <c r="B426" s="121"/>
      <c r="C426" s="121"/>
      <c r="D426" s="121"/>
      <c r="E426" s="122"/>
      <c r="F426" s="123"/>
      <c r="G426" s="123"/>
      <c r="H426" s="123"/>
      <c r="I426" s="156"/>
      <c r="J426" s="129"/>
      <c r="K426" s="157"/>
      <c r="L426" s="157"/>
      <c r="M426" s="125"/>
      <c r="N426" s="126"/>
      <c r="O426" s="125"/>
      <c r="P426" s="126"/>
      <c r="Q426" s="126"/>
      <c r="R426" s="126"/>
      <c r="S426" s="126"/>
      <c r="T426" s="126"/>
      <c r="U426" s="125"/>
      <c r="V426" s="125"/>
      <c r="W426" s="125"/>
      <c r="X426" s="125"/>
      <c r="Y426" s="125"/>
      <c r="Z426" s="125"/>
      <c r="AA426" s="125"/>
      <c r="AB426" s="343"/>
      <c r="AC426" s="125"/>
      <c r="AD426" s="125"/>
      <c r="AE426" s="126"/>
      <c r="AF426" s="126"/>
      <c r="AG426" s="126"/>
      <c r="AH426" s="126"/>
      <c r="AI426" s="169"/>
      <c r="AJ426" s="126"/>
      <c r="AK426" s="126"/>
      <c r="AL426" s="126"/>
      <c r="AM426" s="126"/>
      <c r="AN426" s="126"/>
      <c r="AO426" s="126"/>
      <c r="AP426" s="129"/>
      <c r="AQ426" s="203"/>
      <c r="AR426" s="203"/>
      <c r="AS426" s="238"/>
      <c r="AT426" s="203"/>
      <c r="AU426" s="129"/>
      <c r="AV426" s="129"/>
      <c r="AW426" s="129"/>
      <c r="AX426" s="129"/>
      <c r="AY426" s="129"/>
      <c r="AZ426" s="129"/>
      <c r="BA426" s="129"/>
      <c r="BB426" s="129"/>
      <c r="BC426" s="129"/>
      <c r="BD426" s="129"/>
      <c r="BE426" s="129"/>
    </row>
    <row r="427" spans="1:57" s="191" customFormat="1" ht="12" customHeight="1" x14ac:dyDescent="0.35">
      <c r="A427" s="182"/>
      <c r="B427" s="182"/>
      <c r="C427" s="182"/>
      <c r="D427" s="182"/>
      <c r="E427" s="183"/>
      <c r="F427" s="184"/>
      <c r="G427" s="184"/>
      <c r="H427" s="184"/>
      <c r="I427" s="192"/>
      <c r="J427" s="189"/>
      <c r="K427" s="193"/>
      <c r="L427" s="193"/>
      <c r="M427" s="186"/>
      <c r="N427" s="187"/>
      <c r="O427" s="186"/>
      <c r="P427" s="187"/>
      <c r="Q427" s="187"/>
      <c r="R427" s="187"/>
      <c r="S427" s="187"/>
      <c r="T427" s="187"/>
      <c r="U427" s="187"/>
      <c r="V427" s="187"/>
      <c r="W427" s="187"/>
      <c r="X427" s="187"/>
      <c r="Y427" s="187"/>
      <c r="Z427" s="187"/>
      <c r="AA427" s="186"/>
      <c r="AB427" s="342"/>
      <c r="AC427" s="186"/>
      <c r="AD427" s="186"/>
      <c r="AE427" s="187"/>
      <c r="AF427" s="187"/>
      <c r="AG427" s="187"/>
      <c r="AH427" s="187"/>
      <c r="AI427" s="194"/>
      <c r="AJ427" s="187"/>
      <c r="AK427" s="187"/>
      <c r="AL427" s="187"/>
      <c r="AM427" s="187"/>
      <c r="AN427" s="187"/>
      <c r="AO427" s="187"/>
      <c r="AP427" s="189"/>
      <c r="AQ427" s="202"/>
      <c r="AR427" s="202"/>
      <c r="AS427" s="237"/>
      <c r="AT427" s="202"/>
      <c r="AU427" s="189"/>
      <c r="AV427" s="201"/>
      <c r="AW427" s="189"/>
      <c r="AX427" s="189"/>
      <c r="AY427" s="189"/>
      <c r="AZ427" s="189"/>
      <c r="BA427" s="189"/>
      <c r="BB427" s="189"/>
      <c r="BC427" s="189"/>
      <c r="BD427" s="189"/>
      <c r="BE427" s="189"/>
    </row>
    <row r="428" spans="1:57" s="130" customFormat="1" ht="12" customHeight="1" x14ac:dyDescent="0.35">
      <c r="A428" s="121"/>
      <c r="B428" s="121"/>
      <c r="C428" s="121"/>
      <c r="D428" s="121"/>
      <c r="E428" s="122"/>
      <c r="F428" s="123"/>
      <c r="G428" s="123"/>
      <c r="H428" s="123"/>
      <c r="I428" s="156"/>
      <c r="J428" s="129"/>
      <c r="K428" s="157"/>
      <c r="L428" s="157"/>
      <c r="M428" s="125"/>
      <c r="N428" s="126"/>
      <c r="O428" s="125"/>
      <c r="P428" s="126"/>
      <c r="Q428" s="126"/>
      <c r="R428" s="126"/>
      <c r="S428" s="126"/>
      <c r="T428" s="126"/>
      <c r="U428" s="126"/>
      <c r="V428" s="126"/>
      <c r="W428" s="126"/>
      <c r="X428" s="126"/>
      <c r="Y428" s="126"/>
      <c r="Z428" s="126"/>
      <c r="AA428" s="125"/>
      <c r="AB428" s="343"/>
      <c r="AC428" s="125"/>
      <c r="AD428" s="125"/>
      <c r="AE428" s="126"/>
      <c r="AF428" s="126"/>
      <c r="AG428" s="126"/>
      <c r="AH428" s="126"/>
      <c r="AI428" s="169"/>
      <c r="AJ428" s="126"/>
      <c r="AK428" s="126"/>
      <c r="AL428" s="126"/>
      <c r="AM428" s="126"/>
      <c r="AN428" s="126"/>
      <c r="AO428" s="126"/>
      <c r="AP428" s="129"/>
      <c r="AQ428" s="203"/>
      <c r="AR428" s="203"/>
      <c r="AS428" s="238"/>
      <c r="AT428" s="203"/>
      <c r="AU428" s="129"/>
      <c r="AV428" s="129"/>
      <c r="AW428" s="129"/>
      <c r="AX428" s="129"/>
      <c r="AY428" s="129"/>
      <c r="AZ428" s="129"/>
      <c r="BA428" s="129"/>
      <c r="BB428" s="129"/>
      <c r="BC428" s="129"/>
      <c r="BD428" s="129"/>
      <c r="BE428" s="129"/>
    </row>
    <row r="429" spans="1:57" s="191" customFormat="1" ht="12" customHeight="1" x14ac:dyDescent="0.35">
      <c r="A429" s="182"/>
      <c r="B429" s="182"/>
      <c r="C429" s="182"/>
      <c r="D429" s="182"/>
      <c r="E429" s="183"/>
      <c r="F429" s="184"/>
      <c r="G429" s="184"/>
      <c r="H429" s="184"/>
      <c r="I429" s="192"/>
      <c r="J429" s="189"/>
      <c r="K429" s="193"/>
      <c r="L429" s="193"/>
      <c r="M429" s="186"/>
      <c r="N429" s="187"/>
      <c r="O429" s="186"/>
      <c r="P429" s="187"/>
      <c r="Q429" s="187"/>
      <c r="R429" s="187"/>
      <c r="S429" s="187"/>
      <c r="T429" s="187"/>
      <c r="U429" s="187"/>
      <c r="V429" s="187"/>
      <c r="W429" s="187"/>
      <c r="X429" s="187"/>
      <c r="Y429" s="187"/>
      <c r="Z429" s="187"/>
      <c r="AA429" s="186"/>
      <c r="AB429" s="342"/>
      <c r="AC429" s="186"/>
      <c r="AD429" s="186"/>
      <c r="AE429" s="187"/>
      <c r="AF429" s="187"/>
      <c r="AG429" s="187"/>
      <c r="AH429" s="187"/>
      <c r="AI429" s="194"/>
      <c r="AJ429" s="187"/>
      <c r="AK429" s="187"/>
      <c r="AL429" s="187"/>
      <c r="AM429" s="187"/>
      <c r="AN429" s="187"/>
      <c r="AO429" s="187"/>
      <c r="AP429" s="189"/>
      <c r="AQ429" s="202"/>
      <c r="AR429" s="202"/>
      <c r="AS429" s="237"/>
      <c r="AT429" s="202"/>
      <c r="AU429" s="189"/>
      <c r="AV429" s="189"/>
      <c r="AW429" s="189"/>
      <c r="AX429" s="189"/>
      <c r="AY429" s="189"/>
      <c r="AZ429" s="189"/>
      <c r="BA429" s="189"/>
      <c r="BB429" s="189"/>
      <c r="BC429" s="189"/>
      <c r="BD429" s="189"/>
      <c r="BE429" s="189"/>
    </row>
    <row r="430" spans="1:57" s="130" customFormat="1" ht="12" customHeight="1" x14ac:dyDescent="0.35">
      <c r="A430" s="121"/>
      <c r="B430" s="121"/>
      <c r="C430" s="121"/>
      <c r="D430" s="121"/>
      <c r="E430" s="122"/>
      <c r="F430" s="123"/>
      <c r="G430" s="123"/>
      <c r="H430" s="123"/>
      <c r="I430" s="156"/>
      <c r="J430" s="129"/>
      <c r="K430" s="157"/>
      <c r="L430" s="157"/>
      <c r="M430" s="125"/>
      <c r="N430" s="126"/>
      <c r="O430" s="125"/>
      <c r="P430" s="126"/>
      <c r="Q430" s="126"/>
      <c r="R430" s="126"/>
      <c r="S430" s="126"/>
      <c r="T430" s="126"/>
      <c r="U430" s="125"/>
      <c r="V430" s="125"/>
      <c r="W430" s="125"/>
      <c r="X430" s="125"/>
      <c r="Y430" s="125"/>
      <c r="Z430" s="125"/>
      <c r="AA430" s="125"/>
      <c r="AB430" s="343"/>
      <c r="AC430" s="125"/>
      <c r="AD430" s="125"/>
      <c r="AE430" s="126"/>
      <c r="AF430" s="126"/>
      <c r="AG430" s="126"/>
      <c r="AH430" s="126"/>
      <c r="AI430" s="169"/>
      <c r="AJ430" s="126"/>
      <c r="AK430" s="126"/>
      <c r="AL430" s="126"/>
      <c r="AM430" s="126"/>
      <c r="AN430" s="126"/>
      <c r="AO430" s="126"/>
      <c r="AP430" s="129"/>
      <c r="AQ430" s="203"/>
      <c r="AR430" s="203"/>
      <c r="AS430" s="238"/>
      <c r="AT430" s="203"/>
      <c r="AU430" s="129"/>
      <c r="AV430" s="129"/>
      <c r="AW430" s="129"/>
      <c r="AX430" s="129"/>
      <c r="AY430" s="129"/>
      <c r="AZ430" s="129"/>
      <c r="BA430" s="129"/>
      <c r="BB430" s="129"/>
      <c r="BC430" s="129"/>
      <c r="BD430" s="129"/>
      <c r="BE430" s="129"/>
    </row>
    <row r="431" spans="1:57" s="191" customFormat="1" ht="12" customHeight="1" x14ac:dyDescent="0.35">
      <c r="A431" s="182"/>
      <c r="B431" s="182"/>
      <c r="C431" s="182"/>
      <c r="D431" s="182"/>
      <c r="E431" s="183"/>
      <c r="F431" s="184"/>
      <c r="G431" s="184"/>
      <c r="H431" s="184"/>
      <c r="I431" s="192"/>
      <c r="J431" s="189"/>
      <c r="K431" s="193"/>
      <c r="L431" s="193"/>
      <c r="M431" s="186"/>
      <c r="N431" s="187"/>
      <c r="O431" s="186"/>
      <c r="P431" s="187"/>
      <c r="Q431" s="187"/>
      <c r="R431" s="187"/>
      <c r="S431" s="187"/>
      <c r="T431" s="187"/>
      <c r="U431" s="187"/>
      <c r="V431" s="187"/>
      <c r="W431" s="187"/>
      <c r="X431" s="187"/>
      <c r="Y431" s="187"/>
      <c r="Z431" s="187"/>
      <c r="AA431" s="186"/>
      <c r="AB431" s="342"/>
      <c r="AC431" s="186"/>
      <c r="AD431" s="186"/>
      <c r="AE431" s="187"/>
      <c r="AF431" s="187"/>
      <c r="AG431" s="187"/>
      <c r="AH431" s="187"/>
      <c r="AI431" s="194"/>
      <c r="AJ431" s="187"/>
      <c r="AK431" s="187"/>
      <c r="AL431" s="187"/>
      <c r="AM431" s="187"/>
      <c r="AN431" s="187"/>
      <c r="AO431" s="187"/>
      <c r="AP431" s="189"/>
      <c r="AQ431" s="202"/>
      <c r="AR431" s="202"/>
      <c r="AS431" s="237"/>
      <c r="AT431" s="202"/>
      <c r="AU431" s="189"/>
      <c r="AV431" s="201"/>
      <c r="AW431" s="189"/>
      <c r="AX431" s="189"/>
      <c r="AY431" s="189"/>
      <c r="AZ431" s="189"/>
      <c r="BA431" s="189"/>
      <c r="BB431" s="189"/>
      <c r="BC431" s="189"/>
      <c r="BD431" s="189"/>
      <c r="BE431" s="189"/>
    </row>
    <row r="432" spans="1:57" s="130" customFormat="1" ht="12" customHeight="1" x14ac:dyDescent="0.35">
      <c r="A432" s="121"/>
      <c r="B432" s="121"/>
      <c r="C432" s="121"/>
      <c r="D432" s="121"/>
      <c r="E432" s="122"/>
      <c r="F432" s="123"/>
      <c r="G432" s="123"/>
      <c r="H432" s="123"/>
      <c r="I432" s="156"/>
      <c r="J432" s="129"/>
      <c r="K432" s="157"/>
      <c r="L432" s="157"/>
      <c r="M432" s="125"/>
      <c r="N432" s="126"/>
      <c r="O432" s="125"/>
      <c r="P432" s="126"/>
      <c r="Q432" s="126"/>
      <c r="R432" s="126"/>
      <c r="S432" s="126"/>
      <c r="T432" s="126"/>
      <c r="U432" s="126"/>
      <c r="V432" s="126"/>
      <c r="W432" s="126"/>
      <c r="X432" s="126"/>
      <c r="Y432" s="126"/>
      <c r="Z432" s="126"/>
      <c r="AA432" s="125"/>
      <c r="AB432" s="343"/>
      <c r="AC432" s="125"/>
      <c r="AD432" s="125"/>
      <c r="AE432" s="126"/>
      <c r="AF432" s="126"/>
      <c r="AG432" s="126"/>
      <c r="AH432" s="126"/>
      <c r="AI432" s="169"/>
      <c r="AJ432" s="126"/>
      <c r="AK432" s="126"/>
      <c r="AL432" s="126"/>
      <c r="AM432" s="126"/>
      <c r="AN432" s="126"/>
      <c r="AO432" s="126"/>
      <c r="AP432" s="129"/>
      <c r="AQ432" s="203"/>
      <c r="AR432" s="203"/>
      <c r="AS432" s="238"/>
      <c r="AT432" s="203"/>
      <c r="AU432" s="129"/>
      <c r="AV432" s="129"/>
      <c r="AW432" s="129"/>
      <c r="AX432" s="129"/>
      <c r="AY432" s="129"/>
      <c r="AZ432" s="129"/>
      <c r="BA432" s="129"/>
      <c r="BB432" s="129"/>
      <c r="BC432" s="129"/>
      <c r="BD432" s="129"/>
      <c r="BE432" s="129"/>
    </row>
    <row r="433" spans="1:57" s="191" customFormat="1" ht="12" customHeight="1" x14ac:dyDescent="0.35">
      <c r="A433" s="182"/>
      <c r="B433" s="182"/>
      <c r="C433" s="182"/>
      <c r="D433" s="182"/>
      <c r="E433" s="183"/>
      <c r="F433" s="184"/>
      <c r="G433" s="184"/>
      <c r="H433" s="184"/>
      <c r="I433" s="192"/>
      <c r="J433" s="189"/>
      <c r="K433" s="193"/>
      <c r="L433" s="193"/>
      <c r="M433" s="186"/>
      <c r="N433" s="187"/>
      <c r="O433" s="186"/>
      <c r="P433" s="187"/>
      <c r="Q433" s="187"/>
      <c r="R433" s="187"/>
      <c r="S433" s="187"/>
      <c r="T433" s="187"/>
      <c r="U433" s="187"/>
      <c r="V433" s="187"/>
      <c r="W433" s="187"/>
      <c r="X433" s="187"/>
      <c r="Y433" s="187"/>
      <c r="Z433" s="187"/>
      <c r="AA433" s="186"/>
      <c r="AB433" s="342"/>
      <c r="AC433" s="186"/>
      <c r="AD433" s="186"/>
      <c r="AE433" s="187"/>
      <c r="AF433" s="187"/>
      <c r="AG433" s="187"/>
      <c r="AH433" s="187"/>
      <c r="AI433" s="194"/>
      <c r="AJ433" s="187"/>
      <c r="AK433" s="187"/>
      <c r="AL433" s="187"/>
      <c r="AM433" s="187"/>
      <c r="AN433" s="187"/>
      <c r="AO433" s="187"/>
      <c r="AP433" s="189"/>
      <c r="AQ433" s="202"/>
      <c r="AR433" s="202"/>
      <c r="AS433" s="237"/>
      <c r="AT433" s="202"/>
      <c r="AU433" s="189"/>
      <c r="AV433" s="189"/>
      <c r="AW433" s="189"/>
      <c r="AX433" s="189"/>
      <c r="AY433" s="189"/>
      <c r="AZ433" s="189"/>
      <c r="BA433" s="189"/>
      <c r="BB433" s="189"/>
      <c r="BC433" s="189"/>
      <c r="BD433" s="189"/>
      <c r="BE433" s="189"/>
    </row>
    <row r="434" spans="1:57" s="130" customFormat="1" ht="12" customHeight="1" x14ac:dyDescent="0.35">
      <c r="A434" s="121"/>
      <c r="B434" s="121"/>
      <c r="C434" s="121"/>
      <c r="D434" s="121"/>
      <c r="E434" s="122"/>
      <c r="F434" s="123"/>
      <c r="G434" s="123"/>
      <c r="H434" s="123"/>
      <c r="I434" s="156"/>
      <c r="J434" s="129"/>
      <c r="K434" s="157"/>
      <c r="L434" s="157"/>
      <c r="M434" s="125"/>
      <c r="N434" s="126"/>
      <c r="O434" s="125"/>
      <c r="P434" s="126"/>
      <c r="Q434" s="126"/>
      <c r="R434" s="126"/>
      <c r="S434" s="126"/>
      <c r="T434" s="126"/>
      <c r="U434" s="125"/>
      <c r="V434" s="125"/>
      <c r="W434" s="125"/>
      <c r="X434" s="125"/>
      <c r="Y434" s="125"/>
      <c r="Z434" s="125"/>
      <c r="AA434" s="125"/>
      <c r="AB434" s="343"/>
      <c r="AC434" s="125"/>
      <c r="AD434" s="125"/>
      <c r="AE434" s="126"/>
      <c r="AF434" s="126"/>
      <c r="AG434" s="126"/>
      <c r="AH434" s="126"/>
      <c r="AI434" s="169"/>
      <c r="AJ434" s="126"/>
      <c r="AK434" s="126"/>
      <c r="AL434" s="126"/>
      <c r="AM434" s="126"/>
      <c r="AN434" s="126"/>
      <c r="AO434" s="126"/>
      <c r="AP434" s="129"/>
      <c r="AQ434" s="203"/>
      <c r="AR434" s="203"/>
      <c r="AS434" s="238"/>
      <c r="AT434" s="203"/>
      <c r="AU434" s="129"/>
      <c r="AV434" s="129"/>
      <c r="AW434" s="129"/>
      <c r="AX434" s="129"/>
      <c r="AY434" s="129"/>
      <c r="AZ434" s="129"/>
      <c r="BA434" s="129"/>
      <c r="BB434" s="129"/>
      <c r="BC434" s="129"/>
      <c r="BD434" s="129"/>
      <c r="BE434" s="129"/>
    </row>
    <row r="435" spans="1:57" s="191" customFormat="1" ht="12" customHeight="1" x14ac:dyDescent="0.35">
      <c r="A435" s="182"/>
      <c r="B435" s="182"/>
      <c r="C435" s="182"/>
      <c r="D435" s="182"/>
      <c r="E435" s="183"/>
      <c r="F435" s="184"/>
      <c r="G435" s="184"/>
      <c r="H435" s="184"/>
      <c r="I435" s="192"/>
      <c r="J435" s="189"/>
      <c r="K435" s="193"/>
      <c r="L435" s="193"/>
      <c r="M435" s="186"/>
      <c r="N435" s="187"/>
      <c r="O435" s="186"/>
      <c r="P435" s="187"/>
      <c r="Q435" s="187"/>
      <c r="R435" s="187"/>
      <c r="S435" s="187"/>
      <c r="T435" s="187"/>
      <c r="U435" s="187"/>
      <c r="V435" s="187"/>
      <c r="W435" s="187"/>
      <c r="X435" s="187"/>
      <c r="Y435" s="187"/>
      <c r="Z435" s="187"/>
      <c r="AA435" s="186"/>
      <c r="AB435" s="342"/>
      <c r="AC435" s="186"/>
      <c r="AD435" s="186"/>
      <c r="AE435" s="187"/>
      <c r="AF435" s="187"/>
      <c r="AG435" s="187"/>
      <c r="AH435" s="187"/>
      <c r="AI435" s="194"/>
      <c r="AJ435" s="187"/>
      <c r="AK435" s="187"/>
      <c r="AL435" s="187"/>
      <c r="AM435" s="187"/>
      <c r="AN435" s="187"/>
      <c r="AO435" s="187"/>
      <c r="AP435" s="189"/>
      <c r="AQ435" s="202"/>
      <c r="AR435" s="202"/>
      <c r="AS435" s="237"/>
      <c r="AT435" s="202"/>
      <c r="AU435" s="189"/>
      <c r="AV435" s="201"/>
      <c r="AW435" s="189"/>
      <c r="AX435" s="189"/>
      <c r="AY435" s="189"/>
      <c r="AZ435" s="189"/>
      <c r="BA435" s="189"/>
      <c r="BB435" s="189"/>
      <c r="BC435" s="189"/>
      <c r="BD435" s="189"/>
      <c r="BE435" s="189"/>
    </row>
    <row r="436" spans="1:57" s="130" customFormat="1" ht="12" customHeight="1" x14ac:dyDescent="0.35">
      <c r="A436" s="121"/>
      <c r="B436" s="121"/>
      <c r="C436" s="121"/>
      <c r="D436" s="121"/>
      <c r="E436" s="122"/>
      <c r="F436" s="123"/>
      <c r="G436" s="123"/>
      <c r="H436" s="123"/>
      <c r="I436" s="156"/>
      <c r="J436" s="129"/>
      <c r="K436" s="157"/>
      <c r="L436" s="157"/>
      <c r="M436" s="125"/>
      <c r="N436" s="126"/>
      <c r="O436" s="125"/>
      <c r="P436" s="126"/>
      <c r="Q436" s="126"/>
      <c r="R436" s="126"/>
      <c r="S436" s="126"/>
      <c r="T436" s="126"/>
      <c r="U436" s="126"/>
      <c r="V436" s="126"/>
      <c r="W436" s="126"/>
      <c r="X436" s="126"/>
      <c r="Y436" s="126"/>
      <c r="Z436" s="126"/>
      <c r="AA436" s="125"/>
      <c r="AB436" s="343"/>
      <c r="AC436" s="125"/>
      <c r="AD436" s="125"/>
      <c r="AE436" s="126"/>
      <c r="AF436" s="126"/>
      <c r="AG436" s="126"/>
      <c r="AH436" s="126"/>
      <c r="AI436" s="169"/>
      <c r="AJ436" s="126"/>
      <c r="AK436" s="126"/>
      <c r="AL436" s="126"/>
      <c r="AM436" s="126"/>
      <c r="AN436" s="126"/>
      <c r="AO436" s="126"/>
      <c r="AP436" s="129"/>
      <c r="AQ436" s="203"/>
      <c r="AR436" s="203"/>
      <c r="AS436" s="238"/>
      <c r="AT436" s="203"/>
      <c r="AU436" s="129"/>
      <c r="AV436" s="129"/>
      <c r="AW436" s="129"/>
      <c r="AX436" s="129"/>
      <c r="AY436" s="129"/>
      <c r="AZ436" s="129"/>
      <c r="BA436" s="129"/>
      <c r="BB436" s="129"/>
      <c r="BC436" s="129"/>
      <c r="BD436" s="129"/>
      <c r="BE436" s="129"/>
    </row>
    <row r="437" spans="1:57" s="191" customFormat="1" ht="12" customHeight="1" x14ac:dyDescent="0.35">
      <c r="A437" s="182"/>
      <c r="B437" s="182"/>
      <c r="C437" s="182"/>
      <c r="D437" s="182"/>
      <c r="E437" s="183"/>
      <c r="F437" s="184"/>
      <c r="G437" s="184"/>
      <c r="H437" s="184"/>
      <c r="I437" s="192"/>
      <c r="J437" s="189"/>
      <c r="K437" s="193"/>
      <c r="L437" s="193"/>
      <c r="M437" s="186"/>
      <c r="N437" s="187"/>
      <c r="O437" s="186"/>
      <c r="P437" s="187"/>
      <c r="Q437" s="187"/>
      <c r="R437" s="187"/>
      <c r="S437" s="187"/>
      <c r="T437" s="187"/>
      <c r="U437" s="187"/>
      <c r="V437" s="187"/>
      <c r="W437" s="187"/>
      <c r="X437" s="187"/>
      <c r="Y437" s="187"/>
      <c r="Z437" s="187"/>
      <c r="AA437" s="186"/>
      <c r="AB437" s="342"/>
      <c r="AC437" s="186"/>
      <c r="AD437" s="186"/>
      <c r="AE437" s="187"/>
      <c r="AF437" s="187"/>
      <c r="AG437" s="187"/>
      <c r="AH437" s="187"/>
      <c r="AI437" s="194"/>
      <c r="AJ437" s="187"/>
      <c r="AK437" s="187"/>
      <c r="AL437" s="187"/>
      <c r="AM437" s="187"/>
      <c r="AN437" s="187"/>
      <c r="AO437" s="187"/>
      <c r="AP437" s="189"/>
      <c r="AQ437" s="202"/>
      <c r="AR437" s="202"/>
      <c r="AS437" s="237"/>
      <c r="AT437" s="202"/>
      <c r="AU437" s="189"/>
      <c r="AV437" s="189"/>
      <c r="AW437" s="189"/>
      <c r="AX437" s="189"/>
      <c r="AY437" s="189"/>
      <c r="AZ437" s="189"/>
      <c r="BA437" s="189"/>
      <c r="BB437" s="189"/>
      <c r="BC437" s="189"/>
      <c r="BD437" s="189"/>
      <c r="BE437" s="189"/>
    </row>
    <row r="438" spans="1:57" s="130" customFormat="1" ht="12" customHeight="1" x14ac:dyDescent="0.35">
      <c r="A438" s="121"/>
      <c r="B438" s="121"/>
      <c r="C438" s="121"/>
      <c r="D438" s="121"/>
      <c r="E438" s="122"/>
      <c r="F438" s="123"/>
      <c r="G438" s="123"/>
      <c r="H438" s="123"/>
      <c r="I438" s="156"/>
      <c r="J438" s="129"/>
      <c r="K438" s="157"/>
      <c r="L438" s="157"/>
      <c r="M438" s="125"/>
      <c r="N438" s="126"/>
      <c r="O438" s="125"/>
      <c r="P438" s="126"/>
      <c r="Q438" s="126"/>
      <c r="R438" s="126"/>
      <c r="S438" s="126"/>
      <c r="T438" s="126"/>
      <c r="U438" s="125"/>
      <c r="V438" s="125"/>
      <c r="W438" s="125"/>
      <c r="X438" s="125"/>
      <c r="Y438" s="125"/>
      <c r="Z438" s="125"/>
      <c r="AA438" s="125"/>
      <c r="AB438" s="343"/>
      <c r="AC438" s="125"/>
      <c r="AD438" s="125"/>
      <c r="AE438" s="126"/>
      <c r="AF438" s="126"/>
      <c r="AG438" s="126"/>
      <c r="AH438" s="126"/>
      <c r="AI438" s="169"/>
      <c r="AJ438" s="126"/>
      <c r="AK438" s="126"/>
      <c r="AL438" s="126"/>
      <c r="AM438" s="126"/>
      <c r="AN438" s="126"/>
      <c r="AO438" s="126"/>
      <c r="AP438" s="129"/>
      <c r="AQ438" s="203"/>
      <c r="AR438" s="203"/>
      <c r="AS438" s="238"/>
      <c r="AT438" s="203"/>
      <c r="AU438" s="129"/>
      <c r="AV438" s="129"/>
      <c r="AW438" s="129"/>
      <c r="AX438" s="129"/>
      <c r="AY438" s="129"/>
      <c r="AZ438" s="129"/>
      <c r="BA438" s="129"/>
      <c r="BB438" s="129"/>
      <c r="BC438" s="129"/>
      <c r="BD438" s="129"/>
      <c r="BE438" s="129"/>
    </row>
    <row r="439" spans="1:57" s="191" customFormat="1" ht="12" customHeight="1" x14ac:dyDescent="0.35">
      <c r="A439" s="182"/>
      <c r="B439" s="182"/>
      <c r="C439" s="182"/>
      <c r="D439" s="182"/>
      <c r="E439" s="183"/>
      <c r="F439" s="184"/>
      <c r="G439" s="184"/>
      <c r="H439" s="184"/>
      <c r="I439" s="192"/>
      <c r="J439" s="189"/>
      <c r="K439" s="193"/>
      <c r="L439" s="193"/>
      <c r="M439" s="186"/>
      <c r="N439" s="187"/>
      <c r="O439" s="186"/>
      <c r="P439" s="187"/>
      <c r="Q439" s="187"/>
      <c r="R439" s="187"/>
      <c r="S439" s="187"/>
      <c r="T439" s="187"/>
      <c r="U439" s="187"/>
      <c r="V439" s="187"/>
      <c r="W439" s="187"/>
      <c r="X439" s="187"/>
      <c r="Y439" s="187"/>
      <c r="Z439" s="187"/>
      <c r="AA439" s="186"/>
      <c r="AB439" s="342"/>
      <c r="AC439" s="186"/>
      <c r="AD439" s="186"/>
      <c r="AE439" s="187"/>
      <c r="AF439" s="187"/>
      <c r="AG439" s="187"/>
      <c r="AH439" s="187"/>
      <c r="AI439" s="194"/>
      <c r="AJ439" s="187"/>
      <c r="AK439" s="187"/>
      <c r="AL439" s="187"/>
      <c r="AM439" s="187"/>
      <c r="AN439" s="187"/>
      <c r="AO439" s="187"/>
      <c r="AP439" s="189"/>
      <c r="AQ439" s="202"/>
      <c r="AR439" s="202"/>
      <c r="AS439" s="237"/>
      <c r="AT439" s="202"/>
      <c r="AU439" s="189"/>
      <c r="AV439" s="201"/>
      <c r="AW439" s="189"/>
      <c r="AX439" s="189"/>
      <c r="AY439" s="189"/>
      <c r="AZ439" s="189"/>
      <c r="BA439" s="189"/>
      <c r="BB439" s="189"/>
      <c r="BC439" s="189"/>
      <c r="BD439" s="189"/>
      <c r="BE439" s="189"/>
    </row>
    <row r="440" spans="1:57" s="130" customFormat="1" ht="12" customHeight="1" x14ac:dyDescent="0.35">
      <c r="A440" s="121"/>
      <c r="B440" s="121"/>
      <c r="C440" s="121"/>
      <c r="D440" s="121"/>
      <c r="E440" s="122"/>
      <c r="F440" s="123"/>
      <c r="G440" s="123"/>
      <c r="H440" s="123"/>
      <c r="I440" s="156"/>
      <c r="J440" s="129"/>
      <c r="K440" s="157"/>
      <c r="L440" s="157"/>
      <c r="M440" s="125"/>
      <c r="N440" s="126"/>
      <c r="O440" s="125"/>
      <c r="P440" s="126"/>
      <c r="Q440" s="126"/>
      <c r="R440" s="126"/>
      <c r="S440" s="126"/>
      <c r="T440" s="126"/>
      <c r="U440" s="126"/>
      <c r="V440" s="126"/>
      <c r="W440" s="126"/>
      <c r="X440" s="126"/>
      <c r="Y440" s="126"/>
      <c r="Z440" s="126"/>
      <c r="AA440" s="125"/>
      <c r="AB440" s="343"/>
      <c r="AC440" s="125"/>
      <c r="AD440" s="125"/>
      <c r="AE440" s="126"/>
      <c r="AF440" s="126"/>
      <c r="AG440" s="126"/>
      <c r="AH440" s="126"/>
      <c r="AI440" s="169"/>
      <c r="AJ440" s="126"/>
      <c r="AK440" s="126"/>
      <c r="AL440" s="126"/>
      <c r="AM440" s="126"/>
      <c r="AN440" s="126"/>
      <c r="AO440" s="126"/>
      <c r="AP440" s="129"/>
      <c r="AQ440" s="203"/>
      <c r="AR440" s="203"/>
      <c r="AS440" s="238"/>
      <c r="AT440" s="203"/>
      <c r="AU440" s="129"/>
      <c r="AV440" s="129"/>
      <c r="AW440" s="129"/>
      <c r="AX440" s="129"/>
      <c r="AY440" s="129"/>
      <c r="AZ440" s="129"/>
      <c r="BA440" s="129"/>
      <c r="BB440" s="129"/>
      <c r="BC440" s="129"/>
      <c r="BD440" s="129"/>
      <c r="BE440" s="129"/>
    </row>
    <row r="441" spans="1:57" s="191" customFormat="1" ht="12" customHeight="1" x14ac:dyDescent="0.35">
      <c r="A441" s="182"/>
      <c r="B441" s="182"/>
      <c r="C441" s="182"/>
      <c r="D441" s="182"/>
      <c r="E441" s="183"/>
      <c r="F441" s="184"/>
      <c r="G441" s="184"/>
      <c r="H441" s="184"/>
      <c r="I441" s="192"/>
      <c r="J441" s="189"/>
      <c r="K441" s="193"/>
      <c r="L441" s="193"/>
      <c r="M441" s="186"/>
      <c r="N441" s="187"/>
      <c r="O441" s="186"/>
      <c r="P441" s="187"/>
      <c r="Q441" s="187"/>
      <c r="R441" s="187"/>
      <c r="S441" s="187"/>
      <c r="T441" s="187"/>
      <c r="U441" s="187"/>
      <c r="V441" s="187"/>
      <c r="W441" s="187"/>
      <c r="X441" s="187"/>
      <c r="Y441" s="187"/>
      <c r="Z441" s="187"/>
      <c r="AA441" s="186"/>
      <c r="AB441" s="342"/>
      <c r="AC441" s="186"/>
      <c r="AD441" s="186"/>
      <c r="AE441" s="187"/>
      <c r="AF441" s="187"/>
      <c r="AG441" s="187"/>
      <c r="AH441" s="187"/>
      <c r="AI441" s="194"/>
      <c r="AJ441" s="187"/>
      <c r="AK441" s="187"/>
      <c r="AL441" s="187"/>
      <c r="AM441" s="187"/>
      <c r="AN441" s="187"/>
      <c r="AO441" s="187"/>
      <c r="AP441" s="189"/>
      <c r="AQ441" s="202"/>
      <c r="AR441" s="202"/>
      <c r="AS441" s="237"/>
      <c r="AT441" s="202"/>
      <c r="AU441" s="189"/>
      <c r="AV441" s="189"/>
      <c r="AW441" s="189"/>
      <c r="AX441" s="189"/>
      <c r="AY441" s="189"/>
      <c r="AZ441" s="189"/>
      <c r="BA441" s="189"/>
      <c r="BB441" s="189"/>
      <c r="BC441" s="189"/>
      <c r="BD441" s="189"/>
      <c r="BE441" s="189"/>
    </row>
    <row r="442" spans="1:57" s="130" customFormat="1" ht="12" customHeight="1" x14ac:dyDescent="0.35">
      <c r="A442" s="121"/>
      <c r="B442" s="121"/>
      <c r="C442" s="121"/>
      <c r="D442" s="121"/>
      <c r="E442" s="122"/>
      <c r="F442" s="123"/>
      <c r="G442" s="123"/>
      <c r="H442" s="123"/>
      <c r="I442" s="156"/>
      <c r="J442" s="129"/>
      <c r="K442" s="157"/>
      <c r="L442" s="157"/>
      <c r="M442" s="125"/>
      <c r="N442" s="126"/>
      <c r="O442" s="125"/>
      <c r="P442" s="126"/>
      <c r="Q442" s="126"/>
      <c r="R442" s="126"/>
      <c r="S442" s="126"/>
      <c r="T442" s="126"/>
      <c r="U442" s="125"/>
      <c r="V442" s="125"/>
      <c r="W442" s="125"/>
      <c r="X442" s="125"/>
      <c r="Y442" s="125"/>
      <c r="Z442" s="125"/>
      <c r="AA442" s="125"/>
      <c r="AB442" s="343"/>
      <c r="AC442" s="125"/>
      <c r="AD442" s="125"/>
      <c r="AE442" s="126"/>
      <c r="AF442" s="126"/>
      <c r="AG442" s="126"/>
      <c r="AH442" s="126"/>
      <c r="AI442" s="169"/>
      <c r="AJ442" s="126"/>
      <c r="AK442" s="126"/>
      <c r="AL442" s="126"/>
      <c r="AM442" s="126"/>
      <c r="AN442" s="126"/>
      <c r="AO442" s="126"/>
      <c r="AP442" s="129"/>
      <c r="AQ442" s="203"/>
      <c r="AR442" s="203"/>
      <c r="AS442" s="238"/>
      <c r="AT442" s="203"/>
      <c r="AU442" s="129"/>
      <c r="AV442" s="129"/>
      <c r="AW442" s="129"/>
      <c r="AX442" s="129"/>
      <c r="AY442" s="129"/>
      <c r="AZ442" s="129"/>
      <c r="BA442" s="129"/>
      <c r="BB442" s="129"/>
      <c r="BC442" s="129"/>
      <c r="BD442" s="129"/>
      <c r="BE442" s="129"/>
    </row>
    <row r="443" spans="1:57" s="191" customFormat="1" ht="12" customHeight="1" x14ac:dyDescent="0.35">
      <c r="A443" s="182"/>
      <c r="B443" s="182"/>
      <c r="C443" s="182"/>
      <c r="D443" s="182"/>
      <c r="E443" s="183"/>
      <c r="F443" s="184"/>
      <c r="G443" s="184"/>
      <c r="H443" s="184"/>
      <c r="I443" s="192"/>
      <c r="J443" s="189"/>
      <c r="K443" s="193"/>
      <c r="L443" s="193"/>
      <c r="M443" s="186"/>
      <c r="N443" s="187"/>
      <c r="O443" s="186"/>
      <c r="P443" s="187"/>
      <c r="Q443" s="187"/>
      <c r="R443" s="187"/>
      <c r="S443" s="187"/>
      <c r="T443" s="187"/>
      <c r="U443" s="187"/>
      <c r="V443" s="187"/>
      <c r="W443" s="187"/>
      <c r="X443" s="187"/>
      <c r="Y443" s="187"/>
      <c r="Z443" s="187"/>
      <c r="AA443" s="186"/>
      <c r="AB443" s="342"/>
      <c r="AC443" s="186"/>
      <c r="AD443" s="186"/>
      <c r="AE443" s="187"/>
      <c r="AF443" s="187"/>
      <c r="AG443" s="187"/>
      <c r="AH443" s="187"/>
      <c r="AI443" s="194"/>
      <c r="AJ443" s="187"/>
      <c r="AK443" s="187"/>
      <c r="AL443" s="187"/>
      <c r="AM443" s="187"/>
      <c r="AN443" s="187"/>
      <c r="AO443" s="187"/>
      <c r="AP443" s="189"/>
      <c r="AQ443" s="202"/>
      <c r="AR443" s="202"/>
      <c r="AS443" s="237"/>
      <c r="AT443" s="202"/>
      <c r="AU443" s="189"/>
      <c r="AV443" s="201"/>
      <c r="AW443" s="189"/>
      <c r="AX443" s="189"/>
      <c r="AY443" s="189"/>
      <c r="AZ443" s="189"/>
      <c r="BA443" s="189"/>
      <c r="BB443" s="189"/>
      <c r="BC443" s="189"/>
      <c r="BD443" s="189"/>
      <c r="BE443" s="189"/>
    </row>
    <row r="444" spans="1:57" s="130" customFormat="1" ht="12" customHeight="1" x14ac:dyDescent="0.35">
      <c r="A444" s="121"/>
      <c r="B444" s="121"/>
      <c r="C444" s="121"/>
      <c r="D444" s="121"/>
      <c r="E444" s="122"/>
      <c r="F444" s="123"/>
      <c r="G444" s="123"/>
      <c r="H444" s="123"/>
      <c r="I444" s="156"/>
      <c r="J444" s="129"/>
      <c r="K444" s="157"/>
      <c r="L444" s="157"/>
      <c r="M444" s="125"/>
      <c r="N444" s="126"/>
      <c r="O444" s="125"/>
      <c r="P444" s="126"/>
      <c r="Q444" s="126"/>
      <c r="R444" s="126"/>
      <c r="S444" s="126"/>
      <c r="T444" s="126"/>
      <c r="U444" s="126"/>
      <c r="V444" s="126"/>
      <c r="W444" s="126"/>
      <c r="X444" s="126"/>
      <c r="Y444" s="126"/>
      <c r="Z444" s="126"/>
      <c r="AA444" s="125"/>
      <c r="AB444" s="343"/>
      <c r="AC444" s="125"/>
      <c r="AD444" s="125"/>
      <c r="AE444" s="126"/>
      <c r="AF444" s="126"/>
      <c r="AG444" s="126"/>
      <c r="AH444" s="126"/>
      <c r="AI444" s="169"/>
      <c r="AJ444" s="126"/>
      <c r="AK444" s="126"/>
      <c r="AL444" s="126"/>
      <c r="AM444" s="126"/>
      <c r="AN444" s="126"/>
      <c r="AO444" s="126"/>
      <c r="AP444" s="129"/>
      <c r="AQ444" s="203"/>
      <c r="AR444" s="203"/>
      <c r="AS444" s="238"/>
      <c r="AT444" s="203"/>
      <c r="AU444" s="129"/>
      <c r="AV444" s="129"/>
      <c r="AW444" s="129"/>
      <c r="AX444" s="129"/>
      <c r="AY444" s="129"/>
      <c r="AZ444" s="129"/>
      <c r="BA444" s="129"/>
      <c r="BB444" s="129"/>
      <c r="BC444" s="129"/>
      <c r="BD444" s="129"/>
      <c r="BE444" s="129"/>
    </row>
    <row r="445" spans="1:57" s="191" customFormat="1" ht="12" customHeight="1" x14ac:dyDescent="0.35">
      <c r="A445" s="182"/>
      <c r="B445" s="182"/>
      <c r="C445" s="182"/>
      <c r="D445" s="182"/>
      <c r="E445" s="183"/>
      <c r="F445" s="184"/>
      <c r="G445" s="184"/>
      <c r="H445" s="184"/>
      <c r="I445" s="192"/>
      <c r="J445" s="189"/>
      <c r="K445" s="193"/>
      <c r="L445" s="193"/>
      <c r="M445" s="186"/>
      <c r="N445" s="187"/>
      <c r="O445" s="186"/>
      <c r="P445" s="187"/>
      <c r="Q445" s="187"/>
      <c r="R445" s="187"/>
      <c r="S445" s="187"/>
      <c r="T445" s="187"/>
      <c r="U445" s="187"/>
      <c r="V445" s="187"/>
      <c r="W445" s="187"/>
      <c r="X445" s="187"/>
      <c r="Y445" s="187"/>
      <c r="Z445" s="187"/>
      <c r="AA445" s="186"/>
      <c r="AB445" s="342"/>
      <c r="AC445" s="186"/>
      <c r="AD445" s="186"/>
      <c r="AE445" s="187"/>
      <c r="AF445" s="187"/>
      <c r="AG445" s="187"/>
      <c r="AH445" s="187"/>
      <c r="AI445" s="194"/>
      <c r="AJ445" s="187"/>
      <c r="AK445" s="187"/>
      <c r="AL445" s="187"/>
      <c r="AM445" s="187"/>
      <c r="AN445" s="187"/>
      <c r="AO445" s="187"/>
      <c r="AP445" s="189"/>
      <c r="AQ445" s="202"/>
      <c r="AR445" s="202"/>
      <c r="AS445" s="237"/>
      <c r="AT445" s="202"/>
      <c r="AU445" s="189"/>
      <c r="AV445" s="189"/>
      <c r="AW445" s="189"/>
      <c r="AX445" s="189"/>
      <c r="AY445" s="189"/>
      <c r="AZ445" s="189"/>
      <c r="BA445" s="189"/>
      <c r="BB445" s="189"/>
      <c r="BC445" s="189"/>
      <c r="BD445" s="189"/>
      <c r="BE445" s="189"/>
    </row>
    <row r="446" spans="1:57" s="130" customFormat="1" ht="12" customHeight="1" x14ac:dyDescent="0.35">
      <c r="A446" s="121"/>
      <c r="B446" s="121"/>
      <c r="C446" s="121"/>
      <c r="D446" s="121"/>
      <c r="E446" s="122"/>
      <c r="F446" s="123"/>
      <c r="G446" s="123"/>
      <c r="H446" s="123"/>
      <c r="I446" s="156"/>
      <c r="J446" s="129"/>
      <c r="K446" s="157"/>
      <c r="L446" s="157"/>
      <c r="M446" s="125"/>
      <c r="N446" s="126"/>
      <c r="O446" s="125"/>
      <c r="P446" s="126"/>
      <c r="Q446" s="126"/>
      <c r="R446" s="126"/>
      <c r="S446" s="126"/>
      <c r="T446" s="126"/>
      <c r="U446" s="125"/>
      <c r="V446" s="125"/>
      <c r="W446" s="125"/>
      <c r="X446" s="125"/>
      <c r="Y446" s="125"/>
      <c r="Z446" s="125"/>
      <c r="AA446" s="125"/>
      <c r="AB446" s="343"/>
      <c r="AC446" s="125"/>
      <c r="AD446" s="125"/>
      <c r="AE446" s="126"/>
      <c r="AF446" s="126"/>
      <c r="AG446" s="126"/>
      <c r="AH446" s="126"/>
      <c r="AI446" s="169"/>
      <c r="AJ446" s="126"/>
      <c r="AK446" s="126"/>
      <c r="AL446" s="126"/>
      <c r="AM446" s="126"/>
      <c r="AN446" s="126"/>
      <c r="AO446" s="126"/>
      <c r="AP446" s="129"/>
      <c r="AQ446" s="203"/>
      <c r="AR446" s="203"/>
      <c r="AS446" s="238"/>
      <c r="AT446" s="203"/>
      <c r="AU446" s="129"/>
      <c r="AV446" s="129"/>
      <c r="AW446" s="129"/>
      <c r="AX446" s="129"/>
      <c r="AY446" s="129"/>
      <c r="AZ446" s="129"/>
      <c r="BA446" s="129"/>
      <c r="BB446" s="129"/>
      <c r="BC446" s="129"/>
      <c r="BD446" s="129"/>
      <c r="BE446" s="129"/>
    </row>
    <row r="447" spans="1:57" s="191" customFormat="1" ht="12" customHeight="1" x14ac:dyDescent="0.35">
      <c r="A447" s="182"/>
      <c r="B447" s="182"/>
      <c r="C447" s="182"/>
      <c r="D447" s="182"/>
      <c r="E447" s="183"/>
      <c r="F447" s="184"/>
      <c r="G447" s="184"/>
      <c r="H447" s="184"/>
      <c r="I447" s="192"/>
      <c r="J447" s="189"/>
      <c r="K447" s="193"/>
      <c r="L447" s="193"/>
      <c r="M447" s="186"/>
      <c r="N447" s="187"/>
      <c r="O447" s="186"/>
      <c r="P447" s="187"/>
      <c r="Q447" s="187"/>
      <c r="R447" s="187"/>
      <c r="S447" s="187"/>
      <c r="T447" s="187"/>
      <c r="U447" s="187"/>
      <c r="V447" s="187"/>
      <c r="W447" s="187"/>
      <c r="X447" s="187"/>
      <c r="Y447" s="187"/>
      <c r="Z447" s="187"/>
      <c r="AA447" s="186"/>
      <c r="AB447" s="342"/>
      <c r="AC447" s="186"/>
      <c r="AD447" s="186"/>
      <c r="AE447" s="187"/>
      <c r="AF447" s="187"/>
      <c r="AG447" s="187"/>
      <c r="AH447" s="187"/>
      <c r="AI447" s="194"/>
      <c r="AJ447" s="187"/>
      <c r="AK447" s="187"/>
      <c r="AL447" s="187"/>
      <c r="AM447" s="187"/>
      <c r="AN447" s="187"/>
      <c r="AO447" s="187"/>
      <c r="AP447" s="189"/>
      <c r="AQ447" s="202"/>
      <c r="AR447" s="202"/>
      <c r="AS447" s="237"/>
      <c r="AT447" s="202"/>
      <c r="AU447" s="189"/>
      <c r="AV447" s="201"/>
      <c r="AW447" s="189"/>
      <c r="AX447" s="189"/>
      <c r="AY447" s="189"/>
      <c r="AZ447" s="189"/>
      <c r="BA447" s="189"/>
      <c r="BB447" s="189"/>
      <c r="BC447" s="189"/>
      <c r="BD447" s="189"/>
      <c r="BE447" s="189"/>
    </row>
    <row r="448" spans="1:57" s="130" customFormat="1" ht="12" customHeight="1" x14ac:dyDescent="0.35">
      <c r="A448" s="121"/>
      <c r="B448" s="121"/>
      <c r="C448" s="121"/>
      <c r="D448" s="121"/>
      <c r="E448" s="122"/>
      <c r="F448" s="123"/>
      <c r="G448" s="123"/>
      <c r="H448" s="123"/>
      <c r="I448" s="156"/>
      <c r="J448" s="129"/>
      <c r="K448" s="157"/>
      <c r="L448" s="157"/>
      <c r="M448" s="125"/>
      <c r="N448" s="126"/>
      <c r="O448" s="125"/>
      <c r="P448" s="126"/>
      <c r="Q448" s="126"/>
      <c r="R448" s="126"/>
      <c r="S448" s="126"/>
      <c r="T448" s="126"/>
      <c r="U448" s="126"/>
      <c r="V448" s="126"/>
      <c r="W448" s="126"/>
      <c r="X448" s="126"/>
      <c r="Y448" s="126"/>
      <c r="Z448" s="126"/>
      <c r="AA448" s="125"/>
      <c r="AB448" s="343"/>
      <c r="AC448" s="125"/>
      <c r="AD448" s="125"/>
      <c r="AE448" s="126"/>
      <c r="AF448" s="126"/>
      <c r="AG448" s="126"/>
      <c r="AH448" s="126"/>
      <c r="AI448" s="169"/>
      <c r="AJ448" s="126"/>
      <c r="AK448" s="126"/>
      <c r="AL448" s="126"/>
      <c r="AM448" s="126"/>
      <c r="AN448" s="126"/>
      <c r="AO448" s="126"/>
      <c r="AP448" s="129"/>
      <c r="AQ448" s="203"/>
      <c r="AR448" s="203"/>
      <c r="AS448" s="238"/>
      <c r="AT448" s="203"/>
      <c r="AU448" s="129"/>
      <c r="AV448" s="129"/>
      <c r="AW448" s="129"/>
      <c r="AX448" s="129"/>
      <c r="AY448" s="129"/>
      <c r="AZ448" s="129"/>
      <c r="BA448" s="129"/>
      <c r="BB448" s="129"/>
      <c r="BC448" s="129"/>
      <c r="BD448" s="129"/>
      <c r="BE448" s="129"/>
    </row>
    <row r="449" spans="1:57" s="191" customFormat="1" ht="12" customHeight="1" x14ac:dyDescent="0.35">
      <c r="A449" s="182"/>
      <c r="B449" s="182"/>
      <c r="C449" s="182"/>
      <c r="D449" s="182"/>
      <c r="E449" s="183"/>
      <c r="F449" s="184"/>
      <c r="G449" s="184"/>
      <c r="H449" s="184"/>
      <c r="I449" s="192"/>
      <c r="J449" s="189"/>
      <c r="K449" s="193"/>
      <c r="L449" s="193"/>
      <c r="M449" s="186"/>
      <c r="N449" s="187"/>
      <c r="O449" s="186"/>
      <c r="P449" s="187"/>
      <c r="Q449" s="187"/>
      <c r="R449" s="187"/>
      <c r="S449" s="187"/>
      <c r="T449" s="187"/>
      <c r="U449" s="187"/>
      <c r="V449" s="187"/>
      <c r="W449" s="187"/>
      <c r="X449" s="187"/>
      <c r="Y449" s="187"/>
      <c r="Z449" s="187"/>
      <c r="AA449" s="186"/>
      <c r="AB449" s="342"/>
      <c r="AC449" s="186"/>
      <c r="AD449" s="186"/>
      <c r="AE449" s="187"/>
      <c r="AF449" s="187"/>
      <c r="AG449" s="187"/>
      <c r="AH449" s="187"/>
      <c r="AI449" s="194"/>
      <c r="AJ449" s="187"/>
      <c r="AK449" s="187"/>
      <c r="AL449" s="187"/>
      <c r="AM449" s="187"/>
      <c r="AN449" s="187"/>
      <c r="AO449" s="187"/>
      <c r="AP449" s="189"/>
      <c r="AQ449" s="202"/>
      <c r="AR449" s="202"/>
      <c r="AS449" s="237"/>
      <c r="AT449" s="202"/>
      <c r="AU449" s="189"/>
      <c r="AV449" s="189"/>
      <c r="AW449" s="189"/>
      <c r="AX449" s="189"/>
      <c r="AY449" s="189"/>
      <c r="AZ449" s="189"/>
      <c r="BA449" s="189"/>
      <c r="BB449" s="189"/>
      <c r="BC449" s="189"/>
      <c r="BD449" s="189"/>
      <c r="BE449" s="189"/>
    </row>
    <row r="450" spans="1:57" s="130" customFormat="1" ht="12" customHeight="1" x14ac:dyDescent="0.35">
      <c r="A450" s="121"/>
      <c r="B450" s="121"/>
      <c r="C450" s="121"/>
      <c r="D450" s="121"/>
      <c r="E450" s="122"/>
      <c r="F450" s="123"/>
      <c r="G450" s="123"/>
      <c r="H450" s="123"/>
      <c r="I450" s="156"/>
      <c r="J450" s="129"/>
      <c r="K450" s="157"/>
      <c r="L450" s="157"/>
      <c r="M450" s="125"/>
      <c r="N450" s="126"/>
      <c r="O450" s="125"/>
      <c r="P450" s="126"/>
      <c r="Q450" s="126"/>
      <c r="R450" s="126"/>
      <c r="S450" s="126"/>
      <c r="T450" s="126"/>
      <c r="U450" s="125"/>
      <c r="V450" s="125"/>
      <c r="W450" s="125"/>
      <c r="X450" s="125"/>
      <c r="Y450" s="125"/>
      <c r="Z450" s="125"/>
      <c r="AA450" s="125"/>
      <c r="AB450" s="343"/>
      <c r="AC450" s="125"/>
      <c r="AD450" s="125"/>
      <c r="AE450" s="126"/>
      <c r="AF450" s="126"/>
      <c r="AG450" s="126"/>
      <c r="AH450" s="126"/>
      <c r="AI450" s="169"/>
      <c r="AJ450" s="126"/>
      <c r="AK450" s="126"/>
      <c r="AL450" s="126"/>
      <c r="AM450" s="126"/>
      <c r="AN450" s="126"/>
      <c r="AO450" s="126"/>
      <c r="AP450" s="129"/>
      <c r="AQ450" s="203"/>
      <c r="AR450" s="203"/>
      <c r="AS450" s="238"/>
      <c r="AT450" s="203"/>
      <c r="AU450" s="129"/>
      <c r="AV450" s="129"/>
      <c r="AW450" s="129"/>
      <c r="AX450" s="129"/>
      <c r="AY450" s="129"/>
      <c r="AZ450" s="129"/>
      <c r="BA450" s="129"/>
      <c r="BB450" s="129"/>
      <c r="BC450" s="129"/>
      <c r="BD450" s="129"/>
      <c r="BE450" s="129"/>
    </row>
    <row r="451" spans="1:57" s="191" customFormat="1" ht="12" customHeight="1" x14ac:dyDescent="0.35">
      <c r="A451" s="182"/>
      <c r="B451" s="182"/>
      <c r="C451" s="182"/>
      <c r="D451" s="182"/>
      <c r="E451" s="183"/>
      <c r="F451" s="184"/>
      <c r="G451" s="184"/>
      <c r="H451" s="184"/>
      <c r="I451" s="192"/>
      <c r="J451" s="189"/>
      <c r="K451" s="193"/>
      <c r="L451" s="193"/>
      <c r="M451" s="186"/>
      <c r="N451" s="187"/>
      <c r="O451" s="186"/>
      <c r="P451" s="187"/>
      <c r="Q451" s="187"/>
      <c r="R451" s="187"/>
      <c r="S451" s="187"/>
      <c r="T451" s="187"/>
      <c r="U451" s="187"/>
      <c r="V451" s="187"/>
      <c r="W451" s="187"/>
      <c r="X451" s="187"/>
      <c r="Y451" s="187"/>
      <c r="Z451" s="187"/>
      <c r="AA451" s="186"/>
      <c r="AB451" s="342"/>
      <c r="AC451" s="186"/>
      <c r="AD451" s="186"/>
      <c r="AE451" s="187"/>
      <c r="AF451" s="187"/>
      <c r="AG451" s="187"/>
      <c r="AH451" s="187"/>
      <c r="AI451" s="194"/>
      <c r="AJ451" s="187"/>
      <c r="AK451" s="187"/>
      <c r="AL451" s="187"/>
      <c r="AM451" s="187"/>
      <c r="AN451" s="187"/>
      <c r="AO451" s="187"/>
      <c r="AP451" s="189"/>
      <c r="AQ451" s="202"/>
      <c r="AR451" s="202"/>
      <c r="AS451" s="237"/>
      <c r="AT451" s="202"/>
      <c r="AU451" s="189"/>
      <c r="AV451" s="201"/>
      <c r="AW451" s="189"/>
      <c r="AX451" s="189"/>
      <c r="AY451" s="189"/>
      <c r="AZ451" s="189"/>
      <c r="BA451" s="189"/>
      <c r="BB451" s="189"/>
      <c r="BC451" s="189"/>
      <c r="BD451" s="189"/>
      <c r="BE451" s="189"/>
    </row>
    <row r="452" spans="1:57" s="130" customFormat="1" ht="12" customHeight="1" x14ac:dyDescent="0.35">
      <c r="A452" s="121"/>
      <c r="B452" s="121"/>
      <c r="C452" s="121"/>
      <c r="D452" s="121"/>
      <c r="E452" s="122"/>
      <c r="F452" s="123"/>
      <c r="G452" s="123"/>
      <c r="H452" s="123"/>
      <c r="I452" s="156"/>
      <c r="J452" s="129"/>
      <c r="K452" s="157"/>
      <c r="L452" s="157"/>
      <c r="M452" s="125"/>
      <c r="N452" s="126"/>
      <c r="O452" s="125"/>
      <c r="P452" s="126"/>
      <c r="Q452" s="126"/>
      <c r="R452" s="126"/>
      <c r="S452" s="126"/>
      <c r="T452" s="126"/>
      <c r="U452" s="126"/>
      <c r="V452" s="126"/>
      <c r="W452" s="126"/>
      <c r="X452" s="126"/>
      <c r="Y452" s="126"/>
      <c r="Z452" s="126"/>
      <c r="AA452" s="125"/>
      <c r="AB452" s="343"/>
      <c r="AC452" s="125"/>
      <c r="AD452" s="125"/>
      <c r="AE452" s="126"/>
      <c r="AF452" s="126"/>
      <c r="AG452" s="126"/>
      <c r="AH452" s="126"/>
      <c r="AI452" s="169"/>
      <c r="AJ452" s="126"/>
      <c r="AK452" s="126"/>
      <c r="AL452" s="126"/>
      <c r="AM452" s="126"/>
      <c r="AN452" s="126"/>
      <c r="AO452" s="126"/>
      <c r="AP452" s="129"/>
      <c r="AQ452" s="203"/>
      <c r="AR452" s="203"/>
      <c r="AS452" s="238"/>
      <c r="AT452" s="203"/>
      <c r="AU452" s="129"/>
      <c r="AV452" s="129"/>
      <c r="AW452" s="129"/>
      <c r="AX452" s="129"/>
      <c r="AY452" s="129"/>
      <c r="AZ452" s="129"/>
      <c r="BA452" s="129"/>
      <c r="BB452" s="129"/>
      <c r="BC452" s="129"/>
      <c r="BD452" s="129"/>
      <c r="BE452" s="129"/>
    </row>
    <row r="453" spans="1:57" s="191" customFormat="1" ht="12" customHeight="1" x14ac:dyDescent="0.35">
      <c r="A453" s="182"/>
      <c r="B453" s="182"/>
      <c r="C453" s="182"/>
      <c r="D453" s="182"/>
      <c r="E453" s="183"/>
      <c r="F453" s="184"/>
      <c r="G453" s="184"/>
      <c r="H453" s="184"/>
      <c r="I453" s="192"/>
      <c r="J453" s="189"/>
      <c r="K453" s="193"/>
      <c r="L453" s="193"/>
      <c r="M453" s="186"/>
      <c r="N453" s="187"/>
      <c r="O453" s="186"/>
      <c r="P453" s="187"/>
      <c r="Q453" s="187"/>
      <c r="R453" s="187"/>
      <c r="S453" s="187"/>
      <c r="T453" s="187"/>
      <c r="U453" s="187"/>
      <c r="V453" s="187"/>
      <c r="W453" s="187"/>
      <c r="X453" s="187"/>
      <c r="Y453" s="187"/>
      <c r="Z453" s="187"/>
      <c r="AA453" s="186"/>
      <c r="AB453" s="342"/>
      <c r="AC453" s="186"/>
      <c r="AD453" s="186"/>
      <c r="AE453" s="187"/>
      <c r="AF453" s="187"/>
      <c r="AG453" s="187"/>
      <c r="AH453" s="187"/>
      <c r="AI453" s="194"/>
      <c r="AJ453" s="187"/>
      <c r="AK453" s="187"/>
      <c r="AL453" s="187"/>
      <c r="AM453" s="187"/>
      <c r="AN453" s="187"/>
      <c r="AO453" s="187"/>
      <c r="AP453" s="189"/>
      <c r="AQ453" s="202"/>
      <c r="AR453" s="202"/>
      <c r="AS453" s="237"/>
      <c r="AT453" s="202"/>
      <c r="AU453" s="189"/>
      <c r="AV453" s="189"/>
      <c r="AW453" s="189"/>
      <c r="AX453" s="189"/>
      <c r="AY453" s="189"/>
      <c r="AZ453" s="189"/>
      <c r="BA453" s="189"/>
      <c r="BB453" s="189"/>
      <c r="BC453" s="189"/>
      <c r="BD453" s="189"/>
      <c r="BE453" s="189"/>
    </row>
    <row r="454" spans="1:57" s="130" customFormat="1" ht="12" customHeight="1" x14ac:dyDescent="0.35">
      <c r="A454" s="121"/>
      <c r="B454" s="121"/>
      <c r="C454" s="121"/>
      <c r="D454" s="121"/>
      <c r="E454" s="122"/>
      <c r="F454" s="123"/>
      <c r="G454" s="123"/>
      <c r="H454" s="123"/>
      <c r="I454" s="156"/>
      <c r="J454" s="129"/>
      <c r="K454" s="157"/>
      <c r="L454" s="157"/>
      <c r="M454" s="125"/>
      <c r="N454" s="126"/>
      <c r="O454" s="125"/>
      <c r="P454" s="126"/>
      <c r="Q454" s="126"/>
      <c r="R454" s="126"/>
      <c r="S454" s="126"/>
      <c r="T454" s="126"/>
      <c r="U454" s="125"/>
      <c r="V454" s="125"/>
      <c r="W454" s="125"/>
      <c r="X454" s="125"/>
      <c r="Y454" s="125"/>
      <c r="Z454" s="125"/>
      <c r="AA454" s="125"/>
      <c r="AB454" s="343"/>
      <c r="AC454" s="125"/>
      <c r="AD454" s="125"/>
      <c r="AE454" s="126"/>
      <c r="AF454" s="126"/>
      <c r="AG454" s="126"/>
      <c r="AH454" s="126"/>
      <c r="AI454" s="169"/>
      <c r="AJ454" s="126"/>
      <c r="AK454" s="126"/>
      <c r="AL454" s="126"/>
      <c r="AM454" s="126"/>
      <c r="AN454" s="126"/>
      <c r="AO454" s="126"/>
      <c r="AP454" s="129"/>
      <c r="AQ454" s="203"/>
      <c r="AR454" s="203"/>
      <c r="AS454" s="238"/>
      <c r="AT454" s="203"/>
      <c r="AU454" s="129"/>
      <c r="AV454" s="129"/>
      <c r="AW454" s="129"/>
      <c r="AX454" s="129"/>
      <c r="AY454" s="129"/>
      <c r="AZ454" s="129"/>
      <c r="BA454" s="129"/>
      <c r="BB454" s="129"/>
      <c r="BC454" s="129"/>
      <c r="BD454" s="129"/>
      <c r="BE454" s="129"/>
    </row>
    <row r="455" spans="1:57" s="191" customFormat="1" ht="12" customHeight="1" x14ac:dyDescent="0.35">
      <c r="A455" s="182"/>
      <c r="B455" s="182"/>
      <c r="C455" s="182"/>
      <c r="D455" s="182"/>
      <c r="E455" s="183"/>
      <c r="F455" s="184"/>
      <c r="G455" s="184"/>
      <c r="H455" s="184"/>
      <c r="I455" s="192"/>
      <c r="J455" s="189"/>
      <c r="K455" s="193"/>
      <c r="L455" s="193"/>
      <c r="M455" s="186"/>
      <c r="N455" s="187"/>
      <c r="O455" s="186"/>
      <c r="P455" s="187"/>
      <c r="Q455" s="187"/>
      <c r="R455" s="187"/>
      <c r="S455" s="187"/>
      <c r="T455" s="187"/>
      <c r="U455" s="187"/>
      <c r="V455" s="187"/>
      <c r="W455" s="187"/>
      <c r="X455" s="187"/>
      <c r="Y455" s="187"/>
      <c r="Z455" s="187"/>
      <c r="AA455" s="186"/>
      <c r="AB455" s="342"/>
      <c r="AC455" s="186"/>
      <c r="AD455" s="186"/>
      <c r="AE455" s="187"/>
      <c r="AF455" s="187"/>
      <c r="AG455" s="187"/>
      <c r="AH455" s="187"/>
      <c r="AI455" s="194"/>
      <c r="AJ455" s="187"/>
      <c r="AK455" s="187"/>
      <c r="AL455" s="187"/>
      <c r="AM455" s="187"/>
      <c r="AN455" s="187"/>
      <c r="AO455" s="187"/>
      <c r="AP455" s="189"/>
      <c r="AQ455" s="202"/>
      <c r="AR455" s="202"/>
      <c r="AS455" s="237"/>
      <c r="AT455" s="202"/>
      <c r="AU455" s="189"/>
      <c r="AV455" s="201"/>
      <c r="AW455" s="189"/>
      <c r="AX455" s="189"/>
      <c r="AY455" s="189"/>
      <c r="AZ455" s="189"/>
      <c r="BA455" s="189"/>
      <c r="BB455" s="189"/>
      <c r="BC455" s="189"/>
      <c r="BD455" s="189"/>
      <c r="BE455" s="189"/>
    </row>
    <row r="456" spans="1:57" s="130" customFormat="1" ht="12" customHeight="1" x14ac:dyDescent="0.35">
      <c r="A456" s="121"/>
      <c r="B456" s="121"/>
      <c r="C456" s="121"/>
      <c r="D456" s="121"/>
      <c r="E456" s="122"/>
      <c r="F456" s="123"/>
      <c r="G456" s="123"/>
      <c r="H456" s="123"/>
      <c r="I456" s="156"/>
      <c r="J456" s="129"/>
      <c r="K456" s="157"/>
      <c r="L456" s="157"/>
      <c r="M456" s="125"/>
      <c r="N456" s="126"/>
      <c r="O456" s="125"/>
      <c r="P456" s="126"/>
      <c r="Q456" s="126"/>
      <c r="R456" s="126"/>
      <c r="S456" s="126"/>
      <c r="T456" s="126"/>
      <c r="U456" s="126"/>
      <c r="V456" s="126"/>
      <c r="W456" s="126"/>
      <c r="X456" s="126"/>
      <c r="Y456" s="126"/>
      <c r="Z456" s="126"/>
      <c r="AA456" s="125"/>
      <c r="AB456" s="343"/>
      <c r="AC456" s="125"/>
      <c r="AD456" s="125"/>
      <c r="AE456" s="126"/>
      <c r="AF456" s="126"/>
      <c r="AG456" s="126"/>
      <c r="AH456" s="126"/>
      <c r="AI456" s="169"/>
      <c r="AJ456" s="126"/>
      <c r="AK456" s="126"/>
      <c r="AL456" s="126"/>
      <c r="AM456" s="126"/>
      <c r="AN456" s="126"/>
      <c r="AO456" s="126"/>
      <c r="AP456" s="129"/>
      <c r="AQ456" s="203"/>
      <c r="AR456" s="203"/>
      <c r="AS456" s="238"/>
      <c r="AT456" s="203"/>
      <c r="AU456" s="129"/>
      <c r="AV456" s="129"/>
      <c r="AW456" s="129"/>
      <c r="AX456" s="129"/>
      <c r="AY456" s="129"/>
      <c r="AZ456" s="129"/>
      <c r="BA456" s="129"/>
      <c r="BB456" s="129"/>
      <c r="BC456" s="129"/>
      <c r="BD456" s="129"/>
      <c r="BE456" s="129"/>
    </row>
    <row r="457" spans="1:57" s="191" customFormat="1" ht="12" customHeight="1" x14ac:dyDescent="0.35">
      <c r="A457" s="182"/>
      <c r="B457" s="182"/>
      <c r="C457" s="182"/>
      <c r="D457" s="182"/>
      <c r="E457" s="183"/>
      <c r="F457" s="184"/>
      <c r="G457" s="184"/>
      <c r="H457" s="184"/>
      <c r="I457" s="192"/>
      <c r="J457" s="189"/>
      <c r="K457" s="193"/>
      <c r="L457" s="193"/>
      <c r="M457" s="186"/>
      <c r="N457" s="187"/>
      <c r="O457" s="186"/>
      <c r="P457" s="187"/>
      <c r="Q457" s="187"/>
      <c r="R457" s="187"/>
      <c r="S457" s="187"/>
      <c r="T457" s="187"/>
      <c r="U457" s="187"/>
      <c r="V457" s="187"/>
      <c r="W457" s="187"/>
      <c r="X457" s="187"/>
      <c r="Y457" s="187"/>
      <c r="Z457" s="187"/>
      <c r="AA457" s="186"/>
      <c r="AB457" s="342"/>
      <c r="AC457" s="186"/>
      <c r="AD457" s="186"/>
      <c r="AE457" s="187"/>
      <c r="AF457" s="187"/>
      <c r="AG457" s="187"/>
      <c r="AH457" s="187"/>
      <c r="AI457" s="194"/>
      <c r="AJ457" s="187"/>
      <c r="AK457" s="187"/>
      <c r="AL457" s="187"/>
      <c r="AM457" s="187"/>
      <c r="AN457" s="187"/>
      <c r="AO457" s="187"/>
      <c r="AP457" s="189"/>
      <c r="AQ457" s="202"/>
      <c r="AR457" s="202"/>
      <c r="AS457" s="237"/>
      <c r="AT457" s="202"/>
      <c r="AU457" s="189"/>
      <c r="AV457" s="189"/>
      <c r="AW457" s="189"/>
      <c r="AX457" s="189"/>
      <c r="AY457" s="189"/>
      <c r="AZ457" s="189"/>
      <c r="BA457" s="189"/>
      <c r="BB457" s="189"/>
      <c r="BC457" s="189"/>
      <c r="BD457" s="189"/>
      <c r="BE457" s="189"/>
    </row>
    <row r="458" spans="1:57" s="130" customFormat="1" ht="12" customHeight="1" x14ac:dyDescent="0.35">
      <c r="A458" s="121"/>
      <c r="B458" s="121"/>
      <c r="C458" s="121"/>
      <c r="D458" s="121"/>
      <c r="E458" s="122"/>
      <c r="F458" s="123"/>
      <c r="G458" s="123"/>
      <c r="H458" s="123"/>
      <c r="I458" s="156"/>
      <c r="J458" s="129"/>
      <c r="K458" s="157"/>
      <c r="L458" s="157"/>
      <c r="M458" s="125"/>
      <c r="N458" s="126"/>
      <c r="O458" s="125"/>
      <c r="P458" s="126"/>
      <c r="Q458" s="126"/>
      <c r="R458" s="126"/>
      <c r="S458" s="126"/>
      <c r="T458" s="126"/>
      <c r="U458" s="125"/>
      <c r="V458" s="125"/>
      <c r="W458" s="125"/>
      <c r="X458" s="125"/>
      <c r="Y458" s="125"/>
      <c r="Z458" s="125"/>
      <c r="AA458" s="125"/>
      <c r="AB458" s="343"/>
      <c r="AC458" s="125"/>
      <c r="AD458" s="125"/>
      <c r="AE458" s="126"/>
      <c r="AF458" s="126"/>
      <c r="AG458" s="126"/>
      <c r="AH458" s="126"/>
      <c r="AI458" s="169"/>
      <c r="AJ458" s="126"/>
      <c r="AK458" s="126"/>
      <c r="AL458" s="126"/>
      <c r="AM458" s="126"/>
      <c r="AN458" s="126"/>
      <c r="AO458" s="126"/>
      <c r="AP458" s="129"/>
      <c r="AQ458" s="203"/>
      <c r="AR458" s="203"/>
      <c r="AS458" s="238"/>
      <c r="AT458" s="203"/>
      <c r="AU458" s="129"/>
      <c r="AV458" s="129"/>
      <c r="AW458" s="129"/>
      <c r="AX458" s="129"/>
      <c r="AY458" s="129"/>
      <c r="AZ458" s="129"/>
      <c r="BA458" s="129"/>
      <c r="BB458" s="129"/>
      <c r="BC458" s="129"/>
      <c r="BD458" s="129"/>
      <c r="BE458" s="129"/>
    </row>
    <row r="459" spans="1:57" s="191" customFormat="1" ht="12" customHeight="1" x14ac:dyDescent="0.35">
      <c r="A459" s="182"/>
      <c r="B459" s="182"/>
      <c r="C459" s="182"/>
      <c r="D459" s="182"/>
      <c r="E459" s="183"/>
      <c r="F459" s="184"/>
      <c r="G459" s="184"/>
      <c r="H459" s="184"/>
      <c r="I459" s="192"/>
      <c r="J459" s="189"/>
      <c r="K459" s="193"/>
      <c r="L459" s="193"/>
      <c r="M459" s="186"/>
      <c r="N459" s="187"/>
      <c r="O459" s="186"/>
      <c r="P459" s="187"/>
      <c r="Q459" s="187"/>
      <c r="R459" s="187"/>
      <c r="S459" s="187"/>
      <c r="T459" s="187"/>
      <c r="U459" s="187"/>
      <c r="V459" s="187"/>
      <c r="W459" s="187"/>
      <c r="X459" s="187"/>
      <c r="Y459" s="187"/>
      <c r="Z459" s="187"/>
      <c r="AA459" s="186"/>
      <c r="AB459" s="342"/>
      <c r="AC459" s="186"/>
      <c r="AD459" s="186"/>
      <c r="AE459" s="187"/>
      <c r="AF459" s="187"/>
      <c r="AG459" s="187"/>
      <c r="AH459" s="187"/>
      <c r="AI459" s="194"/>
      <c r="AJ459" s="187"/>
      <c r="AK459" s="187"/>
      <c r="AL459" s="187"/>
      <c r="AM459" s="187"/>
      <c r="AN459" s="187"/>
      <c r="AO459" s="187"/>
      <c r="AP459" s="189"/>
      <c r="AQ459" s="202"/>
      <c r="AR459" s="202"/>
      <c r="AS459" s="237"/>
      <c r="AT459" s="202"/>
      <c r="AU459" s="189"/>
      <c r="AV459" s="201"/>
      <c r="AW459" s="189"/>
      <c r="AX459" s="189"/>
      <c r="AY459" s="189"/>
      <c r="AZ459" s="189"/>
      <c r="BA459" s="189"/>
      <c r="BB459" s="189"/>
      <c r="BC459" s="189"/>
      <c r="BD459" s="189"/>
      <c r="BE459" s="189"/>
    </row>
    <row r="460" spans="1:57" s="130" customFormat="1" ht="12" customHeight="1" x14ac:dyDescent="0.35">
      <c r="A460" s="121"/>
      <c r="B460" s="121"/>
      <c r="C460" s="121"/>
      <c r="D460" s="121"/>
      <c r="E460" s="122"/>
      <c r="F460" s="123"/>
      <c r="G460" s="123"/>
      <c r="H460" s="123"/>
      <c r="I460" s="156"/>
      <c r="J460" s="129"/>
      <c r="K460" s="157"/>
      <c r="L460" s="157"/>
      <c r="M460" s="125"/>
      <c r="N460" s="126"/>
      <c r="O460" s="125"/>
      <c r="P460" s="126"/>
      <c r="Q460" s="126"/>
      <c r="R460" s="126"/>
      <c r="S460" s="126"/>
      <c r="T460" s="126"/>
      <c r="U460" s="126"/>
      <c r="V460" s="126"/>
      <c r="W460" s="126"/>
      <c r="X460" s="126"/>
      <c r="Y460" s="126"/>
      <c r="Z460" s="126"/>
      <c r="AA460" s="125"/>
      <c r="AB460" s="343"/>
      <c r="AC460" s="125"/>
      <c r="AD460" s="125"/>
      <c r="AE460" s="126"/>
      <c r="AF460" s="126"/>
      <c r="AG460" s="126"/>
      <c r="AH460" s="126"/>
      <c r="AI460" s="169"/>
      <c r="AJ460" s="126"/>
      <c r="AK460" s="126"/>
      <c r="AL460" s="126"/>
      <c r="AM460" s="126"/>
      <c r="AN460" s="126"/>
      <c r="AO460" s="126"/>
      <c r="AP460" s="129"/>
      <c r="AQ460" s="203"/>
      <c r="AR460" s="203"/>
      <c r="AS460" s="238"/>
      <c r="AT460" s="203"/>
      <c r="AU460" s="129"/>
      <c r="AV460" s="129"/>
      <c r="AW460" s="129"/>
      <c r="AX460" s="129"/>
      <c r="AY460" s="129"/>
      <c r="AZ460" s="129"/>
      <c r="BA460" s="129"/>
      <c r="BB460" s="129"/>
      <c r="BC460" s="129"/>
      <c r="BD460" s="129"/>
      <c r="BE460" s="129"/>
    </row>
    <row r="461" spans="1:57" s="191" customFormat="1" ht="12" customHeight="1" x14ac:dyDescent="0.35">
      <c r="A461" s="182"/>
      <c r="B461" s="182"/>
      <c r="C461" s="182"/>
      <c r="D461" s="182"/>
      <c r="E461" s="183"/>
      <c r="F461" s="184"/>
      <c r="G461" s="184"/>
      <c r="H461" s="184"/>
      <c r="I461" s="192"/>
      <c r="J461" s="189"/>
      <c r="K461" s="193"/>
      <c r="L461" s="193"/>
      <c r="M461" s="186"/>
      <c r="N461" s="187"/>
      <c r="O461" s="186"/>
      <c r="P461" s="187"/>
      <c r="Q461" s="187"/>
      <c r="R461" s="187"/>
      <c r="S461" s="187"/>
      <c r="T461" s="187"/>
      <c r="U461" s="187"/>
      <c r="V461" s="187"/>
      <c r="W461" s="187"/>
      <c r="X461" s="187"/>
      <c r="Y461" s="187"/>
      <c r="Z461" s="187"/>
      <c r="AA461" s="186"/>
      <c r="AB461" s="342"/>
      <c r="AC461" s="186"/>
      <c r="AD461" s="186"/>
      <c r="AE461" s="187"/>
      <c r="AF461" s="187"/>
      <c r="AG461" s="187"/>
      <c r="AH461" s="187"/>
      <c r="AI461" s="194"/>
      <c r="AJ461" s="187"/>
      <c r="AK461" s="187"/>
      <c r="AL461" s="187"/>
      <c r="AM461" s="187"/>
      <c r="AN461" s="187"/>
      <c r="AO461" s="187"/>
      <c r="AP461" s="189"/>
      <c r="AQ461" s="202"/>
      <c r="AR461" s="202"/>
      <c r="AS461" s="237"/>
      <c r="AT461" s="202"/>
      <c r="AU461" s="189"/>
      <c r="AV461" s="189"/>
      <c r="AW461" s="189"/>
      <c r="AX461" s="189"/>
      <c r="AY461" s="189"/>
      <c r="AZ461" s="189"/>
      <c r="BA461" s="189"/>
      <c r="BB461" s="189"/>
      <c r="BC461" s="189"/>
      <c r="BD461" s="189"/>
      <c r="BE461" s="189"/>
    </row>
    <row r="462" spans="1:57" s="130" customFormat="1" ht="12" customHeight="1" x14ac:dyDescent="0.35">
      <c r="A462" s="121"/>
      <c r="B462" s="121"/>
      <c r="C462" s="121"/>
      <c r="D462" s="121"/>
      <c r="E462" s="122"/>
      <c r="F462" s="123"/>
      <c r="G462" s="123"/>
      <c r="H462" s="123"/>
      <c r="I462" s="156"/>
      <c r="J462" s="129"/>
      <c r="K462" s="157"/>
      <c r="L462" s="157"/>
      <c r="M462" s="125"/>
      <c r="N462" s="126"/>
      <c r="O462" s="125"/>
      <c r="P462" s="126"/>
      <c r="Q462" s="126"/>
      <c r="R462" s="126"/>
      <c r="S462" s="126"/>
      <c r="T462" s="126"/>
      <c r="U462" s="125"/>
      <c r="V462" s="125"/>
      <c r="W462" s="125"/>
      <c r="X462" s="125"/>
      <c r="Y462" s="125"/>
      <c r="Z462" s="125"/>
      <c r="AA462" s="125"/>
      <c r="AB462" s="343"/>
      <c r="AC462" s="125"/>
      <c r="AD462" s="125"/>
      <c r="AE462" s="126"/>
      <c r="AF462" s="126"/>
      <c r="AG462" s="126"/>
      <c r="AH462" s="126"/>
      <c r="AI462" s="169"/>
      <c r="AJ462" s="126"/>
      <c r="AK462" s="126"/>
      <c r="AL462" s="126"/>
      <c r="AM462" s="126"/>
      <c r="AN462" s="126"/>
      <c r="AO462" s="126"/>
      <c r="AP462" s="129"/>
      <c r="AQ462" s="203"/>
      <c r="AR462" s="203"/>
      <c r="AS462" s="238"/>
      <c r="AT462" s="203"/>
      <c r="AU462" s="129"/>
      <c r="AV462" s="129"/>
      <c r="AW462" s="129"/>
      <c r="AX462" s="129"/>
      <c r="AY462" s="129"/>
      <c r="AZ462" s="129"/>
      <c r="BA462" s="129"/>
      <c r="BB462" s="129"/>
      <c r="BC462" s="129"/>
      <c r="BD462" s="129"/>
      <c r="BE462" s="129"/>
    </row>
    <row r="463" spans="1:57" s="191" customFormat="1" ht="12" customHeight="1" x14ac:dyDescent="0.35">
      <c r="A463" s="182"/>
      <c r="B463" s="182"/>
      <c r="C463" s="182"/>
      <c r="D463" s="182"/>
      <c r="E463" s="183"/>
      <c r="F463" s="184"/>
      <c r="G463" s="184"/>
      <c r="H463" s="184"/>
      <c r="I463" s="192"/>
      <c r="J463" s="189"/>
      <c r="K463" s="193"/>
      <c r="L463" s="193"/>
      <c r="M463" s="186"/>
      <c r="N463" s="187"/>
      <c r="O463" s="186"/>
      <c r="P463" s="187"/>
      <c r="Q463" s="187"/>
      <c r="R463" s="187"/>
      <c r="S463" s="187"/>
      <c r="T463" s="187"/>
      <c r="U463" s="187"/>
      <c r="V463" s="187"/>
      <c r="W463" s="187"/>
      <c r="X463" s="187"/>
      <c r="Y463" s="187"/>
      <c r="Z463" s="187"/>
      <c r="AA463" s="186"/>
      <c r="AB463" s="342"/>
      <c r="AC463" s="186"/>
      <c r="AD463" s="186"/>
      <c r="AE463" s="187"/>
      <c r="AF463" s="187"/>
      <c r="AG463" s="187"/>
      <c r="AH463" s="187"/>
      <c r="AI463" s="194"/>
      <c r="AJ463" s="187"/>
      <c r="AK463" s="187"/>
      <c r="AL463" s="187"/>
      <c r="AM463" s="187"/>
      <c r="AN463" s="187"/>
      <c r="AO463" s="187"/>
      <c r="AP463" s="189"/>
      <c r="AQ463" s="202"/>
      <c r="AR463" s="202"/>
      <c r="AS463" s="237"/>
      <c r="AT463" s="202"/>
      <c r="AU463" s="189"/>
      <c r="AV463" s="201"/>
      <c r="AW463" s="189"/>
      <c r="AX463" s="189"/>
      <c r="AY463" s="189"/>
      <c r="AZ463" s="189"/>
      <c r="BA463" s="189"/>
      <c r="BB463" s="189"/>
      <c r="BC463" s="189"/>
      <c r="BD463" s="189"/>
      <c r="BE463" s="189"/>
    </row>
    <row r="464" spans="1:57" s="130" customFormat="1" ht="12" customHeight="1" x14ac:dyDescent="0.35">
      <c r="A464" s="121"/>
      <c r="B464" s="121"/>
      <c r="C464" s="121"/>
      <c r="D464" s="121"/>
      <c r="E464" s="122"/>
      <c r="F464" s="123"/>
      <c r="G464" s="123"/>
      <c r="H464" s="123"/>
      <c r="I464" s="156"/>
      <c r="J464" s="129"/>
      <c r="K464" s="157"/>
      <c r="L464" s="157"/>
      <c r="M464" s="125"/>
      <c r="N464" s="126"/>
      <c r="O464" s="125"/>
      <c r="P464" s="126"/>
      <c r="Q464" s="126"/>
      <c r="R464" s="126"/>
      <c r="S464" s="126"/>
      <c r="T464" s="126"/>
      <c r="U464" s="126"/>
      <c r="V464" s="126"/>
      <c r="W464" s="126"/>
      <c r="X464" s="126"/>
      <c r="Y464" s="126"/>
      <c r="Z464" s="126"/>
      <c r="AA464" s="125"/>
      <c r="AB464" s="343"/>
      <c r="AC464" s="125"/>
      <c r="AD464" s="125"/>
      <c r="AE464" s="126"/>
      <c r="AF464" s="126"/>
      <c r="AG464" s="126"/>
      <c r="AH464" s="126"/>
      <c r="AI464" s="169"/>
      <c r="AJ464" s="126"/>
      <c r="AK464" s="126"/>
      <c r="AL464" s="126"/>
      <c r="AM464" s="126"/>
      <c r="AN464" s="126"/>
      <c r="AO464" s="126"/>
      <c r="AP464" s="129"/>
      <c r="AQ464" s="203"/>
      <c r="AR464" s="203"/>
      <c r="AS464" s="238"/>
      <c r="AT464" s="203"/>
      <c r="AU464" s="129"/>
      <c r="AV464" s="129"/>
      <c r="AW464" s="129"/>
      <c r="AX464" s="129"/>
      <c r="AY464" s="129"/>
      <c r="AZ464" s="129"/>
      <c r="BA464" s="129"/>
      <c r="BB464" s="129"/>
      <c r="BC464" s="129"/>
      <c r="BD464" s="129"/>
      <c r="BE464" s="129"/>
    </row>
    <row r="465" spans="1:57" s="191" customFormat="1" ht="12" customHeight="1" x14ac:dyDescent="0.35">
      <c r="A465" s="182"/>
      <c r="B465" s="182"/>
      <c r="C465" s="182"/>
      <c r="D465" s="182"/>
      <c r="E465" s="183"/>
      <c r="F465" s="184"/>
      <c r="G465" s="184"/>
      <c r="H465" s="184"/>
      <c r="I465" s="192"/>
      <c r="J465" s="189"/>
      <c r="K465" s="193"/>
      <c r="L465" s="193"/>
      <c r="M465" s="186"/>
      <c r="N465" s="187"/>
      <c r="O465" s="186"/>
      <c r="P465" s="187"/>
      <c r="Q465" s="187"/>
      <c r="R465" s="187"/>
      <c r="S465" s="187"/>
      <c r="T465" s="187"/>
      <c r="U465" s="187"/>
      <c r="V465" s="187"/>
      <c r="W465" s="187"/>
      <c r="X465" s="187"/>
      <c r="Y465" s="187"/>
      <c r="Z465" s="187"/>
      <c r="AA465" s="186"/>
      <c r="AB465" s="342"/>
      <c r="AC465" s="186"/>
      <c r="AD465" s="186"/>
      <c r="AE465" s="187"/>
      <c r="AF465" s="187"/>
      <c r="AG465" s="187"/>
      <c r="AH465" s="187"/>
      <c r="AI465" s="194"/>
      <c r="AJ465" s="187"/>
      <c r="AK465" s="187"/>
      <c r="AL465" s="187"/>
      <c r="AM465" s="187"/>
      <c r="AN465" s="187"/>
      <c r="AO465" s="187"/>
      <c r="AP465" s="189"/>
      <c r="AQ465" s="202"/>
      <c r="AR465" s="202"/>
      <c r="AS465" s="237"/>
      <c r="AT465" s="202"/>
      <c r="AU465" s="189"/>
      <c r="AV465" s="189"/>
      <c r="AW465" s="189"/>
      <c r="AX465" s="189"/>
      <c r="AY465" s="189"/>
      <c r="AZ465" s="189"/>
      <c r="BA465" s="189"/>
      <c r="BB465" s="189"/>
      <c r="BC465" s="189"/>
      <c r="BD465" s="189"/>
      <c r="BE465" s="189"/>
    </row>
    <row r="466" spans="1:57" s="130" customFormat="1" ht="12" customHeight="1" x14ac:dyDescent="0.35">
      <c r="A466" s="121"/>
      <c r="B466" s="121"/>
      <c r="C466" s="121"/>
      <c r="D466" s="121"/>
      <c r="E466" s="122"/>
      <c r="F466" s="123"/>
      <c r="G466" s="123"/>
      <c r="H466" s="123"/>
      <c r="I466" s="156"/>
      <c r="J466" s="129"/>
      <c r="K466" s="157"/>
      <c r="L466" s="157"/>
      <c r="M466" s="125"/>
      <c r="N466" s="126"/>
      <c r="O466" s="125"/>
      <c r="P466" s="126"/>
      <c r="Q466" s="126"/>
      <c r="R466" s="126"/>
      <c r="S466" s="126"/>
      <c r="T466" s="126"/>
      <c r="U466" s="125"/>
      <c r="V466" s="125"/>
      <c r="W466" s="125"/>
      <c r="X466" s="125"/>
      <c r="Y466" s="125"/>
      <c r="Z466" s="125"/>
      <c r="AA466" s="125"/>
      <c r="AB466" s="343"/>
      <c r="AC466" s="125"/>
      <c r="AD466" s="125"/>
      <c r="AE466" s="126"/>
      <c r="AF466" s="126"/>
      <c r="AG466" s="126"/>
      <c r="AH466" s="126"/>
      <c r="AI466" s="169"/>
      <c r="AJ466" s="126"/>
      <c r="AK466" s="126"/>
      <c r="AL466" s="126"/>
      <c r="AM466" s="126"/>
      <c r="AN466" s="126"/>
      <c r="AO466" s="126"/>
      <c r="AP466" s="129"/>
      <c r="AQ466" s="203"/>
      <c r="AR466" s="203"/>
      <c r="AS466" s="238"/>
      <c r="AT466" s="203"/>
      <c r="AU466" s="129"/>
      <c r="AV466" s="129"/>
      <c r="AW466" s="129"/>
      <c r="AX466" s="129"/>
      <c r="AY466" s="129"/>
      <c r="AZ466" s="129"/>
      <c r="BA466" s="129"/>
      <c r="BB466" s="129"/>
      <c r="BC466" s="129"/>
      <c r="BD466" s="129"/>
      <c r="BE466" s="129"/>
    </row>
    <row r="467" spans="1:57" s="191" customFormat="1" ht="12" customHeight="1" x14ac:dyDescent="0.35">
      <c r="A467" s="182"/>
      <c r="B467" s="182"/>
      <c r="C467" s="182"/>
      <c r="D467" s="182"/>
      <c r="E467" s="183"/>
      <c r="F467" s="184"/>
      <c r="G467" s="184"/>
      <c r="H467" s="184"/>
      <c r="I467" s="192"/>
      <c r="J467" s="189"/>
      <c r="K467" s="193"/>
      <c r="L467" s="193"/>
      <c r="M467" s="186"/>
      <c r="N467" s="187"/>
      <c r="O467" s="186"/>
      <c r="P467" s="187"/>
      <c r="Q467" s="187"/>
      <c r="R467" s="187"/>
      <c r="S467" s="187"/>
      <c r="T467" s="187"/>
      <c r="U467" s="187"/>
      <c r="V467" s="187"/>
      <c r="W467" s="187"/>
      <c r="X467" s="187"/>
      <c r="Y467" s="187"/>
      <c r="Z467" s="187"/>
      <c r="AA467" s="186"/>
      <c r="AB467" s="342"/>
      <c r="AC467" s="186"/>
      <c r="AD467" s="186"/>
      <c r="AE467" s="187"/>
      <c r="AF467" s="187"/>
      <c r="AG467" s="187"/>
      <c r="AH467" s="187"/>
      <c r="AI467" s="194"/>
      <c r="AJ467" s="187"/>
      <c r="AK467" s="187"/>
      <c r="AL467" s="187"/>
      <c r="AM467" s="187"/>
      <c r="AN467" s="187"/>
      <c r="AO467" s="187"/>
      <c r="AP467" s="189"/>
      <c r="AQ467" s="202"/>
      <c r="AR467" s="202"/>
      <c r="AS467" s="237"/>
      <c r="AT467" s="202"/>
      <c r="AU467" s="189"/>
      <c r="AV467" s="201"/>
      <c r="AW467" s="189"/>
      <c r="AX467" s="189"/>
      <c r="AY467" s="189"/>
      <c r="AZ467" s="189"/>
      <c r="BA467" s="189"/>
      <c r="BB467" s="189"/>
      <c r="BC467" s="189"/>
      <c r="BD467" s="189"/>
      <c r="BE467" s="189"/>
    </row>
    <row r="468" spans="1:57" s="130" customFormat="1" ht="12" customHeight="1" x14ac:dyDescent="0.35">
      <c r="A468" s="121"/>
      <c r="B468" s="121"/>
      <c r="C468" s="121"/>
      <c r="D468" s="121"/>
      <c r="E468" s="122"/>
      <c r="F468" s="123"/>
      <c r="G468" s="123"/>
      <c r="H468" s="123"/>
      <c r="I468" s="156"/>
      <c r="J468" s="129"/>
      <c r="K468" s="157"/>
      <c r="L468" s="157"/>
      <c r="M468" s="125"/>
      <c r="N468" s="126"/>
      <c r="O468" s="125"/>
      <c r="P468" s="126"/>
      <c r="Q468" s="126"/>
      <c r="R468" s="126"/>
      <c r="S468" s="126"/>
      <c r="T468" s="126"/>
      <c r="U468" s="126"/>
      <c r="V468" s="126"/>
      <c r="W468" s="126"/>
      <c r="X468" s="126"/>
      <c r="Y468" s="126"/>
      <c r="Z468" s="126"/>
      <c r="AA468" s="125"/>
      <c r="AB468" s="343"/>
      <c r="AC468" s="125"/>
      <c r="AD468" s="125"/>
      <c r="AE468" s="126"/>
      <c r="AF468" s="126"/>
      <c r="AG468" s="126"/>
      <c r="AH468" s="126"/>
      <c r="AI468" s="169"/>
      <c r="AJ468" s="126"/>
      <c r="AK468" s="126"/>
      <c r="AL468" s="126"/>
      <c r="AM468" s="126"/>
      <c r="AN468" s="126"/>
      <c r="AO468" s="126"/>
      <c r="AP468" s="129"/>
      <c r="AQ468" s="203"/>
      <c r="AR468" s="203"/>
      <c r="AS468" s="238"/>
      <c r="AT468" s="203"/>
      <c r="AU468" s="129"/>
      <c r="AV468" s="129"/>
      <c r="AW468" s="129"/>
      <c r="AX468" s="129"/>
      <c r="AY468" s="129"/>
      <c r="AZ468" s="129"/>
      <c r="BA468" s="129"/>
      <c r="BB468" s="129"/>
      <c r="BC468" s="129"/>
      <c r="BD468" s="129"/>
      <c r="BE468" s="129"/>
    </row>
    <row r="469" spans="1:57" s="191" customFormat="1" ht="12" customHeight="1" x14ac:dyDescent="0.35">
      <c r="A469" s="182"/>
      <c r="B469" s="182"/>
      <c r="C469" s="182"/>
      <c r="D469" s="182"/>
      <c r="E469" s="183"/>
      <c r="F469" s="184"/>
      <c r="G469" s="184"/>
      <c r="H469" s="184"/>
      <c r="I469" s="192"/>
      <c r="J469" s="189"/>
      <c r="K469" s="193"/>
      <c r="L469" s="193"/>
      <c r="M469" s="186"/>
      <c r="N469" s="187"/>
      <c r="O469" s="186"/>
      <c r="P469" s="187"/>
      <c r="Q469" s="187"/>
      <c r="R469" s="187"/>
      <c r="S469" s="187"/>
      <c r="T469" s="187"/>
      <c r="U469" s="187"/>
      <c r="V469" s="187"/>
      <c r="W469" s="187"/>
      <c r="X469" s="187"/>
      <c r="Y469" s="187"/>
      <c r="Z469" s="187"/>
      <c r="AA469" s="186"/>
      <c r="AB469" s="342"/>
      <c r="AC469" s="186"/>
      <c r="AD469" s="186"/>
      <c r="AE469" s="187"/>
      <c r="AF469" s="187"/>
      <c r="AG469" s="187"/>
      <c r="AH469" s="187"/>
      <c r="AI469" s="194"/>
      <c r="AJ469" s="187"/>
      <c r="AK469" s="187"/>
      <c r="AL469" s="187"/>
      <c r="AM469" s="187"/>
      <c r="AN469" s="187"/>
      <c r="AO469" s="187"/>
      <c r="AP469" s="189"/>
      <c r="AQ469" s="202"/>
      <c r="AR469" s="202"/>
      <c r="AS469" s="237"/>
      <c r="AT469" s="202"/>
      <c r="AU469" s="189"/>
      <c r="AV469" s="189"/>
      <c r="AW469" s="189"/>
      <c r="AX469" s="189"/>
      <c r="AY469" s="189"/>
      <c r="AZ469" s="189"/>
      <c r="BA469" s="189"/>
      <c r="BB469" s="189"/>
      <c r="BC469" s="189"/>
      <c r="BD469" s="189"/>
      <c r="BE469" s="189"/>
    </row>
    <row r="470" spans="1:57" s="130" customFormat="1" ht="12" customHeight="1" x14ac:dyDescent="0.35">
      <c r="A470" s="121"/>
      <c r="B470" s="121"/>
      <c r="C470" s="121"/>
      <c r="D470" s="121"/>
      <c r="E470" s="122"/>
      <c r="F470" s="123"/>
      <c r="G470" s="123"/>
      <c r="H470" s="123"/>
      <c r="I470" s="156"/>
      <c r="J470" s="129"/>
      <c r="K470" s="157"/>
      <c r="L470" s="157"/>
      <c r="M470" s="125"/>
      <c r="N470" s="126"/>
      <c r="O470" s="125"/>
      <c r="P470" s="126"/>
      <c r="Q470" s="126"/>
      <c r="R470" s="126"/>
      <c r="S470" s="126"/>
      <c r="T470" s="126"/>
      <c r="U470" s="125"/>
      <c r="V470" s="125"/>
      <c r="W470" s="125"/>
      <c r="X470" s="125"/>
      <c r="Y470" s="125"/>
      <c r="Z470" s="125"/>
      <c r="AA470" s="125"/>
      <c r="AB470" s="343"/>
      <c r="AC470" s="125"/>
      <c r="AD470" s="125"/>
      <c r="AE470" s="126"/>
      <c r="AF470" s="126"/>
      <c r="AG470" s="126"/>
      <c r="AH470" s="126"/>
      <c r="AI470" s="169"/>
      <c r="AJ470" s="126"/>
      <c r="AK470" s="126"/>
      <c r="AL470" s="126"/>
      <c r="AM470" s="126"/>
      <c r="AN470" s="126"/>
      <c r="AO470" s="126"/>
      <c r="AP470" s="129"/>
      <c r="AQ470" s="203"/>
      <c r="AR470" s="203"/>
      <c r="AS470" s="238"/>
      <c r="AT470" s="203"/>
      <c r="AU470" s="129"/>
      <c r="AV470" s="129"/>
      <c r="AW470" s="129"/>
      <c r="AX470" s="129"/>
      <c r="AY470" s="129"/>
      <c r="AZ470" s="129"/>
      <c r="BA470" s="129"/>
      <c r="BB470" s="129"/>
      <c r="BC470" s="129"/>
      <c r="BD470" s="129"/>
      <c r="BE470" s="129"/>
    </row>
    <row r="471" spans="1:57" s="191" customFormat="1" ht="12" customHeight="1" x14ac:dyDescent="0.35">
      <c r="A471" s="182"/>
      <c r="B471" s="182"/>
      <c r="C471" s="182"/>
      <c r="D471" s="182"/>
      <c r="E471" s="183"/>
      <c r="F471" s="184"/>
      <c r="G471" s="184"/>
      <c r="H471" s="184"/>
      <c r="I471" s="192"/>
      <c r="J471" s="189"/>
      <c r="K471" s="193"/>
      <c r="L471" s="193"/>
      <c r="M471" s="186"/>
      <c r="N471" s="187"/>
      <c r="O471" s="186"/>
      <c r="P471" s="187"/>
      <c r="Q471" s="187"/>
      <c r="R471" s="187"/>
      <c r="S471" s="187"/>
      <c r="T471" s="187"/>
      <c r="U471" s="187"/>
      <c r="V471" s="187"/>
      <c r="W471" s="187"/>
      <c r="X471" s="187"/>
      <c r="Y471" s="187"/>
      <c r="Z471" s="187"/>
      <c r="AA471" s="186"/>
      <c r="AB471" s="342"/>
      <c r="AC471" s="186"/>
      <c r="AD471" s="186"/>
      <c r="AE471" s="187"/>
      <c r="AF471" s="187"/>
      <c r="AG471" s="187"/>
      <c r="AH471" s="187"/>
      <c r="AI471" s="194"/>
      <c r="AJ471" s="187"/>
      <c r="AK471" s="187"/>
      <c r="AL471" s="187"/>
      <c r="AM471" s="187"/>
      <c r="AN471" s="187"/>
      <c r="AO471" s="187"/>
      <c r="AP471" s="189"/>
      <c r="AQ471" s="202"/>
      <c r="AR471" s="202"/>
      <c r="AS471" s="237"/>
      <c r="AT471" s="202"/>
      <c r="AU471" s="189"/>
      <c r="AV471" s="201"/>
      <c r="AW471" s="189"/>
      <c r="AX471" s="189"/>
      <c r="AY471" s="189"/>
      <c r="AZ471" s="189"/>
      <c r="BA471" s="189"/>
      <c r="BB471" s="189"/>
      <c r="BC471" s="189"/>
      <c r="BD471" s="189"/>
      <c r="BE471" s="189"/>
    </row>
    <row r="472" spans="1:57" s="130" customFormat="1" ht="12" customHeight="1" x14ac:dyDescent="0.35">
      <c r="A472" s="121"/>
      <c r="B472" s="121"/>
      <c r="C472" s="121"/>
      <c r="D472" s="121"/>
      <c r="E472" s="122"/>
      <c r="F472" s="123"/>
      <c r="G472" s="123"/>
      <c r="H472" s="123"/>
      <c r="I472" s="156"/>
      <c r="J472" s="129"/>
      <c r="K472" s="157"/>
      <c r="L472" s="157"/>
      <c r="M472" s="125"/>
      <c r="N472" s="126"/>
      <c r="O472" s="125"/>
      <c r="P472" s="126"/>
      <c r="Q472" s="126"/>
      <c r="R472" s="126"/>
      <c r="S472" s="126"/>
      <c r="T472" s="126"/>
      <c r="U472" s="126"/>
      <c r="V472" s="126"/>
      <c r="W472" s="126"/>
      <c r="X472" s="126"/>
      <c r="Y472" s="126"/>
      <c r="Z472" s="126"/>
      <c r="AA472" s="125"/>
      <c r="AB472" s="343"/>
      <c r="AC472" s="125"/>
      <c r="AD472" s="125"/>
      <c r="AE472" s="126"/>
      <c r="AF472" s="126"/>
      <c r="AG472" s="126"/>
      <c r="AH472" s="126"/>
      <c r="AI472" s="169"/>
      <c r="AJ472" s="126"/>
      <c r="AK472" s="126"/>
      <c r="AL472" s="126"/>
      <c r="AM472" s="126"/>
      <c r="AN472" s="126"/>
      <c r="AO472" s="126"/>
      <c r="AP472" s="129"/>
      <c r="AQ472" s="203"/>
      <c r="AR472" s="203"/>
      <c r="AS472" s="238"/>
      <c r="AT472" s="203"/>
      <c r="AU472" s="129"/>
      <c r="AV472" s="129"/>
      <c r="AW472" s="129"/>
      <c r="AX472" s="129"/>
      <c r="AY472" s="129"/>
      <c r="AZ472" s="129"/>
      <c r="BA472" s="129"/>
      <c r="BB472" s="129"/>
      <c r="BC472" s="129"/>
      <c r="BD472" s="129"/>
      <c r="BE472" s="129"/>
    </row>
    <row r="473" spans="1:57" s="191" customFormat="1" ht="12" customHeight="1" x14ac:dyDescent="0.35">
      <c r="A473" s="182"/>
      <c r="B473" s="182"/>
      <c r="C473" s="182"/>
      <c r="D473" s="182"/>
      <c r="E473" s="183"/>
      <c r="F473" s="184"/>
      <c r="G473" s="184"/>
      <c r="H473" s="184"/>
      <c r="I473" s="192"/>
      <c r="J473" s="189"/>
      <c r="K473" s="193"/>
      <c r="L473" s="193"/>
      <c r="M473" s="186"/>
      <c r="N473" s="187"/>
      <c r="O473" s="186"/>
      <c r="P473" s="187"/>
      <c r="Q473" s="187"/>
      <c r="R473" s="187"/>
      <c r="S473" s="187"/>
      <c r="T473" s="187"/>
      <c r="U473" s="187"/>
      <c r="V473" s="187"/>
      <c r="W473" s="187"/>
      <c r="X473" s="187"/>
      <c r="Y473" s="187"/>
      <c r="Z473" s="187"/>
      <c r="AA473" s="186"/>
      <c r="AB473" s="342"/>
      <c r="AC473" s="186"/>
      <c r="AD473" s="186"/>
      <c r="AE473" s="187"/>
      <c r="AF473" s="187"/>
      <c r="AG473" s="187"/>
      <c r="AH473" s="187"/>
      <c r="AI473" s="194"/>
      <c r="AJ473" s="187"/>
      <c r="AK473" s="187"/>
      <c r="AL473" s="187"/>
      <c r="AM473" s="187"/>
      <c r="AN473" s="187"/>
      <c r="AO473" s="187"/>
      <c r="AP473" s="189"/>
      <c r="AQ473" s="202"/>
      <c r="AR473" s="202"/>
      <c r="AS473" s="237"/>
      <c r="AT473" s="202"/>
      <c r="AU473" s="189"/>
      <c r="AV473" s="189"/>
      <c r="AW473" s="189"/>
      <c r="AX473" s="189"/>
      <c r="AY473" s="189"/>
      <c r="AZ473" s="189"/>
      <c r="BA473" s="189"/>
      <c r="BB473" s="189"/>
      <c r="BC473" s="189"/>
      <c r="BD473" s="189"/>
      <c r="BE473" s="189"/>
    </row>
    <row r="474" spans="1:57" s="130" customFormat="1" ht="12" customHeight="1" x14ac:dyDescent="0.35">
      <c r="A474" s="121"/>
      <c r="B474" s="121"/>
      <c r="C474" s="121"/>
      <c r="D474" s="121"/>
      <c r="E474" s="122"/>
      <c r="F474" s="123"/>
      <c r="G474" s="123"/>
      <c r="H474" s="123"/>
      <c r="I474" s="156"/>
      <c r="J474" s="129"/>
      <c r="K474" s="157"/>
      <c r="L474" s="157"/>
      <c r="M474" s="125"/>
      <c r="N474" s="126"/>
      <c r="O474" s="125"/>
      <c r="P474" s="126"/>
      <c r="Q474" s="126"/>
      <c r="R474" s="126"/>
      <c r="S474" s="126"/>
      <c r="T474" s="126"/>
      <c r="U474" s="125"/>
      <c r="V474" s="125"/>
      <c r="W474" s="125"/>
      <c r="X474" s="125"/>
      <c r="Y474" s="125"/>
      <c r="Z474" s="125"/>
      <c r="AA474" s="125"/>
      <c r="AB474" s="343"/>
      <c r="AC474" s="125"/>
      <c r="AD474" s="125"/>
      <c r="AE474" s="126"/>
      <c r="AF474" s="126"/>
      <c r="AG474" s="126"/>
      <c r="AH474" s="126"/>
      <c r="AI474" s="169"/>
      <c r="AJ474" s="126"/>
      <c r="AK474" s="126"/>
      <c r="AL474" s="126"/>
      <c r="AM474" s="126"/>
      <c r="AN474" s="126"/>
      <c r="AO474" s="126"/>
      <c r="AP474" s="129"/>
      <c r="AQ474" s="203"/>
      <c r="AR474" s="203"/>
      <c r="AS474" s="238"/>
      <c r="AT474" s="203"/>
      <c r="AU474" s="129"/>
      <c r="AV474" s="129"/>
      <c r="AW474" s="129"/>
      <c r="AX474" s="129"/>
      <c r="AY474" s="129"/>
      <c r="AZ474" s="129"/>
      <c r="BA474" s="129"/>
      <c r="BB474" s="129"/>
      <c r="BC474" s="129"/>
      <c r="BD474" s="129"/>
      <c r="BE474" s="129"/>
    </row>
    <row r="475" spans="1:57" s="191" customFormat="1" ht="12" customHeight="1" x14ac:dyDescent="0.35">
      <c r="A475" s="182"/>
      <c r="B475" s="182"/>
      <c r="C475" s="182"/>
      <c r="D475" s="182"/>
      <c r="E475" s="183"/>
      <c r="F475" s="184"/>
      <c r="G475" s="184"/>
      <c r="H475" s="184"/>
      <c r="I475" s="192"/>
      <c r="J475" s="189"/>
      <c r="K475" s="193"/>
      <c r="L475" s="193"/>
      <c r="M475" s="186"/>
      <c r="N475" s="187"/>
      <c r="O475" s="186"/>
      <c r="P475" s="187"/>
      <c r="Q475" s="187"/>
      <c r="R475" s="187"/>
      <c r="S475" s="187"/>
      <c r="T475" s="187"/>
      <c r="U475" s="187"/>
      <c r="V475" s="187"/>
      <c r="W475" s="187"/>
      <c r="X475" s="187"/>
      <c r="Y475" s="187"/>
      <c r="Z475" s="187"/>
      <c r="AA475" s="186"/>
      <c r="AB475" s="342"/>
      <c r="AC475" s="186"/>
      <c r="AD475" s="186"/>
      <c r="AE475" s="187"/>
      <c r="AF475" s="187"/>
      <c r="AG475" s="187"/>
      <c r="AH475" s="187"/>
      <c r="AI475" s="194"/>
      <c r="AJ475" s="187"/>
      <c r="AK475" s="187"/>
      <c r="AL475" s="187"/>
      <c r="AM475" s="187"/>
      <c r="AN475" s="187"/>
      <c r="AO475" s="187"/>
      <c r="AP475" s="189"/>
      <c r="AQ475" s="202"/>
      <c r="AR475" s="202"/>
      <c r="AS475" s="237"/>
      <c r="AT475" s="202"/>
      <c r="AU475" s="189"/>
      <c r="AV475" s="201"/>
      <c r="AW475" s="189"/>
      <c r="AX475" s="189"/>
      <c r="AY475" s="189"/>
      <c r="AZ475" s="189"/>
      <c r="BA475" s="189"/>
      <c r="BB475" s="189"/>
      <c r="BC475" s="189"/>
      <c r="BD475" s="189"/>
      <c r="BE475" s="189"/>
    </row>
    <row r="476" spans="1:57" s="130" customFormat="1" ht="12" customHeight="1" x14ac:dyDescent="0.35">
      <c r="A476" s="121"/>
      <c r="B476" s="121"/>
      <c r="C476" s="121"/>
      <c r="D476" s="121"/>
      <c r="E476" s="122"/>
      <c r="F476" s="123"/>
      <c r="G476" s="123"/>
      <c r="H476" s="123"/>
      <c r="I476" s="156"/>
      <c r="J476" s="129"/>
      <c r="K476" s="157"/>
      <c r="L476" s="157"/>
      <c r="M476" s="125"/>
      <c r="N476" s="126"/>
      <c r="O476" s="125"/>
      <c r="P476" s="126"/>
      <c r="Q476" s="126"/>
      <c r="R476" s="126"/>
      <c r="S476" s="126"/>
      <c r="T476" s="126"/>
      <c r="U476" s="126"/>
      <c r="V476" s="126"/>
      <c r="W476" s="126"/>
      <c r="X476" s="126"/>
      <c r="Y476" s="126"/>
      <c r="Z476" s="126"/>
      <c r="AA476" s="125"/>
      <c r="AB476" s="343"/>
      <c r="AC476" s="125"/>
      <c r="AD476" s="125"/>
      <c r="AE476" s="126"/>
      <c r="AF476" s="126"/>
      <c r="AG476" s="126"/>
      <c r="AH476" s="126"/>
      <c r="AI476" s="169"/>
      <c r="AJ476" s="126"/>
      <c r="AK476" s="126"/>
      <c r="AL476" s="126"/>
      <c r="AM476" s="126"/>
      <c r="AN476" s="126"/>
      <c r="AO476" s="126"/>
      <c r="AP476" s="129"/>
      <c r="AQ476" s="203"/>
      <c r="AR476" s="203"/>
      <c r="AS476" s="238"/>
      <c r="AT476" s="203"/>
      <c r="AU476" s="129"/>
      <c r="AV476" s="129"/>
      <c r="AW476" s="129"/>
      <c r="AX476" s="129"/>
      <c r="AY476" s="129"/>
      <c r="AZ476" s="129"/>
      <c r="BA476" s="129"/>
      <c r="BB476" s="129"/>
      <c r="BC476" s="129"/>
      <c r="BD476" s="129"/>
      <c r="BE476" s="129"/>
    </row>
    <row r="477" spans="1:57" s="191" customFormat="1" ht="12" customHeight="1" x14ac:dyDescent="0.35">
      <c r="A477" s="182"/>
      <c r="B477" s="182"/>
      <c r="C477" s="182"/>
      <c r="D477" s="182"/>
      <c r="E477" s="183"/>
      <c r="F477" s="184"/>
      <c r="G477" s="184"/>
      <c r="H477" s="184"/>
      <c r="I477" s="192"/>
      <c r="J477" s="189"/>
      <c r="K477" s="193"/>
      <c r="L477" s="193"/>
      <c r="M477" s="186"/>
      <c r="N477" s="187"/>
      <c r="O477" s="186"/>
      <c r="P477" s="187"/>
      <c r="Q477" s="187"/>
      <c r="R477" s="187"/>
      <c r="S477" s="187"/>
      <c r="T477" s="187"/>
      <c r="U477" s="187"/>
      <c r="V477" s="187"/>
      <c r="W477" s="187"/>
      <c r="X477" s="187"/>
      <c r="Y477" s="187"/>
      <c r="Z477" s="187"/>
      <c r="AA477" s="186"/>
      <c r="AB477" s="342"/>
      <c r="AC477" s="186"/>
      <c r="AD477" s="186"/>
      <c r="AE477" s="187"/>
      <c r="AF477" s="187"/>
      <c r="AG477" s="187"/>
      <c r="AH477" s="187"/>
      <c r="AI477" s="194"/>
      <c r="AJ477" s="187"/>
      <c r="AK477" s="187"/>
      <c r="AL477" s="187"/>
      <c r="AM477" s="187"/>
      <c r="AN477" s="187"/>
      <c r="AO477" s="187"/>
      <c r="AP477" s="189"/>
      <c r="AQ477" s="202"/>
      <c r="AR477" s="202"/>
      <c r="AS477" s="237"/>
      <c r="AT477" s="202"/>
      <c r="AU477" s="189"/>
      <c r="AV477" s="189"/>
      <c r="AW477" s="189"/>
      <c r="AX477" s="189"/>
      <c r="AY477" s="189"/>
      <c r="AZ477" s="189"/>
      <c r="BA477" s="189"/>
      <c r="BB477" s="189"/>
      <c r="BC477" s="189"/>
      <c r="BD477" s="189"/>
      <c r="BE477" s="189"/>
    </row>
    <row r="478" spans="1:57" s="130" customFormat="1" ht="12" customHeight="1" x14ac:dyDescent="0.35">
      <c r="A478" s="121"/>
      <c r="B478" s="121"/>
      <c r="C478" s="121"/>
      <c r="D478" s="121"/>
      <c r="E478" s="122"/>
      <c r="F478" s="123"/>
      <c r="G478" s="123"/>
      <c r="H478" s="123"/>
      <c r="I478" s="156"/>
      <c r="J478" s="129"/>
      <c r="K478" s="157"/>
      <c r="L478" s="157"/>
      <c r="M478" s="125"/>
      <c r="N478" s="126"/>
      <c r="O478" s="125"/>
      <c r="P478" s="126"/>
      <c r="Q478" s="126"/>
      <c r="R478" s="126"/>
      <c r="S478" s="126"/>
      <c r="T478" s="126"/>
      <c r="U478" s="125"/>
      <c r="V478" s="125"/>
      <c r="W478" s="125"/>
      <c r="X478" s="125"/>
      <c r="Y478" s="125"/>
      <c r="Z478" s="125"/>
      <c r="AA478" s="125"/>
      <c r="AB478" s="343"/>
      <c r="AC478" s="125"/>
      <c r="AD478" s="125"/>
      <c r="AE478" s="126"/>
      <c r="AF478" s="126"/>
      <c r="AG478" s="126"/>
      <c r="AH478" s="126"/>
      <c r="AI478" s="169"/>
      <c r="AJ478" s="126"/>
      <c r="AK478" s="126"/>
      <c r="AL478" s="126"/>
      <c r="AM478" s="126"/>
      <c r="AN478" s="126"/>
      <c r="AO478" s="126"/>
      <c r="AP478" s="129"/>
      <c r="AQ478" s="203"/>
      <c r="AR478" s="203"/>
      <c r="AS478" s="238"/>
      <c r="AT478" s="203"/>
      <c r="AU478" s="129"/>
      <c r="AV478" s="129"/>
      <c r="AW478" s="129"/>
      <c r="AX478" s="129"/>
      <c r="AY478" s="129"/>
      <c r="AZ478" s="129"/>
      <c r="BA478" s="129"/>
      <c r="BB478" s="129"/>
      <c r="BC478" s="129"/>
      <c r="BD478" s="129"/>
      <c r="BE478" s="129"/>
    </row>
    <row r="479" spans="1:57" s="191" customFormat="1" ht="12" customHeight="1" x14ac:dyDescent="0.35">
      <c r="A479" s="182"/>
      <c r="B479" s="182"/>
      <c r="C479" s="182"/>
      <c r="D479" s="182"/>
      <c r="E479" s="183"/>
      <c r="F479" s="184"/>
      <c r="G479" s="184"/>
      <c r="H479" s="184"/>
      <c r="I479" s="192"/>
      <c r="J479" s="189"/>
      <c r="K479" s="193"/>
      <c r="L479" s="193"/>
      <c r="M479" s="186"/>
      <c r="N479" s="187"/>
      <c r="O479" s="186"/>
      <c r="P479" s="187"/>
      <c r="Q479" s="187"/>
      <c r="R479" s="187"/>
      <c r="S479" s="187"/>
      <c r="T479" s="187"/>
      <c r="U479" s="187"/>
      <c r="V479" s="187"/>
      <c r="W479" s="187"/>
      <c r="X479" s="187"/>
      <c r="Y479" s="187"/>
      <c r="Z479" s="187"/>
      <c r="AA479" s="186"/>
      <c r="AB479" s="342"/>
      <c r="AC479" s="186"/>
      <c r="AD479" s="186"/>
      <c r="AE479" s="187"/>
      <c r="AF479" s="187"/>
      <c r="AG479" s="187"/>
      <c r="AH479" s="187"/>
      <c r="AI479" s="194"/>
      <c r="AJ479" s="187"/>
      <c r="AK479" s="187"/>
      <c r="AL479" s="187"/>
      <c r="AM479" s="187"/>
      <c r="AN479" s="187"/>
      <c r="AO479" s="187"/>
      <c r="AP479" s="189"/>
      <c r="AQ479" s="202"/>
      <c r="AR479" s="202"/>
      <c r="AS479" s="237"/>
      <c r="AT479" s="202"/>
      <c r="AU479" s="189"/>
      <c r="AV479" s="201"/>
      <c r="AW479" s="189"/>
      <c r="AX479" s="189"/>
      <c r="AY479" s="189"/>
      <c r="AZ479" s="189"/>
      <c r="BA479" s="189"/>
      <c r="BB479" s="189"/>
      <c r="BC479" s="189"/>
      <c r="BD479" s="189"/>
      <c r="BE479" s="189"/>
    </row>
    <row r="480" spans="1:57" s="130" customFormat="1" ht="12" customHeight="1" x14ac:dyDescent="0.35">
      <c r="A480" s="121"/>
      <c r="B480" s="121"/>
      <c r="C480" s="121"/>
      <c r="D480" s="121"/>
      <c r="E480" s="122"/>
      <c r="F480" s="123"/>
      <c r="G480" s="123"/>
      <c r="H480" s="123"/>
      <c r="I480" s="156"/>
      <c r="J480" s="129"/>
      <c r="K480" s="157"/>
      <c r="L480" s="157"/>
      <c r="M480" s="125"/>
      <c r="N480" s="126"/>
      <c r="O480" s="125"/>
      <c r="P480" s="126"/>
      <c r="Q480" s="126"/>
      <c r="R480" s="126"/>
      <c r="S480" s="126"/>
      <c r="T480" s="126"/>
      <c r="U480" s="126"/>
      <c r="V480" s="126"/>
      <c r="W480" s="126"/>
      <c r="X480" s="126"/>
      <c r="Y480" s="126"/>
      <c r="Z480" s="126"/>
      <c r="AA480" s="125"/>
      <c r="AB480" s="343"/>
      <c r="AC480" s="125"/>
      <c r="AD480" s="125"/>
      <c r="AE480" s="126"/>
      <c r="AF480" s="126"/>
      <c r="AG480" s="126"/>
      <c r="AH480" s="126"/>
      <c r="AI480" s="169"/>
      <c r="AJ480" s="126"/>
      <c r="AK480" s="126"/>
      <c r="AL480" s="126"/>
      <c r="AM480" s="126"/>
      <c r="AN480" s="126"/>
      <c r="AO480" s="126"/>
      <c r="AP480" s="129"/>
      <c r="AQ480" s="203"/>
      <c r="AR480" s="203"/>
      <c r="AS480" s="238"/>
      <c r="AT480" s="203"/>
      <c r="AU480" s="129"/>
      <c r="AV480" s="129"/>
      <c r="AW480" s="129"/>
      <c r="AX480" s="129"/>
      <c r="AY480" s="129"/>
      <c r="AZ480" s="129"/>
      <c r="BA480" s="129"/>
      <c r="BB480" s="129"/>
      <c r="BC480" s="129"/>
      <c r="BD480" s="129"/>
      <c r="BE480" s="129"/>
    </row>
    <row r="481" spans="1:57" s="191" customFormat="1" ht="12" customHeight="1" x14ac:dyDescent="0.35">
      <c r="A481" s="182"/>
      <c r="B481" s="182"/>
      <c r="C481" s="182"/>
      <c r="D481" s="182"/>
      <c r="E481" s="183"/>
      <c r="F481" s="184"/>
      <c r="G481" s="184"/>
      <c r="H481" s="184"/>
      <c r="I481" s="192"/>
      <c r="J481" s="189"/>
      <c r="K481" s="193"/>
      <c r="L481" s="193"/>
      <c r="M481" s="186"/>
      <c r="N481" s="187"/>
      <c r="O481" s="186"/>
      <c r="P481" s="187"/>
      <c r="Q481" s="187"/>
      <c r="R481" s="187"/>
      <c r="S481" s="187"/>
      <c r="T481" s="187"/>
      <c r="U481" s="187"/>
      <c r="V481" s="187"/>
      <c r="W481" s="187"/>
      <c r="X481" s="187"/>
      <c r="Y481" s="187"/>
      <c r="Z481" s="187"/>
      <c r="AA481" s="186"/>
      <c r="AB481" s="342"/>
      <c r="AC481" s="186"/>
      <c r="AD481" s="186"/>
      <c r="AE481" s="187"/>
      <c r="AF481" s="187"/>
      <c r="AG481" s="187"/>
      <c r="AH481" s="187"/>
      <c r="AI481" s="194"/>
      <c r="AJ481" s="187"/>
      <c r="AK481" s="187"/>
      <c r="AL481" s="187"/>
      <c r="AM481" s="187"/>
      <c r="AN481" s="187"/>
      <c r="AO481" s="187"/>
      <c r="AP481" s="189"/>
      <c r="AQ481" s="202"/>
      <c r="AR481" s="202"/>
      <c r="AS481" s="237"/>
      <c r="AT481" s="202"/>
      <c r="AU481" s="189"/>
      <c r="AV481" s="189"/>
      <c r="AW481" s="189"/>
      <c r="AX481" s="189"/>
      <c r="AY481" s="189"/>
      <c r="AZ481" s="189"/>
      <c r="BA481" s="189"/>
      <c r="BB481" s="189"/>
      <c r="BC481" s="189"/>
      <c r="BD481" s="189"/>
      <c r="BE481" s="189"/>
    </row>
    <row r="482" spans="1:57" s="130" customFormat="1" ht="12" customHeight="1" x14ac:dyDescent="0.35">
      <c r="A482" s="121"/>
      <c r="B482" s="121"/>
      <c r="C482" s="121"/>
      <c r="D482" s="121"/>
      <c r="E482" s="122"/>
      <c r="F482" s="123"/>
      <c r="G482" s="123"/>
      <c r="H482" s="123"/>
      <c r="I482" s="156"/>
      <c r="J482" s="129"/>
      <c r="K482" s="157"/>
      <c r="L482" s="157"/>
      <c r="M482" s="125"/>
      <c r="N482" s="126"/>
      <c r="O482" s="125"/>
      <c r="P482" s="126"/>
      <c r="Q482" s="126"/>
      <c r="R482" s="126"/>
      <c r="S482" s="126"/>
      <c r="T482" s="126"/>
      <c r="U482" s="125"/>
      <c r="V482" s="125"/>
      <c r="W482" s="125"/>
      <c r="X482" s="125"/>
      <c r="Y482" s="125"/>
      <c r="Z482" s="125"/>
      <c r="AA482" s="125"/>
      <c r="AB482" s="343"/>
      <c r="AC482" s="125"/>
      <c r="AD482" s="125"/>
      <c r="AE482" s="126"/>
      <c r="AF482" s="126"/>
      <c r="AG482" s="126"/>
      <c r="AH482" s="126"/>
      <c r="AI482" s="169"/>
      <c r="AJ482" s="126"/>
      <c r="AK482" s="126"/>
      <c r="AL482" s="126"/>
      <c r="AM482" s="126"/>
      <c r="AN482" s="126"/>
      <c r="AO482" s="126"/>
      <c r="AP482" s="129"/>
      <c r="AQ482" s="203"/>
      <c r="AR482" s="203"/>
      <c r="AS482" s="238"/>
      <c r="AT482" s="203"/>
      <c r="AU482" s="129"/>
      <c r="AV482" s="129"/>
      <c r="AW482" s="129"/>
      <c r="AX482" s="129"/>
      <c r="AY482" s="129"/>
      <c r="AZ482" s="129"/>
      <c r="BA482" s="129"/>
      <c r="BB482" s="129"/>
      <c r="BC482" s="129"/>
      <c r="BD482" s="129"/>
      <c r="BE482" s="129"/>
    </row>
    <row r="483" spans="1:57" s="191" customFormat="1" ht="12" customHeight="1" x14ac:dyDescent="0.35">
      <c r="A483" s="182"/>
      <c r="B483" s="182"/>
      <c r="C483" s="182"/>
      <c r="D483" s="182"/>
      <c r="E483" s="183"/>
      <c r="F483" s="184"/>
      <c r="G483" s="184"/>
      <c r="H483" s="184"/>
      <c r="I483" s="192"/>
      <c r="J483" s="189"/>
      <c r="K483" s="193"/>
      <c r="L483" s="193"/>
      <c r="M483" s="186"/>
      <c r="N483" s="187"/>
      <c r="O483" s="186"/>
      <c r="P483" s="187"/>
      <c r="Q483" s="187"/>
      <c r="R483" s="187"/>
      <c r="S483" s="187"/>
      <c r="T483" s="187"/>
      <c r="U483" s="187"/>
      <c r="V483" s="187"/>
      <c r="W483" s="187"/>
      <c r="X483" s="187"/>
      <c r="Y483" s="187"/>
      <c r="Z483" s="187"/>
      <c r="AA483" s="186"/>
      <c r="AB483" s="342"/>
      <c r="AC483" s="186"/>
      <c r="AD483" s="186"/>
      <c r="AE483" s="187"/>
      <c r="AF483" s="187"/>
      <c r="AG483" s="187"/>
      <c r="AH483" s="187"/>
      <c r="AI483" s="194"/>
      <c r="AJ483" s="187"/>
      <c r="AK483" s="187"/>
      <c r="AL483" s="187"/>
      <c r="AM483" s="187"/>
      <c r="AN483" s="187"/>
      <c r="AO483" s="187"/>
      <c r="AP483" s="189"/>
      <c r="AQ483" s="202"/>
      <c r="AR483" s="202"/>
      <c r="AS483" s="237"/>
      <c r="AT483" s="202"/>
      <c r="AU483" s="189"/>
      <c r="AV483" s="201"/>
      <c r="AW483" s="189"/>
      <c r="AX483" s="189"/>
      <c r="AY483" s="189"/>
      <c r="AZ483" s="189"/>
      <c r="BA483" s="189"/>
      <c r="BB483" s="189"/>
      <c r="BC483" s="189"/>
      <c r="BD483" s="189"/>
      <c r="BE483" s="189"/>
    </row>
    <row r="484" spans="1:57" s="130" customFormat="1" ht="12" customHeight="1" x14ac:dyDescent="0.35">
      <c r="A484" s="121"/>
      <c r="B484" s="121"/>
      <c r="C484" s="121"/>
      <c r="D484" s="121"/>
      <c r="E484" s="122"/>
      <c r="F484" s="123"/>
      <c r="G484" s="123"/>
      <c r="H484" s="123"/>
      <c r="I484" s="156"/>
      <c r="J484" s="129"/>
      <c r="K484" s="157"/>
      <c r="L484" s="157"/>
      <c r="M484" s="125"/>
      <c r="N484" s="126"/>
      <c r="O484" s="125"/>
      <c r="P484" s="126"/>
      <c r="Q484" s="126"/>
      <c r="R484" s="126"/>
      <c r="S484" s="126"/>
      <c r="T484" s="126"/>
      <c r="U484" s="126"/>
      <c r="V484" s="126"/>
      <c r="W484" s="126"/>
      <c r="X484" s="126"/>
      <c r="Y484" s="126"/>
      <c r="Z484" s="126"/>
      <c r="AA484" s="125"/>
      <c r="AB484" s="343"/>
      <c r="AC484" s="125"/>
      <c r="AD484" s="125"/>
      <c r="AE484" s="126"/>
      <c r="AF484" s="126"/>
      <c r="AG484" s="126"/>
      <c r="AH484" s="126"/>
      <c r="AI484" s="169"/>
      <c r="AJ484" s="126"/>
      <c r="AK484" s="126"/>
      <c r="AL484" s="126"/>
      <c r="AM484" s="126"/>
      <c r="AN484" s="126"/>
      <c r="AO484" s="126"/>
      <c r="AP484" s="129"/>
      <c r="AQ484" s="203"/>
      <c r="AR484" s="203"/>
      <c r="AS484" s="238"/>
      <c r="AT484" s="203"/>
      <c r="AU484" s="129"/>
      <c r="AV484" s="129"/>
      <c r="AW484" s="129"/>
      <c r="AX484" s="129"/>
      <c r="AY484" s="129"/>
      <c r="AZ484" s="129"/>
      <c r="BA484" s="129"/>
      <c r="BB484" s="129"/>
      <c r="BC484" s="129"/>
      <c r="BD484" s="129"/>
      <c r="BE484" s="129"/>
    </row>
    <row r="485" spans="1:57" s="191" customFormat="1" ht="12" customHeight="1" x14ac:dyDescent="0.35">
      <c r="A485" s="182"/>
      <c r="B485" s="182"/>
      <c r="C485" s="182"/>
      <c r="D485" s="182"/>
      <c r="E485" s="183"/>
      <c r="F485" s="184"/>
      <c r="G485" s="184"/>
      <c r="H485" s="184"/>
      <c r="I485" s="192"/>
      <c r="J485" s="189"/>
      <c r="K485" s="193"/>
      <c r="L485" s="193"/>
      <c r="M485" s="186"/>
      <c r="N485" s="187"/>
      <c r="O485" s="186"/>
      <c r="P485" s="187"/>
      <c r="Q485" s="187"/>
      <c r="R485" s="187"/>
      <c r="S485" s="187"/>
      <c r="T485" s="187"/>
      <c r="U485" s="187"/>
      <c r="V485" s="187"/>
      <c r="W485" s="187"/>
      <c r="X485" s="187"/>
      <c r="Y485" s="187"/>
      <c r="Z485" s="187"/>
      <c r="AA485" s="186"/>
      <c r="AB485" s="342"/>
      <c r="AC485" s="186"/>
      <c r="AD485" s="186"/>
      <c r="AE485" s="187"/>
      <c r="AF485" s="187"/>
      <c r="AG485" s="187"/>
      <c r="AH485" s="187"/>
      <c r="AI485" s="194"/>
      <c r="AJ485" s="187"/>
      <c r="AK485" s="187"/>
      <c r="AL485" s="187"/>
      <c r="AM485" s="187"/>
      <c r="AN485" s="187"/>
      <c r="AO485" s="187"/>
      <c r="AP485" s="189"/>
      <c r="AQ485" s="202"/>
      <c r="AR485" s="202"/>
      <c r="AS485" s="237"/>
      <c r="AT485" s="202"/>
      <c r="AU485" s="189"/>
      <c r="AV485" s="189"/>
      <c r="AW485" s="189"/>
      <c r="AX485" s="189"/>
      <c r="AY485" s="189"/>
      <c r="AZ485" s="189"/>
      <c r="BA485" s="189"/>
      <c r="BB485" s="189"/>
      <c r="BC485" s="189"/>
      <c r="BD485" s="189"/>
      <c r="BE485" s="189"/>
    </row>
    <row r="486" spans="1:57" s="130" customFormat="1" ht="12" customHeight="1" x14ac:dyDescent="0.35">
      <c r="A486" s="121"/>
      <c r="B486" s="121"/>
      <c r="C486" s="121"/>
      <c r="D486" s="121"/>
      <c r="E486" s="122"/>
      <c r="F486" s="123"/>
      <c r="G486" s="123"/>
      <c r="H486" s="123"/>
      <c r="I486" s="156"/>
      <c r="J486" s="129"/>
      <c r="K486" s="157"/>
      <c r="L486" s="157"/>
      <c r="M486" s="125"/>
      <c r="N486" s="126"/>
      <c r="O486" s="125"/>
      <c r="P486" s="126"/>
      <c r="Q486" s="126"/>
      <c r="R486" s="126"/>
      <c r="S486" s="126"/>
      <c r="T486" s="126"/>
      <c r="U486" s="125"/>
      <c r="V486" s="125"/>
      <c r="W486" s="125"/>
      <c r="X486" s="125"/>
      <c r="Y486" s="125"/>
      <c r="Z486" s="125"/>
      <c r="AA486" s="125"/>
      <c r="AB486" s="343"/>
      <c r="AC486" s="125"/>
      <c r="AD486" s="125"/>
      <c r="AE486" s="126"/>
      <c r="AF486" s="126"/>
      <c r="AG486" s="126"/>
      <c r="AH486" s="126"/>
      <c r="AI486" s="169"/>
      <c r="AJ486" s="126"/>
      <c r="AK486" s="126"/>
      <c r="AL486" s="126"/>
      <c r="AM486" s="126"/>
      <c r="AN486" s="126"/>
      <c r="AO486" s="126"/>
      <c r="AP486" s="129"/>
      <c r="AQ486" s="203"/>
      <c r="AR486" s="203"/>
      <c r="AS486" s="238"/>
      <c r="AT486" s="203"/>
      <c r="AU486" s="129"/>
      <c r="AV486" s="129"/>
      <c r="AW486" s="129"/>
      <c r="AX486" s="129"/>
      <c r="AY486" s="129"/>
      <c r="AZ486" s="129"/>
      <c r="BA486" s="129"/>
      <c r="BB486" s="129"/>
      <c r="BC486" s="129"/>
      <c r="BD486" s="129"/>
      <c r="BE486" s="129"/>
    </row>
    <row r="487" spans="1:57" s="191" customFormat="1" ht="12" customHeight="1" x14ac:dyDescent="0.35">
      <c r="A487" s="182"/>
      <c r="B487" s="182"/>
      <c r="C487" s="182"/>
      <c r="D487" s="182"/>
      <c r="E487" s="183"/>
      <c r="F487" s="184"/>
      <c r="G487" s="184"/>
      <c r="H487" s="184"/>
      <c r="I487" s="192"/>
      <c r="J487" s="189"/>
      <c r="K487" s="193"/>
      <c r="L487" s="193"/>
      <c r="M487" s="186"/>
      <c r="N487" s="187"/>
      <c r="O487" s="186"/>
      <c r="P487" s="187"/>
      <c r="Q487" s="187"/>
      <c r="R487" s="187"/>
      <c r="S487" s="187"/>
      <c r="T487" s="187"/>
      <c r="U487" s="187"/>
      <c r="V487" s="187"/>
      <c r="W487" s="187"/>
      <c r="X487" s="187"/>
      <c r="Y487" s="187"/>
      <c r="Z487" s="187"/>
      <c r="AA487" s="186"/>
      <c r="AB487" s="342"/>
      <c r="AC487" s="186"/>
      <c r="AD487" s="186"/>
      <c r="AE487" s="187"/>
      <c r="AF487" s="187"/>
      <c r="AG487" s="187"/>
      <c r="AH487" s="187"/>
      <c r="AI487" s="194"/>
      <c r="AJ487" s="187"/>
      <c r="AK487" s="187"/>
      <c r="AL487" s="187"/>
      <c r="AM487" s="187"/>
      <c r="AN487" s="187"/>
      <c r="AO487" s="187"/>
      <c r="AP487" s="189"/>
      <c r="AQ487" s="202"/>
      <c r="AR487" s="202"/>
      <c r="AS487" s="237"/>
      <c r="AT487" s="202"/>
      <c r="AU487" s="189"/>
      <c r="AV487" s="201"/>
      <c r="AW487" s="189"/>
      <c r="AX487" s="189"/>
      <c r="AY487" s="189"/>
      <c r="AZ487" s="189"/>
      <c r="BA487" s="189"/>
      <c r="BB487" s="189"/>
      <c r="BC487" s="189"/>
      <c r="BD487" s="189"/>
      <c r="BE487" s="189"/>
    </row>
    <row r="488" spans="1:57" s="130" customFormat="1" ht="12" customHeight="1" x14ac:dyDescent="0.35">
      <c r="A488" s="121"/>
      <c r="B488" s="121"/>
      <c r="C488" s="121"/>
      <c r="D488" s="121"/>
      <c r="E488" s="122"/>
      <c r="F488" s="123"/>
      <c r="G488" s="123"/>
      <c r="H488" s="123"/>
      <c r="I488" s="156"/>
      <c r="J488" s="129"/>
      <c r="K488" s="157"/>
      <c r="L488" s="157"/>
      <c r="M488" s="125"/>
      <c r="N488" s="126"/>
      <c r="O488" s="125"/>
      <c r="P488" s="126"/>
      <c r="Q488" s="126"/>
      <c r="R488" s="126"/>
      <c r="S488" s="126"/>
      <c r="T488" s="126"/>
      <c r="U488" s="126"/>
      <c r="V488" s="126"/>
      <c r="W488" s="126"/>
      <c r="X488" s="126"/>
      <c r="Y488" s="126"/>
      <c r="Z488" s="126"/>
      <c r="AA488" s="125"/>
      <c r="AB488" s="343"/>
      <c r="AC488" s="125"/>
      <c r="AD488" s="125"/>
      <c r="AE488" s="126"/>
      <c r="AF488" s="126"/>
      <c r="AG488" s="126"/>
      <c r="AH488" s="126"/>
      <c r="AI488" s="169"/>
      <c r="AJ488" s="126"/>
      <c r="AK488" s="126"/>
      <c r="AL488" s="126"/>
      <c r="AM488" s="126"/>
      <c r="AN488" s="126"/>
      <c r="AO488" s="126"/>
      <c r="AP488" s="129"/>
      <c r="AQ488" s="203"/>
      <c r="AR488" s="203"/>
      <c r="AS488" s="238"/>
      <c r="AT488" s="203"/>
      <c r="AU488" s="129"/>
      <c r="AV488" s="129"/>
      <c r="AW488" s="129"/>
      <c r="AX488" s="129"/>
      <c r="AY488" s="129"/>
      <c r="AZ488" s="129"/>
      <c r="BA488" s="129"/>
      <c r="BB488" s="129"/>
      <c r="BC488" s="129"/>
      <c r="BD488" s="129"/>
      <c r="BE488" s="129"/>
    </row>
    <row r="489" spans="1:57" s="191" customFormat="1" ht="12" customHeight="1" x14ac:dyDescent="0.35">
      <c r="A489" s="182"/>
      <c r="B489" s="182"/>
      <c r="C489" s="182"/>
      <c r="D489" s="182"/>
      <c r="E489" s="183"/>
      <c r="F489" s="184"/>
      <c r="G489" s="184"/>
      <c r="H489" s="184"/>
      <c r="I489" s="192"/>
      <c r="J489" s="189"/>
      <c r="K489" s="193"/>
      <c r="L489" s="193"/>
      <c r="M489" s="186"/>
      <c r="N489" s="187"/>
      <c r="O489" s="186"/>
      <c r="P489" s="187"/>
      <c r="Q489" s="187"/>
      <c r="R489" s="187"/>
      <c r="S489" s="187"/>
      <c r="T489" s="187"/>
      <c r="U489" s="187"/>
      <c r="V489" s="187"/>
      <c r="W489" s="187"/>
      <c r="X489" s="187"/>
      <c r="Y489" s="187"/>
      <c r="Z489" s="187"/>
      <c r="AA489" s="186"/>
      <c r="AB489" s="342"/>
      <c r="AC489" s="186"/>
      <c r="AD489" s="186"/>
      <c r="AE489" s="187"/>
      <c r="AF489" s="187"/>
      <c r="AG489" s="187"/>
      <c r="AH489" s="187"/>
      <c r="AI489" s="194"/>
      <c r="AJ489" s="187"/>
      <c r="AK489" s="187"/>
      <c r="AL489" s="187"/>
      <c r="AM489" s="187"/>
      <c r="AN489" s="187"/>
      <c r="AO489" s="187"/>
      <c r="AP489" s="189"/>
      <c r="AQ489" s="202"/>
      <c r="AR489" s="202"/>
      <c r="AS489" s="237"/>
      <c r="AT489" s="202"/>
      <c r="AU489" s="189"/>
      <c r="AV489" s="189"/>
      <c r="AW489" s="189"/>
      <c r="AX489" s="189"/>
      <c r="AY489" s="189"/>
      <c r="AZ489" s="189"/>
      <c r="BA489" s="189"/>
      <c r="BB489" s="189"/>
      <c r="BC489" s="189"/>
      <c r="BD489" s="189"/>
      <c r="BE489" s="189"/>
    </row>
    <row r="490" spans="1:57" s="130" customFormat="1" ht="12" customHeight="1" x14ac:dyDescent="0.35">
      <c r="A490" s="121"/>
      <c r="B490" s="121"/>
      <c r="C490" s="121"/>
      <c r="D490" s="121"/>
      <c r="E490" s="122"/>
      <c r="F490" s="123"/>
      <c r="G490" s="123"/>
      <c r="H490" s="123"/>
      <c r="I490" s="156"/>
      <c r="J490" s="129"/>
      <c r="K490" s="157"/>
      <c r="L490" s="157"/>
      <c r="M490" s="125"/>
      <c r="N490" s="126"/>
      <c r="O490" s="125"/>
      <c r="P490" s="126"/>
      <c r="Q490" s="126"/>
      <c r="R490" s="126"/>
      <c r="S490" s="126"/>
      <c r="T490" s="126"/>
      <c r="U490" s="125"/>
      <c r="V490" s="125"/>
      <c r="W490" s="125"/>
      <c r="X490" s="125"/>
      <c r="Y490" s="125"/>
      <c r="Z490" s="125"/>
      <c r="AA490" s="125"/>
      <c r="AB490" s="343"/>
      <c r="AC490" s="125"/>
      <c r="AD490" s="125"/>
      <c r="AE490" s="126"/>
      <c r="AF490" s="126"/>
      <c r="AG490" s="126"/>
      <c r="AH490" s="126"/>
      <c r="AI490" s="169"/>
      <c r="AJ490" s="126"/>
      <c r="AK490" s="126"/>
      <c r="AL490" s="126"/>
      <c r="AM490" s="126"/>
      <c r="AN490" s="126"/>
      <c r="AO490" s="126"/>
      <c r="AP490" s="129"/>
      <c r="AQ490" s="203"/>
      <c r="AR490" s="203"/>
      <c r="AS490" s="238"/>
      <c r="AT490" s="203"/>
      <c r="AU490" s="129"/>
      <c r="AV490" s="129"/>
      <c r="AW490" s="129"/>
      <c r="AX490" s="129"/>
      <c r="AY490" s="129"/>
      <c r="AZ490" s="129"/>
      <c r="BA490" s="129"/>
      <c r="BB490" s="129"/>
      <c r="BC490" s="129"/>
      <c r="BD490" s="129"/>
      <c r="BE490" s="129"/>
    </row>
    <row r="491" spans="1:57" s="191" customFormat="1" ht="12" customHeight="1" x14ac:dyDescent="0.35">
      <c r="A491" s="182"/>
      <c r="B491" s="182"/>
      <c r="C491" s="182"/>
      <c r="D491" s="182"/>
      <c r="E491" s="183"/>
      <c r="F491" s="184"/>
      <c r="G491" s="184"/>
      <c r="H491" s="184"/>
      <c r="I491" s="192"/>
      <c r="J491" s="189"/>
      <c r="K491" s="193"/>
      <c r="L491" s="193"/>
      <c r="M491" s="186"/>
      <c r="N491" s="187"/>
      <c r="O491" s="186"/>
      <c r="P491" s="187"/>
      <c r="Q491" s="187"/>
      <c r="R491" s="187"/>
      <c r="S491" s="187"/>
      <c r="T491" s="187"/>
      <c r="U491" s="187"/>
      <c r="V491" s="187"/>
      <c r="W491" s="187"/>
      <c r="X491" s="187"/>
      <c r="Y491" s="187"/>
      <c r="Z491" s="187"/>
      <c r="AA491" s="186"/>
      <c r="AB491" s="342"/>
      <c r="AC491" s="186"/>
      <c r="AD491" s="186"/>
      <c r="AE491" s="187"/>
      <c r="AF491" s="187"/>
      <c r="AG491" s="187"/>
      <c r="AH491" s="187"/>
      <c r="AI491" s="194"/>
      <c r="AJ491" s="187"/>
      <c r="AK491" s="187"/>
      <c r="AL491" s="187"/>
      <c r="AM491" s="187"/>
      <c r="AN491" s="187"/>
      <c r="AO491" s="187"/>
      <c r="AP491" s="189"/>
      <c r="AQ491" s="202"/>
      <c r="AR491" s="202"/>
      <c r="AS491" s="237"/>
      <c r="AT491" s="202"/>
      <c r="AU491" s="189"/>
      <c r="AV491" s="201"/>
      <c r="AW491" s="189"/>
      <c r="AX491" s="189"/>
      <c r="AY491" s="189"/>
      <c r="AZ491" s="189"/>
      <c r="BA491" s="189"/>
      <c r="BB491" s="189"/>
      <c r="BC491" s="189"/>
      <c r="BD491" s="189"/>
      <c r="BE491" s="189"/>
    </row>
    <row r="492" spans="1:57" s="130" customFormat="1" ht="12" customHeight="1" x14ac:dyDescent="0.35">
      <c r="A492" s="121"/>
      <c r="B492" s="121"/>
      <c r="C492" s="121"/>
      <c r="D492" s="121"/>
      <c r="E492" s="122"/>
      <c r="F492" s="123"/>
      <c r="G492" s="123"/>
      <c r="H492" s="123"/>
      <c r="I492" s="156"/>
      <c r="J492" s="129"/>
      <c r="K492" s="157"/>
      <c r="L492" s="157"/>
      <c r="M492" s="125"/>
      <c r="N492" s="126"/>
      <c r="O492" s="125"/>
      <c r="P492" s="126"/>
      <c r="Q492" s="126"/>
      <c r="R492" s="126"/>
      <c r="S492" s="126"/>
      <c r="T492" s="126"/>
      <c r="U492" s="126"/>
      <c r="V492" s="126"/>
      <c r="W492" s="126"/>
      <c r="X492" s="126"/>
      <c r="Y492" s="126"/>
      <c r="Z492" s="126"/>
      <c r="AA492" s="125"/>
      <c r="AB492" s="343"/>
      <c r="AC492" s="125"/>
      <c r="AD492" s="125"/>
      <c r="AE492" s="126"/>
      <c r="AF492" s="126"/>
      <c r="AG492" s="126"/>
      <c r="AH492" s="126"/>
      <c r="AI492" s="169"/>
      <c r="AJ492" s="126"/>
      <c r="AK492" s="126"/>
      <c r="AL492" s="126"/>
      <c r="AM492" s="126"/>
      <c r="AN492" s="126"/>
      <c r="AO492" s="126"/>
      <c r="AP492" s="129"/>
      <c r="AQ492" s="203"/>
      <c r="AR492" s="203"/>
      <c r="AS492" s="238"/>
      <c r="AT492" s="203"/>
      <c r="AU492" s="129"/>
      <c r="AV492" s="129"/>
      <c r="AW492" s="129"/>
      <c r="AX492" s="129"/>
      <c r="AY492" s="129"/>
      <c r="AZ492" s="129"/>
      <c r="BA492" s="129"/>
      <c r="BB492" s="129"/>
      <c r="BC492" s="129"/>
      <c r="BD492" s="129"/>
      <c r="BE492" s="129"/>
    </row>
    <row r="493" spans="1:57" s="191" customFormat="1" ht="12" customHeight="1" x14ac:dyDescent="0.35">
      <c r="A493" s="182"/>
      <c r="B493" s="182"/>
      <c r="C493" s="182"/>
      <c r="D493" s="182"/>
      <c r="E493" s="183"/>
      <c r="F493" s="184"/>
      <c r="G493" s="184"/>
      <c r="H493" s="184"/>
      <c r="I493" s="192"/>
      <c r="J493" s="189"/>
      <c r="K493" s="193"/>
      <c r="L493" s="193"/>
      <c r="M493" s="186"/>
      <c r="N493" s="187"/>
      <c r="O493" s="186"/>
      <c r="P493" s="187"/>
      <c r="Q493" s="187"/>
      <c r="R493" s="187"/>
      <c r="S493" s="187"/>
      <c r="T493" s="187"/>
      <c r="U493" s="187"/>
      <c r="V493" s="187"/>
      <c r="W493" s="187"/>
      <c r="X493" s="187"/>
      <c r="Y493" s="187"/>
      <c r="Z493" s="187"/>
      <c r="AA493" s="186"/>
      <c r="AB493" s="342"/>
      <c r="AC493" s="186"/>
      <c r="AD493" s="186"/>
      <c r="AE493" s="187"/>
      <c r="AF493" s="187"/>
      <c r="AG493" s="187"/>
      <c r="AH493" s="187"/>
      <c r="AI493" s="194"/>
      <c r="AJ493" s="187"/>
      <c r="AK493" s="187"/>
      <c r="AL493" s="187"/>
      <c r="AM493" s="187"/>
      <c r="AN493" s="187"/>
      <c r="AO493" s="187"/>
      <c r="AP493" s="189"/>
      <c r="AQ493" s="202"/>
      <c r="AR493" s="202"/>
      <c r="AS493" s="237"/>
      <c r="AT493" s="202"/>
      <c r="AU493" s="189"/>
      <c r="AV493" s="189"/>
      <c r="AW493" s="189"/>
      <c r="AX493" s="189"/>
      <c r="AY493" s="189"/>
      <c r="AZ493" s="189"/>
      <c r="BA493" s="189"/>
      <c r="BB493" s="189"/>
      <c r="BC493" s="189"/>
      <c r="BD493" s="189"/>
      <c r="BE493" s="189"/>
    </row>
    <row r="494" spans="1:57" s="130" customFormat="1" ht="12" customHeight="1" x14ac:dyDescent="0.35">
      <c r="A494" s="121"/>
      <c r="B494" s="121"/>
      <c r="C494" s="121"/>
      <c r="D494" s="121"/>
      <c r="E494" s="122"/>
      <c r="F494" s="123"/>
      <c r="G494" s="123"/>
      <c r="H494" s="123"/>
      <c r="I494" s="156"/>
      <c r="J494" s="129"/>
      <c r="K494" s="157"/>
      <c r="L494" s="157"/>
      <c r="M494" s="125"/>
      <c r="N494" s="126"/>
      <c r="O494" s="125"/>
      <c r="P494" s="126"/>
      <c r="Q494" s="126"/>
      <c r="R494" s="126"/>
      <c r="S494" s="126"/>
      <c r="T494" s="126"/>
      <c r="U494" s="125"/>
      <c r="V494" s="125"/>
      <c r="W494" s="125"/>
      <c r="X494" s="125"/>
      <c r="Y494" s="125"/>
      <c r="Z494" s="125"/>
      <c r="AA494" s="125"/>
      <c r="AB494" s="343"/>
      <c r="AC494" s="125"/>
      <c r="AD494" s="125"/>
      <c r="AE494" s="126"/>
      <c r="AF494" s="126"/>
      <c r="AG494" s="126"/>
      <c r="AH494" s="126"/>
      <c r="AI494" s="169"/>
      <c r="AJ494" s="126"/>
      <c r="AK494" s="126"/>
      <c r="AL494" s="126"/>
      <c r="AM494" s="126"/>
      <c r="AN494" s="126"/>
      <c r="AO494" s="126"/>
      <c r="AP494" s="129"/>
      <c r="AQ494" s="203"/>
      <c r="AR494" s="203"/>
      <c r="AS494" s="238"/>
      <c r="AT494" s="203"/>
      <c r="AU494" s="129"/>
      <c r="AV494" s="129"/>
      <c r="AW494" s="129"/>
      <c r="AX494" s="129"/>
      <c r="AY494" s="129"/>
      <c r="AZ494" s="129"/>
      <c r="BA494" s="129"/>
      <c r="BB494" s="129"/>
      <c r="BC494" s="129"/>
      <c r="BD494" s="129"/>
      <c r="BE494" s="129"/>
    </row>
    <row r="495" spans="1:57" s="191" customFormat="1" ht="12" customHeight="1" x14ac:dyDescent="0.35">
      <c r="A495" s="182"/>
      <c r="B495" s="182"/>
      <c r="C495" s="182"/>
      <c r="D495" s="182"/>
      <c r="E495" s="183"/>
      <c r="F495" s="184"/>
      <c r="G495" s="184"/>
      <c r="H495" s="184"/>
      <c r="I495" s="192"/>
      <c r="J495" s="189"/>
      <c r="K495" s="193"/>
      <c r="L495" s="193"/>
      <c r="M495" s="186"/>
      <c r="N495" s="187"/>
      <c r="O495" s="186"/>
      <c r="P495" s="187"/>
      <c r="Q495" s="187"/>
      <c r="R495" s="187"/>
      <c r="S495" s="187"/>
      <c r="T495" s="187"/>
      <c r="U495" s="187"/>
      <c r="V495" s="187"/>
      <c r="W495" s="187"/>
      <c r="X495" s="187"/>
      <c r="Y495" s="187"/>
      <c r="Z495" s="187"/>
      <c r="AA495" s="186"/>
      <c r="AB495" s="342"/>
      <c r="AC495" s="186"/>
      <c r="AD495" s="186"/>
      <c r="AE495" s="187"/>
      <c r="AF495" s="187"/>
      <c r="AG495" s="187"/>
      <c r="AH495" s="187"/>
      <c r="AI495" s="194"/>
      <c r="AJ495" s="187"/>
      <c r="AK495" s="187"/>
      <c r="AL495" s="187"/>
      <c r="AM495" s="187"/>
      <c r="AN495" s="187"/>
      <c r="AO495" s="187"/>
      <c r="AP495" s="189"/>
      <c r="AQ495" s="202"/>
      <c r="AR495" s="202"/>
      <c r="AS495" s="237"/>
      <c r="AT495" s="202"/>
      <c r="AU495" s="189"/>
      <c r="AV495" s="201"/>
      <c r="AW495" s="189"/>
      <c r="AX495" s="189"/>
      <c r="AY495" s="189"/>
      <c r="AZ495" s="189"/>
      <c r="BA495" s="189"/>
      <c r="BB495" s="189"/>
      <c r="BC495" s="189"/>
      <c r="BD495" s="189"/>
      <c r="BE495" s="189"/>
    </row>
    <row r="496" spans="1:57" s="130" customFormat="1" ht="12" customHeight="1" x14ac:dyDescent="0.35">
      <c r="A496" s="121"/>
      <c r="B496" s="121"/>
      <c r="C496" s="121"/>
      <c r="D496" s="121"/>
      <c r="E496" s="122"/>
      <c r="F496" s="123"/>
      <c r="G496" s="123"/>
      <c r="H496" s="123"/>
      <c r="I496" s="156"/>
      <c r="J496" s="129"/>
      <c r="K496" s="157"/>
      <c r="L496" s="157"/>
      <c r="M496" s="125"/>
      <c r="N496" s="126"/>
      <c r="O496" s="125"/>
      <c r="P496" s="126"/>
      <c r="Q496" s="126"/>
      <c r="R496" s="126"/>
      <c r="S496" s="126"/>
      <c r="T496" s="126"/>
      <c r="U496" s="126"/>
      <c r="V496" s="126"/>
      <c r="W496" s="126"/>
      <c r="X496" s="126"/>
      <c r="Y496" s="126"/>
      <c r="Z496" s="126"/>
      <c r="AA496" s="125"/>
      <c r="AB496" s="343"/>
      <c r="AC496" s="125"/>
      <c r="AD496" s="125"/>
      <c r="AE496" s="126"/>
      <c r="AF496" s="126"/>
      <c r="AG496" s="126"/>
      <c r="AH496" s="126"/>
      <c r="AI496" s="169"/>
      <c r="AJ496" s="126"/>
      <c r="AK496" s="126"/>
      <c r="AL496" s="126"/>
      <c r="AM496" s="126"/>
      <c r="AN496" s="126"/>
      <c r="AO496" s="126"/>
      <c r="AP496" s="129"/>
      <c r="AQ496" s="203"/>
      <c r="AR496" s="203"/>
      <c r="AS496" s="238"/>
      <c r="AT496" s="203"/>
      <c r="AU496" s="129"/>
      <c r="AV496" s="129"/>
      <c r="AW496" s="129"/>
      <c r="AX496" s="129"/>
      <c r="AY496" s="129"/>
      <c r="AZ496" s="129"/>
      <c r="BA496" s="129"/>
      <c r="BB496" s="129"/>
      <c r="BC496" s="129"/>
      <c r="BD496" s="129"/>
      <c r="BE496" s="129"/>
    </row>
    <row r="497" spans="1:57" s="191" customFormat="1" ht="12" customHeight="1" x14ac:dyDescent="0.35">
      <c r="A497" s="182"/>
      <c r="B497" s="182"/>
      <c r="C497" s="182"/>
      <c r="D497" s="182"/>
      <c r="E497" s="183"/>
      <c r="F497" s="184"/>
      <c r="G497" s="184"/>
      <c r="H497" s="184"/>
      <c r="I497" s="192"/>
      <c r="J497" s="189"/>
      <c r="K497" s="193"/>
      <c r="L497" s="193"/>
      <c r="M497" s="186"/>
      <c r="N497" s="187"/>
      <c r="O497" s="186"/>
      <c r="P497" s="187"/>
      <c r="Q497" s="187"/>
      <c r="R497" s="187"/>
      <c r="S497" s="187"/>
      <c r="T497" s="187"/>
      <c r="U497" s="187"/>
      <c r="V497" s="187"/>
      <c r="W497" s="187"/>
      <c r="X497" s="187"/>
      <c r="Y497" s="187"/>
      <c r="Z497" s="187"/>
      <c r="AA497" s="186"/>
      <c r="AB497" s="342"/>
      <c r="AC497" s="186"/>
      <c r="AD497" s="186"/>
      <c r="AE497" s="187"/>
      <c r="AF497" s="187"/>
      <c r="AG497" s="187"/>
      <c r="AH497" s="187"/>
      <c r="AI497" s="194"/>
      <c r="AJ497" s="187"/>
      <c r="AK497" s="187"/>
      <c r="AL497" s="187"/>
      <c r="AM497" s="187"/>
      <c r="AN497" s="187"/>
      <c r="AO497" s="187"/>
      <c r="AP497" s="189"/>
      <c r="AQ497" s="202"/>
      <c r="AR497" s="202"/>
      <c r="AS497" s="237"/>
      <c r="AT497" s="202"/>
      <c r="AU497" s="189"/>
      <c r="AV497" s="189"/>
      <c r="AW497" s="189"/>
      <c r="AX497" s="189"/>
      <c r="AY497" s="189"/>
      <c r="AZ497" s="189"/>
      <c r="BA497" s="189"/>
      <c r="BB497" s="189"/>
      <c r="BC497" s="189"/>
      <c r="BD497" s="189"/>
      <c r="BE497" s="189"/>
    </row>
    <row r="498" spans="1:57" s="130" customFormat="1" ht="12" customHeight="1" x14ac:dyDescent="0.35">
      <c r="A498" s="121"/>
      <c r="B498" s="121"/>
      <c r="C498" s="121"/>
      <c r="D498" s="121"/>
      <c r="E498" s="122"/>
      <c r="F498" s="123"/>
      <c r="G498" s="123"/>
      <c r="H498" s="123"/>
      <c r="I498" s="156"/>
      <c r="J498" s="129"/>
      <c r="K498" s="157"/>
      <c r="L498" s="157"/>
      <c r="M498" s="125"/>
      <c r="N498" s="126"/>
      <c r="O498" s="125"/>
      <c r="P498" s="126"/>
      <c r="Q498" s="126"/>
      <c r="R498" s="126"/>
      <c r="S498" s="126"/>
      <c r="T498" s="126"/>
      <c r="U498" s="125"/>
      <c r="V498" s="125"/>
      <c r="W498" s="125"/>
      <c r="X498" s="125"/>
      <c r="Y498" s="125"/>
      <c r="Z498" s="125"/>
      <c r="AA498" s="125"/>
      <c r="AB498" s="343"/>
      <c r="AC498" s="125"/>
      <c r="AD498" s="125"/>
      <c r="AE498" s="126"/>
      <c r="AF498" s="126"/>
      <c r="AG498" s="126"/>
      <c r="AH498" s="126"/>
      <c r="AI498" s="169"/>
      <c r="AJ498" s="126"/>
      <c r="AK498" s="126"/>
      <c r="AL498" s="126"/>
      <c r="AM498" s="126"/>
      <c r="AN498" s="126"/>
      <c r="AO498" s="126"/>
      <c r="AP498" s="129"/>
      <c r="AQ498" s="203"/>
      <c r="AR498" s="203"/>
      <c r="AS498" s="238"/>
      <c r="AT498" s="203"/>
      <c r="AU498" s="129"/>
      <c r="AV498" s="129"/>
      <c r="AW498" s="129"/>
      <c r="AX498" s="129"/>
      <c r="AY498" s="129"/>
      <c r="AZ498" s="129"/>
      <c r="BA498" s="129"/>
      <c r="BB498" s="129"/>
      <c r="BC498" s="129"/>
      <c r="BD498" s="129"/>
      <c r="BE498" s="129"/>
    </row>
    <row r="499" spans="1:57" s="191" customFormat="1" ht="12" customHeight="1" x14ac:dyDescent="0.35">
      <c r="A499" s="182"/>
      <c r="B499" s="182"/>
      <c r="C499" s="182"/>
      <c r="D499" s="182"/>
      <c r="E499" s="183"/>
      <c r="F499" s="184"/>
      <c r="G499" s="184"/>
      <c r="H499" s="184"/>
      <c r="I499" s="192"/>
      <c r="J499" s="189"/>
      <c r="K499" s="193"/>
      <c r="L499" s="193"/>
      <c r="M499" s="186"/>
      <c r="N499" s="187"/>
      <c r="O499" s="186"/>
      <c r="P499" s="187"/>
      <c r="Q499" s="187"/>
      <c r="R499" s="187"/>
      <c r="S499" s="187"/>
      <c r="T499" s="187"/>
      <c r="U499" s="187"/>
      <c r="V499" s="187"/>
      <c r="W499" s="187"/>
      <c r="X499" s="187"/>
      <c r="Y499" s="187"/>
      <c r="Z499" s="187"/>
      <c r="AA499" s="186"/>
      <c r="AB499" s="342"/>
      <c r="AC499" s="186"/>
      <c r="AD499" s="186"/>
      <c r="AE499" s="187"/>
      <c r="AF499" s="187"/>
      <c r="AG499" s="187"/>
      <c r="AH499" s="187"/>
      <c r="AI499" s="194"/>
      <c r="AJ499" s="187"/>
      <c r="AK499" s="187"/>
      <c r="AL499" s="187"/>
      <c r="AM499" s="187"/>
      <c r="AN499" s="187"/>
      <c r="AO499" s="187"/>
      <c r="AP499" s="189"/>
      <c r="AQ499" s="202"/>
      <c r="AR499" s="202"/>
      <c r="AS499" s="237"/>
      <c r="AT499" s="202"/>
      <c r="AU499" s="189"/>
      <c r="AV499" s="201"/>
      <c r="AW499" s="189"/>
      <c r="AX499" s="189"/>
      <c r="AY499" s="189"/>
      <c r="AZ499" s="189"/>
      <c r="BA499" s="189"/>
      <c r="BB499" s="189"/>
      <c r="BC499" s="189"/>
      <c r="BD499" s="189"/>
      <c r="BE499" s="189"/>
    </row>
    <row r="500" spans="1:57" s="130" customFormat="1" ht="12" customHeight="1" x14ac:dyDescent="0.35">
      <c r="A500" s="121"/>
      <c r="B500" s="121"/>
      <c r="C500" s="121"/>
      <c r="D500" s="121"/>
      <c r="E500" s="122"/>
      <c r="F500" s="123"/>
      <c r="G500" s="123"/>
      <c r="H500" s="123"/>
      <c r="I500" s="156"/>
      <c r="J500" s="129"/>
      <c r="K500" s="157"/>
      <c r="L500" s="157"/>
      <c r="M500" s="125"/>
      <c r="N500" s="126"/>
      <c r="O500" s="125"/>
      <c r="P500" s="126"/>
      <c r="Q500" s="126"/>
      <c r="R500" s="126"/>
      <c r="S500" s="126"/>
      <c r="T500" s="126"/>
      <c r="U500" s="126"/>
      <c r="V500" s="126"/>
      <c r="W500" s="126"/>
      <c r="X500" s="126"/>
      <c r="Y500" s="126"/>
      <c r="Z500" s="126"/>
      <c r="AA500" s="125"/>
      <c r="AB500" s="343"/>
      <c r="AC500" s="125"/>
      <c r="AD500" s="125"/>
      <c r="AE500" s="126"/>
      <c r="AF500" s="126"/>
      <c r="AG500" s="126"/>
      <c r="AH500" s="126"/>
      <c r="AI500" s="169"/>
      <c r="AJ500" s="126"/>
      <c r="AK500" s="126"/>
      <c r="AL500" s="126"/>
      <c r="AM500" s="126"/>
      <c r="AN500" s="126"/>
      <c r="AO500" s="126"/>
      <c r="AP500" s="129"/>
      <c r="AQ500" s="203"/>
      <c r="AR500" s="203"/>
      <c r="AS500" s="238"/>
      <c r="AT500" s="203"/>
      <c r="AU500" s="129"/>
      <c r="AV500" s="129"/>
      <c r="AW500" s="129"/>
      <c r="AX500" s="129"/>
      <c r="AY500" s="129"/>
      <c r="AZ500" s="129"/>
      <c r="BA500" s="129"/>
      <c r="BB500" s="129"/>
      <c r="BC500" s="129"/>
      <c r="BD500" s="129"/>
      <c r="BE500" s="129"/>
    </row>
    <row r="501" spans="1:57" s="191" customFormat="1" ht="12" customHeight="1" x14ac:dyDescent="0.35">
      <c r="A501" s="182"/>
      <c r="B501" s="182"/>
      <c r="C501" s="182"/>
      <c r="D501" s="182"/>
      <c r="E501" s="183"/>
      <c r="F501" s="184"/>
      <c r="G501" s="184"/>
      <c r="H501" s="184"/>
      <c r="I501" s="192"/>
      <c r="J501" s="189"/>
      <c r="K501" s="193"/>
      <c r="L501" s="193"/>
      <c r="M501" s="186"/>
      <c r="N501" s="187"/>
      <c r="O501" s="186"/>
      <c r="P501" s="187"/>
      <c r="Q501" s="187"/>
      <c r="R501" s="187"/>
      <c r="S501" s="187"/>
      <c r="T501" s="187"/>
      <c r="U501" s="187"/>
      <c r="V501" s="187"/>
      <c r="W501" s="187"/>
      <c r="X501" s="187"/>
      <c r="Y501" s="187"/>
      <c r="Z501" s="187"/>
      <c r="AA501" s="186"/>
      <c r="AB501" s="342"/>
      <c r="AC501" s="186"/>
      <c r="AD501" s="186"/>
      <c r="AE501" s="187"/>
      <c r="AF501" s="187"/>
      <c r="AG501" s="187"/>
      <c r="AH501" s="187"/>
      <c r="AI501" s="194"/>
      <c r="AJ501" s="187"/>
      <c r="AK501" s="187"/>
      <c r="AL501" s="187"/>
      <c r="AM501" s="187"/>
      <c r="AN501" s="187"/>
      <c r="AO501" s="187"/>
      <c r="AP501" s="189"/>
      <c r="AQ501" s="202"/>
      <c r="AR501" s="202"/>
      <c r="AS501" s="237"/>
      <c r="AT501" s="202"/>
      <c r="AU501" s="189"/>
      <c r="AV501" s="189"/>
      <c r="AW501" s="189"/>
      <c r="AX501" s="189"/>
      <c r="AY501" s="189"/>
      <c r="AZ501" s="189"/>
      <c r="BA501" s="189"/>
      <c r="BB501" s="189"/>
      <c r="BC501" s="189"/>
      <c r="BD501" s="189"/>
      <c r="BE501" s="189"/>
    </row>
    <row r="502" spans="1:57" s="130" customFormat="1" ht="12" customHeight="1" x14ac:dyDescent="0.35">
      <c r="A502" s="121"/>
      <c r="B502" s="121"/>
      <c r="C502" s="121"/>
      <c r="D502" s="121"/>
      <c r="E502" s="122"/>
      <c r="F502" s="123"/>
      <c r="G502" s="123"/>
      <c r="H502" s="123"/>
      <c r="I502" s="156"/>
      <c r="J502" s="129"/>
      <c r="K502" s="157"/>
      <c r="L502" s="157"/>
      <c r="M502" s="125"/>
      <c r="N502" s="126"/>
      <c r="O502" s="125"/>
      <c r="P502" s="126"/>
      <c r="Q502" s="126"/>
      <c r="R502" s="126"/>
      <c r="S502" s="126"/>
      <c r="T502" s="126"/>
      <c r="U502" s="125"/>
      <c r="V502" s="125"/>
      <c r="W502" s="125"/>
      <c r="X502" s="125"/>
      <c r="Y502" s="125"/>
      <c r="Z502" s="125"/>
      <c r="AA502" s="125"/>
      <c r="AB502" s="343"/>
      <c r="AC502" s="125"/>
      <c r="AD502" s="125"/>
      <c r="AE502" s="126"/>
      <c r="AF502" s="126"/>
      <c r="AG502" s="126"/>
      <c r="AH502" s="126"/>
      <c r="AI502" s="169"/>
      <c r="AJ502" s="126"/>
      <c r="AK502" s="126"/>
      <c r="AL502" s="126"/>
      <c r="AM502" s="126"/>
      <c r="AN502" s="126"/>
      <c r="AO502" s="126"/>
      <c r="AP502" s="129"/>
      <c r="AQ502" s="203"/>
      <c r="AR502" s="203"/>
      <c r="AS502" s="238"/>
      <c r="AT502" s="203"/>
      <c r="AU502" s="129"/>
      <c r="AV502" s="129"/>
      <c r="AW502" s="129"/>
      <c r="AX502" s="129"/>
      <c r="AY502" s="129"/>
      <c r="AZ502" s="129"/>
      <c r="BA502" s="129"/>
      <c r="BB502" s="129"/>
      <c r="BC502" s="129"/>
      <c r="BD502" s="129"/>
      <c r="BE502" s="129"/>
    </row>
    <row r="503" spans="1:57" s="191" customFormat="1" ht="12" customHeight="1" x14ac:dyDescent="0.35">
      <c r="A503" s="182"/>
      <c r="B503" s="182"/>
      <c r="C503" s="182"/>
      <c r="D503" s="182"/>
      <c r="E503" s="183"/>
      <c r="F503" s="184"/>
      <c r="G503" s="184"/>
      <c r="H503" s="184"/>
      <c r="I503" s="192"/>
      <c r="J503" s="189"/>
      <c r="K503" s="193"/>
      <c r="L503" s="193"/>
      <c r="M503" s="186"/>
      <c r="N503" s="187"/>
      <c r="O503" s="186"/>
      <c r="P503" s="187"/>
      <c r="Q503" s="187"/>
      <c r="R503" s="187"/>
      <c r="S503" s="187"/>
      <c r="T503" s="187"/>
      <c r="U503" s="187"/>
      <c r="V503" s="187"/>
      <c r="W503" s="187"/>
      <c r="X503" s="187"/>
      <c r="Y503" s="187"/>
      <c r="Z503" s="187"/>
      <c r="AA503" s="186"/>
      <c r="AB503" s="342"/>
      <c r="AC503" s="186"/>
      <c r="AD503" s="186"/>
      <c r="AE503" s="187"/>
      <c r="AF503" s="187"/>
      <c r="AG503" s="187"/>
      <c r="AH503" s="187"/>
      <c r="AI503" s="194"/>
      <c r="AJ503" s="187"/>
      <c r="AK503" s="187"/>
      <c r="AL503" s="187"/>
      <c r="AM503" s="187"/>
      <c r="AN503" s="187"/>
      <c r="AO503" s="187"/>
      <c r="AP503" s="189"/>
      <c r="AQ503" s="202"/>
      <c r="AR503" s="202"/>
      <c r="AS503" s="237"/>
      <c r="AT503" s="202"/>
      <c r="AU503" s="189"/>
      <c r="AV503" s="201"/>
      <c r="AW503" s="189"/>
      <c r="AX503" s="189"/>
      <c r="AY503" s="189"/>
      <c r="AZ503" s="189"/>
      <c r="BA503" s="189"/>
      <c r="BB503" s="189"/>
      <c r="BC503" s="189"/>
      <c r="BD503" s="189"/>
      <c r="BE503" s="189"/>
    </row>
    <row r="504" spans="1:57" s="130" customFormat="1" ht="12" customHeight="1" x14ac:dyDescent="0.35">
      <c r="A504" s="121"/>
      <c r="B504" s="121"/>
      <c r="C504" s="121"/>
      <c r="D504" s="121"/>
      <c r="E504" s="122"/>
      <c r="F504" s="123"/>
      <c r="G504" s="123"/>
      <c r="H504" s="123"/>
      <c r="I504" s="156"/>
      <c r="J504" s="129"/>
      <c r="K504" s="157"/>
      <c r="L504" s="157"/>
      <c r="M504" s="125"/>
      <c r="N504" s="126"/>
      <c r="O504" s="125"/>
      <c r="P504" s="126"/>
      <c r="Q504" s="126"/>
      <c r="R504" s="126"/>
      <c r="S504" s="126"/>
      <c r="T504" s="126"/>
      <c r="U504" s="126"/>
      <c r="V504" s="126"/>
      <c r="W504" s="126"/>
      <c r="X504" s="126"/>
      <c r="Y504" s="126"/>
      <c r="Z504" s="126"/>
      <c r="AA504" s="125"/>
      <c r="AB504" s="343"/>
      <c r="AC504" s="125"/>
      <c r="AD504" s="125"/>
      <c r="AE504" s="126"/>
      <c r="AF504" s="126"/>
      <c r="AG504" s="126"/>
      <c r="AH504" s="126"/>
      <c r="AI504" s="169"/>
      <c r="AJ504" s="126"/>
      <c r="AK504" s="126"/>
      <c r="AL504" s="126"/>
      <c r="AM504" s="126"/>
      <c r="AN504" s="126"/>
      <c r="AO504" s="126"/>
      <c r="AP504" s="129"/>
      <c r="AQ504" s="203"/>
      <c r="AR504" s="203"/>
      <c r="AS504" s="238"/>
      <c r="AT504" s="203"/>
      <c r="AU504" s="129"/>
      <c r="AV504" s="129"/>
      <c r="AW504" s="129"/>
      <c r="AX504" s="129"/>
      <c r="AY504" s="129"/>
      <c r="AZ504" s="129"/>
      <c r="BA504" s="129"/>
      <c r="BB504" s="129"/>
      <c r="BC504" s="129"/>
      <c r="BD504" s="129"/>
      <c r="BE504" s="129"/>
    </row>
    <row r="505" spans="1:57" s="191" customFormat="1" ht="12" customHeight="1" x14ac:dyDescent="0.35">
      <c r="A505" s="182"/>
      <c r="B505" s="182"/>
      <c r="C505" s="182"/>
      <c r="D505" s="182"/>
      <c r="E505" s="183"/>
      <c r="F505" s="184"/>
      <c r="G505" s="184"/>
      <c r="H505" s="184"/>
      <c r="I505" s="192"/>
      <c r="J505" s="189"/>
      <c r="K505" s="193"/>
      <c r="L505" s="193"/>
      <c r="M505" s="186"/>
      <c r="N505" s="187"/>
      <c r="O505" s="186"/>
      <c r="P505" s="187"/>
      <c r="Q505" s="187"/>
      <c r="R505" s="187"/>
      <c r="S505" s="187"/>
      <c r="T505" s="187"/>
      <c r="U505" s="187"/>
      <c r="V505" s="187"/>
      <c r="W505" s="187"/>
      <c r="X505" s="187"/>
      <c r="Y505" s="187"/>
      <c r="Z505" s="187"/>
      <c r="AA505" s="186"/>
      <c r="AB505" s="342"/>
      <c r="AC505" s="186"/>
      <c r="AD505" s="186"/>
      <c r="AE505" s="187"/>
      <c r="AF505" s="187"/>
      <c r="AG505" s="187"/>
      <c r="AH505" s="187"/>
      <c r="AI505" s="194"/>
      <c r="AJ505" s="187"/>
      <c r="AK505" s="187"/>
      <c r="AL505" s="187"/>
      <c r="AM505" s="187"/>
      <c r="AN505" s="187"/>
      <c r="AO505" s="187"/>
      <c r="AP505" s="189"/>
      <c r="AQ505" s="202"/>
      <c r="AR505" s="202"/>
      <c r="AS505" s="237"/>
      <c r="AT505" s="202"/>
      <c r="AU505" s="189"/>
      <c r="AV505" s="189"/>
      <c r="AW505" s="189"/>
      <c r="AX505" s="189"/>
      <c r="AY505" s="189"/>
      <c r="AZ505" s="189"/>
      <c r="BA505" s="189"/>
      <c r="BB505" s="189"/>
      <c r="BC505" s="189"/>
      <c r="BD505" s="189"/>
      <c r="BE505" s="189"/>
    </row>
    <row r="506" spans="1:57" s="130" customFormat="1" ht="12" customHeight="1" x14ac:dyDescent="0.35">
      <c r="A506" s="121"/>
      <c r="B506" s="121"/>
      <c r="C506" s="121"/>
      <c r="D506" s="121"/>
      <c r="E506" s="122"/>
      <c r="F506" s="123"/>
      <c r="G506" s="123"/>
      <c r="H506" s="123"/>
      <c r="I506" s="156"/>
      <c r="J506" s="129"/>
      <c r="K506" s="157"/>
      <c r="L506" s="157"/>
      <c r="M506" s="125"/>
      <c r="N506" s="126"/>
      <c r="O506" s="125"/>
      <c r="P506" s="126"/>
      <c r="Q506" s="126"/>
      <c r="R506" s="126"/>
      <c r="S506" s="126"/>
      <c r="T506" s="126"/>
      <c r="U506" s="125"/>
      <c r="V506" s="125"/>
      <c r="W506" s="125"/>
      <c r="X506" s="125"/>
      <c r="Y506" s="125"/>
      <c r="Z506" s="125"/>
      <c r="AA506" s="125"/>
      <c r="AB506" s="343"/>
      <c r="AC506" s="125"/>
      <c r="AD506" s="125"/>
      <c r="AE506" s="126"/>
      <c r="AF506" s="126"/>
      <c r="AG506" s="126"/>
      <c r="AH506" s="126"/>
      <c r="AI506" s="169"/>
      <c r="AJ506" s="126"/>
      <c r="AK506" s="126"/>
      <c r="AL506" s="126"/>
      <c r="AM506" s="126"/>
      <c r="AN506" s="126"/>
      <c r="AO506" s="126"/>
      <c r="AP506" s="129"/>
      <c r="AQ506" s="203"/>
      <c r="AR506" s="203"/>
      <c r="AS506" s="238"/>
      <c r="AT506" s="203"/>
      <c r="AU506" s="129"/>
      <c r="AV506" s="129"/>
      <c r="AW506" s="129"/>
      <c r="AX506" s="129"/>
      <c r="AY506" s="129"/>
      <c r="AZ506" s="129"/>
      <c r="BA506" s="129"/>
      <c r="BB506" s="129"/>
      <c r="BC506" s="129"/>
      <c r="BD506" s="129"/>
      <c r="BE506" s="129"/>
    </row>
    <row r="507" spans="1:57" s="191" customFormat="1" ht="12" customHeight="1" x14ac:dyDescent="0.35">
      <c r="A507" s="182"/>
      <c r="B507" s="182"/>
      <c r="C507" s="182"/>
      <c r="D507" s="182"/>
      <c r="E507" s="183"/>
      <c r="F507" s="184"/>
      <c r="G507" s="184"/>
      <c r="H507" s="184"/>
      <c r="I507" s="192"/>
      <c r="J507" s="189"/>
      <c r="K507" s="193"/>
      <c r="L507" s="193"/>
      <c r="M507" s="186"/>
      <c r="N507" s="187"/>
      <c r="O507" s="186"/>
      <c r="P507" s="187"/>
      <c r="Q507" s="187"/>
      <c r="R507" s="187"/>
      <c r="S507" s="187"/>
      <c r="T507" s="187"/>
      <c r="U507" s="187"/>
      <c r="V507" s="187"/>
      <c r="W507" s="187"/>
      <c r="X507" s="187"/>
      <c r="Y507" s="187"/>
      <c r="Z507" s="187"/>
      <c r="AA507" s="186"/>
      <c r="AB507" s="342"/>
      <c r="AC507" s="186"/>
      <c r="AD507" s="186"/>
      <c r="AE507" s="187"/>
      <c r="AF507" s="187"/>
      <c r="AG507" s="187"/>
      <c r="AH507" s="187"/>
      <c r="AI507" s="194"/>
      <c r="AJ507" s="187"/>
      <c r="AK507" s="187"/>
      <c r="AL507" s="187"/>
      <c r="AM507" s="187"/>
      <c r="AN507" s="187"/>
      <c r="AO507" s="187"/>
      <c r="AP507" s="189"/>
      <c r="AQ507" s="202"/>
      <c r="AR507" s="202"/>
      <c r="AS507" s="237"/>
      <c r="AT507" s="202"/>
      <c r="AU507" s="189"/>
      <c r="AV507" s="201"/>
      <c r="AW507" s="189"/>
      <c r="AX507" s="189"/>
      <c r="AY507" s="189"/>
      <c r="AZ507" s="189"/>
      <c r="BA507" s="189"/>
      <c r="BB507" s="189"/>
      <c r="BC507" s="189"/>
      <c r="BD507" s="189"/>
      <c r="BE507" s="189"/>
    </row>
    <row r="508" spans="1:57" s="130" customFormat="1" ht="12" customHeight="1" x14ac:dyDescent="0.35">
      <c r="A508" s="121"/>
      <c r="B508" s="121"/>
      <c r="C508" s="121"/>
      <c r="D508" s="121"/>
      <c r="E508" s="122"/>
      <c r="F508" s="123"/>
      <c r="G508" s="123"/>
      <c r="H508" s="123"/>
      <c r="I508" s="156"/>
      <c r="J508" s="129"/>
      <c r="K508" s="157"/>
      <c r="L508" s="157"/>
      <c r="M508" s="125"/>
      <c r="N508" s="126"/>
      <c r="O508" s="125"/>
      <c r="P508" s="126"/>
      <c r="Q508" s="126"/>
      <c r="R508" s="126"/>
      <c r="S508" s="126"/>
      <c r="T508" s="126"/>
      <c r="U508" s="126"/>
      <c r="V508" s="126"/>
      <c r="W508" s="126"/>
      <c r="X508" s="126"/>
      <c r="Y508" s="126"/>
      <c r="Z508" s="126"/>
      <c r="AA508" s="125"/>
      <c r="AB508" s="343"/>
      <c r="AC508" s="125"/>
      <c r="AD508" s="125"/>
      <c r="AE508" s="126"/>
      <c r="AF508" s="126"/>
      <c r="AG508" s="126"/>
      <c r="AH508" s="126"/>
      <c r="AI508" s="169"/>
      <c r="AJ508" s="126"/>
      <c r="AK508" s="126"/>
      <c r="AL508" s="126"/>
      <c r="AM508" s="126"/>
      <c r="AN508" s="126"/>
      <c r="AO508" s="126"/>
      <c r="AP508" s="129"/>
      <c r="AQ508" s="203"/>
      <c r="AR508" s="203"/>
      <c r="AS508" s="238"/>
      <c r="AT508" s="203"/>
      <c r="AU508" s="129"/>
      <c r="AV508" s="129"/>
      <c r="AW508" s="129"/>
      <c r="AX508" s="129"/>
      <c r="AY508" s="129"/>
      <c r="AZ508" s="129"/>
      <c r="BA508" s="129"/>
      <c r="BB508" s="129"/>
      <c r="BC508" s="129"/>
      <c r="BD508" s="129"/>
      <c r="BE508" s="129"/>
    </row>
    <row r="509" spans="1:57" s="191" customFormat="1" ht="12" customHeight="1" x14ac:dyDescent="0.35">
      <c r="A509" s="182"/>
      <c r="B509" s="182"/>
      <c r="C509" s="182"/>
      <c r="D509" s="182"/>
      <c r="E509" s="183"/>
      <c r="F509" s="184"/>
      <c r="G509" s="184"/>
      <c r="H509" s="184"/>
      <c r="I509" s="192"/>
      <c r="J509" s="189"/>
      <c r="K509" s="193"/>
      <c r="L509" s="193"/>
      <c r="M509" s="186"/>
      <c r="N509" s="187"/>
      <c r="O509" s="186"/>
      <c r="P509" s="187"/>
      <c r="Q509" s="187"/>
      <c r="R509" s="187"/>
      <c r="S509" s="187"/>
      <c r="T509" s="187"/>
      <c r="U509" s="187"/>
      <c r="V509" s="187"/>
      <c r="W509" s="187"/>
      <c r="X509" s="187"/>
      <c r="Y509" s="187"/>
      <c r="Z509" s="187"/>
      <c r="AA509" s="186"/>
      <c r="AB509" s="342"/>
      <c r="AC509" s="186"/>
      <c r="AD509" s="186"/>
      <c r="AE509" s="187"/>
      <c r="AF509" s="187"/>
      <c r="AG509" s="187"/>
      <c r="AH509" s="187"/>
      <c r="AI509" s="194"/>
      <c r="AJ509" s="187"/>
      <c r="AK509" s="187"/>
      <c r="AL509" s="187"/>
      <c r="AM509" s="187"/>
      <c r="AN509" s="187"/>
      <c r="AO509" s="187"/>
      <c r="AP509" s="189"/>
      <c r="AQ509" s="202"/>
      <c r="AR509" s="202"/>
      <c r="AS509" s="237"/>
      <c r="AT509" s="202"/>
      <c r="AU509" s="189"/>
      <c r="AV509" s="189"/>
      <c r="AW509" s="189"/>
      <c r="AX509" s="189"/>
      <c r="AY509" s="189"/>
      <c r="AZ509" s="189"/>
      <c r="BA509" s="189"/>
      <c r="BB509" s="189"/>
      <c r="BC509" s="189"/>
      <c r="BD509" s="189"/>
      <c r="BE509" s="189"/>
    </row>
    <row r="510" spans="1:57" s="130" customFormat="1" ht="12" customHeight="1" x14ac:dyDescent="0.35">
      <c r="A510" s="121"/>
      <c r="B510" s="121"/>
      <c r="C510" s="121"/>
      <c r="D510" s="121"/>
      <c r="E510" s="122"/>
      <c r="F510" s="123"/>
      <c r="G510" s="123"/>
      <c r="H510" s="123"/>
      <c r="I510" s="156"/>
      <c r="J510" s="129"/>
      <c r="K510" s="157"/>
      <c r="L510" s="157"/>
      <c r="M510" s="125"/>
      <c r="N510" s="126"/>
      <c r="O510" s="125"/>
      <c r="P510" s="126"/>
      <c r="Q510" s="126"/>
      <c r="R510" s="126"/>
      <c r="S510" s="126"/>
      <c r="T510" s="126"/>
      <c r="U510" s="125"/>
      <c r="V510" s="125"/>
      <c r="W510" s="125"/>
      <c r="X510" s="125"/>
      <c r="Y510" s="125"/>
      <c r="Z510" s="125"/>
      <c r="AA510" s="125"/>
      <c r="AB510" s="343"/>
      <c r="AC510" s="125"/>
      <c r="AD510" s="125"/>
      <c r="AE510" s="126"/>
      <c r="AF510" s="126"/>
      <c r="AG510" s="126"/>
      <c r="AH510" s="126"/>
      <c r="AI510" s="169"/>
      <c r="AJ510" s="126"/>
      <c r="AK510" s="126"/>
      <c r="AL510" s="126"/>
      <c r="AM510" s="126"/>
      <c r="AN510" s="126"/>
      <c r="AO510" s="126"/>
      <c r="AP510" s="129"/>
      <c r="AQ510" s="203"/>
      <c r="AR510" s="203"/>
      <c r="AS510" s="238"/>
      <c r="AT510" s="203"/>
      <c r="AU510" s="129"/>
      <c r="AV510" s="129"/>
      <c r="AW510" s="129"/>
      <c r="AX510" s="129"/>
      <c r="AY510" s="129"/>
      <c r="AZ510" s="129"/>
      <c r="BA510" s="129"/>
      <c r="BB510" s="129"/>
      <c r="BC510" s="129"/>
      <c r="BD510" s="129"/>
      <c r="BE510" s="129"/>
    </row>
    <row r="511" spans="1:57" x14ac:dyDescent="0.25">
      <c r="E511" s="116"/>
      <c r="F511" s="117"/>
      <c r="G511" s="117"/>
      <c r="H511" s="117"/>
      <c r="I511" s="154"/>
      <c r="J511" s="120"/>
      <c r="K511" s="155"/>
      <c r="L511" s="155"/>
      <c r="M511" s="118"/>
      <c r="N511" s="119"/>
      <c r="O511" s="118"/>
      <c r="P511" s="119"/>
      <c r="Q511" s="119"/>
      <c r="R511" s="119"/>
      <c r="S511" s="119"/>
      <c r="T511" s="119"/>
      <c r="U511" s="118"/>
      <c r="V511" s="118"/>
      <c r="W511" s="118"/>
      <c r="X511" s="118"/>
      <c r="Y511" s="118"/>
      <c r="Z511" s="131"/>
      <c r="AA511" s="118"/>
      <c r="AB511" s="131"/>
      <c r="AC511" s="118"/>
      <c r="AD511" s="118"/>
      <c r="AE511" s="119"/>
      <c r="AF511" s="119"/>
      <c r="AG511" s="119"/>
      <c r="AH511" s="119"/>
      <c r="AI511" s="167"/>
      <c r="AJ511" s="168"/>
      <c r="AK511" s="168"/>
      <c r="AL511" s="168"/>
      <c r="AM511" s="168"/>
      <c r="AN511" s="168"/>
      <c r="AO511" s="168"/>
    </row>
    <row r="512" spans="1:57" s="159" customFormat="1" x14ac:dyDescent="0.25">
      <c r="A512" s="121"/>
      <c r="B512" s="121"/>
      <c r="C512" s="121"/>
      <c r="D512" s="121"/>
      <c r="E512" s="122"/>
      <c r="F512" s="123"/>
      <c r="G512" s="123"/>
      <c r="H512" s="123"/>
      <c r="I512" s="156"/>
      <c r="J512" s="129"/>
      <c r="K512" s="157"/>
      <c r="L512" s="157"/>
      <c r="M512" s="125"/>
      <c r="N512" s="126"/>
      <c r="O512" s="125"/>
      <c r="P512" s="126"/>
      <c r="Q512" s="126"/>
      <c r="R512" s="126"/>
      <c r="S512" s="126"/>
      <c r="T512" s="126"/>
      <c r="U512" s="125"/>
      <c r="V512" s="125"/>
      <c r="W512" s="128"/>
      <c r="X512" s="128"/>
      <c r="Y512" s="128"/>
      <c r="Z512" s="128"/>
      <c r="AA512" s="125"/>
      <c r="AB512" s="128"/>
      <c r="AC512" s="118"/>
      <c r="AD512" s="118"/>
      <c r="AE512" s="119"/>
      <c r="AF512" s="119"/>
      <c r="AG512" s="119"/>
      <c r="AH512" s="119"/>
      <c r="AI512" s="169"/>
      <c r="AJ512" s="168"/>
      <c r="AK512" s="168"/>
      <c r="AL512" s="168"/>
      <c r="AM512" s="168"/>
      <c r="AN512" s="168"/>
      <c r="AO512" s="168"/>
      <c r="AP512" s="204"/>
      <c r="AQ512" s="158"/>
      <c r="AR512" s="158"/>
      <c r="AS512" s="158"/>
      <c r="AT512" s="158"/>
      <c r="AU512" s="158"/>
      <c r="AV512" s="158"/>
      <c r="AW512" s="158"/>
      <c r="AX512" s="158"/>
      <c r="AY512" s="158"/>
      <c r="AZ512" s="158"/>
      <c r="BA512" s="158"/>
    </row>
    <row r="513" spans="1:53" x14ac:dyDescent="0.25">
      <c r="E513" s="116"/>
      <c r="F513" s="117"/>
      <c r="G513" s="117"/>
      <c r="H513" s="117"/>
      <c r="I513" s="154"/>
      <c r="J513" s="120"/>
      <c r="K513" s="155"/>
      <c r="L513" s="155"/>
      <c r="M513" s="118"/>
      <c r="N513" s="119"/>
      <c r="O513" s="118"/>
      <c r="P513" s="119"/>
      <c r="Q513" s="119"/>
      <c r="R513" s="119"/>
      <c r="S513" s="119"/>
      <c r="T513" s="119"/>
      <c r="U513" s="118"/>
      <c r="V513" s="118"/>
      <c r="W513" s="118"/>
      <c r="X513" s="118"/>
      <c r="Y513" s="118"/>
      <c r="Z513" s="131"/>
      <c r="AA513" s="118"/>
      <c r="AB513" s="131"/>
      <c r="AC513" s="118"/>
      <c r="AD513" s="118"/>
      <c r="AE513" s="119"/>
      <c r="AF513" s="119"/>
      <c r="AG513" s="119"/>
      <c r="AH513" s="119"/>
      <c r="AI513" s="167"/>
      <c r="AJ513" s="168"/>
      <c r="AK513" s="168"/>
      <c r="AL513" s="168"/>
      <c r="AM513" s="168"/>
      <c r="AN513" s="168"/>
      <c r="AO513" s="168"/>
    </row>
    <row r="514" spans="1:53" s="159" customFormat="1" x14ac:dyDescent="0.25">
      <c r="A514" s="121"/>
      <c r="B514" s="121"/>
      <c r="C514" s="121"/>
      <c r="D514" s="121"/>
      <c r="E514" s="122"/>
      <c r="F514" s="123"/>
      <c r="G514" s="123"/>
      <c r="H514" s="123"/>
      <c r="I514" s="156"/>
      <c r="J514" s="129"/>
      <c r="K514" s="157"/>
      <c r="L514" s="157"/>
      <c r="M514" s="125"/>
      <c r="N514" s="126"/>
      <c r="O514" s="125"/>
      <c r="P514" s="126"/>
      <c r="Q514" s="126"/>
      <c r="R514" s="126"/>
      <c r="S514" s="126"/>
      <c r="T514" s="126"/>
      <c r="U514" s="125"/>
      <c r="V514" s="125"/>
      <c r="W514" s="128"/>
      <c r="X514" s="128"/>
      <c r="Y514" s="128"/>
      <c r="Z514" s="128"/>
      <c r="AA514" s="125"/>
      <c r="AB514" s="128"/>
      <c r="AC514" s="118"/>
      <c r="AD514" s="118"/>
      <c r="AE514" s="119"/>
      <c r="AF514" s="119"/>
      <c r="AG514" s="119"/>
      <c r="AH514" s="119"/>
      <c r="AI514" s="169"/>
      <c r="AJ514" s="168"/>
      <c r="AK514" s="168"/>
      <c r="AL514" s="168"/>
      <c r="AM514" s="168"/>
      <c r="AN514" s="168"/>
      <c r="AO514" s="168"/>
      <c r="AP514" s="204"/>
      <c r="AQ514" s="158"/>
      <c r="AR514" s="158"/>
      <c r="AS514" s="158"/>
      <c r="AT514" s="158"/>
      <c r="AU514" s="158"/>
      <c r="AV514" s="158"/>
      <c r="AW514" s="158"/>
      <c r="AX514" s="158"/>
      <c r="AY514" s="158"/>
      <c r="AZ514" s="158"/>
      <c r="BA514" s="158"/>
    </row>
    <row r="515" spans="1:53" x14ac:dyDescent="0.25">
      <c r="E515" s="116"/>
      <c r="F515" s="117"/>
      <c r="G515" s="117"/>
      <c r="H515" s="117"/>
      <c r="I515" s="154"/>
      <c r="J515" s="120"/>
      <c r="K515" s="155"/>
      <c r="L515" s="155"/>
      <c r="M515" s="118"/>
      <c r="N515" s="119"/>
      <c r="O515" s="118"/>
      <c r="P515" s="119"/>
      <c r="Q515" s="119"/>
      <c r="R515" s="119"/>
      <c r="S515" s="119"/>
      <c r="T515" s="119"/>
      <c r="U515" s="118"/>
      <c r="V515" s="118"/>
      <c r="W515" s="118"/>
      <c r="X515" s="118"/>
      <c r="Y515" s="118"/>
      <c r="Z515" s="131"/>
      <c r="AA515" s="118"/>
      <c r="AB515" s="131"/>
      <c r="AC515" s="118"/>
      <c r="AD515" s="118"/>
      <c r="AE515" s="119"/>
      <c r="AF515" s="119"/>
      <c r="AG515" s="119"/>
      <c r="AH515" s="119"/>
      <c r="AI515" s="167"/>
      <c r="AJ515" s="168"/>
      <c r="AK515" s="168"/>
      <c r="AL515" s="168"/>
      <c r="AM515" s="168"/>
      <c r="AN515" s="168"/>
      <c r="AO515" s="168"/>
    </row>
    <row r="516" spans="1:53" s="159" customFormat="1" x14ac:dyDescent="0.25">
      <c r="A516" s="121"/>
      <c r="B516" s="121"/>
      <c r="C516" s="121"/>
      <c r="D516" s="121"/>
      <c r="E516" s="122"/>
      <c r="F516" s="123"/>
      <c r="G516" s="123"/>
      <c r="H516" s="123"/>
      <c r="I516" s="156"/>
      <c r="J516" s="129"/>
      <c r="K516" s="157"/>
      <c r="L516" s="157"/>
      <c r="M516" s="125"/>
      <c r="N516" s="126"/>
      <c r="O516" s="125"/>
      <c r="P516" s="126"/>
      <c r="Q516" s="126"/>
      <c r="R516" s="126"/>
      <c r="S516" s="126"/>
      <c r="T516" s="126"/>
      <c r="U516" s="125"/>
      <c r="V516" s="125"/>
      <c r="W516" s="128"/>
      <c r="X516" s="128"/>
      <c r="Y516" s="128"/>
      <c r="Z516" s="128"/>
      <c r="AA516" s="125"/>
      <c r="AB516" s="128"/>
      <c r="AC516" s="118"/>
      <c r="AD516" s="118"/>
      <c r="AE516" s="119"/>
      <c r="AF516" s="119"/>
      <c r="AG516" s="119"/>
      <c r="AH516" s="119"/>
      <c r="AI516" s="169"/>
      <c r="AJ516" s="168"/>
      <c r="AK516" s="168"/>
      <c r="AL516" s="168"/>
      <c r="AM516" s="168"/>
      <c r="AN516" s="168"/>
      <c r="AO516" s="168"/>
      <c r="AP516" s="204"/>
      <c r="AQ516" s="158"/>
      <c r="AR516" s="158"/>
      <c r="AS516" s="158"/>
      <c r="AT516" s="158"/>
      <c r="AU516" s="158"/>
      <c r="AV516" s="158"/>
      <c r="AW516" s="158"/>
      <c r="AX516" s="158"/>
      <c r="AY516" s="158"/>
      <c r="AZ516" s="158"/>
      <c r="BA516" s="158"/>
    </row>
    <row r="517" spans="1:53" x14ac:dyDescent="0.25">
      <c r="E517" s="116"/>
      <c r="F517" s="117"/>
      <c r="G517" s="117"/>
      <c r="H517" s="117"/>
      <c r="I517" s="154"/>
      <c r="J517" s="120"/>
      <c r="K517" s="155"/>
      <c r="L517" s="155"/>
      <c r="M517" s="118"/>
      <c r="N517" s="119"/>
      <c r="O517" s="118"/>
      <c r="P517" s="119"/>
      <c r="Q517" s="119"/>
      <c r="R517" s="119"/>
      <c r="S517" s="119"/>
      <c r="T517" s="119"/>
      <c r="U517" s="118"/>
      <c r="V517" s="118"/>
      <c r="W517" s="118"/>
      <c r="X517" s="118"/>
      <c r="Y517" s="118"/>
      <c r="Z517" s="131"/>
      <c r="AA517" s="118"/>
      <c r="AB517" s="131"/>
      <c r="AC517" s="118"/>
      <c r="AD517" s="118"/>
      <c r="AE517" s="119"/>
      <c r="AF517" s="119"/>
      <c r="AG517" s="119"/>
      <c r="AH517" s="119"/>
      <c r="AI517" s="167"/>
      <c r="AJ517" s="168"/>
      <c r="AK517" s="168"/>
      <c r="AL517" s="168"/>
      <c r="AM517" s="168"/>
      <c r="AN517" s="168"/>
      <c r="AO517" s="168"/>
    </row>
    <row r="518" spans="1:53" s="159" customFormat="1" x14ac:dyDescent="0.25">
      <c r="A518" s="121"/>
      <c r="B518" s="121"/>
      <c r="C518" s="121"/>
      <c r="D518" s="121"/>
      <c r="E518" s="122"/>
      <c r="F518" s="123"/>
      <c r="G518" s="123"/>
      <c r="H518" s="123"/>
      <c r="I518" s="156"/>
      <c r="J518" s="129"/>
      <c r="K518" s="157"/>
      <c r="L518" s="157"/>
      <c r="M518" s="125"/>
      <c r="N518" s="126"/>
      <c r="O518" s="125"/>
      <c r="P518" s="126"/>
      <c r="Q518" s="126"/>
      <c r="R518" s="126"/>
      <c r="S518" s="126"/>
      <c r="T518" s="126"/>
      <c r="U518" s="125"/>
      <c r="V518" s="125"/>
      <c r="W518" s="128"/>
      <c r="X518" s="128"/>
      <c r="Y518" s="128"/>
      <c r="Z518" s="128"/>
      <c r="AA518" s="125"/>
      <c r="AB518" s="128"/>
      <c r="AC518" s="118"/>
      <c r="AD518" s="118"/>
      <c r="AE518" s="119"/>
      <c r="AF518" s="119"/>
      <c r="AG518" s="119"/>
      <c r="AH518" s="119"/>
      <c r="AI518" s="169"/>
      <c r="AJ518" s="168"/>
      <c r="AK518" s="168"/>
      <c r="AL518" s="168"/>
      <c r="AM518" s="168"/>
      <c r="AN518" s="168"/>
      <c r="AO518" s="168"/>
      <c r="AP518" s="204"/>
      <c r="AQ518" s="158"/>
      <c r="AR518" s="158"/>
      <c r="AS518" s="158"/>
      <c r="AT518" s="158"/>
      <c r="AU518" s="158"/>
      <c r="AV518" s="158"/>
      <c r="AW518" s="158"/>
      <c r="AX518" s="158"/>
      <c r="AY518" s="158"/>
      <c r="AZ518" s="158"/>
      <c r="BA518" s="158"/>
    </row>
    <row r="519" spans="1:53" x14ac:dyDescent="0.25">
      <c r="E519" s="116"/>
      <c r="F519" s="117"/>
      <c r="G519" s="117"/>
      <c r="H519" s="117"/>
      <c r="I519" s="154"/>
      <c r="J519" s="120"/>
      <c r="K519" s="155"/>
      <c r="L519" s="155"/>
      <c r="M519" s="118"/>
      <c r="N519" s="119"/>
      <c r="O519" s="118"/>
      <c r="P519" s="119"/>
      <c r="Q519" s="119"/>
      <c r="R519" s="119"/>
      <c r="S519" s="119"/>
      <c r="T519" s="119"/>
      <c r="U519" s="118"/>
      <c r="V519" s="118"/>
      <c r="W519" s="118"/>
      <c r="X519" s="118"/>
      <c r="Y519" s="118"/>
      <c r="Z519" s="131"/>
      <c r="AA519" s="118"/>
      <c r="AB519" s="131"/>
      <c r="AC519" s="118"/>
      <c r="AD519" s="118"/>
      <c r="AE519" s="119"/>
      <c r="AF519" s="119"/>
      <c r="AG519" s="119"/>
      <c r="AH519" s="119"/>
      <c r="AI519" s="167"/>
      <c r="AJ519" s="168"/>
      <c r="AK519" s="168"/>
      <c r="AL519" s="168"/>
      <c r="AM519" s="168"/>
      <c r="AN519" s="168"/>
      <c r="AO519" s="168"/>
    </row>
    <row r="520" spans="1:53" s="159" customFormat="1" x14ac:dyDescent="0.25">
      <c r="A520" s="121"/>
      <c r="B520" s="121"/>
      <c r="C520" s="121"/>
      <c r="D520" s="121"/>
      <c r="E520" s="122"/>
      <c r="F520" s="123"/>
      <c r="G520" s="123"/>
      <c r="H520" s="123"/>
      <c r="I520" s="156"/>
      <c r="J520" s="129"/>
      <c r="K520" s="157"/>
      <c r="L520" s="157"/>
      <c r="M520" s="125"/>
      <c r="N520" s="126"/>
      <c r="O520" s="125"/>
      <c r="P520" s="126"/>
      <c r="Q520" s="126"/>
      <c r="R520" s="126"/>
      <c r="S520" s="126"/>
      <c r="T520" s="126"/>
      <c r="U520" s="125"/>
      <c r="V520" s="125"/>
      <c r="W520" s="128"/>
      <c r="X520" s="128"/>
      <c r="Y520" s="128"/>
      <c r="Z520" s="128"/>
      <c r="AA520" s="125"/>
      <c r="AB520" s="128"/>
      <c r="AC520" s="118"/>
      <c r="AD520" s="118"/>
      <c r="AE520" s="119"/>
      <c r="AF520" s="119"/>
      <c r="AG520" s="119"/>
      <c r="AH520" s="119"/>
      <c r="AI520" s="169"/>
      <c r="AJ520" s="168"/>
      <c r="AK520" s="168"/>
      <c r="AL520" s="168"/>
      <c r="AM520" s="168"/>
      <c r="AN520" s="168"/>
      <c r="AO520" s="168"/>
      <c r="AP520" s="204"/>
      <c r="AQ520" s="158"/>
      <c r="AR520" s="158"/>
      <c r="AS520" s="158"/>
      <c r="AT520" s="158"/>
      <c r="AU520" s="158"/>
      <c r="AV520" s="158"/>
      <c r="AW520" s="158"/>
      <c r="AX520" s="158"/>
      <c r="AY520" s="158"/>
      <c r="AZ520" s="158"/>
      <c r="BA520" s="158"/>
    </row>
    <row r="521" spans="1:53" x14ac:dyDescent="0.25">
      <c r="E521" s="116"/>
      <c r="F521" s="117"/>
      <c r="G521" s="117"/>
      <c r="H521" s="117"/>
      <c r="I521" s="154"/>
      <c r="J521" s="120"/>
      <c r="K521" s="155"/>
      <c r="L521" s="155"/>
      <c r="M521" s="118"/>
      <c r="N521" s="119"/>
      <c r="O521" s="118"/>
      <c r="P521" s="119"/>
      <c r="Q521" s="119"/>
      <c r="R521" s="119"/>
      <c r="S521" s="119"/>
      <c r="T521" s="119"/>
      <c r="U521" s="118"/>
      <c r="V521" s="118"/>
      <c r="W521" s="118"/>
      <c r="X521" s="118"/>
      <c r="Y521" s="118"/>
      <c r="Z521" s="131"/>
      <c r="AA521" s="118"/>
      <c r="AB521" s="131"/>
      <c r="AC521" s="118"/>
      <c r="AD521" s="118"/>
      <c r="AE521" s="119"/>
      <c r="AF521" s="119"/>
      <c r="AG521" s="119"/>
      <c r="AH521" s="119"/>
      <c r="AI521" s="167"/>
      <c r="AJ521" s="168"/>
      <c r="AK521" s="168"/>
      <c r="AL521" s="168"/>
      <c r="AM521" s="168"/>
      <c r="AN521" s="168"/>
      <c r="AO521" s="168"/>
    </row>
    <row r="522" spans="1:53" s="159" customFormat="1" x14ac:dyDescent="0.25">
      <c r="A522" s="121"/>
      <c r="B522" s="121"/>
      <c r="C522" s="121"/>
      <c r="D522" s="121"/>
      <c r="E522" s="122"/>
      <c r="F522" s="123"/>
      <c r="G522" s="123"/>
      <c r="H522" s="123"/>
      <c r="I522" s="156"/>
      <c r="J522" s="129"/>
      <c r="K522" s="157"/>
      <c r="L522" s="157"/>
      <c r="M522" s="125"/>
      <c r="N522" s="126"/>
      <c r="O522" s="125"/>
      <c r="P522" s="126"/>
      <c r="Q522" s="126"/>
      <c r="R522" s="126"/>
      <c r="S522" s="126"/>
      <c r="T522" s="126"/>
      <c r="U522" s="125"/>
      <c r="V522" s="125"/>
      <c r="W522" s="128"/>
      <c r="X522" s="128"/>
      <c r="Y522" s="128"/>
      <c r="Z522" s="128"/>
      <c r="AA522" s="125"/>
      <c r="AB522" s="128"/>
      <c r="AC522" s="118"/>
      <c r="AD522" s="118"/>
      <c r="AE522" s="119"/>
      <c r="AF522" s="119"/>
      <c r="AG522" s="119"/>
      <c r="AH522" s="119"/>
      <c r="AI522" s="169"/>
      <c r="AJ522" s="168"/>
      <c r="AK522" s="168"/>
      <c r="AL522" s="168"/>
      <c r="AM522" s="168"/>
      <c r="AN522" s="168"/>
      <c r="AO522" s="168"/>
      <c r="AP522" s="204"/>
      <c r="AQ522" s="158"/>
      <c r="AR522" s="158"/>
      <c r="AS522" s="158"/>
      <c r="AT522" s="158"/>
      <c r="AU522" s="158"/>
      <c r="AV522" s="158"/>
      <c r="AW522" s="158"/>
      <c r="AX522" s="158"/>
      <c r="AY522" s="158"/>
      <c r="AZ522" s="158"/>
      <c r="BA522" s="158"/>
    </row>
    <row r="523" spans="1:53" x14ac:dyDescent="0.25">
      <c r="E523" s="116"/>
      <c r="F523" s="117"/>
      <c r="G523" s="117"/>
      <c r="H523" s="117"/>
      <c r="I523" s="154"/>
      <c r="J523" s="120"/>
      <c r="K523" s="155"/>
      <c r="L523" s="155"/>
      <c r="M523" s="118"/>
      <c r="N523" s="119"/>
      <c r="O523" s="118"/>
      <c r="P523" s="119"/>
      <c r="Q523" s="119"/>
      <c r="R523" s="119"/>
      <c r="S523" s="119"/>
      <c r="T523" s="119"/>
      <c r="U523" s="118"/>
      <c r="V523" s="118"/>
      <c r="W523" s="118"/>
      <c r="X523" s="118"/>
      <c r="Y523" s="118"/>
      <c r="Z523" s="131"/>
      <c r="AA523" s="118"/>
      <c r="AB523" s="131"/>
      <c r="AC523" s="118"/>
      <c r="AD523" s="118"/>
      <c r="AE523" s="119"/>
      <c r="AF523" s="119"/>
      <c r="AG523" s="119"/>
      <c r="AH523" s="119"/>
      <c r="AI523" s="167"/>
      <c r="AJ523" s="168"/>
      <c r="AK523" s="168"/>
      <c r="AL523" s="168"/>
      <c r="AM523" s="168"/>
      <c r="AN523" s="168"/>
      <c r="AO523" s="168"/>
    </row>
    <row r="524" spans="1:53" s="159" customFormat="1" x14ac:dyDescent="0.25">
      <c r="A524" s="121"/>
      <c r="B524" s="121"/>
      <c r="C524" s="121"/>
      <c r="D524" s="121"/>
      <c r="E524" s="122"/>
      <c r="F524" s="123"/>
      <c r="G524" s="123"/>
      <c r="H524" s="123"/>
      <c r="I524" s="156"/>
      <c r="J524" s="129"/>
      <c r="K524" s="157"/>
      <c r="L524" s="157"/>
      <c r="M524" s="125"/>
      <c r="N524" s="126"/>
      <c r="O524" s="125"/>
      <c r="P524" s="126"/>
      <c r="Q524" s="126"/>
      <c r="R524" s="126"/>
      <c r="S524" s="126"/>
      <c r="T524" s="126"/>
      <c r="U524" s="125"/>
      <c r="V524" s="125"/>
      <c r="W524" s="128"/>
      <c r="X524" s="128"/>
      <c r="Y524" s="128"/>
      <c r="Z524" s="128"/>
      <c r="AA524" s="125"/>
      <c r="AB524" s="128"/>
      <c r="AC524" s="118"/>
      <c r="AD524" s="118"/>
      <c r="AE524" s="119"/>
      <c r="AF524" s="119"/>
      <c r="AG524" s="119"/>
      <c r="AH524" s="119"/>
      <c r="AI524" s="169"/>
      <c r="AJ524" s="168"/>
      <c r="AK524" s="168"/>
      <c r="AL524" s="168"/>
      <c r="AM524" s="168"/>
      <c r="AN524" s="168"/>
      <c r="AO524" s="168"/>
      <c r="AP524" s="204"/>
      <c r="AQ524" s="158"/>
      <c r="AR524" s="158"/>
      <c r="AS524" s="158"/>
      <c r="AT524" s="158"/>
      <c r="AU524" s="158"/>
      <c r="AV524" s="158"/>
      <c r="AW524" s="158"/>
      <c r="AX524" s="158"/>
      <c r="AY524" s="158"/>
      <c r="AZ524" s="158"/>
      <c r="BA524" s="158"/>
    </row>
    <row r="525" spans="1:53" x14ac:dyDescent="0.25">
      <c r="E525" s="116"/>
      <c r="F525" s="117"/>
      <c r="G525" s="117"/>
      <c r="H525" s="117"/>
      <c r="I525" s="154"/>
      <c r="J525" s="120"/>
      <c r="K525" s="155"/>
      <c r="L525" s="155"/>
      <c r="M525" s="118"/>
      <c r="N525" s="119"/>
      <c r="O525" s="118"/>
      <c r="P525" s="119"/>
      <c r="Q525" s="119"/>
      <c r="R525" s="119"/>
      <c r="S525" s="119"/>
      <c r="T525" s="119"/>
      <c r="U525" s="118"/>
      <c r="V525" s="118"/>
      <c r="W525" s="118"/>
      <c r="X525" s="118"/>
      <c r="Y525" s="118"/>
      <c r="Z525" s="131"/>
      <c r="AA525" s="118"/>
      <c r="AB525" s="131"/>
      <c r="AC525" s="118"/>
      <c r="AD525" s="118"/>
      <c r="AE525" s="119"/>
      <c r="AF525" s="119"/>
      <c r="AG525" s="119"/>
      <c r="AH525" s="119"/>
      <c r="AI525" s="167"/>
      <c r="AJ525" s="168"/>
      <c r="AK525" s="168"/>
      <c r="AL525" s="168"/>
      <c r="AM525" s="168"/>
      <c r="AN525" s="168"/>
      <c r="AO525" s="168"/>
    </row>
    <row r="526" spans="1:53" s="159" customFormat="1" x14ac:dyDescent="0.25">
      <c r="A526" s="121"/>
      <c r="B526" s="121"/>
      <c r="C526" s="121"/>
      <c r="D526" s="121"/>
      <c r="E526" s="122"/>
      <c r="F526" s="123"/>
      <c r="G526" s="123"/>
      <c r="H526" s="123"/>
      <c r="I526" s="156"/>
      <c r="J526" s="129"/>
      <c r="K526" s="157"/>
      <c r="L526" s="157"/>
      <c r="M526" s="125"/>
      <c r="N526" s="126"/>
      <c r="O526" s="125"/>
      <c r="P526" s="126"/>
      <c r="Q526" s="126"/>
      <c r="R526" s="126"/>
      <c r="S526" s="126"/>
      <c r="T526" s="126"/>
      <c r="U526" s="125"/>
      <c r="V526" s="125"/>
      <c r="W526" s="128"/>
      <c r="X526" s="128"/>
      <c r="Y526" s="128"/>
      <c r="Z526" s="128"/>
      <c r="AA526" s="125"/>
      <c r="AB526" s="128"/>
      <c r="AC526" s="118"/>
      <c r="AD526" s="118"/>
      <c r="AE526" s="119"/>
      <c r="AF526" s="119"/>
      <c r="AG526" s="119"/>
      <c r="AH526" s="119"/>
      <c r="AI526" s="169"/>
      <c r="AJ526" s="168"/>
      <c r="AK526" s="168"/>
      <c r="AL526" s="168"/>
      <c r="AM526" s="168"/>
      <c r="AN526" s="168"/>
      <c r="AO526" s="168"/>
      <c r="AP526" s="204"/>
      <c r="AQ526" s="158"/>
      <c r="AR526" s="158"/>
      <c r="AS526" s="158"/>
      <c r="AT526" s="158"/>
      <c r="AU526" s="158"/>
      <c r="AV526" s="158"/>
      <c r="AW526" s="158"/>
      <c r="AX526" s="158"/>
      <c r="AY526" s="158"/>
      <c r="AZ526" s="158"/>
      <c r="BA526" s="158"/>
    </row>
    <row r="527" spans="1:53" x14ac:dyDescent="0.25">
      <c r="E527" s="116"/>
      <c r="F527" s="117"/>
      <c r="G527" s="117"/>
      <c r="H527" s="117"/>
      <c r="I527" s="154"/>
      <c r="J527" s="120"/>
      <c r="K527" s="155"/>
      <c r="L527" s="155"/>
      <c r="M527" s="118"/>
      <c r="N527" s="119"/>
      <c r="O527" s="118"/>
      <c r="P527" s="119"/>
      <c r="Q527" s="119"/>
      <c r="R527" s="119"/>
      <c r="S527" s="119"/>
      <c r="T527" s="119"/>
      <c r="U527" s="118"/>
      <c r="V527" s="118"/>
      <c r="W527" s="118"/>
      <c r="X527" s="118"/>
      <c r="Y527" s="118"/>
      <c r="Z527" s="131"/>
      <c r="AA527" s="118"/>
      <c r="AB527" s="131"/>
      <c r="AC527" s="118"/>
      <c r="AD527" s="118"/>
      <c r="AE527" s="119"/>
      <c r="AF527" s="119"/>
      <c r="AG527" s="119"/>
      <c r="AH527" s="119"/>
      <c r="AI527" s="167"/>
      <c r="AJ527" s="168"/>
      <c r="AK527" s="168"/>
      <c r="AL527" s="168"/>
      <c r="AM527" s="168"/>
      <c r="AN527" s="168"/>
      <c r="AO527" s="168"/>
    </row>
    <row r="528" spans="1:53" s="159" customFormat="1" x14ac:dyDescent="0.25">
      <c r="A528" s="121"/>
      <c r="B528" s="121"/>
      <c r="C528" s="121"/>
      <c r="D528" s="121"/>
      <c r="E528" s="122"/>
      <c r="F528" s="123"/>
      <c r="G528" s="123"/>
      <c r="H528" s="123"/>
      <c r="I528" s="156"/>
      <c r="J528" s="129"/>
      <c r="K528" s="157"/>
      <c r="L528" s="157"/>
      <c r="M528" s="125"/>
      <c r="N528" s="126"/>
      <c r="O528" s="125"/>
      <c r="P528" s="126"/>
      <c r="Q528" s="126"/>
      <c r="R528" s="126"/>
      <c r="S528" s="126"/>
      <c r="T528" s="126"/>
      <c r="U528" s="125"/>
      <c r="V528" s="125"/>
      <c r="W528" s="128"/>
      <c r="X528" s="128"/>
      <c r="Y528" s="128"/>
      <c r="Z528" s="128"/>
      <c r="AA528" s="125"/>
      <c r="AB528" s="128"/>
      <c r="AC528" s="118"/>
      <c r="AD528" s="118"/>
      <c r="AE528" s="119"/>
      <c r="AF528" s="119"/>
      <c r="AG528" s="119"/>
      <c r="AH528" s="119"/>
      <c r="AI528" s="169"/>
      <c r="AJ528" s="168"/>
      <c r="AK528" s="168"/>
      <c r="AL528" s="168"/>
      <c r="AM528" s="168"/>
      <c r="AN528" s="168"/>
      <c r="AO528" s="168"/>
      <c r="AP528" s="204"/>
      <c r="AQ528" s="158"/>
      <c r="AR528" s="158"/>
      <c r="AS528" s="158"/>
      <c r="AT528" s="158"/>
      <c r="AU528" s="158"/>
      <c r="AV528" s="158"/>
      <c r="AW528" s="158"/>
      <c r="AX528" s="158"/>
      <c r="AY528" s="158"/>
      <c r="AZ528" s="158"/>
      <c r="BA528" s="158"/>
    </row>
    <row r="529" spans="1:53" x14ac:dyDescent="0.25">
      <c r="E529" s="116"/>
      <c r="F529" s="117"/>
      <c r="G529" s="117"/>
      <c r="H529" s="117"/>
      <c r="I529" s="154"/>
      <c r="J529" s="120"/>
      <c r="K529" s="155"/>
      <c r="L529" s="155"/>
      <c r="M529" s="118"/>
      <c r="N529" s="119"/>
      <c r="O529" s="118"/>
      <c r="P529" s="119"/>
      <c r="Q529" s="119"/>
      <c r="R529" s="119"/>
      <c r="S529" s="119"/>
      <c r="T529" s="119"/>
      <c r="U529" s="118"/>
      <c r="V529" s="118"/>
      <c r="W529" s="118"/>
      <c r="X529" s="118"/>
      <c r="Y529" s="118"/>
      <c r="Z529" s="131"/>
      <c r="AA529" s="118"/>
      <c r="AB529" s="131"/>
      <c r="AC529" s="118"/>
      <c r="AD529" s="118"/>
      <c r="AE529" s="119"/>
      <c r="AF529" s="119"/>
      <c r="AG529" s="119"/>
      <c r="AH529" s="119"/>
      <c r="AI529" s="167"/>
      <c r="AJ529" s="168"/>
      <c r="AK529" s="168"/>
      <c r="AL529" s="168"/>
      <c r="AM529" s="168"/>
      <c r="AN529" s="168"/>
      <c r="AO529" s="168"/>
    </row>
    <row r="530" spans="1:53" s="159" customFormat="1" x14ac:dyDescent="0.25">
      <c r="A530" s="121"/>
      <c r="B530" s="121"/>
      <c r="C530" s="121"/>
      <c r="D530" s="121"/>
      <c r="E530" s="122"/>
      <c r="F530" s="123"/>
      <c r="G530" s="123"/>
      <c r="H530" s="123"/>
      <c r="I530" s="156"/>
      <c r="J530" s="129"/>
      <c r="K530" s="157"/>
      <c r="L530" s="157"/>
      <c r="M530" s="125"/>
      <c r="N530" s="126"/>
      <c r="O530" s="125"/>
      <c r="P530" s="126"/>
      <c r="Q530" s="126"/>
      <c r="R530" s="126"/>
      <c r="S530" s="126"/>
      <c r="T530" s="126"/>
      <c r="U530" s="125"/>
      <c r="V530" s="125"/>
      <c r="W530" s="128"/>
      <c r="X530" s="128"/>
      <c r="Y530" s="128"/>
      <c r="Z530" s="128"/>
      <c r="AA530" s="125"/>
      <c r="AB530" s="128"/>
      <c r="AC530" s="118"/>
      <c r="AD530" s="118"/>
      <c r="AE530" s="119"/>
      <c r="AF530" s="119"/>
      <c r="AG530" s="119"/>
      <c r="AH530" s="119"/>
      <c r="AI530" s="169"/>
      <c r="AJ530" s="168"/>
      <c r="AK530" s="168"/>
      <c r="AL530" s="168"/>
      <c r="AM530" s="168"/>
      <c r="AN530" s="168"/>
      <c r="AO530" s="168"/>
      <c r="AP530" s="204"/>
      <c r="AQ530" s="158"/>
      <c r="AR530" s="158"/>
      <c r="AS530" s="158"/>
      <c r="AT530" s="158"/>
      <c r="AU530" s="158"/>
      <c r="AV530" s="158"/>
      <c r="AW530" s="158"/>
      <c r="AX530" s="158"/>
      <c r="AY530" s="158"/>
      <c r="AZ530" s="158"/>
      <c r="BA530" s="158"/>
    </row>
    <row r="531" spans="1:53" x14ac:dyDescent="0.25">
      <c r="E531" s="116"/>
      <c r="F531" s="117"/>
      <c r="G531" s="117"/>
      <c r="H531" s="117"/>
      <c r="I531" s="154"/>
      <c r="J531" s="120"/>
      <c r="K531" s="155"/>
      <c r="L531" s="155"/>
      <c r="M531" s="118"/>
      <c r="N531" s="119"/>
      <c r="O531" s="118"/>
      <c r="P531" s="119"/>
      <c r="Q531" s="119"/>
      <c r="R531" s="119"/>
      <c r="S531" s="119"/>
      <c r="T531" s="119"/>
      <c r="U531" s="118"/>
      <c r="V531" s="118"/>
      <c r="W531" s="118"/>
      <c r="X531" s="118"/>
      <c r="Y531" s="118"/>
      <c r="Z531" s="131"/>
      <c r="AA531" s="118"/>
      <c r="AB531" s="131"/>
      <c r="AC531" s="118"/>
      <c r="AD531" s="118"/>
      <c r="AE531" s="119"/>
      <c r="AF531" s="119"/>
      <c r="AG531" s="119"/>
      <c r="AH531" s="119"/>
      <c r="AI531" s="167"/>
      <c r="AJ531" s="168"/>
      <c r="AK531" s="168"/>
      <c r="AL531" s="168"/>
      <c r="AM531" s="168"/>
      <c r="AN531" s="168"/>
      <c r="AO531" s="168"/>
    </row>
    <row r="532" spans="1:53" s="159" customFormat="1" x14ac:dyDescent="0.25">
      <c r="A532" s="121"/>
      <c r="B532" s="121"/>
      <c r="C532" s="121"/>
      <c r="D532" s="121"/>
      <c r="E532" s="122"/>
      <c r="F532" s="123"/>
      <c r="G532" s="123"/>
      <c r="H532" s="123"/>
      <c r="I532" s="156"/>
      <c r="J532" s="129"/>
      <c r="K532" s="157"/>
      <c r="L532" s="157"/>
      <c r="M532" s="125"/>
      <c r="N532" s="126"/>
      <c r="O532" s="125"/>
      <c r="P532" s="126"/>
      <c r="Q532" s="126"/>
      <c r="R532" s="126"/>
      <c r="S532" s="126"/>
      <c r="T532" s="126"/>
      <c r="U532" s="125"/>
      <c r="V532" s="125"/>
      <c r="W532" s="128"/>
      <c r="X532" s="128"/>
      <c r="Y532" s="128"/>
      <c r="Z532" s="128"/>
      <c r="AA532" s="125"/>
      <c r="AB532" s="128"/>
      <c r="AC532" s="118"/>
      <c r="AD532" s="118"/>
      <c r="AE532" s="119"/>
      <c r="AF532" s="119"/>
      <c r="AG532" s="119"/>
      <c r="AH532" s="119"/>
      <c r="AI532" s="169"/>
      <c r="AJ532" s="168"/>
      <c r="AK532" s="168"/>
      <c r="AL532" s="168"/>
      <c r="AM532" s="168"/>
      <c r="AN532" s="168"/>
      <c r="AO532" s="168"/>
      <c r="AP532" s="204"/>
      <c r="AQ532" s="158"/>
      <c r="AR532" s="158"/>
      <c r="AS532" s="158"/>
      <c r="AT532" s="158"/>
      <c r="AU532" s="158"/>
      <c r="AV532" s="158"/>
      <c r="AW532" s="158"/>
      <c r="AX532" s="158"/>
      <c r="AY532" s="158"/>
      <c r="AZ532" s="158"/>
      <c r="BA532" s="158"/>
    </row>
    <row r="533" spans="1:53" x14ac:dyDescent="0.25">
      <c r="E533" s="116"/>
      <c r="F533" s="117"/>
      <c r="G533" s="117"/>
      <c r="H533" s="117"/>
      <c r="I533" s="154"/>
      <c r="J533" s="120"/>
      <c r="K533" s="155"/>
      <c r="L533" s="155"/>
      <c r="M533" s="118"/>
      <c r="N533" s="119"/>
      <c r="O533" s="118"/>
      <c r="P533" s="119"/>
      <c r="Q533" s="119"/>
      <c r="R533" s="119"/>
      <c r="S533" s="119"/>
      <c r="T533" s="119"/>
      <c r="U533" s="118"/>
      <c r="V533" s="118"/>
      <c r="W533" s="118"/>
      <c r="X533" s="118"/>
      <c r="Y533" s="118"/>
      <c r="Z533" s="131"/>
      <c r="AA533" s="118"/>
      <c r="AB533" s="131"/>
      <c r="AC533" s="118"/>
      <c r="AD533" s="118"/>
      <c r="AE533" s="119"/>
      <c r="AF533" s="119"/>
      <c r="AG533" s="119"/>
      <c r="AH533" s="119"/>
      <c r="AI533" s="167"/>
      <c r="AJ533" s="168"/>
      <c r="AK533" s="168"/>
      <c r="AL533" s="168"/>
      <c r="AM533" s="168"/>
      <c r="AN533" s="168"/>
      <c r="AO533" s="168"/>
    </row>
    <row r="534" spans="1:53" s="159" customFormat="1" x14ac:dyDescent="0.25">
      <c r="A534" s="121"/>
      <c r="B534" s="121"/>
      <c r="C534" s="121"/>
      <c r="D534" s="121"/>
      <c r="E534" s="122"/>
      <c r="F534" s="123"/>
      <c r="G534" s="123"/>
      <c r="H534" s="123"/>
      <c r="I534" s="156"/>
      <c r="J534" s="129"/>
      <c r="K534" s="157"/>
      <c r="L534" s="157"/>
      <c r="M534" s="125"/>
      <c r="N534" s="126"/>
      <c r="O534" s="125"/>
      <c r="P534" s="126"/>
      <c r="Q534" s="126"/>
      <c r="R534" s="126"/>
      <c r="S534" s="126"/>
      <c r="T534" s="126"/>
      <c r="U534" s="125"/>
      <c r="V534" s="125"/>
      <c r="W534" s="128"/>
      <c r="X534" s="128"/>
      <c r="Y534" s="128"/>
      <c r="Z534" s="128"/>
      <c r="AA534" s="125"/>
      <c r="AB534" s="128"/>
      <c r="AC534" s="118"/>
      <c r="AD534" s="118"/>
      <c r="AE534" s="119"/>
      <c r="AF534" s="119"/>
      <c r="AG534" s="119"/>
      <c r="AH534" s="119"/>
      <c r="AI534" s="169"/>
      <c r="AJ534" s="168"/>
      <c r="AK534" s="168"/>
      <c r="AL534" s="168"/>
      <c r="AM534" s="168"/>
      <c r="AN534" s="168"/>
      <c r="AO534" s="168"/>
      <c r="AP534" s="204"/>
      <c r="AQ534" s="158"/>
      <c r="AR534" s="158"/>
      <c r="AS534" s="158"/>
      <c r="AT534" s="158"/>
      <c r="AU534" s="158"/>
      <c r="AV534" s="158"/>
      <c r="AW534" s="158"/>
      <c r="AX534" s="158"/>
      <c r="AY534" s="158"/>
      <c r="AZ534" s="158"/>
      <c r="BA534" s="158"/>
    </row>
    <row r="535" spans="1:53" x14ac:dyDescent="0.25">
      <c r="E535" s="116"/>
      <c r="F535" s="117"/>
      <c r="G535" s="117"/>
      <c r="H535" s="117"/>
      <c r="I535" s="154"/>
      <c r="J535" s="120"/>
      <c r="K535" s="155"/>
      <c r="L535" s="155"/>
      <c r="M535" s="118"/>
      <c r="N535" s="119"/>
      <c r="O535" s="118"/>
      <c r="P535" s="119"/>
      <c r="Q535" s="119"/>
      <c r="R535" s="119"/>
      <c r="S535" s="119"/>
      <c r="T535" s="119"/>
      <c r="U535" s="118"/>
      <c r="V535" s="118"/>
      <c r="W535" s="118"/>
      <c r="X535" s="118"/>
      <c r="Y535" s="118"/>
      <c r="Z535" s="131"/>
      <c r="AA535" s="118"/>
      <c r="AB535" s="131"/>
      <c r="AC535" s="118"/>
      <c r="AD535" s="118"/>
      <c r="AE535" s="119"/>
      <c r="AF535" s="119"/>
      <c r="AG535" s="119"/>
      <c r="AH535" s="119"/>
      <c r="AI535" s="167"/>
      <c r="AJ535" s="168"/>
      <c r="AK535" s="168"/>
      <c r="AL535" s="168"/>
      <c r="AM535" s="168"/>
      <c r="AN535" s="168"/>
      <c r="AO535" s="168"/>
    </row>
    <row r="536" spans="1:53" s="159" customFormat="1" x14ac:dyDescent="0.25">
      <c r="A536" s="121"/>
      <c r="B536" s="121"/>
      <c r="C536" s="121"/>
      <c r="D536" s="121"/>
      <c r="E536" s="122"/>
      <c r="F536" s="123"/>
      <c r="G536" s="123"/>
      <c r="H536" s="123"/>
      <c r="I536" s="156"/>
      <c r="J536" s="129"/>
      <c r="K536" s="157"/>
      <c r="L536" s="157"/>
      <c r="M536" s="125"/>
      <c r="N536" s="126"/>
      <c r="O536" s="125"/>
      <c r="P536" s="126"/>
      <c r="Q536" s="126"/>
      <c r="R536" s="126"/>
      <c r="S536" s="126"/>
      <c r="T536" s="126"/>
      <c r="U536" s="125"/>
      <c r="V536" s="125"/>
      <c r="W536" s="128"/>
      <c r="X536" s="128"/>
      <c r="Y536" s="128"/>
      <c r="Z536" s="128"/>
      <c r="AA536" s="125"/>
      <c r="AB536" s="128"/>
      <c r="AC536" s="118"/>
      <c r="AD536" s="118"/>
      <c r="AE536" s="119"/>
      <c r="AF536" s="119"/>
      <c r="AG536" s="119"/>
      <c r="AH536" s="119"/>
      <c r="AI536" s="169"/>
      <c r="AJ536" s="168"/>
      <c r="AK536" s="168"/>
      <c r="AL536" s="168"/>
      <c r="AM536" s="168"/>
      <c r="AN536" s="168"/>
      <c r="AO536" s="168"/>
      <c r="AP536" s="204"/>
      <c r="AQ536" s="158"/>
      <c r="AR536" s="158"/>
      <c r="AS536" s="158"/>
      <c r="AT536" s="158"/>
      <c r="AU536" s="158"/>
      <c r="AV536" s="158"/>
      <c r="AW536" s="158"/>
      <c r="AX536" s="158"/>
      <c r="AY536" s="158"/>
      <c r="AZ536" s="158"/>
      <c r="BA536" s="158"/>
    </row>
    <row r="537" spans="1:53" x14ac:dyDescent="0.25">
      <c r="E537" s="116"/>
      <c r="F537" s="117"/>
      <c r="G537" s="117"/>
      <c r="H537" s="117"/>
      <c r="I537" s="154"/>
      <c r="J537" s="120"/>
      <c r="K537" s="155"/>
      <c r="L537" s="155"/>
      <c r="M537" s="118"/>
      <c r="N537" s="119"/>
      <c r="O537" s="118"/>
      <c r="P537" s="119"/>
      <c r="Q537" s="119"/>
      <c r="R537" s="119"/>
      <c r="S537" s="119"/>
      <c r="T537" s="119"/>
      <c r="U537" s="118"/>
      <c r="V537" s="118"/>
      <c r="W537" s="118"/>
      <c r="X537" s="118"/>
      <c r="Y537" s="118"/>
      <c r="Z537" s="131"/>
      <c r="AA537" s="118"/>
      <c r="AB537" s="131"/>
      <c r="AC537" s="118"/>
      <c r="AD537" s="118"/>
      <c r="AE537" s="119"/>
      <c r="AF537" s="119"/>
      <c r="AG537" s="119"/>
      <c r="AH537" s="119"/>
      <c r="AI537" s="167"/>
      <c r="AJ537" s="168"/>
      <c r="AK537" s="168"/>
      <c r="AL537" s="168"/>
      <c r="AM537" s="168"/>
      <c r="AN537" s="168"/>
      <c r="AO537" s="168"/>
    </row>
    <row r="538" spans="1:53" s="159" customFormat="1" x14ac:dyDescent="0.25">
      <c r="A538" s="121"/>
      <c r="B538" s="121"/>
      <c r="C538" s="121"/>
      <c r="D538" s="121"/>
      <c r="E538" s="122"/>
      <c r="F538" s="123"/>
      <c r="G538" s="123"/>
      <c r="H538" s="123"/>
      <c r="I538" s="156"/>
      <c r="J538" s="129"/>
      <c r="K538" s="157"/>
      <c r="L538" s="157"/>
      <c r="M538" s="125"/>
      <c r="N538" s="126"/>
      <c r="O538" s="125"/>
      <c r="P538" s="126"/>
      <c r="Q538" s="126"/>
      <c r="R538" s="126"/>
      <c r="S538" s="126"/>
      <c r="T538" s="126"/>
      <c r="U538" s="125"/>
      <c r="V538" s="125"/>
      <c r="W538" s="128"/>
      <c r="X538" s="128"/>
      <c r="Y538" s="128"/>
      <c r="Z538" s="128"/>
      <c r="AA538" s="125"/>
      <c r="AB538" s="128"/>
      <c r="AC538" s="118"/>
      <c r="AD538" s="118"/>
      <c r="AE538" s="119"/>
      <c r="AF538" s="119"/>
      <c r="AG538" s="119"/>
      <c r="AH538" s="119"/>
      <c r="AI538" s="169"/>
      <c r="AJ538" s="168"/>
      <c r="AK538" s="168"/>
      <c r="AL538" s="168"/>
      <c r="AM538" s="168"/>
      <c r="AN538" s="168"/>
      <c r="AO538" s="168"/>
      <c r="AP538" s="204"/>
      <c r="AQ538" s="158"/>
      <c r="AR538" s="158"/>
      <c r="AS538" s="158"/>
      <c r="AT538" s="158"/>
      <c r="AU538" s="158"/>
      <c r="AV538" s="158"/>
      <c r="AW538" s="158"/>
      <c r="AX538" s="158"/>
      <c r="AY538" s="158"/>
      <c r="AZ538" s="158"/>
      <c r="BA538" s="158"/>
    </row>
    <row r="539" spans="1:53" x14ac:dyDescent="0.25">
      <c r="E539" s="116"/>
      <c r="F539" s="117"/>
      <c r="G539" s="117"/>
      <c r="H539" s="117"/>
      <c r="I539" s="154"/>
      <c r="J539" s="120"/>
      <c r="K539" s="155"/>
      <c r="L539" s="155"/>
      <c r="M539" s="118"/>
      <c r="N539" s="119"/>
      <c r="O539" s="118"/>
      <c r="P539" s="119"/>
      <c r="Q539" s="119"/>
      <c r="R539" s="119"/>
      <c r="S539" s="119"/>
      <c r="T539" s="119"/>
      <c r="U539" s="118"/>
      <c r="V539" s="118"/>
      <c r="W539" s="118"/>
      <c r="X539" s="118"/>
      <c r="Y539" s="118"/>
      <c r="Z539" s="131"/>
      <c r="AA539" s="118"/>
      <c r="AB539" s="131"/>
      <c r="AC539" s="118"/>
      <c r="AD539" s="118"/>
      <c r="AE539" s="119"/>
      <c r="AF539" s="119"/>
      <c r="AG539" s="119"/>
      <c r="AH539" s="119"/>
      <c r="AI539" s="167"/>
      <c r="AJ539" s="168"/>
      <c r="AK539" s="168"/>
      <c r="AL539" s="168"/>
      <c r="AM539" s="168"/>
      <c r="AN539" s="168"/>
      <c r="AO539" s="168"/>
    </row>
    <row r="540" spans="1:53" s="159" customFormat="1" x14ac:dyDescent="0.25">
      <c r="A540" s="121"/>
      <c r="B540" s="121"/>
      <c r="C540" s="121"/>
      <c r="D540" s="121"/>
      <c r="E540" s="122"/>
      <c r="F540" s="123"/>
      <c r="G540" s="123"/>
      <c r="H540" s="123"/>
      <c r="I540" s="156"/>
      <c r="J540" s="129"/>
      <c r="K540" s="157"/>
      <c r="L540" s="157"/>
      <c r="M540" s="125"/>
      <c r="N540" s="126"/>
      <c r="O540" s="125"/>
      <c r="P540" s="126"/>
      <c r="Q540" s="126"/>
      <c r="R540" s="126"/>
      <c r="S540" s="126"/>
      <c r="T540" s="126"/>
      <c r="U540" s="125"/>
      <c r="V540" s="125"/>
      <c r="W540" s="128"/>
      <c r="X540" s="128"/>
      <c r="Y540" s="128"/>
      <c r="Z540" s="128"/>
      <c r="AA540" s="125"/>
      <c r="AB540" s="128"/>
      <c r="AC540" s="118"/>
      <c r="AD540" s="118"/>
      <c r="AE540" s="119"/>
      <c r="AF540" s="119"/>
      <c r="AG540" s="119"/>
      <c r="AH540" s="119"/>
      <c r="AI540" s="169"/>
      <c r="AJ540" s="168"/>
      <c r="AK540" s="168"/>
      <c r="AL540" s="168"/>
      <c r="AM540" s="168"/>
      <c r="AN540" s="168"/>
      <c r="AO540" s="168"/>
      <c r="AP540" s="204"/>
      <c r="AQ540" s="158"/>
      <c r="AR540" s="158"/>
      <c r="AS540" s="158"/>
      <c r="AT540" s="158"/>
      <c r="AU540" s="158"/>
      <c r="AV540" s="158"/>
      <c r="AW540" s="158"/>
      <c r="AX540" s="158"/>
      <c r="AY540" s="158"/>
      <c r="AZ540" s="158"/>
      <c r="BA540" s="158"/>
    </row>
    <row r="541" spans="1:53" x14ac:dyDescent="0.25">
      <c r="E541" s="116"/>
      <c r="F541" s="117"/>
      <c r="G541" s="117"/>
      <c r="H541" s="117"/>
      <c r="I541" s="154"/>
      <c r="J541" s="120"/>
      <c r="K541" s="155"/>
      <c r="L541" s="155"/>
      <c r="M541" s="118"/>
      <c r="N541" s="119"/>
      <c r="O541" s="118"/>
      <c r="P541" s="119"/>
      <c r="Q541" s="119"/>
      <c r="R541" s="119"/>
      <c r="S541" s="119"/>
      <c r="T541" s="119"/>
      <c r="U541" s="118"/>
      <c r="V541" s="118"/>
      <c r="W541" s="118"/>
      <c r="X541" s="118"/>
      <c r="Y541" s="118"/>
      <c r="Z541" s="131"/>
      <c r="AA541" s="118"/>
      <c r="AB541" s="131"/>
      <c r="AC541" s="118"/>
      <c r="AD541" s="118"/>
      <c r="AE541" s="119"/>
      <c r="AF541" s="119"/>
      <c r="AG541" s="119"/>
      <c r="AH541" s="119"/>
      <c r="AI541" s="167"/>
      <c r="AJ541" s="168"/>
      <c r="AK541" s="168"/>
      <c r="AL541" s="168"/>
      <c r="AM541" s="168"/>
      <c r="AN541" s="168"/>
      <c r="AO541" s="168"/>
    </row>
    <row r="542" spans="1:53" s="159" customFormat="1" x14ac:dyDescent="0.25">
      <c r="A542" s="121"/>
      <c r="B542" s="121"/>
      <c r="C542" s="121"/>
      <c r="D542" s="121"/>
      <c r="E542" s="122"/>
      <c r="F542" s="123"/>
      <c r="G542" s="123"/>
      <c r="H542" s="123"/>
      <c r="I542" s="156"/>
      <c r="J542" s="129"/>
      <c r="K542" s="157"/>
      <c r="L542" s="157"/>
      <c r="M542" s="125"/>
      <c r="N542" s="126"/>
      <c r="O542" s="125"/>
      <c r="P542" s="126"/>
      <c r="Q542" s="126"/>
      <c r="R542" s="126"/>
      <c r="S542" s="126"/>
      <c r="T542" s="126"/>
      <c r="U542" s="125"/>
      <c r="V542" s="125"/>
      <c r="W542" s="128"/>
      <c r="X542" s="128"/>
      <c r="Y542" s="128"/>
      <c r="Z542" s="128"/>
      <c r="AA542" s="125"/>
      <c r="AB542" s="128"/>
      <c r="AC542" s="118"/>
      <c r="AD542" s="118"/>
      <c r="AE542" s="119"/>
      <c r="AF542" s="119"/>
      <c r="AG542" s="119"/>
      <c r="AH542" s="119"/>
      <c r="AI542" s="169"/>
      <c r="AJ542" s="168"/>
      <c r="AK542" s="168"/>
      <c r="AL542" s="168"/>
      <c r="AM542" s="168"/>
      <c r="AN542" s="168"/>
      <c r="AO542" s="168"/>
      <c r="AP542" s="204"/>
      <c r="AQ542" s="158"/>
      <c r="AR542" s="158"/>
      <c r="AS542" s="158"/>
      <c r="AT542" s="158"/>
      <c r="AU542" s="158"/>
      <c r="AV542" s="158"/>
      <c r="AW542" s="158"/>
      <c r="AX542" s="158"/>
      <c r="AY542" s="158"/>
      <c r="AZ542" s="158"/>
      <c r="BA542" s="158"/>
    </row>
    <row r="543" spans="1:53" x14ac:dyDescent="0.25">
      <c r="E543" s="116"/>
      <c r="F543" s="117"/>
      <c r="G543" s="117"/>
      <c r="H543" s="117"/>
      <c r="I543" s="154"/>
      <c r="J543" s="120"/>
      <c r="K543" s="155"/>
      <c r="L543" s="155"/>
      <c r="M543" s="118"/>
      <c r="N543" s="119"/>
      <c r="O543" s="118"/>
      <c r="P543" s="119"/>
      <c r="Q543" s="119"/>
      <c r="R543" s="119"/>
      <c r="S543" s="119"/>
      <c r="T543" s="119"/>
      <c r="U543" s="118"/>
      <c r="V543" s="118"/>
      <c r="W543" s="118"/>
      <c r="X543" s="118"/>
      <c r="Y543" s="118"/>
      <c r="Z543" s="131"/>
      <c r="AA543" s="118"/>
      <c r="AB543" s="131"/>
      <c r="AC543" s="118"/>
      <c r="AD543" s="118"/>
      <c r="AE543" s="119"/>
      <c r="AF543" s="119"/>
      <c r="AG543" s="119"/>
      <c r="AH543" s="119"/>
      <c r="AI543" s="167"/>
      <c r="AJ543" s="168"/>
      <c r="AK543" s="168"/>
      <c r="AL543" s="168"/>
      <c r="AM543" s="168"/>
      <c r="AN543" s="168"/>
      <c r="AO543" s="168"/>
    </row>
    <row r="544" spans="1:53" s="159" customFormat="1" x14ac:dyDescent="0.25">
      <c r="A544" s="121"/>
      <c r="B544" s="121"/>
      <c r="C544" s="121"/>
      <c r="D544" s="121"/>
      <c r="E544" s="122"/>
      <c r="F544" s="123"/>
      <c r="G544" s="123"/>
      <c r="H544" s="123"/>
      <c r="I544" s="156"/>
      <c r="J544" s="129"/>
      <c r="K544" s="157"/>
      <c r="L544" s="157"/>
      <c r="M544" s="125"/>
      <c r="N544" s="126"/>
      <c r="O544" s="125"/>
      <c r="P544" s="126"/>
      <c r="Q544" s="126"/>
      <c r="R544" s="126"/>
      <c r="S544" s="126"/>
      <c r="T544" s="126"/>
      <c r="U544" s="125"/>
      <c r="V544" s="125"/>
      <c r="W544" s="128"/>
      <c r="X544" s="128"/>
      <c r="Y544" s="128"/>
      <c r="Z544" s="128"/>
      <c r="AA544" s="125"/>
      <c r="AB544" s="128"/>
      <c r="AC544" s="118"/>
      <c r="AD544" s="118"/>
      <c r="AE544" s="119"/>
      <c r="AF544" s="119"/>
      <c r="AG544" s="119"/>
      <c r="AH544" s="119"/>
      <c r="AI544" s="169"/>
      <c r="AJ544" s="168"/>
      <c r="AK544" s="168"/>
      <c r="AL544" s="168"/>
      <c r="AM544" s="168"/>
      <c r="AN544" s="168"/>
      <c r="AO544" s="168"/>
      <c r="AP544" s="204"/>
      <c r="AQ544" s="158"/>
      <c r="AR544" s="158"/>
      <c r="AS544" s="158"/>
      <c r="AT544" s="158"/>
      <c r="AU544" s="158"/>
      <c r="AV544" s="158"/>
      <c r="AW544" s="158"/>
      <c r="AX544" s="158"/>
      <c r="AY544" s="158"/>
      <c r="AZ544" s="158"/>
      <c r="BA544" s="158"/>
    </row>
    <row r="545" spans="1:53" x14ac:dyDescent="0.25">
      <c r="E545" s="116"/>
      <c r="F545" s="117"/>
      <c r="G545" s="117"/>
      <c r="H545" s="117"/>
      <c r="I545" s="154"/>
      <c r="J545" s="120"/>
      <c r="K545" s="155"/>
      <c r="L545" s="155"/>
      <c r="M545" s="118"/>
      <c r="N545" s="119"/>
      <c r="O545" s="118"/>
      <c r="P545" s="119"/>
      <c r="Q545" s="119"/>
      <c r="R545" s="119"/>
      <c r="S545" s="119"/>
      <c r="T545" s="119"/>
      <c r="U545" s="118"/>
      <c r="V545" s="118"/>
      <c r="W545" s="118"/>
      <c r="X545" s="118"/>
      <c r="Y545" s="118"/>
      <c r="Z545" s="131"/>
      <c r="AA545" s="118"/>
      <c r="AB545" s="131"/>
      <c r="AC545" s="118"/>
      <c r="AD545" s="118"/>
      <c r="AE545" s="119"/>
      <c r="AF545" s="119"/>
      <c r="AG545" s="119"/>
      <c r="AH545" s="119"/>
      <c r="AI545" s="167"/>
      <c r="AJ545" s="168"/>
      <c r="AK545" s="168"/>
      <c r="AL545" s="168"/>
      <c r="AM545" s="168"/>
      <c r="AN545" s="168"/>
      <c r="AO545" s="168"/>
    </row>
    <row r="546" spans="1:53" s="159" customFormat="1" x14ac:dyDescent="0.25">
      <c r="A546" s="121"/>
      <c r="B546" s="121"/>
      <c r="C546" s="121"/>
      <c r="D546" s="121"/>
      <c r="E546" s="122"/>
      <c r="F546" s="123"/>
      <c r="G546" s="123"/>
      <c r="H546" s="123"/>
      <c r="I546" s="156"/>
      <c r="J546" s="129"/>
      <c r="K546" s="157"/>
      <c r="L546" s="157"/>
      <c r="M546" s="125"/>
      <c r="N546" s="126"/>
      <c r="O546" s="125"/>
      <c r="P546" s="126"/>
      <c r="Q546" s="126"/>
      <c r="R546" s="126"/>
      <c r="S546" s="126"/>
      <c r="T546" s="126"/>
      <c r="U546" s="125"/>
      <c r="V546" s="125"/>
      <c r="W546" s="128"/>
      <c r="X546" s="128"/>
      <c r="Y546" s="128"/>
      <c r="Z546" s="128"/>
      <c r="AA546" s="125"/>
      <c r="AB546" s="128"/>
      <c r="AC546" s="118"/>
      <c r="AD546" s="118"/>
      <c r="AE546" s="119"/>
      <c r="AF546" s="119"/>
      <c r="AG546" s="119"/>
      <c r="AH546" s="119"/>
      <c r="AI546" s="169"/>
      <c r="AJ546" s="168"/>
      <c r="AK546" s="168"/>
      <c r="AL546" s="168"/>
      <c r="AM546" s="168"/>
      <c r="AN546" s="168"/>
      <c r="AO546" s="168"/>
      <c r="AP546" s="204"/>
      <c r="AQ546" s="158"/>
      <c r="AR546" s="158"/>
      <c r="AS546" s="158"/>
      <c r="AT546" s="158"/>
      <c r="AU546" s="158"/>
      <c r="AV546" s="158"/>
      <c r="AW546" s="158"/>
      <c r="AX546" s="158"/>
      <c r="AY546" s="158"/>
      <c r="AZ546" s="158"/>
      <c r="BA546" s="158"/>
    </row>
    <row r="547" spans="1:53" x14ac:dyDescent="0.25">
      <c r="E547" s="116"/>
      <c r="F547" s="117"/>
      <c r="G547" s="117"/>
      <c r="H547" s="117"/>
      <c r="I547" s="154"/>
      <c r="J547" s="120"/>
      <c r="K547" s="155"/>
      <c r="L547" s="155"/>
      <c r="M547" s="118"/>
      <c r="N547" s="119"/>
      <c r="O547" s="118"/>
      <c r="P547" s="119"/>
      <c r="Q547" s="119"/>
      <c r="R547" s="119"/>
      <c r="S547" s="119"/>
      <c r="T547" s="119"/>
      <c r="U547" s="118"/>
      <c r="V547" s="118"/>
      <c r="W547" s="118"/>
      <c r="X547" s="118"/>
      <c r="Y547" s="118"/>
      <c r="Z547" s="131"/>
      <c r="AA547" s="118"/>
      <c r="AB547" s="131"/>
      <c r="AC547" s="118"/>
      <c r="AD547" s="118"/>
      <c r="AE547" s="119"/>
      <c r="AF547" s="119"/>
      <c r="AG547" s="119"/>
      <c r="AH547" s="119"/>
      <c r="AI547" s="167"/>
      <c r="AJ547" s="168"/>
      <c r="AK547" s="168"/>
      <c r="AL547" s="168"/>
      <c r="AM547" s="168"/>
      <c r="AN547" s="168"/>
      <c r="AO547" s="168"/>
    </row>
    <row r="548" spans="1:53" s="159" customFormat="1" x14ac:dyDescent="0.25">
      <c r="A548" s="121"/>
      <c r="B548" s="121"/>
      <c r="C548" s="121"/>
      <c r="D548" s="121"/>
      <c r="E548" s="122"/>
      <c r="F548" s="123"/>
      <c r="G548" s="123"/>
      <c r="H548" s="123"/>
      <c r="I548" s="156"/>
      <c r="J548" s="129"/>
      <c r="K548" s="157"/>
      <c r="L548" s="157"/>
      <c r="M548" s="125"/>
      <c r="N548" s="126"/>
      <c r="O548" s="125"/>
      <c r="P548" s="126"/>
      <c r="Q548" s="126"/>
      <c r="R548" s="126"/>
      <c r="S548" s="126"/>
      <c r="T548" s="126"/>
      <c r="U548" s="125"/>
      <c r="V548" s="125"/>
      <c r="W548" s="128"/>
      <c r="X548" s="128"/>
      <c r="Y548" s="128"/>
      <c r="Z548" s="128"/>
      <c r="AA548" s="125"/>
      <c r="AB548" s="128"/>
      <c r="AC548" s="118"/>
      <c r="AD548" s="118"/>
      <c r="AE548" s="119"/>
      <c r="AF548" s="119"/>
      <c r="AG548" s="119"/>
      <c r="AH548" s="119"/>
      <c r="AI548" s="169"/>
      <c r="AJ548" s="168"/>
      <c r="AK548" s="168"/>
      <c r="AL548" s="168"/>
      <c r="AM548" s="168"/>
      <c r="AN548" s="168"/>
      <c r="AO548" s="168"/>
      <c r="AP548" s="204"/>
      <c r="AQ548" s="158"/>
      <c r="AR548" s="158"/>
      <c r="AS548" s="158"/>
      <c r="AT548" s="158"/>
      <c r="AU548" s="158"/>
      <c r="AV548" s="158"/>
      <c r="AW548" s="158"/>
      <c r="AX548" s="158"/>
      <c r="AY548" s="158"/>
      <c r="AZ548" s="158"/>
      <c r="BA548" s="158"/>
    </row>
    <row r="549" spans="1:53" x14ac:dyDescent="0.25">
      <c r="E549" s="116"/>
      <c r="F549" s="117"/>
      <c r="G549" s="117"/>
      <c r="H549" s="117"/>
      <c r="I549" s="154"/>
      <c r="J549" s="120"/>
      <c r="K549" s="155"/>
      <c r="L549" s="155"/>
      <c r="M549" s="118"/>
      <c r="N549" s="119"/>
      <c r="O549" s="118"/>
      <c r="P549" s="119"/>
      <c r="Q549" s="119"/>
      <c r="R549" s="119"/>
      <c r="S549" s="119"/>
      <c r="T549" s="119"/>
      <c r="U549" s="118"/>
      <c r="V549" s="118"/>
      <c r="W549" s="118"/>
      <c r="X549" s="118"/>
      <c r="Y549" s="118"/>
      <c r="Z549" s="131"/>
      <c r="AA549" s="118"/>
      <c r="AB549" s="131"/>
      <c r="AC549" s="118"/>
      <c r="AD549" s="118"/>
      <c r="AE549" s="119"/>
      <c r="AF549" s="119"/>
      <c r="AG549" s="119"/>
      <c r="AH549" s="119"/>
      <c r="AI549" s="167"/>
      <c r="AJ549" s="168"/>
      <c r="AK549" s="168"/>
      <c r="AL549" s="168"/>
      <c r="AM549" s="168"/>
      <c r="AN549" s="168"/>
      <c r="AO549" s="168"/>
    </row>
    <row r="550" spans="1:53" s="159" customFormat="1" x14ac:dyDescent="0.25">
      <c r="A550" s="121"/>
      <c r="B550" s="121"/>
      <c r="C550" s="121"/>
      <c r="D550" s="121"/>
      <c r="E550" s="122"/>
      <c r="F550" s="123"/>
      <c r="G550" s="123"/>
      <c r="H550" s="123"/>
      <c r="I550" s="156"/>
      <c r="J550" s="129"/>
      <c r="K550" s="157"/>
      <c r="L550" s="157"/>
      <c r="M550" s="125"/>
      <c r="N550" s="126"/>
      <c r="O550" s="125"/>
      <c r="P550" s="126"/>
      <c r="Q550" s="126"/>
      <c r="R550" s="126"/>
      <c r="S550" s="126"/>
      <c r="T550" s="126"/>
      <c r="U550" s="125"/>
      <c r="V550" s="125"/>
      <c r="W550" s="128"/>
      <c r="X550" s="128"/>
      <c r="Y550" s="128"/>
      <c r="Z550" s="128"/>
      <c r="AA550" s="125"/>
      <c r="AB550" s="128"/>
      <c r="AC550" s="118"/>
      <c r="AD550" s="118"/>
      <c r="AE550" s="119"/>
      <c r="AF550" s="119"/>
      <c r="AG550" s="119"/>
      <c r="AH550" s="119"/>
      <c r="AI550" s="169"/>
      <c r="AJ550" s="168"/>
      <c r="AK550" s="168"/>
      <c r="AL550" s="168"/>
      <c r="AM550" s="168"/>
      <c r="AN550" s="168"/>
      <c r="AO550" s="168"/>
      <c r="AP550" s="204"/>
      <c r="AQ550" s="158"/>
      <c r="AR550" s="158"/>
      <c r="AS550" s="158"/>
      <c r="AT550" s="158"/>
      <c r="AU550" s="158"/>
      <c r="AV550" s="158"/>
      <c r="AW550" s="158"/>
      <c r="AX550" s="158"/>
      <c r="AY550" s="158"/>
      <c r="AZ550" s="158"/>
      <c r="BA550" s="158"/>
    </row>
    <row r="551" spans="1:53" x14ac:dyDescent="0.25">
      <c r="E551" s="116"/>
      <c r="F551" s="117"/>
      <c r="G551" s="117"/>
      <c r="H551" s="117"/>
      <c r="I551" s="154"/>
      <c r="J551" s="120"/>
      <c r="K551" s="155"/>
      <c r="L551" s="155"/>
      <c r="M551" s="118"/>
      <c r="N551" s="119"/>
      <c r="O551" s="118"/>
      <c r="P551" s="119"/>
      <c r="Q551" s="119"/>
      <c r="R551" s="119"/>
      <c r="S551" s="119"/>
      <c r="T551" s="119"/>
      <c r="U551" s="118"/>
      <c r="V551" s="118"/>
      <c r="W551" s="118"/>
      <c r="X551" s="118"/>
      <c r="Y551" s="118"/>
      <c r="Z551" s="131"/>
      <c r="AA551" s="118"/>
      <c r="AB551" s="131"/>
      <c r="AC551" s="118"/>
      <c r="AD551" s="118"/>
      <c r="AE551" s="119"/>
      <c r="AF551" s="119"/>
      <c r="AG551" s="119"/>
      <c r="AH551" s="119"/>
      <c r="AI551" s="167"/>
      <c r="AJ551" s="168"/>
      <c r="AK551" s="168"/>
      <c r="AL551" s="168"/>
      <c r="AM551" s="168"/>
      <c r="AN551" s="168"/>
      <c r="AO551" s="168"/>
    </row>
    <row r="552" spans="1:53" s="159" customFormat="1" x14ac:dyDescent="0.25">
      <c r="A552" s="121"/>
      <c r="B552" s="121"/>
      <c r="C552" s="121"/>
      <c r="D552" s="121"/>
      <c r="E552" s="122"/>
      <c r="F552" s="123"/>
      <c r="G552" s="123"/>
      <c r="H552" s="123"/>
      <c r="I552" s="156"/>
      <c r="J552" s="129"/>
      <c r="K552" s="157"/>
      <c r="L552" s="157"/>
      <c r="M552" s="125"/>
      <c r="N552" s="126"/>
      <c r="O552" s="125"/>
      <c r="P552" s="126"/>
      <c r="Q552" s="126"/>
      <c r="R552" s="126"/>
      <c r="S552" s="126"/>
      <c r="T552" s="126"/>
      <c r="U552" s="125"/>
      <c r="V552" s="125"/>
      <c r="W552" s="128"/>
      <c r="X552" s="128"/>
      <c r="Y552" s="128"/>
      <c r="Z552" s="128"/>
      <c r="AA552" s="125"/>
      <c r="AB552" s="128"/>
      <c r="AC552" s="118"/>
      <c r="AD552" s="118"/>
      <c r="AE552" s="119"/>
      <c r="AF552" s="119"/>
      <c r="AG552" s="119"/>
      <c r="AH552" s="119"/>
      <c r="AI552" s="169"/>
      <c r="AJ552" s="168"/>
      <c r="AK552" s="168"/>
      <c r="AL552" s="168"/>
      <c r="AM552" s="168"/>
      <c r="AN552" s="168"/>
      <c r="AO552" s="168"/>
      <c r="AP552" s="204"/>
      <c r="AQ552" s="158"/>
      <c r="AR552" s="158"/>
      <c r="AS552" s="158"/>
      <c r="AT552" s="158"/>
      <c r="AU552" s="158"/>
      <c r="AV552" s="158"/>
      <c r="AW552" s="158"/>
      <c r="AX552" s="158"/>
      <c r="AY552" s="158"/>
      <c r="AZ552" s="158"/>
      <c r="BA552" s="158"/>
    </row>
    <row r="553" spans="1:53" x14ac:dyDescent="0.25">
      <c r="E553" s="116"/>
      <c r="F553" s="117"/>
      <c r="G553" s="117"/>
      <c r="H553" s="117"/>
      <c r="I553" s="154"/>
      <c r="J553" s="120"/>
      <c r="K553" s="155"/>
      <c r="L553" s="155"/>
      <c r="M553" s="118"/>
      <c r="N553" s="119"/>
      <c r="O553" s="118"/>
      <c r="P553" s="119"/>
      <c r="Q553" s="119"/>
      <c r="R553" s="119"/>
      <c r="S553" s="119"/>
      <c r="T553" s="119"/>
      <c r="U553" s="118"/>
      <c r="V553" s="118"/>
      <c r="W553" s="118"/>
      <c r="X553" s="118"/>
      <c r="Y553" s="118"/>
      <c r="Z553" s="131"/>
      <c r="AA553" s="118"/>
      <c r="AB553" s="131"/>
      <c r="AC553" s="118"/>
      <c r="AD553" s="118"/>
      <c r="AE553" s="119"/>
      <c r="AF553" s="119"/>
      <c r="AG553" s="119"/>
      <c r="AH553" s="119"/>
      <c r="AI553" s="167"/>
      <c r="AJ553" s="168"/>
      <c r="AK553" s="168"/>
      <c r="AL553" s="168"/>
      <c r="AM553" s="168"/>
      <c r="AN553" s="168"/>
      <c r="AO553" s="168"/>
    </row>
    <row r="554" spans="1:53" s="159" customFormat="1" x14ac:dyDescent="0.25">
      <c r="A554" s="121"/>
      <c r="B554" s="121"/>
      <c r="C554" s="121"/>
      <c r="D554" s="121"/>
      <c r="E554" s="122"/>
      <c r="F554" s="123"/>
      <c r="G554" s="123"/>
      <c r="H554" s="123"/>
      <c r="I554" s="156"/>
      <c r="J554" s="129"/>
      <c r="K554" s="157"/>
      <c r="L554" s="157"/>
      <c r="M554" s="125"/>
      <c r="N554" s="126"/>
      <c r="O554" s="125"/>
      <c r="P554" s="126"/>
      <c r="Q554" s="126"/>
      <c r="R554" s="126"/>
      <c r="S554" s="126"/>
      <c r="T554" s="126"/>
      <c r="U554" s="125"/>
      <c r="V554" s="125"/>
      <c r="W554" s="128"/>
      <c r="X554" s="128"/>
      <c r="Y554" s="128"/>
      <c r="Z554" s="128"/>
      <c r="AA554" s="125"/>
      <c r="AB554" s="128"/>
      <c r="AC554" s="118"/>
      <c r="AD554" s="118"/>
      <c r="AE554" s="119"/>
      <c r="AF554" s="119"/>
      <c r="AG554" s="119"/>
      <c r="AH554" s="119"/>
      <c r="AI554" s="169"/>
      <c r="AJ554" s="168"/>
      <c r="AK554" s="168"/>
      <c r="AL554" s="168"/>
      <c r="AM554" s="168"/>
      <c r="AN554" s="168"/>
      <c r="AO554" s="168"/>
      <c r="AP554" s="204"/>
      <c r="AQ554" s="158"/>
      <c r="AR554" s="158"/>
      <c r="AS554" s="158"/>
      <c r="AT554" s="158"/>
      <c r="AU554" s="158"/>
      <c r="AV554" s="158"/>
      <c r="AW554" s="158"/>
      <c r="AX554" s="158"/>
      <c r="AY554" s="158"/>
      <c r="AZ554" s="158"/>
      <c r="BA554" s="158"/>
    </row>
    <row r="555" spans="1:53" x14ac:dyDescent="0.25">
      <c r="E555" s="116"/>
      <c r="F555" s="117"/>
      <c r="G555" s="117"/>
      <c r="H555" s="117"/>
      <c r="I555" s="154"/>
      <c r="J555" s="120"/>
      <c r="K555" s="155"/>
      <c r="L555" s="155"/>
      <c r="M555" s="118"/>
      <c r="N555" s="119"/>
      <c r="O555" s="118"/>
      <c r="P555" s="119"/>
      <c r="Q555" s="119"/>
      <c r="R555" s="119"/>
      <c r="S555" s="119"/>
      <c r="T555" s="119"/>
      <c r="U555" s="118"/>
      <c r="V555" s="118"/>
      <c r="W555" s="118"/>
      <c r="X555" s="118"/>
      <c r="Y555" s="118"/>
      <c r="Z555" s="131"/>
      <c r="AA555" s="118"/>
      <c r="AB555" s="131"/>
      <c r="AC555" s="118"/>
      <c r="AD555" s="118"/>
      <c r="AE555" s="119"/>
      <c r="AF555" s="119"/>
      <c r="AG555" s="119"/>
      <c r="AH555" s="119"/>
      <c r="AI555" s="167"/>
      <c r="AJ555" s="168"/>
      <c r="AK555" s="168"/>
      <c r="AL555" s="168"/>
      <c r="AM555" s="168"/>
      <c r="AN555" s="168"/>
      <c r="AO555" s="168"/>
    </row>
    <row r="556" spans="1:53" s="159" customFormat="1" x14ac:dyDescent="0.25">
      <c r="A556" s="121"/>
      <c r="B556" s="121"/>
      <c r="C556" s="121"/>
      <c r="D556" s="121"/>
      <c r="E556" s="122"/>
      <c r="F556" s="123"/>
      <c r="G556" s="123"/>
      <c r="H556" s="123"/>
      <c r="I556" s="156"/>
      <c r="J556" s="129"/>
      <c r="K556" s="157"/>
      <c r="L556" s="157"/>
      <c r="M556" s="125"/>
      <c r="N556" s="126"/>
      <c r="O556" s="125"/>
      <c r="P556" s="126"/>
      <c r="Q556" s="126"/>
      <c r="R556" s="126"/>
      <c r="S556" s="126"/>
      <c r="T556" s="126"/>
      <c r="U556" s="125"/>
      <c r="V556" s="125"/>
      <c r="W556" s="128"/>
      <c r="X556" s="128"/>
      <c r="Y556" s="128"/>
      <c r="Z556" s="128"/>
      <c r="AA556" s="125"/>
      <c r="AB556" s="128"/>
      <c r="AC556" s="118"/>
      <c r="AD556" s="118"/>
      <c r="AE556" s="119"/>
      <c r="AF556" s="119"/>
      <c r="AG556" s="119"/>
      <c r="AH556" s="119"/>
      <c r="AI556" s="169"/>
      <c r="AJ556" s="168"/>
      <c r="AK556" s="168"/>
      <c r="AL556" s="168"/>
      <c r="AM556" s="168"/>
      <c r="AN556" s="168"/>
      <c r="AO556" s="168"/>
      <c r="AP556" s="204"/>
      <c r="AQ556" s="158"/>
      <c r="AR556" s="158"/>
      <c r="AS556" s="158"/>
      <c r="AT556" s="158"/>
      <c r="AU556" s="158"/>
      <c r="AV556" s="158"/>
      <c r="AW556" s="158"/>
      <c r="AX556" s="158"/>
      <c r="AY556" s="158"/>
      <c r="AZ556" s="158"/>
      <c r="BA556" s="158"/>
    </row>
    <row r="557" spans="1:53" x14ac:dyDescent="0.25">
      <c r="E557" s="116"/>
      <c r="F557" s="117"/>
      <c r="G557" s="117"/>
      <c r="H557" s="117"/>
      <c r="I557" s="154"/>
      <c r="J557" s="120"/>
      <c r="K557" s="155"/>
      <c r="L557" s="155"/>
      <c r="M557" s="118"/>
      <c r="N557" s="119"/>
      <c r="O557" s="118"/>
      <c r="P557" s="119"/>
      <c r="Q557" s="119"/>
      <c r="R557" s="119"/>
      <c r="S557" s="119"/>
      <c r="T557" s="119"/>
      <c r="U557" s="118"/>
      <c r="V557" s="118"/>
      <c r="W557" s="118"/>
      <c r="X557" s="118"/>
      <c r="Y557" s="118"/>
      <c r="Z557" s="131"/>
      <c r="AA557" s="118"/>
      <c r="AB557" s="131"/>
      <c r="AC557" s="118"/>
      <c r="AD557" s="118"/>
      <c r="AE557" s="119"/>
      <c r="AF557" s="119"/>
      <c r="AG557" s="119"/>
      <c r="AH557" s="119"/>
      <c r="AI557" s="167"/>
      <c r="AJ557" s="168"/>
      <c r="AK557" s="168"/>
      <c r="AL557" s="168"/>
      <c r="AM557" s="168"/>
      <c r="AN557" s="168"/>
      <c r="AO557" s="168"/>
    </row>
    <row r="558" spans="1:53" s="159" customFormat="1" x14ac:dyDescent="0.25">
      <c r="A558" s="121"/>
      <c r="B558" s="121"/>
      <c r="C558" s="121"/>
      <c r="D558" s="121"/>
      <c r="E558" s="122"/>
      <c r="F558" s="123"/>
      <c r="G558" s="123"/>
      <c r="H558" s="123"/>
      <c r="I558" s="156"/>
      <c r="J558" s="129"/>
      <c r="K558" s="157"/>
      <c r="L558" s="157"/>
      <c r="M558" s="125"/>
      <c r="N558" s="126"/>
      <c r="O558" s="125"/>
      <c r="P558" s="126"/>
      <c r="Q558" s="126"/>
      <c r="R558" s="126"/>
      <c r="S558" s="126"/>
      <c r="T558" s="126"/>
      <c r="U558" s="125"/>
      <c r="V558" s="125"/>
      <c r="W558" s="128"/>
      <c r="X558" s="128"/>
      <c r="Y558" s="128"/>
      <c r="Z558" s="128"/>
      <c r="AA558" s="125"/>
      <c r="AB558" s="128"/>
      <c r="AC558" s="118"/>
      <c r="AD558" s="118"/>
      <c r="AE558" s="119"/>
      <c r="AF558" s="119"/>
      <c r="AG558" s="119"/>
      <c r="AH558" s="119"/>
      <c r="AI558" s="169"/>
      <c r="AJ558" s="168"/>
      <c r="AK558" s="168"/>
      <c r="AL558" s="168"/>
      <c r="AM558" s="168"/>
      <c r="AN558" s="168"/>
      <c r="AO558" s="168"/>
      <c r="AP558" s="204"/>
      <c r="AQ558" s="158"/>
      <c r="AR558" s="158"/>
      <c r="AS558" s="158"/>
      <c r="AT558" s="158"/>
      <c r="AU558" s="158"/>
      <c r="AV558" s="158"/>
      <c r="AW558" s="158"/>
      <c r="AX558" s="158"/>
      <c r="AY558" s="158"/>
      <c r="AZ558" s="158"/>
      <c r="BA558" s="158"/>
    </row>
    <row r="559" spans="1:53" x14ac:dyDescent="0.25">
      <c r="E559" s="116"/>
      <c r="F559" s="117"/>
      <c r="G559" s="117"/>
      <c r="H559" s="117"/>
      <c r="I559" s="154"/>
      <c r="J559" s="120"/>
      <c r="K559" s="155"/>
      <c r="L559" s="155"/>
      <c r="M559" s="118"/>
      <c r="N559" s="119"/>
      <c r="O559" s="118"/>
      <c r="P559" s="119"/>
      <c r="Q559" s="119"/>
      <c r="R559" s="119"/>
      <c r="S559" s="119"/>
      <c r="T559" s="119"/>
      <c r="U559" s="118"/>
      <c r="V559" s="118"/>
      <c r="W559" s="118"/>
      <c r="X559" s="118"/>
      <c r="Y559" s="118"/>
      <c r="Z559" s="131"/>
      <c r="AA559" s="118"/>
      <c r="AB559" s="131"/>
      <c r="AC559" s="118"/>
      <c r="AD559" s="118"/>
      <c r="AE559" s="119"/>
      <c r="AF559" s="119"/>
      <c r="AG559" s="119"/>
      <c r="AH559" s="119"/>
      <c r="AI559" s="167"/>
      <c r="AJ559" s="168"/>
      <c r="AK559" s="168"/>
      <c r="AL559" s="168"/>
      <c r="AM559" s="168"/>
      <c r="AN559" s="168"/>
      <c r="AO559" s="168"/>
    </row>
    <row r="560" spans="1:53" s="159" customFormat="1" x14ac:dyDescent="0.25">
      <c r="A560" s="121"/>
      <c r="B560" s="121"/>
      <c r="C560" s="121"/>
      <c r="D560" s="121"/>
      <c r="E560" s="122"/>
      <c r="F560" s="123"/>
      <c r="G560" s="123"/>
      <c r="H560" s="123"/>
      <c r="I560" s="156"/>
      <c r="J560" s="129"/>
      <c r="K560" s="157"/>
      <c r="L560" s="157"/>
      <c r="M560" s="125"/>
      <c r="N560" s="126"/>
      <c r="O560" s="125"/>
      <c r="P560" s="126"/>
      <c r="Q560" s="126"/>
      <c r="R560" s="126"/>
      <c r="S560" s="126"/>
      <c r="T560" s="126"/>
      <c r="U560" s="125"/>
      <c r="V560" s="125"/>
      <c r="W560" s="128"/>
      <c r="X560" s="128"/>
      <c r="Y560" s="128"/>
      <c r="Z560" s="128"/>
      <c r="AA560" s="125"/>
      <c r="AB560" s="128"/>
      <c r="AC560" s="118"/>
      <c r="AD560" s="118"/>
      <c r="AE560" s="119"/>
      <c r="AF560" s="119"/>
      <c r="AG560" s="119"/>
      <c r="AH560" s="119"/>
      <c r="AI560" s="169"/>
      <c r="AJ560" s="168"/>
      <c r="AK560" s="168"/>
      <c r="AL560" s="168"/>
      <c r="AM560" s="168"/>
      <c r="AN560" s="168"/>
      <c r="AO560" s="168"/>
      <c r="AP560" s="204"/>
      <c r="AQ560" s="158"/>
      <c r="AR560" s="158"/>
      <c r="AS560" s="158"/>
      <c r="AT560" s="158"/>
      <c r="AU560" s="158"/>
      <c r="AV560" s="158"/>
      <c r="AW560" s="158"/>
      <c r="AX560" s="158"/>
      <c r="AY560" s="158"/>
      <c r="AZ560" s="158"/>
      <c r="BA560" s="158"/>
    </row>
    <row r="561" spans="1:53" x14ac:dyDescent="0.25">
      <c r="E561" s="116"/>
      <c r="F561" s="117"/>
      <c r="G561" s="117"/>
      <c r="H561" s="117"/>
      <c r="I561" s="154"/>
      <c r="J561" s="120"/>
      <c r="K561" s="155"/>
      <c r="L561" s="155"/>
      <c r="M561" s="118"/>
      <c r="N561" s="119"/>
      <c r="O561" s="118"/>
      <c r="P561" s="119"/>
      <c r="Q561" s="119"/>
      <c r="R561" s="119"/>
      <c r="S561" s="119"/>
      <c r="T561" s="119"/>
      <c r="U561" s="118"/>
      <c r="V561" s="118"/>
      <c r="W561" s="118"/>
      <c r="X561" s="118"/>
      <c r="Y561" s="118"/>
      <c r="Z561" s="131"/>
      <c r="AA561" s="118"/>
      <c r="AB561" s="131"/>
      <c r="AC561" s="118"/>
      <c r="AD561" s="118"/>
      <c r="AE561" s="119"/>
      <c r="AF561" s="119"/>
      <c r="AG561" s="119"/>
      <c r="AH561" s="119"/>
      <c r="AI561" s="167"/>
      <c r="AJ561" s="168"/>
      <c r="AK561" s="168"/>
      <c r="AL561" s="168"/>
      <c r="AM561" s="168"/>
      <c r="AN561" s="168"/>
      <c r="AO561" s="168"/>
    </row>
    <row r="562" spans="1:53" s="159" customFormat="1" x14ac:dyDescent="0.25">
      <c r="A562" s="121"/>
      <c r="B562" s="121"/>
      <c r="C562" s="121"/>
      <c r="D562" s="121"/>
      <c r="E562" s="122"/>
      <c r="F562" s="123"/>
      <c r="G562" s="123"/>
      <c r="H562" s="123"/>
      <c r="I562" s="156"/>
      <c r="J562" s="129"/>
      <c r="K562" s="157"/>
      <c r="L562" s="157"/>
      <c r="M562" s="125"/>
      <c r="N562" s="126"/>
      <c r="O562" s="125"/>
      <c r="P562" s="126"/>
      <c r="Q562" s="126"/>
      <c r="R562" s="126"/>
      <c r="S562" s="126"/>
      <c r="T562" s="126"/>
      <c r="U562" s="125"/>
      <c r="V562" s="125"/>
      <c r="W562" s="128"/>
      <c r="X562" s="128"/>
      <c r="Y562" s="128"/>
      <c r="Z562" s="128"/>
      <c r="AA562" s="125"/>
      <c r="AB562" s="128"/>
      <c r="AC562" s="118"/>
      <c r="AD562" s="118"/>
      <c r="AE562" s="119"/>
      <c r="AF562" s="119"/>
      <c r="AG562" s="119"/>
      <c r="AH562" s="119"/>
      <c r="AI562" s="169"/>
      <c r="AJ562" s="168"/>
      <c r="AK562" s="168"/>
      <c r="AL562" s="168"/>
      <c r="AM562" s="168"/>
      <c r="AN562" s="168"/>
      <c r="AO562" s="168"/>
      <c r="AP562" s="204"/>
      <c r="AQ562" s="158"/>
      <c r="AR562" s="158"/>
      <c r="AS562" s="158"/>
      <c r="AT562" s="158"/>
      <c r="AU562" s="158"/>
      <c r="AV562" s="158"/>
      <c r="AW562" s="158"/>
      <c r="AX562" s="158"/>
      <c r="AY562" s="158"/>
      <c r="AZ562" s="158"/>
      <c r="BA562" s="158"/>
    </row>
    <row r="563" spans="1:53" x14ac:dyDescent="0.25">
      <c r="E563" s="116"/>
      <c r="F563" s="117"/>
      <c r="G563" s="117"/>
      <c r="H563" s="117"/>
      <c r="I563" s="154"/>
      <c r="J563" s="120"/>
      <c r="K563" s="155"/>
      <c r="L563" s="155"/>
      <c r="M563" s="118"/>
      <c r="N563" s="119"/>
      <c r="O563" s="118"/>
      <c r="P563" s="119"/>
      <c r="Q563" s="119"/>
      <c r="R563" s="119"/>
      <c r="S563" s="119"/>
      <c r="T563" s="119"/>
      <c r="U563" s="118"/>
      <c r="V563" s="118"/>
      <c r="W563" s="118"/>
      <c r="X563" s="118"/>
      <c r="Y563" s="118"/>
      <c r="Z563" s="131"/>
      <c r="AA563" s="118"/>
      <c r="AB563" s="131"/>
      <c r="AC563" s="118"/>
      <c r="AD563" s="118"/>
      <c r="AE563" s="119"/>
      <c r="AF563" s="119"/>
      <c r="AG563" s="119"/>
      <c r="AH563" s="119"/>
      <c r="AI563" s="167"/>
      <c r="AJ563" s="168"/>
      <c r="AK563" s="168"/>
      <c r="AL563" s="168"/>
      <c r="AM563" s="168"/>
      <c r="AN563" s="168"/>
      <c r="AO563" s="168"/>
    </row>
    <row r="564" spans="1:53" s="159" customFormat="1" x14ac:dyDescent="0.25">
      <c r="A564" s="121"/>
      <c r="B564" s="121"/>
      <c r="C564" s="121"/>
      <c r="D564" s="121"/>
      <c r="E564" s="122"/>
      <c r="F564" s="123"/>
      <c r="G564" s="123"/>
      <c r="H564" s="123"/>
      <c r="I564" s="156"/>
      <c r="J564" s="129"/>
      <c r="K564" s="157"/>
      <c r="L564" s="157"/>
      <c r="M564" s="125"/>
      <c r="N564" s="126"/>
      <c r="O564" s="125"/>
      <c r="P564" s="126"/>
      <c r="Q564" s="126"/>
      <c r="R564" s="126"/>
      <c r="S564" s="126"/>
      <c r="T564" s="126"/>
      <c r="U564" s="125"/>
      <c r="V564" s="125"/>
      <c r="W564" s="128"/>
      <c r="X564" s="128"/>
      <c r="Y564" s="128"/>
      <c r="Z564" s="128"/>
      <c r="AA564" s="125"/>
      <c r="AB564" s="128"/>
      <c r="AC564" s="118"/>
      <c r="AD564" s="118"/>
      <c r="AE564" s="119"/>
      <c r="AF564" s="119"/>
      <c r="AG564" s="119"/>
      <c r="AH564" s="119"/>
      <c r="AI564" s="169"/>
      <c r="AJ564" s="168"/>
      <c r="AK564" s="168"/>
      <c r="AL564" s="168"/>
      <c r="AM564" s="168"/>
      <c r="AN564" s="168"/>
      <c r="AO564" s="168"/>
      <c r="AP564" s="204"/>
      <c r="AQ564" s="158"/>
      <c r="AR564" s="158"/>
      <c r="AS564" s="158"/>
      <c r="AT564" s="158"/>
      <c r="AU564" s="158"/>
      <c r="AV564" s="158"/>
      <c r="AW564" s="158"/>
      <c r="AX564" s="158"/>
      <c r="AY564" s="158"/>
      <c r="AZ564" s="158"/>
      <c r="BA564" s="158"/>
    </row>
    <row r="565" spans="1:53" x14ac:dyDescent="0.25">
      <c r="E565" s="116"/>
      <c r="F565" s="117"/>
      <c r="G565" s="117"/>
      <c r="H565" s="117"/>
      <c r="I565" s="154"/>
      <c r="J565" s="120"/>
      <c r="K565" s="155"/>
      <c r="L565" s="155"/>
      <c r="M565" s="118"/>
      <c r="N565" s="119"/>
      <c r="O565" s="118"/>
      <c r="P565" s="119"/>
      <c r="Q565" s="119"/>
      <c r="R565" s="119"/>
      <c r="S565" s="119"/>
      <c r="T565" s="119"/>
      <c r="U565" s="118"/>
      <c r="V565" s="118"/>
      <c r="W565" s="118"/>
      <c r="X565" s="118"/>
      <c r="Y565" s="118"/>
      <c r="Z565" s="131"/>
      <c r="AA565" s="118"/>
      <c r="AB565" s="131"/>
      <c r="AC565" s="118"/>
      <c r="AD565" s="118"/>
      <c r="AE565" s="119"/>
      <c r="AF565" s="119"/>
      <c r="AG565" s="119"/>
      <c r="AH565" s="119"/>
      <c r="AI565" s="167"/>
      <c r="AJ565" s="168"/>
      <c r="AK565" s="168"/>
      <c r="AL565" s="168"/>
      <c r="AM565" s="168"/>
      <c r="AN565" s="168"/>
      <c r="AO565" s="168"/>
    </row>
    <row r="566" spans="1:53" s="159" customFormat="1" x14ac:dyDescent="0.25">
      <c r="A566" s="121"/>
      <c r="B566" s="121"/>
      <c r="C566" s="121"/>
      <c r="D566" s="121"/>
      <c r="E566" s="122"/>
      <c r="F566" s="123"/>
      <c r="G566" s="123"/>
      <c r="H566" s="123"/>
      <c r="I566" s="156"/>
      <c r="J566" s="129"/>
      <c r="K566" s="157"/>
      <c r="L566" s="157"/>
      <c r="M566" s="125"/>
      <c r="N566" s="126"/>
      <c r="O566" s="125"/>
      <c r="P566" s="126"/>
      <c r="Q566" s="126"/>
      <c r="R566" s="126"/>
      <c r="S566" s="126"/>
      <c r="T566" s="126"/>
      <c r="U566" s="125"/>
      <c r="V566" s="125"/>
      <c r="W566" s="128"/>
      <c r="X566" s="128"/>
      <c r="Y566" s="128"/>
      <c r="Z566" s="128"/>
      <c r="AA566" s="125"/>
      <c r="AB566" s="128"/>
      <c r="AC566" s="118"/>
      <c r="AD566" s="118"/>
      <c r="AE566" s="119"/>
      <c r="AF566" s="119"/>
      <c r="AG566" s="119"/>
      <c r="AH566" s="119"/>
      <c r="AI566" s="169"/>
      <c r="AJ566" s="168"/>
      <c r="AK566" s="168"/>
      <c r="AL566" s="168"/>
      <c r="AM566" s="168"/>
      <c r="AN566" s="168"/>
      <c r="AO566" s="168"/>
      <c r="AP566" s="204"/>
      <c r="AQ566" s="158"/>
      <c r="AR566" s="158"/>
      <c r="AS566" s="158"/>
      <c r="AT566" s="158"/>
      <c r="AU566" s="158"/>
      <c r="AV566" s="158"/>
      <c r="AW566" s="158"/>
      <c r="AX566" s="158"/>
      <c r="AY566" s="158"/>
      <c r="AZ566" s="158"/>
      <c r="BA566" s="158"/>
    </row>
    <row r="567" spans="1:53" x14ac:dyDescent="0.25">
      <c r="E567" s="116"/>
      <c r="F567" s="117"/>
      <c r="G567" s="117"/>
      <c r="H567" s="117"/>
      <c r="I567" s="154"/>
      <c r="J567" s="120"/>
      <c r="K567" s="155"/>
      <c r="L567" s="155"/>
      <c r="M567" s="118"/>
      <c r="N567" s="119"/>
      <c r="O567" s="118"/>
      <c r="P567" s="119"/>
      <c r="Q567" s="119"/>
      <c r="R567" s="119"/>
      <c r="S567" s="119"/>
      <c r="T567" s="119"/>
      <c r="U567" s="118"/>
      <c r="V567" s="118"/>
      <c r="W567" s="118"/>
      <c r="X567" s="118"/>
      <c r="Y567" s="118"/>
      <c r="Z567" s="131"/>
      <c r="AA567" s="118"/>
      <c r="AB567" s="131"/>
      <c r="AC567" s="118"/>
      <c r="AD567" s="118"/>
      <c r="AE567" s="119"/>
      <c r="AF567" s="119"/>
      <c r="AG567" s="119"/>
      <c r="AH567" s="119"/>
      <c r="AI567" s="167"/>
      <c r="AJ567" s="168"/>
      <c r="AK567" s="168"/>
      <c r="AL567" s="168"/>
      <c r="AM567" s="168"/>
      <c r="AN567" s="168"/>
      <c r="AO567" s="168"/>
    </row>
    <row r="568" spans="1:53" s="159" customFormat="1" x14ac:dyDescent="0.25">
      <c r="A568" s="121"/>
      <c r="B568" s="121"/>
      <c r="C568" s="121"/>
      <c r="D568" s="121"/>
      <c r="E568" s="122"/>
      <c r="F568" s="123"/>
      <c r="G568" s="123"/>
      <c r="H568" s="123"/>
      <c r="I568" s="156"/>
      <c r="J568" s="129"/>
      <c r="K568" s="157"/>
      <c r="L568" s="157"/>
      <c r="M568" s="125"/>
      <c r="N568" s="126"/>
      <c r="O568" s="125"/>
      <c r="P568" s="126"/>
      <c r="Q568" s="126"/>
      <c r="R568" s="126"/>
      <c r="S568" s="126"/>
      <c r="T568" s="126"/>
      <c r="U568" s="125"/>
      <c r="V568" s="125"/>
      <c r="W568" s="128"/>
      <c r="X568" s="128"/>
      <c r="Y568" s="128"/>
      <c r="Z568" s="128"/>
      <c r="AA568" s="125"/>
      <c r="AB568" s="128"/>
      <c r="AC568" s="118"/>
      <c r="AD568" s="118"/>
      <c r="AE568" s="119"/>
      <c r="AF568" s="119"/>
      <c r="AG568" s="119"/>
      <c r="AH568" s="119"/>
      <c r="AI568" s="169"/>
      <c r="AJ568" s="168"/>
      <c r="AK568" s="168"/>
      <c r="AL568" s="168"/>
      <c r="AM568" s="168"/>
      <c r="AN568" s="168"/>
      <c r="AO568" s="168"/>
      <c r="AP568" s="204"/>
      <c r="AQ568" s="158"/>
      <c r="AR568" s="158"/>
      <c r="AS568" s="158"/>
      <c r="AT568" s="158"/>
      <c r="AU568" s="158"/>
      <c r="AV568" s="158"/>
      <c r="AW568" s="158"/>
      <c r="AX568" s="158"/>
      <c r="AY568" s="158"/>
      <c r="AZ568" s="158"/>
      <c r="BA568" s="158"/>
    </row>
    <row r="569" spans="1:53" x14ac:dyDescent="0.25">
      <c r="E569" s="116"/>
      <c r="F569" s="117"/>
      <c r="G569" s="117"/>
      <c r="H569" s="117"/>
      <c r="I569" s="154"/>
      <c r="J569" s="120"/>
      <c r="K569" s="155"/>
      <c r="L569" s="155"/>
      <c r="M569" s="118"/>
      <c r="N569" s="119"/>
      <c r="O569" s="118"/>
      <c r="P569" s="119"/>
      <c r="Q569" s="119"/>
      <c r="R569" s="119"/>
      <c r="S569" s="119"/>
      <c r="T569" s="119"/>
      <c r="U569" s="118"/>
      <c r="V569" s="118"/>
      <c r="W569" s="118"/>
      <c r="X569" s="118"/>
      <c r="Y569" s="118"/>
      <c r="Z569" s="131"/>
      <c r="AA569" s="118"/>
      <c r="AB569" s="131"/>
      <c r="AC569" s="118"/>
      <c r="AD569" s="118"/>
      <c r="AE569" s="119"/>
      <c r="AF569" s="119"/>
      <c r="AG569" s="119"/>
      <c r="AH569" s="119"/>
      <c r="AI569" s="167"/>
      <c r="AJ569" s="168"/>
      <c r="AK569" s="168"/>
      <c r="AL569" s="168"/>
      <c r="AM569" s="168"/>
      <c r="AN569" s="168"/>
      <c r="AO569" s="168"/>
    </row>
    <row r="570" spans="1:53" s="159" customFormat="1" x14ac:dyDescent="0.25">
      <c r="A570" s="121"/>
      <c r="B570" s="121"/>
      <c r="C570" s="121"/>
      <c r="D570" s="121"/>
      <c r="E570" s="122"/>
      <c r="F570" s="123"/>
      <c r="G570" s="123"/>
      <c r="H570" s="123"/>
      <c r="I570" s="156"/>
      <c r="J570" s="129"/>
      <c r="K570" s="157"/>
      <c r="L570" s="157"/>
      <c r="M570" s="125"/>
      <c r="N570" s="126"/>
      <c r="O570" s="125"/>
      <c r="P570" s="126"/>
      <c r="Q570" s="126"/>
      <c r="R570" s="126"/>
      <c r="S570" s="126"/>
      <c r="T570" s="126"/>
      <c r="U570" s="125"/>
      <c r="V570" s="125"/>
      <c r="W570" s="128"/>
      <c r="X570" s="128"/>
      <c r="Y570" s="128"/>
      <c r="Z570" s="128"/>
      <c r="AA570" s="125"/>
      <c r="AB570" s="128"/>
      <c r="AC570" s="118"/>
      <c r="AD570" s="118"/>
      <c r="AE570" s="119"/>
      <c r="AF570" s="119"/>
      <c r="AG570" s="119"/>
      <c r="AH570" s="119"/>
      <c r="AI570" s="169"/>
      <c r="AJ570" s="168"/>
      <c r="AK570" s="168"/>
      <c r="AL570" s="168"/>
      <c r="AM570" s="168"/>
      <c r="AN570" s="168"/>
      <c r="AO570" s="168"/>
      <c r="AP570" s="204"/>
      <c r="AQ570" s="158"/>
      <c r="AR570" s="158"/>
      <c r="AS570" s="158"/>
      <c r="AT570" s="158"/>
      <c r="AU570" s="158"/>
      <c r="AV570" s="158"/>
      <c r="AW570" s="158"/>
      <c r="AX570" s="158"/>
      <c r="AY570" s="158"/>
      <c r="AZ570" s="158"/>
      <c r="BA570" s="158"/>
    </row>
    <row r="571" spans="1:53" x14ac:dyDescent="0.25">
      <c r="E571" s="116"/>
      <c r="F571" s="117"/>
      <c r="G571" s="117"/>
      <c r="H571" s="117"/>
      <c r="I571" s="154"/>
      <c r="J571" s="120"/>
      <c r="K571" s="155"/>
      <c r="L571" s="155"/>
      <c r="M571" s="118"/>
      <c r="N571" s="119"/>
      <c r="O571" s="118"/>
      <c r="P571" s="119"/>
      <c r="Q571" s="119"/>
      <c r="R571" s="119"/>
      <c r="S571" s="119"/>
      <c r="T571" s="119"/>
      <c r="U571" s="118"/>
      <c r="V571" s="118"/>
      <c r="W571" s="118"/>
      <c r="X571" s="118"/>
      <c r="Y571" s="118"/>
      <c r="Z571" s="131"/>
      <c r="AA571" s="118"/>
      <c r="AB571" s="131"/>
      <c r="AC571" s="118"/>
      <c r="AD571" s="118"/>
      <c r="AE571" s="119"/>
      <c r="AF571" s="119"/>
      <c r="AG571" s="119"/>
      <c r="AH571" s="119"/>
      <c r="AI571" s="167"/>
      <c r="AJ571" s="168"/>
      <c r="AK571" s="168"/>
      <c r="AL571" s="168"/>
      <c r="AM571" s="168"/>
      <c r="AN571" s="168"/>
      <c r="AO571" s="168"/>
    </row>
    <row r="572" spans="1:53" s="159" customFormat="1" x14ac:dyDescent="0.25">
      <c r="A572" s="121"/>
      <c r="B572" s="121"/>
      <c r="C572" s="121"/>
      <c r="D572" s="121"/>
      <c r="E572" s="122"/>
      <c r="F572" s="123"/>
      <c r="G572" s="123"/>
      <c r="H572" s="123"/>
      <c r="I572" s="156"/>
      <c r="J572" s="129"/>
      <c r="K572" s="157"/>
      <c r="L572" s="157"/>
      <c r="M572" s="125"/>
      <c r="N572" s="126"/>
      <c r="O572" s="125"/>
      <c r="P572" s="126"/>
      <c r="Q572" s="126"/>
      <c r="R572" s="126"/>
      <c r="S572" s="126"/>
      <c r="T572" s="126"/>
      <c r="U572" s="125"/>
      <c r="V572" s="125"/>
      <c r="W572" s="128"/>
      <c r="X572" s="128"/>
      <c r="Y572" s="128"/>
      <c r="Z572" s="128"/>
      <c r="AA572" s="125"/>
      <c r="AB572" s="128"/>
      <c r="AC572" s="118"/>
      <c r="AD572" s="118"/>
      <c r="AE572" s="119"/>
      <c r="AF572" s="119"/>
      <c r="AG572" s="119"/>
      <c r="AH572" s="119"/>
      <c r="AI572" s="169"/>
      <c r="AJ572" s="168"/>
      <c r="AK572" s="168"/>
      <c r="AL572" s="168"/>
      <c r="AM572" s="168"/>
      <c r="AN572" s="168"/>
      <c r="AO572" s="168"/>
      <c r="AP572" s="204"/>
      <c r="AQ572" s="158"/>
      <c r="AR572" s="158"/>
      <c r="AS572" s="158"/>
      <c r="AT572" s="158"/>
      <c r="AU572" s="158"/>
      <c r="AV572" s="158"/>
      <c r="AW572" s="158"/>
      <c r="AX572" s="158"/>
      <c r="AY572" s="158"/>
      <c r="AZ572" s="158"/>
      <c r="BA572" s="158"/>
    </row>
    <row r="573" spans="1:53" x14ac:dyDescent="0.25">
      <c r="E573" s="116"/>
      <c r="F573" s="117"/>
      <c r="G573" s="117"/>
      <c r="H573" s="117"/>
      <c r="I573" s="154"/>
      <c r="J573" s="120"/>
      <c r="K573" s="155"/>
      <c r="L573" s="155"/>
      <c r="M573" s="118"/>
      <c r="N573" s="119"/>
      <c r="O573" s="118"/>
      <c r="P573" s="119"/>
      <c r="Q573" s="119"/>
      <c r="R573" s="119"/>
      <c r="S573" s="119"/>
      <c r="T573" s="119"/>
      <c r="U573" s="118"/>
      <c r="V573" s="118"/>
      <c r="W573" s="118"/>
      <c r="X573" s="118"/>
      <c r="Y573" s="118"/>
      <c r="Z573" s="131"/>
      <c r="AA573" s="118"/>
      <c r="AB573" s="131"/>
      <c r="AC573" s="118"/>
      <c r="AD573" s="118"/>
      <c r="AE573" s="119"/>
      <c r="AF573" s="119"/>
      <c r="AG573" s="119"/>
      <c r="AH573" s="119"/>
      <c r="AI573" s="167"/>
      <c r="AJ573" s="168"/>
      <c r="AK573" s="168"/>
      <c r="AL573" s="168"/>
      <c r="AM573" s="168"/>
      <c r="AN573" s="168"/>
      <c r="AO573" s="168"/>
    </row>
    <row r="574" spans="1:53" s="159" customFormat="1" x14ac:dyDescent="0.25">
      <c r="A574" s="121"/>
      <c r="B574" s="121"/>
      <c r="C574" s="121"/>
      <c r="D574" s="121"/>
      <c r="E574" s="122"/>
      <c r="F574" s="123"/>
      <c r="G574" s="123"/>
      <c r="H574" s="123"/>
      <c r="I574" s="156"/>
      <c r="J574" s="129"/>
      <c r="K574" s="157"/>
      <c r="L574" s="157"/>
      <c r="M574" s="125"/>
      <c r="N574" s="126"/>
      <c r="O574" s="125"/>
      <c r="P574" s="126"/>
      <c r="Q574" s="126"/>
      <c r="R574" s="126"/>
      <c r="S574" s="126"/>
      <c r="T574" s="126"/>
      <c r="U574" s="125"/>
      <c r="V574" s="125"/>
      <c r="W574" s="128"/>
      <c r="X574" s="128"/>
      <c r="Y574" s="128"/>
      <c r="Z574" s="128"/>
      <c r="AA574" s="125"/>
      <c r="AB574" s="128"/>
      <c r="AC574" s="118"/>
      <c r="AD574" s="118"/>
      <c r="AE574" s="119"/>
      <c r="AF574" s="119"/>
      <c r="AG574" s="119"/>
      <c r="AH574" s="119"/>
      <c r="AI574" s="169"/>
      <c r="AJ574" s="168"/>
      <c r="AK574" s="168"/>
      <c r="AL574" s="168"/>
      <c r="AM574" s="168"/>
      <c r="AN574" s="168"/>
      <c r="AO574" s="168"/>
      <c r="AP574" s="204"/>
      <c r="AQ574" s="158"/>
      <c r="AR574" s="158"/>
      <c r="AS574" s="158"/>
      <c r="AT574" s="158"/>
      <c r="AU574" s="158"/>
      <c r="AV574" s="158"/>
      <c r="AW574" s="158"/>
      <c r="AX574" s="158"/>
      <c r="AY574" s="158"/>
      <c r="AZ574" s="158"/>
      <c r="BA574" s="158"/>
    </row>
    <row r="575" spans="1:53" x14ac:dyDescent="0.25">
      <c r="E575" s="116"/>
      <c r="F575" s="117"/>
      <c r="G575" s="117"/>
      <c r="H575" s="117"/>
      <c r="I575" s="154"/>
      <c r="J575" s="120"/>
      <c r="K575" s="155"/>
      <c r="L575" s="155"/>
      <c r="M575" s="118"/>
      <c r="N575" s="119"/>
      <c r="O575" s="118"/>
      <c r="P575" s="119"/>
      <c r="Q575" s="119"/>
      <c r="R575" s="119"/>
      <c r="S575" s="119"/>
      <c r="T575" s="119"/>
      <c r="U575" s="118"/>
      <c r="V575" s="118"/>
      <c r="W575" s="118"/>
      <c r="X575" s="118"/>
      <c r="Y575" s="118"/>
      <c r="Z575" s="131"/>
      <c r="AA575" s="118"/>
      <c r="AB575" s="131"/>
      <c r="AC575" s="118"/>
      <c r="AD575" s="118"/>
      <c r="AE575" s="119"/>
      <c r="AF575" s="119"/>
      <c r="AG575" s="119"/>
      <c r="AH575" s="119"/>
      <c r="AI575" s="167"/>
      <c r="AJ575" s="168"/>
      <c r="AK575" s="168"/>
      <c r="AL575" s="168"/>
      <c r="AM575" s="168"/>
      <c r="AN575" s="168"/>
      <c r="AO575" s="168"/>
    </row>
    <row r="576" spans="1:53" s="159" customFormat="1" x14ac:dyDescent="0.25">
      <c r="A576" s="121"/>
      <c r="B576" s="121"/>
      <c r="C576" s="121"/>
      <c r="D576" s="121"/>
      <c r="E576" s="122"/>
      <c r="F576" s="123"/>
      <c r="G576" s="123"/>
      <c r="H576" s="123"/>
      <c r="I576" s="156"/>
      <c r="J576" s="129"/>
      <c r="K576" s="157"/>
      <c r="L576" s="157"/>
      <c r="M576" s="125"/>
      <c r="N576" s="126"/>
      <c r="O576" s="125"/>
      <c r="P576" s="126"/>
      <c r="Q576" s="126"/>
      <c r="R576" s="126"/>
      <c r="S576" s="126"/>
      <c r="T576" s="126"/>
      <c r="U576" s="125"/>
      <c r="V576" s="125"/>
      <c r="W576" s="128"/>
      <c r="X576" s="128"/>
      <c r="Y576" s="128"/>
      <c r="Z576" s="128"/>
      <c r="AA576" s="125"/>
      <c r="AB576" s="128"/>
      <c r="AC576" s="118"/>
      <c r="AD576" s="118"/>
      <c r="AE576" s="119"/>
      <c r="AF576" s="119"/>
      <c r="AG576" s="119"/>
      <c r="AH576" s="119"/>
      <c r="AI576" s="169"/>
      <c r="AJ576" s="168"/>
      <c r="AK576" s="168"/>
      <c r="AL576" s="168"/>
      <c r="AM576" s="168"/>
      <c r="AN576" s="168"/>
      <c r="AO576" s="168"/>
      <c r="AP576" s="204"/>
      <c r="AQ576" s="158"/>
      <c r="AR576" s="158"/>
      <c r="AS576" s="158"/>
      <c r="AT576" s="158"/>
      <c r="AU576" s="158"/>
      <c r="AV576" s="158"/>
      <c r="AW576" s="158"/>
      <c r="AX576" s="158"/>
      <c r="AY576" s="158"/>
      <c r="AZ576" s="158"/>
      <c r="BA576" s="158"/>
    </row>
    <row r="577" spans="1:53" x14ac:dyDescent="0.25">
      <c r="E577" s="116"/>
      <c r="F577" s="117"/>
      <c r="G577" s="117"/>
      <c r="H577" s="117"/>
      <c r="I577" s="154"/>
      <c r="J577" s="120"/>
      <c r="K577" s="155"/>
      <c r="L577" s="155"/>
      <c r="M577" s="118"/>
      <c r="N577" s="119"/>
      <c r="O577" s="118"/>
      <c r="P577" s="119"/>
      <c r="Q577" s="119"/>
      <c r="R577" s="119"/>
      <c r="S577" s="119"/>
      <c r="T577" s="119"/>
      <c r="U577" s="118"/>
      <c r="V577" s="118"/>
      <c r="W577" s="118"/>
      <c r="X577" s="118"/>
      <c r="Y577" s="118"/>
      <c r="Z577" s="131"/>
      <c r="AA577" s="118"/>
      <c r="AB577" s="131"/>
      <c r="AC577" s="118"/>
      <c r="AD577" s="118"/>
      <c r="AE577" s="119"/>
      <c r="AF577" s="119"/>
      <c r="AG577" s="119"/>
      <c r="AH577" s="119"/>
      <c r="AI577" s="167"/>
      <c r="AJ577" s="168"/>
      <c r="AK577" s="168"/>
      <c r="AL577" s="168"/>
      <c r="AM577" s="168"/>
      <c r="AN577" s="168"/>
      <c r="AO577" s="168"/>
    </row>
    <row r="578" spans="1:53" s="159" customFormat="1" x14ac:dyDescent="0.25">
      <c r="A578" s="121"/>
      <c r="B578" s="121"/>
      <c r="C578" s="121"/>
      <c r="D578" s="121"/>
      <c r="E578" s="122"/>
      <c r="F578" s="123"/>
      <c r="G578" s="123"/>
      <c r="H578" s="123"/>
      <c r="I578" s="156"/>
      <c r="J578" s="129"/>
      <c r="K578" s="157"/>
      <c r="L578" s="157"/>
      <c r="M578" s="125"/>
      <c r="N578" s="126"/>
      <c r="O578" s="125"/>
      <c r="P578" s="126"/>
      <c r="Q578" s="126"/>
      <c r="R578" s="126"/>
      <c r="S578" s="126"/>
      <c r="T578" s="126"/>
      <c r="U578" s="125"/>
      <c r="V578" s="125"/>
      <c r="W578" s="128"/>
      <c r="X578" s="128"/>
      <c r="Y578" s="128"/>
      <c r="Z578" s="128"/>
      <c r="AA578" s="125"/>
      <c r="AB578" s="128"/>
      <c r="AC578" s="118"/>
      <c r="AD578" s="118"/>
      <c r="AE578" s="119"/>
      <c r="AF578" s="119"/>
      <c r="AG578" s="119"/>
      <c r="AH578" s="119"/>
      <c r="AI578" s="169"/>
      <c r="AJ578" s="168"/>
      <c r="AK578" s="168"/>
      <c r="AL578" s="168"/>
      <c r="AM578" s="168"/>
      <c r="AN578" s="168"/>
      <c r="AO578" s="168"/>
      <c r="AP578" s="204"/>
      <c r="AQ578" s="158"/>
      <c r="AR578" s="158"/>
      <c r="AS578" s="158"/>
      <c r="AT578" s="158"/>
      <c r="AU578" s="158"/>
      <c r="AV578" s="158"/>
      <c r="AW578" s="158"/>
      <c r="AX578" s="158"/>
      <c r="AY578" s="158"/>
      <c r="AZ578" s="158"/>
      <c r="BA578" s="158"/>
    </row>
    <row r="579" spans="1:53" x14ac:dyDescent="0.25">
      <c r="E579" s="116"/>
      <c r="F579" s="117"/>
      <c r="G579" s="117"/>
      <c r="H579" s="117"/>
      <c r="I579" s="154"/>
      <c r="J579" s="120"/>
      <c r="K579" s="155"/>
      <c r="L579" s="155"/>
      <c r="M579" s="118"/>
      <c r="N579" s="119"/>
      <c r="O579" s="118"/>
      <c r="P579" s="119"/>
      <c r="Q579" s="119"/>
      <c r="R579" s="119"/>
      <c r="S579" s="119"/>
      <c r="T579" s="119"/>
      <c r="U579" s="118"/>
      <c r="V579" s="118"/>
      <c r="W579" s="118"/>
      <c r="X579" s="118"/>
      <c r="Y579" s="118"/>
      <c r="Z579" s="131"/>
      <c r="AA579" s="118"/>
      <c r="AB579" s="131"/>
      <c r="AC579" s="118"/>
      <c r="AD579" s="118"/>
      <c r="AE579" s="119"/>
      <c r="AF579" s="119"/>
      <c r="AG579" s="119"/>
      <c r="AH579" s="119"/>
      <c r="AI579" s="167"/>
      <c r="AJ579" s="168"/>
      <c r="AK579" s="168"/>
      <c r="AL579" s="168"/>
      <c r="AM579" s="168"/>
      <c r="AN579" s="168"/>
      <c r="AO579" s="168"/>
    </row>
    <row r="580" spans="1:53" s="159" customFormat="1" x14ac:dyDescent="0.25">
      <c r="A580" s="121"/>
      <c r="B580" s="121"/>
      <c r="C580" s="121"/>
      <c r="D580" s="121"/>
      <c r="E580" s="122"/>
      <c r="F580" s="123"/>
      <c r="G580" s="123"/>
      <c r="H580" s="123"/>
      <c r="I580" s="156"/>
      <c r="J580" s="129"/>
      <c r="K580" s="157"/>
      <c r="L580" s="157"/>
      <c r="M580" s="125"/>
      <c r="N580" s="126"/>
      <c r="O580" s="125"/>
      <c r="P580" s="126"/>
      <c r="Q580" s="126"/>
      <c r="R580" s="126"/>
      <c r="S580" s="126"/>
      <c r="T580" s="126"/>
      <c r="U580" s="125"/>
      <c r="V580" s="125"/>
      <c r="W580" s="128"/>
      <c r="X580" s="128"/>
      <c r="Y580" s="128"/>
      <c r="Z580" s="128"/>
      <c r="AA580" s="125"/>
      <c r="AB580" s="128"/>
      <c r="AC580" s="118"/>
      <c r="AD580" s="118"/>
      <c r="AE580" s="119"/>
      <c r="AF580" s="119"/>
      <c r="AG580" s="119"/>
      <c r="AH580" s="119"/>
      <c r="AI580" s="169"/>
      <c r="AJ580" s="168"/>
      <c r="AK580" s="168"/>
      <c r="AL580" s="168"/>
      <c r="AM580" s="168"/>
      <c r="AN580" s="168"/>
      <c r="AO580" s="168"/>
      <c r="AP580" s="204"/>
      <c r="AQ580" s="158"/>
      <c r="AR580" s="158"/>
      <c r="AS580" s="158"/>
      <c r="AT580" s="158"/>
      <c r="AU580" s="158"/>
      <c r="AV580" s="158"/>
      <c r="AW580" s="158"/>
      <c r="AX580" s="158"/>
      <c r="AY580" s="158"/>
      <c r="AZ580" s="158"/>
      <c r="BA580" s="158"/>
    </row>
    <row r="581" spans="1:53" x14ac:dyDescent="0.25">
      <c r="E581" s="116"/>
      <c r="F581" s="117"/>
      <c r="G581" s="117"/>
      <c r="H581" s="117"/>
      <c r="I581" s="154"/>
      <c r="J581" s="120"/>
      <c r="K581" s="155"/>
      <c r="L581" s="155"/>
      <c r="M581" s="118"/>
      <c r="N581" s="119"/>
      <c r="O581" s="118"/>
      <c r="P581" s="119"/>
      <c r="Q581" s="119"/>
      <c r="R581" s="119"/>
      <c r="S581" s="119"/>
      <c r="T581" s="119"/>
      <c r="U581" s="118"/>
      <c r="V581" s="118"/>
      <c r="W581" s="118"/>
      <c r="X581" s="118"/>
      <c r="Y581" s="118"/>
      <c r="Z581" s="131"/>
      <c r="AA581" s="118"/>
      <c r="AB581" s="131"/>
      <c r="AC581" s="118"/>
      <c r="AD581" s="118"/>
      <c r="AE581" s="119"/>
      <c r="AF581" s="119"/>
      <c r="AG581" s="119"/>
      <c r="AH581" s="119"/>
      <c r="AI581" s="167"/>
      <c r="AJ581" s="168"/>
      <c r="AK581" s="168"/>
      <c r="AL581" s="168"/>
      <c r="AM581" s="168"/>
      <c r="AN581" s="168"/>
      <c r="AO581" s="168"/>
    </row>
    <row r="582" spans="1:53" s="159" customFormat="1" x14ac:dyDescent="0.25">
      <c r="A582" s="121"/>
      <c r="B582" s="121"/>
      <c r="C582" s="121"/>
      <c r="D582" s="121"/>
      <c r="E582" s="122"/>
      <c r="F582" s="123"/>
      <c r="G582" s="123"/>
      <c r="H582" s="123"/>
      <c r="I582" s="156"/>
      <c r="J582" s="129"/>
      <c r="K582" s="157"/>
      <c r="L582" s="157"/>
      <c r="M582" s="125"/>
      <c r="N582" s="126"/>
      <c r="O582" s="125"/>
      <c r="P582" s="126"/>
      <c r="Q582" s="126"/>
      <c r="R582" s="126"/>
      <c r="S582" s="126"/>
      <c r="T582" s="126"/>
      <c r="U582" s="125"/>
      <c r="V582" s="125"/>
      <c r="W582" s="128"/>
      <c r="X582" s="128"/>
      <c r="Y582" s="128"/>
      <c r="Z582" s="128"/>
      <c r="AA582" s="125"/>
      <c r="AB582" s="128"/>
      <c r="AC582" s="118"/>
      <c r="AD582" s="118"/>
      <c r="AE582" s="119"/>
      <c r="AF582" s="119"/>
      <c r="AG582" s="119"/>
      <c r="AH582" s="119"/>
      <c r="AI582" s="169"/>
      <c r="AJ582" s="168"/>
      <c r="AK582" s="168"/>
      <c r="AL582" s="168"/>
      <c r="AM582" s="168"/>
      <c r="AN582" s="168"/>
      <c r="AO582" s="168"/>
      <c r="AP582" s="204"/>
      <c r="AQ582" s="158"/>
      <c r="AR582" s="158"/>
      <c r="AS582" s="158"/>
      <c r="AT582" s="158"/>
      <c r="AU582" s="158"/>
      <c r="AV582" s="158"/>
      <c r="AW582" s="158"/>
      <c r="AX582" s="158"/>
      <c r="AY582" s="158"/>
      <c r="AZ582" s="158"/>
      <c r="BA582" s="158"/>
    </row>
    <row r="583" spans="1:53" x14ac:dyDescent="0.25">
      <c r="E583" s="116"/>
      <c r="F583" s="117"/>
      <c r="G583" s="117"/>
      <c r="H583" s="117"/>
      <c r="I583" s="154"/>
      <c r="J583" s="120"/>
      <c r="K583" s="155"/>
      <c r="L583" s="155"/>
      <c r="M583" s="118"/>
      <c r="N583" s="119"/>
      <c r="O583" s="118"/>
      <c r="P583" s="119"/>
      <c r="Q583" s="119"/>
      <c r="R583" s="119"/>
      <c r="S583" s="119"/>
      <c r="T583" s="119"/>
      <c r="U583" s="118"/>
      <c r="V583" s="118"/>
      <c r="W583" s="118"/>
      <c r="X583" s="118"/>
      <c r="Y583" s="118"/>
      <c r="Z583" s="131"/>
      <c r="AA583" s="118"/>
      <c r="AB583" s="131"/>
      <c r="AC583" s="118"/>
      <c r="AD583" s="118"/>
      <c r="AE583" s="119"/>
      <c r="AF583" s="119"/>
      <c r="AG583" s="119"/>
      <c r="AH583" s="119"/>
      <c r="AI583" s="167"/>
      <c r="AJ583" s="168"/>
      <c r="AK583" s="168"/>
      <c r="AL583" s="168"/>
      <c r="AM583" s="168"/>
      <c r="AN583" s="168"/>
      <c r="AO583" s="168"/>
    </row>
    <row r="584" spans="1:53" s="159" customFormat="1" x14ac:dyDescent="0.25">
      <c r="A584" s="121"/>
      <c r="B584" s="121"/>
      <c r="C584" s="121"/>
      <c r="D584" s="121"/>
      <c r="E584" s="122"/>
      <c r="F584" s="123"/>
      <c r="G584" s="123"/>
      <c r="H584" s="123"/>
      <c r="I584" s="156"/>
      <c r="J584" s="129"/>
      <c r="K584" s="157"/>
      <c r="L584" s="157"/>
      <c r="M584" s="125"/>
      <c r="N584" s="126"/>
      <c r="O584" s="125"/>
      <c r="P584" s="126"/>
      <c r="Q584" s="126"/>
      <c r="R584" s="126"/>
      <c r="S584" s="126"/>
      <c r="T584" s="126"/>
      <c r="U584" s="125"/>
      <c r="V584" s="125"/>
      <c r="W584" s="128"/>
      <c r="X584" s="128"/>
      <c r="Y584" s="128"/>
      <c r="Z584" s="128"/>
      <c r="AA584" s="125"/>
      <c r="AB584" s="128"/>
      <c r="AC584" s="118"/>
      <c r="AD584" s="118"/>
      <c r="AE584" s="119"/>
      <c r="AF584" s="119"/>
      <c r="AG584" s="119"/>
      <c r="AH584" s="119"/>
      <c r="AI584" s="169"/>
      <c r="AJ584" s="168"/>
      <c r="AK584" s="168"/>
      <c r="AL584" s="168"/>
      <c r="AM584" s="168"/>
      <c r="AN584" s="168"/>
      <c r="AO584" s="168"/>
      <c r="AP584" s="204"/>
      <c r="AQ584" s="158"/>
      <c r="AR584" s="158"/>
      <c r="AS584" s="158"/>
      <c r="AT584" s="158"/>
      <c r="AU584" s="158"/>
      <c r="AV584" s="158"/>
      <c r="AW584" s="158"/>
      <c r="AX584" s="158"/>
      <c r="AY584" s="158"/>
      <c r="AZ584" s="158"/>
      <c r="BA584" s="158"/>
    </row>
    <row r="585" spans="1:53" x14ac:dyDescent="0.25">
      <c r="E585" s="116"/>
      <c r="F585" s="117"/>
      <c r="G585" s="117"/>
      <c r="H585" s="117"/>
      <c r="I585" s="154"/>
      <c r="J585" s="120"/>
      <c r="K585" s="155"/>
      <c r="L585" s="155"/>
      <c r="M585" s="118"/>
      <c r="N585" s="119"/>
      <c r="O585" s="118"/>
      <c r="P585" s="119"/>
      <c r="Q585" s="119"/>
      <c r="R585" s="119"/>
      <c r="S585" s="119"/>
      <c r="T585" s="119"/>
      <c r="U585" s="118"/>
      <c r="V585" s="118"/>
      <c r="W585" s="118"/>
      <c r="X585" s="118"/>
      <c r="Y585" s="118"/>
      <c r="Z585" s="131"/>
      <c r="AA585" s="118"/>
      <c r="AB585" s="131"/>
      <c r="AC585" s="118"/>
      <c r="AD585" s="118"/>
      <c r="AE585" s="119"/>
      <c r="AF585" s="119"/>
      <c r="AG585" s="119"/>
      <c r="AH585" s="119"/>
      <c r="AI585" s="167"/>
      <c r="AJ585" s="168"/>
      <c r="AK585" s="168"/>
      <c r="AL585" s="168"/>
      <c r="AM585" s="168"/>
      <c r="AN585" s="168"/>
      <c r="AO585" s="168"/>
    </row>
    <row r="586" spans="1:53" s="159" customFormat="1" x14ac:dyDescent="0.25">
      <c r="A586" s="121"/>
      <c r="B586" s="121"/>
      <c r="C586" s="121"/>
      <c r="D586" s="121"/>
      <c r="E586" s="122"/>
      <c r="F586" s="123"/>
      <c r="G586" s="123"/>
      <c r="H586" s="123"/>
      <c r="I586" s="156"/>
      <c r="J586" s="129"/>
      <c r="K586" s="157"/>
      <c r="L586" s="157"/>
      <c r="M586" s="125"/>
      <c r="N586" s="126"/>
      <c r="O586" s="125"/>
      <c r="P586" s="126"/>
      <c r="Q586" s="126"/>
      <c r="R586" s="126"/>
      <c r="S586" s="126"/>
      <c r="T586" s="126"/>
      <c r="U586" s="125"/>
      <c r="V586" s="125"/>
      <c r="W586" s="128"/>
      <c r="X586" s="128"/>
      <c r="Y586" s="128"/>
      <c r="Z586" s="128"/>
      <c r="AA586" s="125"/>
      <c r="AB586" s="128"/>
      <c r="AC586" s="118"/>
      <c r="AD586" s="118"/>
      <c r="AE586" s="119"/>
      <c r="AF586" s="119"/>
      <c r="AG586" s="119"/>
      <c r="AH586" s="119"/>
      <c r="AI586" s="169"/>
      <c r="AJ586" s="168"/>
      <c r="AK586" s="168"/>
      <c r="AL586" s="168"/>
      <c r="AM586" s="168"/>
      <c r="AN586" s="168"/>
      <c r="AO586" s="168"/>
      <c r="AP586" s="204"/>
      <c r="AQ586" s="158"/>
      <c r="AR586" s="158"/>
      <c r="AS586" s="158"/>
      <c r="AT586" s="158"/>
      <c r="AU586" s="158"/>
      <c r="AV586" s="158"/>
      <c r="AW586" s="158"/>
      <c r="AX586" s="158"/>
      <c r="AY586" s="158"/>
      <c r="AZ586" s="158"/>
      <c r="BA586" s="158"/>
    </row>
    <row r="587" spans="1:53" x14ac:dyDescent="0.25">
      <c r="E587" s="116"/>
      <c r="F587" s="117"/>
      <c r="G587" s="117"/>
      <c r="H587" s="117"/>
      <c r="I587" s="154"/>
      <c r="J587" s="120"/>
      <c r="K587" s="155"/>
      <c r="L587" s="155"/>
      <c r="M587" s="118"/>
      <c r="N587" s="119"/>
      <c r="O587" s="118"/>
      <c r="P587" s="119"/>
      <c r="Q587" s="119"/>
      <c r="R587" s="119"/>
      <c r="S587" s="119"/>
      <c r="T587" s="119"/>
      <c r="U587" s="118"/>
      <c r="V587" s="118"/>
      <c r="W587" s="118"/>
      <c r="X587" s="118"/>
      <c r="Y587" s="118"/>
      <c r="Z587" s="131"/>
      <c r="AA587" s="118"/>
      <c r="AB587" s="131"/>
      <c r="AC587" s="118"/>
      <c r="AD587" s="118"/>
      <c r="AE587" s="119"/>
      <c r="AF587" s="119"/>
      <c r="AG587" s="119"/>
      <c r="AH587" s="119"/>
      <c r="AI587" s="167"/>
      <c r="AJ587" s="168"/>
      <c r="AK587" s="168"/>
      <c r="AL587" s="168"/>
      <c r="AM587" s="168"/>
      <c r="AN587" s="168"/>
      <c r="AO587" s="168"/>
    </row>
    <row r="588" spans="1:53" s="159" customFormat="1" x14ac:dyDescent="0.25">
      <c r="A588" s="121"/>
      <c r="B588" s="121"/>
      <c r="C588" s="121"/>
      <c r="D588" s="121"/>
      <c r="E588" s="122"/>
      <c r="F588" s="123"/>
      <c r="G588" s="123"/>
      <c r="H588" s="123"/>
      <c r="I588" s="156"/>
      <c r="J588" s="129"/>
      <c r="K588" s="157"/>
      <c r="L588" s="157"/>
      <c r="M588" s="125"/>
      <c r="N588" s="126"/>
      <c r="O588" s="125"/>
      <c r="P588" s="126"/>
      <c r="Q588" s="126"/>
      <c r="R588" s="126"/>
      <c r="S588" s="126"/>
      <c r="T588" s="126"/>
      <c r="U588" s="125"/>
      <c r="V588" s="125"/>
      <c r="W588" s="128"/>
      <c r="X588" s="128"/>
      <c r="Y588" s="128"/>
      <c r="Z588" s="128"/>
      <c r="AA588" s="125"/>
      <c r="AB588" s="128"/>
      <c r="AC588" s="118"/>
      <c r="AD588" s="118"/>
      <c r="AE588" s="119"/>
      <c r="AF588" s="119"/>
      <c r="AG588" s="119"/>
      <c r="AH588" s="119"/>
      <c r="AI588" s="169"/>
      <c r="AJ588" s="168"/>
      <c r="AK588" s="168"/>
      <c r="AL588" s="168"/>
      <c r="AM588" s="168"/>
      <c r="AN588" s="168"/>
      <c r="AO588" s="168"/>
      <c r="AP588" s="204"/>
      <c r="AQ588" s="158"/>
      <c r="AR588" s="158"/>
      <c r="AS588" s="158"/>
      <c r="AT588" s="158"/>
      <c r="AU588" s="158"/>
      <c r="AV588" s="158"/>
      <c r="AW588" s="158"/>
      <c r="AX588" s="158"/>
      <c r="AY588" s="158"/>
      <c r="AZ588" s="158"/>
      <c r="BA588" s="158"/>
    </row>
    <row r="589" spans="1:53" x14ac:dyDescent="0.25">
      <c r="E589" s="116"/>
      <c r="F589" s="117"/>
      <c r="G589" s="117"/>
      <c r="H589" s="117"/>
      <c r="I589" s="154"/>
      <c r="J589" s="120"/>
      <c r="K589" s="155"/>
      <c r="L589" s="155"/>
      <c r="M589" s="118"/>
      <c r="N589" s="119"/>
      <c r="O589" s="118"/>
      <c r="P589" s="119"/>
      <c r="Q589" s="119"/>
      <c r="R589" s="119"/>
      <c r="S589" s="119"/>
      <c r="T589" s="119"/>
      <c r="U589" s="118"/>
      <c r="V589" s="118"/>
      <c r="W589" s="118"/>
      <c r="X589" s="118"/>
      <c r="Y589" s="118"/>
      <c r="Z589" s="131"/>
      <c r="AA589" s="118"/>
      <c r="AB589" s="131"/>
      <c r="AC589" s="118"/>
      <c r="AD589" s="118"/>
      <c r="AE589" s="119"/>
      <c r="AF589" s="119"/>
      <c r="AG589" s="119"/>
      <c r="AH589" s="119"/>
      <c r="AI589" s="167"/>
      <c r="AJ589" s="168"/>
      <c r="AK589" s="168"/>
      <c r="AL589" s="168"/>
      <c r="AM589" s="168"/>
      <c r="AN589" s="168"/>
      <c r="AO589" s="168"/>
    </row>
    <row r="590" spans="1:53" s="159" customFormat="1" x14ac:dyDescent="0.25">
      <c r="A590" s="121"/>
      <c r="B590" s="121"/>
      <c r="C590" s="121"/>
      <c r="D590" s="121"/>
      <c r="E590" s="122"/>
      <c r="F590" s="123"/>
      <c r="G590" s="123"/>
      <c r="H590" s="123"/>
      <c r="I590" s="156"/>
      <c r="J590" s="129"/>
      <c r="K590" s="157"/>
      <c r="L590" s="157"/>
      <c r="M590" s="125"/>
      <c r="N590" s="126"/>
      <c r="O590" s="125"/>
      <c r="P590" s="126"/>
      <c r="Q590" s="126"/>
      <c r="R590" s="126"/>
      <c r="S590" s="126"/>
      <c r="T590" s="126"/>
      <c r="U590" s="125"/>
      <c r="V590" s="125"/>
      <c r="W590" s="128"/>
      <c r="X590" s="128"/>
      <c r="Y590" s="128"/>
      <c r="Z590" s="128"/>
      <c r="AA590" s="125"/>
      <c r="AB590" s="128"/>
      <c r="AC590" s="118"/>
      <c r="AD590" s="118"/>
      <c r="AE590" s="119"/>
      <c r="AF590" s="119"/>
      <c r="AG590" s="119"/>
      <c r="AH590" s="119"/>
      <c r="AI590" s="169"/>
      <c r="AJ590" s="168"/>
      <c r="AK590" s="168"/>
      <c r="AL590" s="168"/>
      <c r="AM590" s="168"/>
      <c r="AN590" s="168"/>
      <c r="AO590" s="168"/>
      <c r="AP590" s="204"/>
      <c r="AQ590" s="158"/>
      <c r="AR590" s="158"/>
      <c r="AS590" s="158"/>
      <c r="AT590" s="158"/>
      <c r="AU590" s="158"/>
      <c r="AV590" s="158"/>
      <c r="AW590" s="158"/>
      <c r="AX590" s="158"/>
      <c r="AY590" s="158"/>
      <c r="AZ590" s="158"/>
      <c r="BA590" s="158"/>
    </row>
    <row r="591" spans="1:53" x14ac:dyDescent="0.25">
      <c r="E591" s="116"/>
      <c r="F591" s="117"/>
      <c r="G591" s="117"/>
      <c r="H591" s="117"/>
      <c r="I591" s="154"/>
      <c r="J591" s="120"/>
      <c r="K591" s="155"/>
      <c r="L591" s="155"/>
      <c r="M591" s="118"/>
      <c r="N591" s="119"/>
      <c r="O591" s="118"/>
      <c r="P591" s="119"/>
      <c r="Q591" s="119"/>
      <c r="R591" s="119"/>
      <c r="S591" s="119"/>
      <c r="T591" s="119"/>
      <c r="U591" s="118"/>
      <c r="V591" s="118"/>
      <c r="W591" s="118"/>
      <c r="X591" s="118"/>
      <c r="Y591" s="118"/>
      <c r="Z591" s="131"/>
      <c r="AA591" s="118"/>
      <c r="AB591" s="131"/>
      <c r="AC591" s="118"/>
      <c r="AD591" s="118"/>
      <c r="AE591" s="119"/>
      <c r="AF591" s="119"/>
      <c r="AG591" s="119"/>
      <c r="AH591" s="119"/>
      <c r="AI591" s="167"/>
      <c r="AJ591" s="168"/>
      <c r="AK591" s="168"/>
      <c r="AL591" s="168"/>
      <c r="AM591" s="168"/>
      <c r="AN591" s="168"/>
      <c r="AO591" s="168"/>
    </row>
    <row r="592" spans="1:53" s="159" customFormat="1" x14ac:dyDescent="0.25">
      <c r="A592" s="121"/>
      <c r="B592" s="121"/>
      <c r="C592" s="121"/>
      <c r="D592" s="121"/>
      <c r="E592" s="122"/>
      <c r="F592" s="123"/>
      <c r="G592" s="123"/>
      <c r="H592" s="123"/>
      <c r="I592" s="156"/>
      <c r="J592" s="129"/>
      <c r="K592" s="157"/>
      <c r="L592" s="157"/>
      <c r="M592" s="125"/>
      <c r="N592" s="126"/>
      <c r="O592" s="125"/>
      <c r="P592" s="126"/>
      <c r="Q592" s="126"/>
      <c r="R592" s="126"/>
      <c r="S592" s="126"/>
      <c r="T592" s="126"/>
      <c r="U592" s="125"/>
      <c r="V592" s="125"/>
      <c r="W592" s="128"/>
      <c r="X592" s="128"/>
      <c r="Y592" s="128"/>
      <c r="Z592" s="128"/>
      <c r="AA592" s="125"/>
      <c r="AB592" s="128"/>
      <c r="AC592" s="118"/>
      <c r="AD592" s="118"/>
      <c r="AE592" s="119"/>
      <c r="AF592" s="119"/>
      <c r="AG592" s="119"/>
      <c r="AH592" s="119"/>
      <c r="AI592" s="169"/>
      <c r="AJ592" s="168"/>
      <c r="AK592" s="168"/>
      <c r="AL592" s="168"/>
      <c r="AM592" s="168"/>
      <c r="AN592" s="168"/>
      <c r="AO592" s="168"/>
      <c r="AP592" s="204"/>
      <c r="AQ592" s="158"/>
      <c r="AR592" s="158"/>
      <c r="AS592" s="158"/>
      <c r="AT592" s="158"/>
      <c r="AU592" s="158"/>
      <c r="AV592" s="158"/>
      <c r="AW592" s="158"/>
      <c r="AX592" s="158"/>
      <c r="AY592" s="158"/>
      <c r="AZ592" s="158"/>
      <c r="BA592" s="158"/>
    </row>
    <row r="593" spans="1:42" s="160" customFormat="1" x14ac:dyDescent="0.25">
      <c r="A593" s="115"/>
      <c r="B593" s="115"/>
      <c r="C593" s="115"/>
      <c r="D593" s="115"/>
      <c r="E593" s="116"/>
      <c r="F593" s="117"/>
      <c r="G593" s="117"/>
      <c r="H593" s="117"/>
      <c r="I593" s="154"/>
      <c r="J593" s="120"/>
      <c r="K593" s="155"/>
      <c r="L593" s="155"/>
      <c r="M593" s="118"/>
      <c r="N593" s="119"/>
      <c r="O593" s="118"/>
      <c r="P593" s="119"/>
      <c r="Q593" s="119"/>
      <c r="R593" s="119"/>
      <c r="S593" s="119"/>
      <c r="T593" s="119"/>
      <c r="U593" s="118"/>
      <c r="V593" s="118"/>
      <c r="W593" s="118"/>
      <c r="X593" s="118"/>
      <c r="Y593" s="118"/>
      <c r="Z593" s="131"/>
      <c r="AA593" s="118"/>
      <c r="AB593" s="131"/>
      <c r="AC593" s="118"/>
      <c r="AD593" s="118"/>
      <c r="AE593" s="119"/>
      <c r="AF593" s="119"/>
      <c r="AG593" s="119"/>
      <c r="AH593" s="119"/>
      <c r="AI593" s="167"/>
      <c r="AJ593" s="168"/>
      <c r="AK593" s="168"/>
      <c r="AL593" s="168"/>
      <c r="AM593" s="168"/>
      <c r="AN593" s="168"/>
      <c r="AO593" s="168"/>
      <c r="AP593" s="166"/>
    </row>
    <row r="594" spans="1:42" s="160" customFormat="1" x14ac:dyDescent="0.25">
      <c r="A594" s="121"/>
      <c r="B594" s="121"/>
      <c r="C594" s="121"/>
      <c r="D594" s="121"/>
      <c r="E594" s="122"/>
      <c r="F594" s="123"/>
      <c r="G594" s="123"/>
      <c r="H594" s="123"/>
      <c r="I594" s="156"/>
      <c r="J594" s="129"/>
      <c r="K594" s="157"/>
      <c r="L594" s="157"/>
      <c r="M594" s="125"/>
      <c r="N594" s="126"/>
      <c r="O594" s="125"/>
      <c r="P594" s="126"/>
      <c r="Q594" s="126"/>
      <c r="R594" s="126"/>
      <c r="S594" s="126"/>
      <c r="T594" s="126"/>
      <c r="U594" s="125"/>
      <c r="V594" s="125"/>
      <c r="W594" s="128"/>
      <c r="X594" s="128"/>
      <c r="Y594" s="128"/>
      <c r="Z594" s="128"/>
      <c r="AA594" s="125"/>
      <c r="AB594" s="128"/>
      <c r="AC594" s="118"/>
      <c r="AD594" s="118"/>
      <c r="AE594" s="119"/>
      <c r="AF594" s="119"/>
      <c r="AG594" s="119"/>
      <c r="AH594" s="119"/>
      <c r="AI594" s="169"/>
      <c r="AJ594" s="168"/>
      <c r="AK594" s="168"/>
      <c r="AL594" s="168"/>
      <c r="AM594" s="168"/>
      <c r="AN594" s="168"/>
      <c r="AO594" s="168"/>
      <c r="AP594" s="166"/>
    </row>
    <row r="595" spans="1:42" s="160" customFormat="1" x14ac:dyDescent="0.25">
      <c r="A595" s="115"/>
      <c r="B595" s="115"/>
      <c r="C595" s="115"/>
      <c r="D595" s="115"/>
      <c r="E595" s="116"/>
      <c r="F595" s="117"/>
      <c r="G595" s="117"/>
      <c r="H595" s="117"/>
      <c r="I595" s="154"/>
      <c r="J595" s="120"/>
      <c r="K595" s="155"/>
      <c r="L595" s="155"/>
      <c r="M595" s="118"/>
      <c r="N595" s="119"/>
      <c r="O595" s="118"/>
      <c r="P595" s="119"/>
      <c r="Q595" s="119"/>
      <c r="R595" s="119"/>
      <c r="S595" s="119"/>
      <c r="T595" s="119"/>
      <c r="U595" s="118"/>
      <c r="V595" s="118"/>
      <c r="W595" s="118"/>
      <c r="X595" s="118"/>
      <c r="Y595" s="118"/>
      <c r="Z595" s="131"/>
      <c r="AA595" s="118"/>
      <c r="AB595" s="131"/>
      <c r="AC595" s="118"/>
      <c r="AD595" s="118"/>
      <c r="AE595" s="119"/>
      <c r="AF595" s="119"/>
      <c r="AG595" s="119"/>
      <c r="AH595" s="119"/>
      <c r="AI595" s="167"/>
      <c r="AJ595" s="168"/>
      <c r="AK595" s="168"/>
      <c r="AL595" s="168"/>
      <c r="AM595" s="168"/>
      <c r="AN595" s="168"/>
      <c r="AO595" s="168"/>
      <c r="AP595" s="166"/>
    </row>
    <row r="596" spans="1:42" s="160" customFormat="1" x14ac:dyDescent="0.25">
      <c r="A596" s="121"/>
      <c r="B596" s="121"/>
      <c r="C596" s="121"/>
      <c r="D596" s="121"/>
      <c r="E596" s="122"/>
      <c r="F596" s="123"/>
      <c r="G596" s="123"/>
      <c r="H596" s="123"/>
      <c r="I596" s="156"/>
      <c r="J596" s="129"/>
      <c r="K596" s="157"/>
      <c r="L596" s="157"/>
      <c r="M596" s="125"/>
      <c r="N596" s="126"/>
      <c r="O596" s="125"/>
      <c r="P596" s="126"/>
      <c r="Q596" s="126"/>
      <c r="R596" s="126"/>
      <c r="S596" s="126"/>
      <c r="T596" s="126"/>
      <c r="U596" s="125"/>
      <c r="V596" s="125"/>
      <c r="W596" s="128"/>
      <c r="X596" s="128"/>
      <c r="Y596" s="128"/>
      <c r="Z596" s="128"/>
      <c r="AA596" s="125"/>
      <c r="AB596" s="128"/>
      <c r="AC596" s="118"/>
      <c r="AD596" s="118"/>
      <c r="AE596" s="119"/>
      <c r="AF596" s="119"/>
      <c r="AG596" s="119"/>
      <c r="AH596" s="119"/>
      <c r="AI596" s="169"/>
      <c r="AJ596" s="168"/>
      <c r="AK596" s="168"/>
      <c r="AL596" s="168"/>
      <c r="AM596" s="168"/>
      <c r="AN596" s="168"/>
      <c r="AO596" s="168"/>
      <c r="AP596" s="166"/>
    </row>
    <row r="597" spans="1:42" s="160" customFormat="1" x14ac:dyDescent="0.25">
      <c r="A597" s="115"/>
      <c r="B597" s="115"/>
      <c r="C597" s="115"/>
      <c r="D597" s="115"/>
      <c r="E597" s="116"/>
      <c r="F597" s="117"/>
      <c r="G597" s="117"/>
      <c r="H597" s="117"/>
      <c r="I597" s="154"/>
      <c r="J597" s="120"/>
      <c r="K597" s="155"/>
      <c r="L597" s="155"/>
      <c r="M597" s="118"/>
      <c r="N597" s="119"/>
      <c r="O597" s="118"/>
      <c r="P597" s="119"/>
      <c r="Q597" s="119"/>
      <c r="R597" s="119"/>
      <c r="S597" s="119"/>
      <c r="T597" s="119"/>
      <c r="U597" s="118"/>
      <c r="V597" s="118"/>
      <c r="W597" s="118"/>
      <c r="X597" s="118"/>
      <c r="Y597" s="118"/>
      <c r="Z597" s="131"/>
      <c r="AA597" s="118"/>
      <c r="AB597" s="131"/>
      <c r="AC597" s="118"/>
      <c r="AD597" s="118"/>
      <c r="AE597" s="119"/>
      <c r="AF597" s="119"/>
      <c r="AG597" s="119"/>
      <c r="AH597" s="119"/>
      <c r="AI597" s="167"/>
      <c r="AJ597" s="168"/>
      <c r="AK597" s="168"/>
      <c r="AL597" s="168"/>
      <c r="AM597" s="168"/>
      <c r="AN597" s="168"/>
      <c r="AO597" s="168"/>
      <c r="AP597" s="166"/>
    </row>
    <row r="598" spans="1:42" s="160" customFormat="1" x14ac:dyDescent="0.25">
      <c r="A598" s="121"/>
      <c r="B598" s="121"/>
      <c r="C598" s="121"/>
      <c r="D598" s="121"/>
      <c r="E598" s="122"/>
      <c r="F598" s="123"/>
      <c r="G598" s="123"/>
      <c r="H598" s="123"/>
      <c r="I598" s="156"/>
      <c r="J598" s="129"/>
      <c r="K598" s="157"/>
      <c r="L598" s="157"/>
      <c r="M598" s="125"/>
      <c r="N598" s="126"/>
      <c r="O598" s="125"/>
      <c r="P598" s="126"/>
      <c r="Q598" s="126"/>
      <c r="R598" s="126"/>
      <c r="S598" s="126"/>
      <c r="T598" s="126"/>
      <c r="U598" s="125"/>
      <c r="V598" s="125"/>
      <c r="W598" s="128"/>
      <c r="X598" s="128"/>
      <c r="Y598" s="128"/>
      <c r="Z598" s="128"/>
      <c r="AA598" s="125"/>
      <c r="AB598" s="128"/>
      <c r="AC598" s="118"/>
      <c r="AD598" s="118"/>
      <c r="AE598" s="119"/>
      <c r="AF598" s="119"/>
      <c r="AG598" s="119"/>
      <c r="AH598" s="119"/>
      <c r="AI598" s="169"/>
      <c r="AJ598" s="168"/>
      <c r="AK598" s="168"/>
      <c r="AL598" s="168"/>
      <c r="AM598" s="168"/>
      <c r="AN598" s="168"/>
      <c r="AO598" s="168"/>
      <c r="AP598" s="166"/>
    </row>
    <row r="599" spans="1:42" s="160" customFormat="1" x14ac:dyDescent="0.25">
      <c r="A599" s="115"/>
      <c r="B599" s="115"/>
      <c r="C599" s="115"/>
      <c r="D599" s="115"/>
      <c r="E599" s="116"/>
      <c r="F599" s="117"/>
      <c r="G599" s="117"/>
      <c r="H599" s="117"/>
      <c r="I599" s="154"/>
      <c r="J599" s="120"/>
      <c r="K599" s="155"/>
      <c r="L599" s="155"/>
      <c r="M599" s="118"/>
      <c r="N599" s="119"/>
      <c r="O599" s="118"/>
      <c r="P599" s="119"/>
      <c r="Q599" s="119"/>
      <c r="R599" s="119"/>
      <c r="S599" s="119"/>
      <c r="T599" s="119"/>
      <c r="U599" s="118"/>
      <c r="V599" s="118"/>
      <c r="W599" s="118"/>
      <c r="X599" s="118"/>
      <c r="Y599" s="118"/>
      <c r="Z599" s="131"/>
      <c r="AA599" s="118"/>
      <c r="AB599" s="131"/>
      <c r="AC599" s="118"/>
      <c r="AD599" s="118"/>
      <c r="AE599" s="119"/>
      <c r="AF599" s="119"/>
      <c r="AG599" s="119"/>
      <c r="AH599" s="119"/>
      <c r="AI599" s="167"/>
      <c r="AJ599" s="168"/>
      <c r="AK599" s="168"/>
      <c r="AL599" s="168"/>
      <c r="AM599" s="168"/>
      <c r="AN599" s="168"/>
      <c r="AO599" s="168"/>
      <c r="AP599" s="166"/>
    </row>
    <row r="600" spans="1:42" s="160" customFormat="1" x14ac:dyDescent="0.25">
      <c r="A600" s="121"/>
      <c r="B600" s="121"/>
      <c r="C600" s="121"/>
      <c r="D600" s="121"/>
      <c r="E600" s="122"/>
      <c r="F600" s="123"/>
      <c r="G600" s="123"/>
      <c r="H600" s="123"/>
      <c r="I600" s="156"/>
      <c r="J600" s="129"/>
      <c r="K600" s="157"/>
      <c r="L600" s="157"/>
      <c r="M600" s="125"/>
      <c r="N600" s="126"/>
      <c r="O600" s="125"/>
      <c r="P600" s="126"/>
      <c r="Q600" s="126"/>
      <c r="R600" s="126"/>
      <c r="S600" s="126"/>
      <c r="T600" s="126"/>
      <c r="U600" s="125"/>
      <c r="V600" s="125"/>
      <c r="W600" s="128"/>
      <c r="X600" s="128"/>
      <c r="Y600" s="128"/>
      <c r="Z600" s="128"/>
      <c r="AA600" s="125"/>
      <c r="AB600" s="128"/>
      <c r="AC600" s="118"/>
      <c r="AD600" s="118"/>
      <c r="AE600" s="119"/>
      <c r="AF600" s="119"/>
      <c r="AG600" s="119"/>
      <c r="AH600" s="119"/>
      <c r="AI600" s="169"/>
      <c r="AJ600" s="168"/>
      <c r="AK600" s="168"/>
      <c r="AL600" s="168"/>
      <c r="AM600" s="168"/>
      <c r="AN600" s="168"/>
      <c r="AO600" s="168"/>
      <c r="AP600" s="166"/>
    </row>
    <row r="601" spans="1:42" s="160" customFormat="1" x14ac:dyDescent="0.25">
      <c r="A601" s="115"/>
      <c r="B601" s="115"/>
      <c r="C601" s="115"/>
      <c r="D601" s="115"/>
      <c r="E601" s="116"/>
      <c r="F601" s="117"/>
      <c r="G601" s="117"/>
      <c r="H601" s="117"/>
      <c r="I601" s="154"/>
      <c r="J601" s="120"/>
      <c r="K601" s="155"/>
      <c r="L601" s="155"/>
      <c r="M601" s="118"/>
      <c r="N601" s="119"/>
      <c r="O601" s="118"/>
      <c r="P601" s="119"/>
      <c r="Q601" s="119"/>
      <c r="R601" s="119"/>
      <c r="S601" s="119"/>
      <c r="T601" s="119"/>
      <c r="U601" s="118"/>
      <c r="V601" s="118"/>
      <c r="W601" s="118"/>
      <c r="X601" s="118"/>
      <c r="Y601" s="118"/>
      <c r="Z601" s="131"/>
      <c r="AA601" s="118"/>
      <c r="AB601" s="131"/>
      <c r="AC601" s="118"/>
      <c r="AD601" s="118"/>
      <c r="AE601" s="119"/>
      <c r="AF601" s="119"/>
      <c r="AG601" s="119"/>
      <c r="AH601" s="119"/>
      <c r="AI601" s="167"/>
      <c r="AJ601" s="168"/>
      <c r="AK601" s="168"/>
      <c r="AL601" s="168"/>
      <c r="AM601" s="168"/>
      <c r="AN601" s="168"/>
      <c r="AO601" s="168"/>
      <c r="AP601" s="166"/>
    </row>
    <row r="602" spans="1:42" s="160" customFormat="1" x14ac:dyDescent="0.25">
      <c r="A602" s="121"/>
      <c r="B602" s="121"/>
      <c r="C602" s="121"/>
      <c r="D602" s="121"/>
      <c r="E602" s="122"/>
      <c r="F602" s="123"/>
      <c r="G602" s="123"/>
      <c r="H602" s="123"/>
      <c r="I602" s="156"/>
      <c r="J602" s="129"/>
      <c r="K602" s="157"/>
      <c r="L602" s="157"/>
      <c r="M602" s="125"/>
      <c r="N602" s="126"/>
      <c r="O602" s="125"/>
      <c r="P602" s="126"/>
      <c r="Q602" s="126"/>
      <c r="R602" s="126"/>
      <c r="S602" s="126"/>
      <c r="T602" s="126"/>
      <c r="U602" s="125"/>
      <c r="V602" s="125"/>
      <c r="W602" s="128"/>
      <c r="X602" s="128"/>
      <c r="Y602" s="128"/>
      <c r="Z602" s="128"/>
      <c r="AA602" s="125"/>
      <c r="AB602" s="128"/>
      <c r="AC602" s="118"/>
      <c r="AD602" s="118"/>
      <c r="AE602" s="119"/>
      <c r="AF602" s="119"/>
      <c r="AG602" s="119"/>
      <c r="AH602" s="119"/>
      <c r="AI602" s="169"/>
      <c r="AJ602" s="168"/>
      <c r="AK602" s="168"/>
      <c r="AL602" s="168"/>
      <c r="AM602" s="168"/>
      <c r="AN602" s="168"/>
      <c r="AO602" s="168"/>
      <c r="AP602" s="166"/>
    </row>
    <row r="603" spans="1:42" s="160" customFormat="1" x14ac:dyDescent="0.25">
      <c r="A603" s="115"/>
      <c r="B603" s="115"/>
      <c r="C603" s="115"/>
      <c r="D603" s="115"/>
      <c r="E603" s="116"/>
      <c r="F603" s="117"/>
      <c r="G603" s="117"/>
      <c r="H603" s="117"/>
      <c r="I603" s="154"/>
      <c r="J603" s="120"/>
      <c r="K603" s="155"/>
      <c r="L603" s="155"/>
      <c r="M603" s="118"/>
      <c r="N603" s="119"/>
      <c r="O603" s="118"/>
      <c r="P603" s="119"/>
      <c r="Q603" s="119"/>
      <c r="R603" s="119"/>
      <c r="S603" s="119"/>
      <c r="T603" s="119"/>
      <c r="U603" s="118"/>
      <c r="V603" s="118"/>
      <c r="W603" s="118"/>
      <c r="X603" s="118"/>
      <c r="Y603" s="118"/>
      <c r="Z603" s="131"/>
      <c r="AA603" s="118"/>
      <c r="AB603" s="131"/>
      <c r="AC603" s="118"/>
      <c r="AD603" s="118"/>
      <c r="AE603" s="119"/>
      <c r="AF603" s="119"/>
      <c r="AG603" s="119"/>
      <c r="AH603" s="119"/>
      <c r="AI603" s="167"/>
      <c r="AJ603" s="168"/>
      <c r="AK603" s="168"/>
      <c r="AL603" s="168"/>
      <c r="AM603" s="168"/>
      <c r="AN603" s="168"/>
      <c r="AO603" s="168"/>
      <c r="AP603" s="166"/>
    </row>
    <row r="604" spans="1:42" s="160" customFormat="1" x14ac:dyDescent="0.25">
      <c r="A604" s="121"/>
      <c r="B604" s="121"/>
      <c r="C604" s="121"/>
      <c r="D604" s="121"/>
      <c r="E604" s="122"/>
      <c r="F604" s="123"/>
      <c r="G604" s="123"/>
      <c r="H604" s="123"/>
      <c r="I604" s="156"/>
      <c r="J604" s="129"/>
      <c r="K604" s="157"/>
      <c r="L604" s="157"/>
      <c r="M604" s="125"/>
      <c r="N604" s="126"/>
      <c r="O604" s="125"/>
      <c r="P604" s="126"/>
      <c r="Q604" s="126"/>
      <c r="R604" s="126"/>
      <c r="S604" s="126"/>
      <c r="T604" s="126"/>
      <c r="U604" s="125"/>
      <c r="V604" s="125"/>
      <c r="W604" s="128"/>
      <c r="X604" s="128"/>
      <c r="Y604" s="128"/>
      <c r="Z604" s="128"/>
      <c r="AA604" s="125"/>
      <c r="AB604" s="128"/>
      <c r="AC604" s="118"/>
      <c r="AD604" s="118"/>
      <c r="AE604" s="119"/>
      <c r="AF604" s="119"/>
      <c r="AG604" s="119"/>
      <c r="AH604" s="119"/>
      <c r="AI604" s="169"/>
      <c r="AJ604" s="168"/>
      <c r="AK604" s="168"/>
      <c r="AL604" s="168"/>
      <c r="AM604" s="168"/>
      <c r="AN604" s="168"/>
      <c r="AO604" s="168"/>
      <c r="AP604" s="166"/>
    </row>
    <row r="605" spans="1:42" s="160" customFormat="1" x14ac:dyDescent="0.25">
      <c r="A605" s="115"/>
      <c r="B605" s="115"/>
      <c r="C605" s="115"/>
      <c r="D605" s="115"/>
      <c r="E605" s="116"/>
      <c r="F605" s="117"/>
      <c r="G605" s="117"/>
      <c r="H605" s="117"/>
      <c r="I605" s="154"/>
      <c r="J605" s="120"/>
      <c r="K605" s="155"/>
      <c r="L605" s="155"/>
      <c r="M605" s="118"/>
      <c r="N605" s="119"/>
      <c r="O605" s="118"/>
      <c r="P605" s="119"/>
      <c r="Q605" s="119"/>
      <c r="R605" s="119"/>
      <c r="S605" s="119"/>
      <c r="T605" s="119"/>
      <c r="U605" s="118"/>
      <c r="V605" s="118"/>
      <c r="W605" s="118"/>
      <c r="X605" s="118"/>
      <c r="Y605" s="118"/>
      <c r="Z605" s="131"/>
      <c r="AA605" s="118"/>
      <c r="AB605" s="131"/>
      <c r="AC605" s="118"/>
      <c r="AD605" s="118"/>
      <c r="AE605" s="119"/>
      <c r="AF605" s="119"/>
      <c r="AG605" s="119"/>
      <c r="AH605" s="119"/>
      <c r="AI605" s="167"/>
      <c r="AJ605" s="168"/>
      <c r="AK605" s="168"/>
      <c r="AL605" s="168"/>
      <c r="AM605" s="168"/>
      <c r="AN605" s="168"/>
      <c r="AO605" s="168"/>
      <c r="AP605" s="166"/>
    </row>
    <row r="606" spans="1:42" s="160" customFormat="1" x14ac:dyDescent="0.25">
      <c r="A606" s="121"/>
      <c r="B606" s="121"/>
      <c r="C606" s="121"/>
      <c r="D606" s="121"/>
      <c r="E606" s="122"/>
      <c r="F606" s="123"/>
      <c r="G606" s="123"/>
      <c r="H606" s="123"/>
      <c r="I606" s="156"/>
      <c r="J606" s="129"/>
      <c r="K606" s="157"/>
      <c r="L606" s="157"/>
      <c r="M606" s="125"/>
      <c r="N606" s="126"/>
      <c r="O606" s="125"/>
      <c r="P606" s="126"/>
      <c r="Q606" s="126"/>
      <c r="R606" s="126"/>
      <c r="S606" s="126"/>
      <c r="T606" s="126"/>
      <c r="U606" s="125"/>
      <c r="V606" s="125"/>
      <c r="W606" s="128"/>
      <c r="X606" s="128"/>
      <c r="Y606" s="128"/>
      <c r="Z606" s="128"/>
      <c r="AA606" s="125"/>
      <c r="AB606" s="128"/>
      <c r="AC606" s="118"/>
      <c r="AD606" s="118"/>
      <c r="AE606" s="119"/>
      <c r="AF606" s="119"/>
      <c r="AG606" s="119"/>
      <c r="AH606" s="119"/>
      <c r="AI606" s="169"/>
      <c r="AJ606" s="168"/>
      <c r="AK606" s="168"/>
      <c r="AL606" s="168"/>
      <c r="AM606" s="168"/>
      <c r="AN606" s="168"/>
      <c r="AO606" s="168"/>
      <c r="AP606" s="166"/>
    </row>
    <row r="607" spans="1:42" s="160" customFormat="1" x14ac:dyDescent="0.25">
      <c r="A607" s="115"/>
      <c r="B607" s="115"/>
      <c r="C607" s="115"/>
      <c r="D607" s="115"/>
      <c r="E607" s="116"/>
      <c r="F607" s="117"/>
      <c r="G607" s="117"/>
      <c r="H607" s="117"/>
      <c r="I607" s="154"/>
      <c r="J607" s="120"/>
      <c r="K607" s="155"/>
      <c r="L607" s="155"/>
      <c r="M607" s="118"/>
      <c r="N607" s="119"/>
      <c r="O607" s="118"/>
      <c r="P607" s="119"/>
      <c r="Q607" s="119"/>
      <c r="R607" s="119"/>
      <c r="S607" s="119"/>
      <c r="T607" s="119"/>
      <c r="U607" s="118"/>
      <c r="V607" s="118"/>
      <c r="W607" s="118"/>
      <c r="X607" s="118"/>
      <c r="Y607" s="118"/>
      <c r="Z607" s="131"/>
      <c r="AA607" s="118"/>
      <c r="AB607" s="131"/>
      <c r="AC607" s="118"/>
      <c r="AD607" s="118"/>
      <c r="AE607" s="119"/>
      <c r="AF607" s="119"/>
      <c r="AG607" s="119"/>
      <c r="AH607" s="119"/>
      <c r="AI607" s="167"/>
      <c r="AJ607" s="168"/>
      <c r="AK607" s="168"/>
      <c r="AL607" s="168"/>
      <c r="AM607" s="168"/>
      <c r="AN607" s="168"/>
      <c r="AO607" s="168"/>
      <c r="AP607" s="166"/>
    </row>
    <row r="608" spans="1:42" s="160" customFormat="1" x14ac:dyDescent="0.25">
      <c r="A608" s="121"/>
      <c r="B608" s="121"/>
      <c r="C608" s="121"/>
      <c r="D608" s="121"/>
      <c r="E608" s="122"/>
      <c r="F608" s="123"/>
      <c r="G608" s="123"/>
      <c r="H608" s="123"/>
      <c r="I608" s="156"/>
      <c r="J608" s="129"/>
      <c r="K608" s="157"/>
      <c r="L608" s="157"/>
      <c r="M608" s="125"/>
      <c r="N608" s="126"/>
      <c r="O608" s="125"/>
      <c r="P608" s="126"/>
      <c r="Q608" s="126"/>
      <c r="R608" s="126"/>
      <c r="S608" s="126"/>
      <c r="T608" s="126"/>
      <c r="U608" s="125"/>
      <c r="V608" s="125"/>
      <c r="W608" s="128"/>
      <c r="X608" s="128"/>
      <c r="Y608" s="128"/>
      <c r="Z608" s="128"/>
      <c r="AA608" s="125"/>
      <c r="AB608" s="128"/>
      <c r="AC608" s="118"/>
      <c r="AD608" s="118"/>
      <c r="AE608" s="119"/>
      <c r="AF608" s="119"/>
      <c r="AG608" s="119"/>
      <c r="AH608" s="119"/>
      <c r="AI608" s="169"/>
      <c r="AJ608" s="168"/>
      <c r="AK608" s="168"/>
      <c r="AL608" s="168"/>
      <c r="AM608" s="168"/>
      <c r="AN608" s="168"/>
      <c r="AO608" s="168"/>
      <c r="AP608" s="166"/>
    </row>
    <row r="609" spans="1:42" s="160" customFormat="1" x14ac:dyDescent="0.25">
      <c r="A609" s="115"/>
      <c r="B609" s="115"/>
      <c r="C609" s="115"/>
      <c r="D609" s="115"/>
      <c r="E609" s="116"/>
      <c r="F609" s="117"/>
      <c r="G609" s="117"/>
      <c r="H609" s="117"/>
      <c r="I609" s="154"/>
      <c r="J609" s="120"/>
      <c r="K609" s="155"/>
      <c r="L609" s="155"/>
      <c r="M609" s="118"/>
      <c r="N609" s="119"/>
      <c r="O609" s="118"/>
      <c r="P609" s="119"/>
      <c r="Q609" s="119"/>
      <c r="R609" s="119"/>
      <c r="S609" s="119"/>
      <c r="T609" s="119"/>
      <c r="U609" s="118"/>
      <c r="V609" s="118"/>
      <c r="W609" s="118"/>
      <c r="X609" s="118"/>
      <c r="Y609" s="118"/>
      <c r="Z609" s="131"/>
      <c r="AA609" s="118"/>
      <c r="AB609" s="131"/>
      <c r="AC609" s="118"/>
      <c r="AD609" s="118"/>
      <c r="AE609" s="119"/>
      <c r="AF609" s="119"/>
      <c r="AG609" s="119"/>
      <c r="AH609" s="119"/>
      <c r="AI609" s="167"/>
      <c r="AJ609" s="168"/>
      <c r="AK609" s="168"/>
      <c r="AL609" s="168"/>
      <c r="AM609" s="168"/>
      <c r="AN609" s="168"/>
      <c r="AO609" s="168"/>
      <c r="AP609" s="166"/>
    </row>
    <row r="610" spans="1:42" s="160" customFormat="1" x14ac:dyDescent="0.25">
      <c r="A610" s="121"/>
      <c r="B610" s="121"/>
      <c r="C610" s="121"/>
      <c r="D610" s="121"/>
      <c r="E610" s="122"/>
      <c r="F610" s="123"/>
      <c r="G610" s="123"/>
      <c r="H610" s="123"/>
      <c r="I610" s="156"/>
      <c r="J610" s="129"/>
      <c r="K610" s="157"/>
      <c r="L610" s="157"/>
      <c r="M610" s="125"/>
      <c r="N610" s="126"/>
      <c r="O610" s="125"/>
      <c r="P610" s="126"/>
      <c r="Q610" s="126"/>
      <c r="R610" s="126"/>
      <c r="S610" s="126"/>
      <c r="T610" s="126"/>
      <c r="U610" s="125"/>
      <c r="V610" s="125"/>
      <c r="W610" s="128"/>
      <c r="X610" s="128"/>
      <c r="Y610" s="128"/>
      <c r="Z610" s="128"/>
      <c r="AA610" s="125"/>
      <c r="AB610" s="128"/>
      <c r="AC610" s="118"/>
      <c r="AD610" s="118"/>
      <c r="AE610" s="119"/>
      <c r="AF610" s="119"/>
      <c r="AG610" s="119"/>
      <c r="AH610" s="119"/>
      <c r="AI610" s="169"/>
      <c r="AJ610" s="168"/>
      <c r="AK610" s="168"/>
      <c r="AL610" s="168"/>
      <c r="AM610" s="168"/>
      <c r="AN610" s="168"/>
      <c r="AO610" s="168"/>
      <c r="AP610" s="166"/>
    </row>
    <row r="611" spans="1:42" s="160" customFormat="1" x14ac:dyDescent="0.25">
      <c r="A611" s="115"/>
      <c r="B611" s="115"/>
      <c r="C611" s="115"/>
      <c r="D611" s="115"/>
      <c r="E611" s="116"/>
      <c r="F611" s="117"/>
      <c r="G611" s="117"/>
      <c r="H611" s="117"/>
      <c r="I611" s="154"/>
      <c r="J611" s="120"/>
      <c r="K611" s="155"/>
      <c r="L611" s="155"/>
      <c r="M611" s="118"/>
      <c r="N611" s="119"/>
      <c r="O611" s="118"/>
      <c r="P611" s="119"/>
      <c r="Q611" s="119"/>
      <c r="R611" s="119"/>
      <c r="S611" s="119"/>
      <c r="T611" s="119"/>
      <c r="U611" s="118"/>
      <c r="V611" s="118"/>
      <c r="W611" s="118"/>
      <c r="X611" s="118"/>
      <c r="Y611" s="118"/>
      <c r="Z611" s="131"/>
      <c r="AA611" s="118"/>
      <c r="AB611" s="131"/>
      <c r="AC611" s="118"/>
      <c r="AD611" s="118"/>
      <c r="AE611" s="119"/>
      <c r="AF611" s="119"/>
      <c r="AG611" s="119"/>
      <c r="AH611" s="119"/>
      <c r="AI611" s="167"/>
      <c r="AJ611" s="168"/>
      <c r="AK611" s="168"/>
      <c r="AL611" s="168"/>
      <c r="AM611" s="168"/>
      <c r="AN611" s="168"/>
      <c r="AO611" s="168"/>
      <c r="AP611" s="166"/>
    </row>
    <row r="612" spans="1:42" s="160" customFormat="1" x14ac:dyDescent="0.25">
      <c r="A612" s="121"/>
      <c r="B612" s="121"/>
      <c r="C612" s="121"/>
      <c r="D612" s="121"/>
      <c r="E612" s="122"/>
      <c r="F612" s="123"/>
      <c r="G612" s="123"/>
      <c r="H612" s="123"/>
      <c r="I612" s="156"/>
      <c r="J612" s="129"/>
      <c r="K612" s="157"/>
      <c r="L612" s="157"/>
      <c r="M612" s="125"/>
      <c r="N612" s="126"/>
      <c r="O612" s="125"/>
      <c r="P612" s="126"/>
      <c r="Q612" s="126"/>
      <c r="R612" s="126"/>
      <c r="S612" s="126"/>
      <c r="T612" s="126"/>
      <c r="U612" s="125"/>
      <c r="V612" s="125"/>
      <c r="W612" s="128"/>
      <c r="X612" s="128"/>
      <c r="Y612" s="128"/>
      <c r="Z612" s="128"/>
      <c r="AA612" s="125"/>
      <c r="AB612" s="128"/>
      <c r="AC612" s="118"/>
      <c r="AD612" s="118"/>
      <c r="AE612" s="119"/>
      <c r="AF612" s="119"/>
      <c r="AG612" s="119"/>
      <c r="AH612" s="119"/>
      <c r="AI612" s="169"/>
      <c r="AJ612" s="168"/>
      <c r="AK612" s="168"/>
      <c r="AL612" s="168"/>
      <c r="AM612" s="168"/>
      <c r="AN612" s="168"/>
      <c r="AO612" s="168"/>
      <c r="AP612" s="166"/>
    </row>
    <row r="613" spans="1:42" s="160" customFormat="1" x14ac:dyDescent="0.25">
      <c r="A613" s="115"/>
      <c r="B613" s="115"/>
      <c r="C613" s="115"/>
      <c r="D613" s="115"/>
      <c r="E613" s="116"/>
      <c r="F613" s="117"/>
      <c r="G613" s="117"/>
      <c r="H613" s="117"/>
      <c r="I613" s="154"/>
      <c r="J613" s="120"/>
      <c r="K613" s="155"/>
      <c r="L613" s="155"/>
      <c r="M613" s="118"/>
      <c r="N613" s="119"/>
      <c r="O613" s="118"/>
      <c r="P613" s="119"/>
      <c r="Q613" s="119"/>
      <c r="R613" s="119"/>
      <c r="S613" s="119"/>
      <c r="T613" s="119"/>
      <c r="U613" s="118"/>
      <c r="V613" s="118"/>
      <c r="W613" s="118"/>
      <c r="X613" s="118"/>
      <c r="Y613" s="118"/>
      <c r="Z613" s="131"/>
      <c r="AA613" s="118"/>
      <c r="AB613" s="131"/>
      <c r="AC613" s="118"/>
      <c r="AD613" s="118"/>
      <c r="AE613" s="119"/>
      <c r="AF613" s="119"/>
      <c r="AG613" s="119"/>
      <c r="AH613" s="119"/>
      <c r="AI613" s="167"/>
      <c r="AJ613" s="168"/>
      <c r="AK613" s="168"/>
      <c r="AL613" s="168"/>
      <c r="AM613" s="168"/>
      <c r="AN613" s="168"/>
      <c r="AO613" s="168"/>
      <c r="AP613" s="166"/>
    </row>
    <row r="614" spans="1:42" s="160" customFormat="1" x14ac:dyDescent="0.25">
      <c r="A614" s="121"/>
      <c r="B614" s="121"/>
      <c r="C614" s="121"/>
      <c r="D614" s="121"/>
      <c r="E614" s="122"/>
      <c r="F614" s="123"/>
      <c r="G614" s="123"/>
      <c r="H614" s="123"/>
      <c r="I614" s="156"/>
      <c r="J614" s="129"/>
      <c r="K614" s="157"/>
      <c r="L614" s="157"/>
      <c r="M614" s="125"/>
      <c r="N614" s="126"/>
      <c r="O614" s="125"/>
      <c r="P614" s="126"/>
      <c r="Q614" s="126"/>
      <c r="R614" s="126"/>
      <c r="S614" s="126"/>
      <c r="T614" s="126"/>
      <c r="U614" s="125"/>
      <c r="V614" s="125"/>
      <c r="W614" s="128"/>
      <c r="X614" s="128"/>
      <c r="Y614" s="128"/>
      <c r="Z614" s="128"/>
      <c r="AA614" s="125"/>
      <c r="AB614" s="128"/>
      <c r="AC614" s="118"/>
      <c r="AD614" s="118"/>
      <c r="AE614" s="119"/>
      <c r="AF614" s="119"/>
      <c r="AG614" s="119"/>
      <c r="AH614" s="119"/>
      <c r="AI614" s="169"/>
      <c r="AJ614" s="168"/>
      <c r="AK614" s="168"/>
      <c r="AL614" s="168"/>
      <c r="AM614" s="168"/>
      <c r="AN614" s="168"/>
      <c r="AO614" s="168"/>
      <c r="AP614" s="166"/>
    </row>
    <row r="615" spans="1:42" s="160" customFormat="1" x14ac:dyDescent="0.25">
      <c r="A615" s="115"/>
      <c r="B615" s="115"/>
      <c r="C615" s="115"/>
      <c r="D615" s="115"/>
      <c r="E615" s="116"/>
      <c r="F615" s="117"/>
      <c r="G615" s="117"/>
      <c r="H615" s="117"/>
      <c r="I615" s="154"/>
      <c r="J615" s="120"/>
      <c r="K615" s="155"/>
      <c r="L615" s="155"/>
      <c r="M615" s="118"/>
      <c r="N615" s="119"/>
      <c r="O615" s="118"/>
      <c r="P615" s="119"/>
      <c r="Q615" s="119"/>
      <c r="R615" s="119"/>
      <c r="S615" s="119"/>
      <c r="T615" s="119"/>
      <c r="U615" s="118"/>
      <c r="V615" s="118"/>
      <c r="W615" s="118"/>
      <c r="X615" s="118"/>
      <c r="Y615" s="118"/>
      <c r="Z615" s="131"/>
      <c r="AA615" s="118"/>
      <c r="AB615" s="131"/>
      <c r="AC615" s="118"/>
      <c r="AD615" s="118"/>
      <c r="AE615" s="119"/>
      <c r="AF615" s="119"/>
      <c r="AG615" s="119"/>
      <c r="AH615" s="119"/>
      <c r="AI615" s="167"/>
      <c r="AJ615" s="168"/>
      <c r="AK615" s="168"/>
      <c r="AL615" s="168"/>
      <c r="AM615" s="168"/>
      <c r="AN615" s="168"/>
      <c r="AO615" s="168"/>
      <c r="AP615" s="166"/>
    </row>
    <row r="616" spans="1:42" s="160" customFormat="1" x14ac:dyDescent="0.25">
      <c r="A616" s="121"/>
      <c r="B616" s="121"/>
      <c r="C616" s="121"/>
      <c r="D616" s="121"/>
      <c r="E616" s="122"/>
      <c r="F616" s="123"/>
      <c r="G616" s="123"/>
      <c r="H616" s="123"/>
      <c r="I616" s="156"/>
      <c r="J616" s="129"/>
      <c r="K616" s="157"/>
      <c r="L616" s="157"/>
      <c r="M616" s="125"/>
      <c r="N616" s="126"/>
      <c r="O616" s="125"/>
      <c r="P616" s="126"/>
      <c r="Q616" s="126"/>
      <c r="R616" s="126"/>
      <c r="S616" s="126"/>
      <c r="T616" s="126"/>
      <c r="U616" s="125"/>
      <c r="V616" s="125"/>
      <c r="W616" s="128"/>
      <c r="X616" s="128"/>
      <c r="Y616" s="128"/>
      <c r="Z616" s="128"/>
      <c r="AA616" s="125"/>
      <c r="AB616" s="128"/>
      <c r="AC616" s="118"/>
      <c r="AD616" s="118"/>
      <c r="AE616" s="119"/>
      <c r="AF616" s="119"/>
      <c r="AG616" s="119"/>
      <c r="AH616" s="119"/>
      <c r="AI616" s="169"/>
      <c r="AJ616" s="168"/>
      <c r="AK616" s="168"/>
      <c r="AL616" s="168"/>
      <c r="AM616" s="168"/>
      <c r="AN616" s="168"/>
      <c r="AO616" s="168"/>
      <c r="AP616" s="166"/>
    </row>
    <row r="617" spans="1:42" s="160" customFormat="1" x14ac:dyDescent="0.25">
      <c r="A617" s="115"/>
      <c r="B617" s="115"/>
      <c r="C617" s="115"/>
      <c r="D617" s="115"/>
      <c r="E617" s="116"/>
      <c r="F617" s="117"/>
      <c r="G617" s="117"/>
      <c r="H617" s="117"/>
      <c r="I617" s="154"/>
      <c r="J617" s="120"/>
      <c r="K617" s="155"/>
      <c r="L617" s="155"/>
      <c r="M617" s="118"/>
      <c r="N617" s="119"/>
      <c r="O617" s="118"/>
      <c r="P617" s="119"/>
      <c r="Q617" s="119"/>
      <c r="R617" s="119"/>
      <c r="S617" s="119"/>
      <c r="T617" s="119"/>
      <c r="U617" s="118"/>
      <c r="V617" s="118"/>
      <c r="W617" s="118"/>
      <c r="X617" s="118"/>
      <c r="Y617" s="118"/>
      <c r="Z617" s="131"/>
      <c r="AA617" s="118"/>
      <c r="AB617" s="131"/>
      <c r="AC617" s="118"/>
      <c r="AD617" s="118"/>
      <c r="AE617" s="119"/>
      <c r="AF617" s="119"/>
      <c r="AG617" s="119"/>
      <c r="AH617" s="119"/>
      <c r="AI617" s="167"/>
      <c r="AJ617" s="168"/>
      <c r="AK617" s="168"/>
      <c r="AL617" s="168"/>
      <c r="AM617" s="168"/>
      <c r="AN617" s="168"/>
      <c r="AO617" s="168"/>
      <c r="AP617" s="166"/>
    </row>
    <row r="618" spans="1:42" s="160" customFormat="1" x14ac:dyDescent="0.25">
      <c r="A618" s="121"/>
      <c r="B618" s="121"/>
      <c r="C618" s="121"/>
      <c r="D618" s="121"/>
      <c r="E618" s="122"/>
      <c r="F618" s="123"/>
      <c r="G618" s="123"/>
      <c r="H618" s="123"/>
      <c r="I618" s="156"/>
      <c r="J618" s="129"/>
      <c r="K618" s="157"/>
      <c r="L618" s="157"/>
      <c r="M618" s="125"/>
      <c r="N618" s="126"/>
      <c r="O618" s="125"/>
      <c r="P618" s="126"/>
      <c r="Q618" s="126"/>
      <c r="R618" s="126"/>
      <c r="S618" s="126"/>
      <c r="T618" s="126"/>
      <c r="U618" s="125"/>
      <c r="V618" s="125"/>
      <c r="W618" s="128"/>
      <c r="X618" s="128"/>
      <c r="Y618" s="128"/>
      <c r="Z618" s="128"/>
      <c r="AA618" s="125"/>
      <c r="AB618" s="128"/>
      <c r="AC618" s="118"/>
      <c r="AD618" s="118"/>
      <c r="AE618" s="119"/>
      <c r="AF618" s="119"/>
      <c r="AG618" s="119"/>
      <c r="AH618" s="119"/>
      <c r="AI618" s="169"/>
      <c r="AJ618" s="168"/>
      <c r="AK618" s="168"/>
      <c r="AL618" s="168"/>
      <c r="AM618" s="168"/>
      <c r="AN618" s="168"/>
      <c r="AO618" s="168"/>
      <c r="AP618" s="166"/>
    </row>
    <row r="619" spans="1:42" s="160" customFormat="1" x14ac:dyDescent="0.25">
      <c r="A619" s="115"/>
      <c r="B619" s="115"/>
      <c r="C619" s="115"/>
      <c r="D619" s="115"/>
      <c r="E619" s="116"/>
      <c r="F619" s="117"/>
      <c r="G619" s="117"/>
      <c r="H619" s="117"/>
      <c r="I619" s="154"/>
      <c r="J619" s="120"/>
      <c r="K619" s="155"/>
      <c r="L619" s="155"/>
      <c r="M619" s="118"/>
      <c r="N619" s="119"/>
      <c r="O619" s="118"/>
      <c r="P619" s="119"/>
      <c r="Q619" s="119"/>
      <c r="R619" s="119"/>
      <c r="S619" s="119"/>
      <c r="T619" s="119"/>
      <c r="U619" s="118"/>
      <c r="V619" s="118"/>
      <c r="W619" s="118"/>
      <c r="X619" s="118"/>
      <c r="Y619" s="118"/>
      <c r="Z619" s="131"/>
      <c r="AA619" s="118"/>
      <c r="AB619" s="131"/>
      <c r="AC619" s="118"/>
      <c r="AD619" s="118"/>
      <c r="AE619" s="119"/>
      <c r="AF619" s="119"/>
      <c r="AG619" s="119"/>
      <c r="AH619" s="119"/>
      <c r="AI619" s="167"/>
      <c r="AJ619" s="168"/>
      <c r="AK619" s="168"/>
      <c r="AL619" s="168"/>
      <c r="AM619" s="168"/>
      <c r="AN619" s="168"/>
      <c r="AO619" s="168"/>
      <c r="AP619" s="166"/>
    </row>
    <row r="620" spans="1:42" s="160" customFormat="1" x14ac:dyDescent="0.25">
      <c r="A620" s="115"/>
      <c r="B620" s="115"/>
      <c r="C620" s="115"/>
      <c r="D620" s="117"/>
      <c r="E620" s="117"/>
      <c r="F620" s="117"/>
      <c r="G620" s="117"/>
      <c r="H620" s="117"/>
      <c r="I620" s="117"/>
      <c r="J620" s="117"/>
      <c r="K620" s="117"/>
      <c r="L620" s="117"/>
      <c r="M620" s="162"/>
      <c r="N620" s="117"/>
      <c r="O620" s="117"/>
      <c r="P620" s="117"/>
      <c r="Q620" s="117"/>
      <c r="R620" s="117"/>
      <c r="S620" s="117"/>
      <c r="T620" s="117"/>
      <c r="U620" s="117"/>
      <c r="V620" s="163"/>
      <c r="W620" s="164"/>
      <c r="X620" s="164"/>
      <c r="Y620" s="164"/>
      <c r="Z620" s="164"/>
      <c r="AA620" s="117"/>
      <c r="AB620" s="164"/>
      <c r="AC620" s="164"/>
      <c r="AD620" s="164"/>
      <c r="AE620" s="164"/>
      <c r="AF620" s="164"/>
      <c r="AG620" s="164"/>
      <c r="AI620" s="165"/>
      <c r="AJ620" s="166"/>
      <c r="AP620" s="166"/>
    </row>
    <row r="621" spans="1:42" s="160" customFormat="1" x14ac:dyDescent="0.25">
      <c r="A621" s="115"/>
      <c r="B621" s="115"/>
      <c r="C621" s="115"/>
      <c r="D621" s="117"/>
      <c r="E621" s="117"/>
      <c r="F621" s="117"/>
      <c r="G621" s="117"/>
      <c r="H621" s="117"/>
      <c r="I621" s="117"/>
      <c r="J621" s="117"/>
      <c r="K621" s="117"/>
      <c r="L621" s="117"/>
      <c r="M621" s="162"/>
      <c r="N621" s="117"/>
      <c r="O621" s="117"/>
      <c r="P621" s="117"/>
      <c r="Q621" s="117"/>
      <c r="R621" s="117"/>
      <c r="S621" s="117"/>
      <c r="T621" s="117"/>
      <c r="U621" s="117"/>
      <c r="V621" s="163"/>
      <c r="W621" s="164"/>
      <c r="X621" s="164"/>
      <c r="Y621" s="164"/>
      <c r="Z621" s="164"/>
      <c r="AA621" s="117"/>
      <c r="AB621" s="164"/>
      <c r="AC621" s="164"/>
      <c r="AD621" s="164"/>
      <c r="AE621" s="164"/>
      <c r="AF621" s="164"/>
      <c r="AG621" s="164"/>
      <c r="AI621" s="165"/>
      <c r="AJ621" s="166"/>
      <c r="AP621" s="166"/>
    </row>
    <row r="622" spans="1:42" s="160" customFormat="1" x14ac:dyDescent="0.25">
      <c r="A622" s="115"/>
      <c r="B622" s="115"/>
      <c r="C622" s="115"/>
      <c r="D622" s="117"/>
      <c r="E622" s="117"/>
      <c r="F622" s="117"/>
      <c r="G622" s="117"/>
      <c r="H622" s="117"/>
      <c r="I622" s="117"/>
      <c r="J622" s="117"/>
      <c r="K622" s="117"/>
      <c r="L622" s="117"/>
      <c r="M622" s="162"/>
      <c r="N622" s="117"/>
      <c r="O622" s="117"/>
      <c r="P622" s="117"/>
      <c r="Q622" s="117"/>
      <c r="R622" s="117"/>
      <c r="S622" s="117"/>
      <c r="T622" s="117"/>
      <c r="U622" s="117"/>
      <c r="V622" s="163"/>
      <c r="W622" s="164"/>
      <c r="X622" s="164"/>
      <c r="Y622" s="164"/>
      <c r="Z622" s="164"/>
      <c r="AA622" s="117"/>
      <c r="AB622" s="164"/>
      <c r="AC622" s="164"/>
      <c r="AD622" s="164"/>
      <c r="AE622" s="164"/>
      <c r="AF622" s="164"/>
      <c r="AG622" s="164"/>
      <c r="AI622" s="165"/>
      <c r="AJ622" s="166"/>
      <c r="AP622" s="166"/>
    </row>
    <row r="623" spans="1:42" s="160" customFormat="1" x14ac:dyDescent="0.25">
      <c r="A623" s="115"/>
      <c r="B623" s="115"/>
      <c r="C623" s="115"/>
      <c r="D623" s="117"/>
      <c r="E623" s="117"/>
      <c r="F623" s="117"/>
      <c r="G623" s="117"/>
      <c r="H623" s="117"/>
      <c r="I623" s="117"/>
      <c r="J623" s="117"/>
      <c r="K623" s="117"/>
      <c r="L623" s="117"/>
      <c r="M623" s="162"/>
      <c r="N623" s="117"/>
      <c r="O623" s="117"/>
      <c r="P623" s="117"/>
      <c r="Q623" s="117"/>
      <c r="R623" s="117"/>
      <c r="S623" s="117"/>
      <c r="T623" s="117"/>
      <c r="U623" s="117"/>
      <c r="V623" s="163"/>
      <c r="W623" s="164"/>
      <c r="X623" s="164"/>
      <c r="Y623" s="164"/>
      <c r="Z623" s="164"/>
      <c r="AA623" s="117"/>
      <c r="AB623" s="164"/>
      <c r="AC623" s="164"/>
      <c r="AD623" s="164"/>
      <c r="AE623" s="164"/>
      <c r="AF623" s="164"/>
      <c r="AG623" s="164"/>
      <c r="AI623" s="165"/>
      <c r="AJ623" s="166"/>
      <c r="AP623" s="166"/>
    </row>
    <row r="624" spans="1:42" s="160" customFormat="1" x14ac:dyDescent="0.25">
      <c r="A624" s="115"/>
      <c r="B624" s="115"/>
      <c r="C624" s="115"/>
      <c r="D624" s="117"/>
      <c r="E624" s="117"/>
      <c r="F624" s="117"/>
      <c r="G624" s="117"/>
      <c r="H624" s="117"/>
      <c r="I624" s="117"/>
      <c r="J624" s="117"/>
      <c r="K624" s="117"/>
      <c r="L624" s="117"/>
      <c r="M624" s="162"/>
      <c r="N624" s="117"/>
      <c r="O624" s="117"/>
      <c r="P624" s="117"/>
      <c r="Q624" s="117"/>
      <c r="R624" s="117"/>
      <c r="S624" s="117"/>
      <c r="T624" s="117"/>
      <c r="U624" s="117"/>
      <c r="V624" s="163"/>
      <c r="W624" s="164"/>
      <c r="X624" s="164"/>
      <c r="Y624" s="164"/>
      <c r="Z624" s="164"/>
      <c r="AA624" s="117"/>
      <c r="AB624" s="164"/>
      <c r="AC624" s="164"/>
      <c r="AD624" s="164"/>
      <c r="AE624" s="164"/>
      <c r="AF624" s="164"/>
      <c r="AG624" s="164"/>
      <c r="AI624" s="165"/>
      <c r="AJ624" s="166"/>
      <c r="AP624" s="166"/>
    </row>
    <row r="625" spans="1:42" s="160" customFormat="1" x14ac:dyDescent="0.25">
      <c r="A625" s="115"/>
      <c r="B625" s="115"/>
      <c r="C625" s="115"/>
      <c r="D625" s="117"/>
      <c r="E625" s="117"/>
      <c r="F625" s="117"/>
      <c r="G625" s="117"/>
      <c r="H625" s="117"/>
      <c r="I625" s="117"/>
      <c r="J625" s="117"/>
      <c r="K625" s="117"/>
      <c r="L625" s="117"/>
      <c r="M625" s="162"/>
      <c r="N625" s="117"/>
      <c r="O625" s="117"/>
      <c r="P625" s="117"/>
      <c r="Q625" s="117"/>
      <c r="R625" s="117"/>
      <c r="S625" s="117"/>
      <c r="T625" s="117"/>
      <c r="U625" s="117"/>
      <c r="V625" s="163"/>
      <c r="W625" s="164"/>
      <c r="X625" s="164"/>
      <c r="Y625" s="164"/>
      <c r="Z625" s="164"/>
      <c r="AA625" s="117"/>
      <c r="AB625" s="164"/>
      <c r="AC625" s="164"/>
      <c r="AD625" s="164"/>
      <c r="AE625" s="164"/>
      <c r="AF625" s="164"/>
      <c r="AG625" s="164"/>
      <c r="AI625" s="165"/>
      <c r="AJ625" s="166"/>
      <c r="AP625" s="166"/>
    </row>
    <row r="626" spans="1:42" s="160" customFormat="1" x14ac:dyDescent="0.25">
      <c r="A626" s="115"/>
      <c r="B626" s="115"/>
      <c r="C626" s="115"/>
      <c r="D626" s="117"/>
      <c r="E626" s="117"/>
      <c r="F626" s="117"/>
      <c r="G626" s="117"/>
      <c r="H626" s="117"/>
      <c r="I626" s="117"/>
      <c r="J626" s="117"/>
      <c r="K626" s="117"/>
      <c r="L626" s="117"/>
      <c r="M626" s="162"/>
      <c r="N626" s="117"/>
      <c r="O626" s="117"/>
      <c r="P626" s="117"/>
      <c r="Q626" s="117"/>
      <c r="R626" s="117"/>
      <c r="S626" s="117"/>
      <c r="T626" s="117"/>
      <c r="U626" s="117"/>
      <c r="V626" s="163"/>
      <c r="W626" s="164"/>
      <c r="X626" s="164"/>
      <c r="Y626" s="164"/>
      <c r="Z626" s="164"/>
      <c r="AA626" s="117"/>
      <c r="AB626" s="164"/>
      <c r="AC626" s="164"/>
      <c r="AD626" s="164"/>
      <c r="AE626" s="164"/>
      <c r="AF626" s="164"/>
      <c r="AG626" s="164"/>
      <c r="AI626" s="165"/>
      <c r="AJ626" s="166"/>
      <c r="AP626" s="166"/>
    </row>
    <row r="627" spans="1:42" s="160" customFormat="1" x14ac:dyDescent="0.25">
      <c r="A627" s="115"/>
      <c r="B627" s="115"/>
      <c r="C627" s="115"/>
      <c r="D627" s="117"/>
      <c r="E627" s="117"/>
      <c r="F627" s="117"/>
      <c r="G627" s="117"/>
      <c r="H627" s="117"/>
      <c r="I627" s="117"/>
      <c r="J627" s="117"/>
      <c r="K627" s="117"/>
      <c r="L627" s="117"/>
      <c r="M627" s="162"/>
      <c r="N627" s="117"/>
      <c r="O627" s="117"/>
      <c r="P627" s="117"/>
      <c r="Q627" s="117"/>
      <c r="R627" s="117"/>
      <c r="S627" s="117"/>
      <c r="T627" s="117"/>
      <c r="U627" s="117"/>
      <c r="V627" s="163"/>
      <c r="W627" s="164"/>
      <c r="X627" s="164"/>
      <c r="Y627" s="164"/>
      <c r="Z627" s="164"/>
      <c r="AA627" s="117"/>
      <c r="AB627" s="164"/>
      <c r="AC627" s="164"/>
      <c r="AD627" s="164"/>
      <c r="AE627" s="164"/>
      <c r="AF627" s="164"/>
      <c r="AG627" s="164"/>
      <c r="AI627" s="165"/>
      <c r="AJ627" s="166"/>
      <c r="AP627" s="166"/>
    </row>
    <row r="628" spans="1:42" s="160" customFormat="1" x14ac:dyDescent="0.25">
      <c r="A628" s="115"/>
      <c r="B628" s="115"/>
      <c r="C628" s="115"/>
      <c r="D628" s="117"/>
      <c r="E628" s="117"/>
      <c r="F628" s="117"/>
      <c r="G628" s="117"/>
      <c r="H628" s="117"/>
      <c r="I628" s="117"/>
      <c r="J628" s="117"/>
      <c r="K628" s="117"/>
      <c r="L628" s="117"/>
      <c r="M628" s="162"/>
      <c r="N628" s="117"/>
      <c r="O628" s="117"/>
      <c r="P628" s="117"/>
      <c r="Q628" s="117"/>
      <c r="R628" s="117"/>
      <c r="S628" s="117"/>
      <c r="T628" s="117"/>
      <c r="U628" s="117"/>
      <c r="V628" s="163"/>
      <c r="W628" s="164"/>
      <c r="X628" s="164"/>
      <c r="Y628" s="164"/>
      <c r="Z628" s="164"/>
      <c r="AA628" s="117"/>
      <c r="AB628" s="164"/>
      <c r="AC628" s="164"/>
      <c r="AD628" s="164"/>
      <c r="AE628" s="164"/>
      <c r="AF628" s="164"/>
      <c r="AG628" s="164"/>
      <c r="AI628" s="165"/>
      <c r="AJ628" s="166"/>
      <c r="AP628" s="166"/>
    </row>
    <row r="629" spans="1:42" s="160" customFormat="1" x14ac:dyDescent="0.25">
      <c r="A629" s="115"/>
      <c r="B629" s="115"/>
      <c r="C629" s="115"/>
      <c r="D629" s="117"/>
      <c r="E629" s="117"/>
      <c r="F629" s="117"/>
      <c r="G629" s="117"/>
      <c r="H629" s="117"/>
      <c r="I629" s="117"/>
      <c r="J629" s="117"/>
      <c r="K629" s="117"/>
      <c r="L629" s="117"/>
      <c r="M629" s="162"/>
      <c r="N629" s="117"/>
      <c r="O629" s="117"/>
      <c r="P629" s="117"/>
      <c r="Q629" s="117"/>
      <c r="R629" s="117"/>
      <c r="S629" s="117"/>
      <c r="T629" s="117"/>
      <c r="U629" s="117"/>
      <c r="V629" s="163"/>
      <c r="W629" s="164"/>
      <c r="X629" s="164"/>
      <c r="Y629" s="164"/>
      <c r="Z629" s="164"/>
      <c r="AA629" s="117"/>
      <c r="AB629" s="164"/>
      <c r="AC629" s="164"/>
      <c r="AD629" s="164"/>
      <c r="AE629" s="164"/>
      <c r="AF629" s="164"/>
      <c r="AG629" s="164"/>
      <c r="AI629" s="165"/>
      <c r="AJ629" s="166"/>
      <c r="AP629" s="166"/>
    </row>
    <row r="630" spans="1:42" s="160" customFormat="1" x14ac:dyDescent="0.25">
      <c r="A630" s="115"/>
      <c r="B630" s="115"/>
      <c r="C630" s="115"/>
      <c r="D630" s="117"/>
      <c r="E630" s="117"/>
      <c r="F630" s="117"/>
      <c r="G630" s="117"/>
      <c r="H630" s="117"/>
      <c r="I630" s="117"/>
      <c r="J630" s="117"/>
      <c r="K630" s="117"/>
      <c r="L630" s="117"/>
      <c r="M630" s="162"/>
      <c r="N630" s="117"/>
      <c r="O630" s="117"/>
      <c r="P630" s="117"/>
      <c r="Q630" s="117"/>
      <c r="R630" s="117"/>
      <c r="S630" s="117"/>
      <c r="T630" s="117"/>
      <c r="U630" s="117"/>
      <c r="V630" s="163"/>
      <c r="W630" s="164"/>
      <c r="X630" s="164"/>
      <c r="Y630" s="164"/>
      <c r="Z630" s="164"/>
      <c r="AA630" s="117"/>
      <c r="AB630" s="164"/>
      <c r="AC630" s="164"/>
      <c r="AD630" s="164"/>
      <c r="AE630" s="164"/>
      <c r="AF630" s="164"/>
      <c r="AG630" s="164"/>
      <c r="AI630" s="165"/>
      <c r="AJ630" s="166"/>
      <c r="AP630" s="166"/>
    </row>
    <row r="631" spans="1:42" s="160" customFormat="1" x14ac:dyDescent="0.25">
      <c r="A631" s="115"/>
      <c r="B631" s="115"/>
      <c r="C631" s="115"/>
      <c r="D631" s="117"/>
      <c r="E631" s="117"/>
      <c r="F631" s="117"/>
      <c r="G631" s="117"/>
      <c r="H631" s="117"/>
      <c r="I631" s="117"/>
      <c r="J631" s="117"/>
      <c r="K631" s="117"/>
      <c r="L631" s="117"/>
      <c r="M631" s="162"/>
      <c r="N631" s="117"/>
      <c r="O631" s="117"/>
      <c r="P631" s="117"/>
      <c r="Q631" s="117"/>
      <c r="R631" s="117"/>
      <c r="S631" s="117"/>
      <c r="T631" s="117"/>
      <c r="U631" s="117"/>
      <c r="V631" s="163"/>
      <c r="W631" s="164"/>
      <c r="X631" s="164"/>
      <c r="Y631" s="164"/>
      <c r="Z631" s="164"/>
      <c r="AA631" s="117"/>
      <c r="AB631" s="164"/>
      <c r="AC631" s="164"/>
      <c r="AD631" s="164"/>
      <c r="AE631" s="164"/>
      <c r="AF631" s="164"/>
      <c r="AG631" s="164"/>
      <c r="AI631" s="165"/>
      <c r="AJ631" s="166"/>
      <c r="AP631" s="166"/>
    </row>
    <row r="632" spans="1:42" s="160" customFormat="1" x14ac:dyDescent="0.25">
      <c r="A632" s="115"/>
      <c r="B632" s="115"/>
      <c r="C632" s="115"/>
      <c r="D632" s="117"/>
      <c r="E632" s="117"/>
      <c r="F632" s="117"/>
      <c r="G632" s="117"/>
      <c r="H632" s="117"/>
      <c r="I632" s="117"/>
      <c r="J632" s="117"/>
      <c r="K632" s="117"/>
      <c r="L632" s="117"/>
      <c r="M632" s="162"/>
      <c r="N632" s="117"/>
      <c r="O632" s="117"/>
      <c r="P632" s="117"/>
      <c r="Q632" s="117"/>
      <c r="R632" s="117"/>
      <c r="S632" s="117"/>
      <c r="T632" s="117"/>
      <c r="U632" s="117"/>
      <c r="V632" s="163"/>
      <c r="W632" s="164"/>
      <c r="X632" s="164"/>
      <c r="Y632" s="164"/>
      <c r="Z632" s="164"/>
      <c r="AA632" s="117"/>
      <c r="AB632" s="164"/>
      <c r="AC632" s="164"/>
      <c r="AD632" s="164"/>
      <c r="AE632" s="164"/>
      <c r="AF632" s="164"/>
      <c r="AG632" s="164"/>
      <c r="AI632" s="165"/>
      <c r="AJ632" s="166"/>
      <c r="AP632" s="166"/>
    </row>
    <row r="633" spans="1:42" s="160" customFormat="1" x14ac:dyDescent="0.25">
      <c r="A633" s="115"/>
      <c r="B633" s="115"/>
      <c r="C633" s="115"/>
      <c r="D633" s="117"/>
      <c r="E633" s="117"/>
      <c r="F633" s="117"/>
      <c r="G633" s="117"/>
      <c r="H633" s="117"/>
      <c r="I633" s="117"/>
      <c r="J633" s="117"/>
      <c r="K633" s="117"/>
      <c r="L633" s="117"/>
      <c r="M633" s="162"/>
      <c r="N633" s="117"/>
      <c r="O633" s="117"/>
      <c r="P633" s="117"/>
      <c r="Q633" s="117"/>
      <c r="R633" s="117"/>
      <c r="S633" s="117"/>
      <c r="T633" s="117"/>
      <c r="U633" s="117"/>
      <c r="V633" s="163"/>
      <c r="W633" s="164"/>
      <c r="X633" s="164"/>
      <c r="Y633" s="164"/>
      <c r="Z633" s="164"/>
      <c r="AA633" s="117"/>
      <c r="AB633" s="164"/>
      <c r="AC633" s="164"/>
      <c r="AD633" s="164"/>
      <c r="AE633" s="164"/>
      <c r="AF633" s="164"/>
      <c r="AG633" s="164"/>
      <c r="AI633" s="165"/>
      <c r="AJ633" s="166"/>
      <c r="AP633" s="166"/>
    </row>
    <row r="634" spans="1:42" s="160" customFormat="1" x14ac:dyDescent="0.25">
      <c r="A634" s="115"/>
      <c r="B634" s="115"/>
      <c r="C634" s="115"/>
      <c r="D634" s="117"/>
      <c r="E634" s="117"/>
      <c r="F634" s="117"/>
      <c r="G634" s="117"/>
      <c r="H634" s="117"/>
      <c r="I634" s="117"/>
      <c r="J634" s="117"/>
      <c r="K634" s="117"/>
      <c r="L634" s="117"/>
      <c r="M634" s="162"/>
      <c r="N634" s="117"/>
      <c r="O634" s="117"/>
      <c r="P634" s="117"/>
      <c r="Q634" s="117"/>
      <c r="R634" s="117"/>
      <c r="S634" s="117"/>
      <c r="T634" s="117"/>
      <c r="U634" s="117"/>
      <c r="V634" s="163"/>
      <c r="W634" s="164"/>
      <c r="X634" s="164"/>
      <c r="Y634" s="164"/>
      <c r="Z634" s="164"/>
      <c r="AA634" s="117"/>
      <c r="AB634" s="164"/>
      <c r="AC634" s="164"/>
      <c r="AD634" s="164"/>
      <c r="AE634" s="164"/>
      <c r="AF634" s="164"/>
      <c r="AG634" s="164"/>
      <c r="AI634" s="165"/>
      <c r="AJ634" s="166"/>
      <c r="AP634" s="166"/>
    </row>
    <row r="635" spans="1:42" s="160" customFormat="1" x14ac:dyDescent="0.25">
      <c r="A635" s="115"/>
      <c r="B635" s="115"/>
      <c r="C635" s="115"/>
      <c r="D635" s="117"/>
      <c r="E635" s="117"/>
      <c r="F635" s="117"/>
      <c r="G635" s="117"/>
      <c r="H635" s="117"/>
      <c r="I635" s="117"/>
      <c r="J635" s="117"/>
      <c r="K635" s="117"/>
      <c r="L635" s="117"/>
      <c r="M635" s="162"/>
      <c r="N635" s="117"/>
      <c r="O635" s="117"/>
      <c r="P635" s="117"/>
      <c r="Q635" s="117"/>
      <c r="R635" s="117"/>
      <c r="S635" s="117"/>
      <c r="T635" s="117"/>
      <c r="U635" s="117"/>
      <c r="V635" s="163"/>
      <c r="W635" s="164"/>
      <c r="X635" s="164"/>
      <c r="Y635" s="164"/>
      <c r="Z635" s="164"/>
      <c r="AA635" s="117"/>
      <c r="AB635" s="164"/>
      <c r="AC635" s="164"/>
      <c r="AD635" s="164"/>
      <c r="AE635" s="164"/>
      <c r="AF635" s="164"/>
      <c r="AG635" s="164"/>
      <c r="AI635" s="165"/>
      <c r="AJ635" s="166"/>
      <c r="AP635" s="166"/>
    </row>
    <row r="636" spans="1:42" s="160" customFormat="1" x14ac:dyDescent="0.25">
      <c r="A636" s="115"/>
      <c r="B636" s="115"/>
      <c r="C636" s="115"/>
      <c r="D636" s="117"/>
      <c r="E636" s="117"/>
      <c r="F636" s="117"/>
      <c r="G636" s="117"/>
      <c r="H636" s="117"/>
      <c r="I636" s="117"/>
      <c r="J636" s="117"/>
      <c r="K636" s="117"/>
      <c r="L636" s="117"/>
      <c r="M636" s="162"/>
      <c r="N636" s="117"/>
      <c r="O636" s="117"/>
      <c r="P636" s="117"/>
      <c r="Q636" s="117"/>
      <c r="R636" s="117"/>
      <c r="S636" s="117"/>
      <c r="T636" s="117"/>
      <c r="U636" s="117"/>
      <c r="V636" s="163"/>
      <c r="W636" s="164"/>
      <c r="X636" s="164"/>
      <c r="Y636" s="164"/>
      <c r="Z636" s="164"/>
      <c r="AA636" s="117"/>
      <c r="AB636" s="164"/>
      <c r="AC636" s="164"/>
      <c r="AD636" s="164"/>
      <c r="AE636" s="164"/>
      <c r="AF636" s="164"/>
      <c r="AG636" s="164"/>
      <c r="AI636" s="165"/>
      <c r="AJ636" s="166"/>
      <c r="AP636" s="166"/>
    </row>
    <row r="637" spans="1:42" s="160" customFormat="1" x14ac:dyDescent="0.25">
      <c r="A637" s="115"/>
      <c r="B637" s="115"/>
      <c r="C637" s="115"/>
      <c r="D637" s="117"/>
      <c r="E637" s="117"/>
      <c r="F637" s="117"/>
      <c r="G637" s="117"/>
      <c r="H637" s="117"/>
      <c r="I637" s="117"/>
      <c r="J637" s="117"/>
      <c r="K637" s="117"/>
      <c r="L637" s="117"/>
      <c r="M637" s="162"/>
      <c r="N637" s="117"/>
      <c r="O637" s="117"/>
      <c r="P637" s="117"/>
      <c r="Q637" s="117"/>
      <c r="R637" s="117"/>
      <c r="S637" s="117"/>
      <c r="T637" s="117"/>
      <c r="U637" s="117"/>
      <c r="V637" s="163"/>
      <c r="W637" s="164"/>
      <c r="X637" s="164"/>
      <c r="Y637" s="164"/>
      <c r="Z637" s="164"/>
      <c r="AA637" s="117"/>
      <c r="AB637" s="164"/>
      <c r="AC637" s="164"/>
      <c r="AD637" s="164"/>
      <c r="AE637" s="164"/>
      <c r="AF637" s="164"/>
      <c r="AG637" s="164"/>
      <c r="AI637" s="165"/>
      <c r="AJ637" s="166"/>
      <c r="AP637" s="166"/>
    </row>
    <row r="638" spans="1:42" s="160" customFormat="1" x14ac:dyDescent="0.25">
      <c r="A638" s="115"/>
      <c r="B638" s="115"/>
      <c r="C638" s="115"/>
      <c r="D638" s="117"/>
      <c r="E638" s="117"/>
      <c r="F638" s="117"/>
      <c r="G638" s="117"/>
      <c r="H638" s="117"/>
      <c r="I638" s="117"/>
      <c r="J638" s="117"/>
      <c r="K638" s="117"/>
      <c r="L638" s="117"/>
      <c r="M638" s="162"/>
      <c r="N638" s="117"/>
      <c r="O638" s="117"/>
      <c r="P638" s="117"/>
      <c r="Q638" s="117"/>
      <c r="R638" s="117"/>
      <c r="S638" s="117"/>
      <c r="T638" s="117"/>
      <c r="U638" s="117"/>
      <c r="V638" s="163"/>
      <c r="W638" s="164"/>
      <c r="X638" s="164"/>
      <c r="Y638" s="164"/>
      <c r="Z638" s="164"/>
      <c r="AA638" s="117"/>
      <c r="AB638" s="164"/>
      <c r="AC638" s="164"/>
      <c r="AD638" s="164"/>
      <c r="AE638" s="164"/>
      <c r="AF638" s="164"/>
      <c r="AG638" s="164"/>
      <c r="AI638" s="165"/>
      <c r="AJ638" s="166"/>
      <c r="AP638" s="166"/>
    </row>
    <row r="639" spans="1:42" s="160" customFormat="1" x14ac:dyDescent="0.25">
      <c r="A639" s="115"/>
      <c r="B639" s="115"/>
      <c r="C639" s="115"/>
      <c r="D639" s="117"/>
      <c r="E639" s="117"/>
      <c r="F639" s="117"/>
      <c r="G639" s="117"/>
      <c r="H639" s="117"/>
      <c r="I639" s="117"/>
      <c r="J639" s="117"/>
      <c r="K639" s="117"/>
      <c r="L639" s="117"/>
      <c r="M639" s="162"/>
      <c r="N639" s="117"/>
      <c r="O639" s="117"/>
      <c r="P639" s="117"/>
      <c r="Q639" s="117"/>
      <c r="R639" s="117"/>
      <c r="S639" s="117"/>
      <c r="T639" s="117"/>
      <c r="U639" s="117"/>
      <c r="V639" s="163"/>
      <c r="W639" s="164"/>
      <c r="X639" s="164"/>
      <c r="Y639" s="164"/>
      <c r="Z639" s="164"/>
      <c r="AA639" s="117"/>
      <c r="AB639" s="164"/>
      <c r="AC639" s="164"/>
      <c r="AD639" s="164"/>
      <c r="AE639" s="164"/>
      <c r="AF639" s="164"/>
      <c r="AG639" s="164"/>
      <c r="AI639" s="165"/>
      <c r="AJ639" s="166"/>
      <c r="AP639" s="166"/>
    </row>
    <row r="640" spans="1:42" s="160" customFormat="1" x14ac:dyDescent="0.25">
      <c r="A640" s="115"/>
      <c r="B640" s="115"/>
      <c r="C640" s="115"/>
      <c r="D640" s="117"/>
      <c r="E640" s="117"/>
      <c r="F640" s="117"/>
      <c r="G640" s="117"/>
      <c r="H640" s="117"/>
      <c r="I640" s="117"/>
      <c r="J640" s="117"/>
      <c r="K640" s="117"/>
      <c r="L640" s="117"/>
      <c r="M640" s="162"/>
      <c r="N640" s="117"/>
      <c r="O640" s="117"/>
      <c r="P640" s="117"/>
      <c r="Q640" s="117"/>
      <c r="R640" s="117"/>
      <c r="S640" s="117"/>
      <c r="T640" s="117"/>
      <c r="U640" s="117"/>
      <c r="V640" s="163"/>
      <c r="W640" s="164"/>
      <c r="X640" s="164"/>
      <c r="Y640" s="164"/>
      <c r="Z640" s="164"/>
      <c r="AA640" s="117"/>
      <c r="AB640" s="164"/>
      <c r="AC640" s="164"/>
      <c r="AD640" s="164"/>
      <c r="AE640" s="164"/>
      <c r="AF640" s="164"/>
      <c r="AG640" s="164"/>
      <c r="AI640" s="165"/>
      <c r="AJ640" s="166"/>
      <c r="AP640" s="166"/>
    </row>
    <row r="641" spans="1:42" s="160" customFormat="1" x14ac:dyDescent="0.25">
      <c r="A641" s="115"/>
      <c r="B641" s="115"/>
      <c r="C641" s="115"/>
      <c r="D641" s="117"/>
      <c r="E641" s="117"/>
      <c r="F641" s="117"/>
      <c r="G641" s="117"/>
      <c r="H641" s="117"/>
      <c r="I641" s="117"/>
      <c r="J641" s="117"/>
      <c r="K641" s="117"/>
      <c r="L641" s="117"/>
      <c r="M641" s="162"/>
      <c r="N641" s="117"/>
      <c r="O641" s="117"/>
      <c r="P641" s="117"/>
      <c r="Q641" s="117"/>
      <c r="R641" s="117"/>
      <c r="S641" s="117"/>
      <c r="T641" s="117"/>
      <c r="U641" s="117"/>
      <c r="V641" s="163"/>
      <c r="W641" s="164"/>
      <c r="X641" s="164"/>
      <c r="Y641" s="164"/>
      <c r="Z641" s="164"/>
      <c r="AA641" s="117"/>
      <c r="AB641" s="164"/>
      <c r="AC641" s="164"/>
      <c r="AD641" s="164"/>
      <c r="AE641" s="164"/>
      <c r="AF641" s="164"/>
      <c r="AG641" s="164"/>
      <c r="AI641" s="165"/>
      <c r="AJ641" s="166"/>
      <c r="AP641" s="166"/>
    </row>
    <row r="642" spans="1:42" s="160" customFormat="1" x14ac:dyDescent="0.25">
      <c r="A642" s="115"/>
      <c r="B642" s="115"/>
      <c r="C642" s="115"/>
      <c r="D642" s="117"/>
      <c r="E642" s="117"/>
      <c r="F642" s="117"/>
      <c r="G642" s="117"/>
      <c r="H642" s="117"/>
      <c r="I642" s="117"/>
      <c r="J642" s="117"/>
      <c r="K642" s="117"/>
      <c r="L642" s="117"/>
      <c r="M642" s="162"/>
      <c r="N642" s="117"/>
      <c r="O642" s="117"/>
      <c r="P642" s="117"/>
      <c r="Q642" s="117"/>
      <c r="R642" s="117"/>
      <c r="S642" s="117"/>
      <c r="T642" s="117"/>
      <c r="U642" s="117"/>
      <c r="V642" s="163"/>
      <c r="W642" s="164"/>
      <c r="X642" s="164"/>
      <c r="Y642" s="164"/>
      <c r="Z642" s="164"/>
      <c r="AA642" s="117"/>
      <c r="AB642" s="164"/>
      <c r="AC642" s="164"/>
      <c r="AD642" s="164"/>
      <c r="AE642" s="164"/>
      <c r="AF642" s="164"/>
      <c r="AG642" s="164"/>
      <c r="AI642" s="165"/>
      <c r="AJ642" s="166"/>
      <c r="AP642" s="166"/>
    </row>
    <row r="643" spans="1:42" s="160" customFormat="1" x14ac:dyDescent="0.25">
      <c r="A643" s="115"/>
      <c r="B643" s="115"/>
      <c r="C643" s="115"/>
      <c r="D643" s="117"/>
      <c r="E643" s="117"/>
      <c r="F643" s="117"/>
      <c r="G643" s="117"/>
      <c r="H643" s="117"/>
      <c r="I643" s="117"/>
      <c r="J643" s="117"/>
      <c r="K643" s="117"/>
      <c r="L643" s="117"/>
      <c r="M643" s="162"/>
      <c r="N643" s="117"/>
      <c r="O643" s="117"/>
      <c r="P643" s="117"/>
      <c r="Q643" s="117"/>
      <c r="R643" s="117"/>
      <c r="S643" s="117"/>
      <c r="T643" s="117"/>
      <c r="U643" s="117"/>
      <c r="V643" s="163"/>
      <c r="W643" s="164"/>
      <c r="X643" s="164"/>
      <c r="Y643" s="164"/>
      <c r="Z643" s="164"/>
      <c r="AA643" s="117"/>
      <c r="AB643" s="164"/>
      <c r="AC643" s="164"/>
      <c r="AD643" s="164"/>
      <c r="AE643" s="164"/>
      <c r="AF643" s="164"/>
      <c r="AG643" s="164"/>
      <c r="AI643" s="165"/>
      <c r="AJ643" s="166"/>
      <c r="AP643" s="166"/>
    </row>
    <row r="644" spans="1:42" s="160" customFormat="1" x14ac:dyDescent="0.25">
      <c r="A644" s="115"/>
      <c r="B644" s="115"/>
      <c r="C644" s="115"/>
      <c r="D644" s="117"/>
      <c r="E644" s="117"/>
      <c r="F644" s="117"/>
      <c r="G644" s="117"/>
      <c r="H644" s="117"/>
      <c r="I644" s="117"/>
      <c r="J644" s="117"/>
      <c r="K644" s="117"/>
      <c r="L644" s="117"/>
      <c r="M644" s="162"/>
      <c r="N644" s="117"/>
      <c r="O644" s="117"/>
      <c r="P644" s="117"/>
      <c r="Q644" s="117"/>
      <c r="R644" s="117"/>
      <c r="S644" s="117"/>
      <c r="T644" s="117"/>
      <c r="U644" s="117"/>
      <c r="V644" s="163"/>
      <c r="W644" s="164"/>
      <c r="X644" s="164"/>
      <c r="Y644" s="164"/>
      <c r="Z644" s="164"/>
      <c r="AA644" s="117"/>
      <c r="AB644" s="164"/>
      <c r="AC644" s="164"/>
      <c r="AD644" s="164"/>
      <c r="AE644" s="164"/>
      <c r="AF644" s="164"/>
      <c r="AG644" s="164"/>
      <c r="AI644" s="165"/>
      <c r="AJ644" s="166"/>
      <c r="AP644" s="166"/>
    </row>
    <row r="645" spans="1:42" s="160" customFormat="1" x14ac:dyDescent="0.25">
      <c r="A645" s="115"/>
      <c r="B645" s="115"/>
      <c r="C645" s="115"/>
      <c r="D645" s="117"/>
      <c r="E645" s="117"/>
      <c r="F645" s="117"/>
      <c r="G645" s="117"/>
      <c r="H645" s="117"/>
      <c r="I645" s="117"/>
      <c r="J645" s="117"/>
      <c r="K645" s="117"/>
      <c r="L645" s="117"/>
      <c r="M645" s="162"/>
      <c r="N645" s="117"/>
      <c r="O645" s="117"/>
      <c r="P645" s="117"/>
      <c r="Q645" s="117"/>
      <c r="R645" s="117"/>
      <c r="S645" s="117"/>
      <c r="T645" s="117"/>
      <c r="U645" s="117"/>
      <c r="V645" s="163"/>
      <c r="W645" s="164"/>
      <c r="X645" s="164"/>
      <c r="Y645" s="164"/>
      <c r="Z645" s="164"/>
      <c r="AA645" s="117"/>
      <c r="AB645" s="164"/>
      <c r="AC645" s="164"/>
      <c r="AD645" s="164"/>
      <c r="AE645" s="164"/>
      <c r="AF645" s="164"/>
      <c r="AG645" s="164"/>
      <c r="AI645" s="165"/>
      <c r="AJ645" s="166"/>
      <c r="AP645" s="166"/>
    </row>
    <row r="646" spans="1:42" s="160" customFormat="1" x14ac:dyDescent="0.25">
      <c r="A646" s="115"/>
      <c r="B646" s="115"/>
      <c r="C646" s="115"/>
      <c r="D646" s="117"/>
      <c r="E646" s="117"/>
      <c r="F646" s="117"/>
      <c r="G646" s="117"/>
      <c r="H646" s="117"/>
      <c r="I646" s="117"/>
      <c r="J646" s="117"/>
      <c r="K646" s="117"/>
      <c r="L646" s="117"/>
      <c r="M646" s="162"/>
      <c r="N646" s="117"/>
      <c r="O646" s="117"/>
      <c r="P646" s="117"/>
      <c r="Q646" s="117"/>
      <c r="R646" s="117"/>
      <c r="S646" s="117"/>
      <c r="T646" s="117"/>
      <c r="U646" s="117"/>
      <c r="V646" s="163"/>
      <c r="W646" s="164"/>
      <c r="X646" s="164"/>
      <c r="Y646" s="164"/>
      <c r="Z646" s="164"/>
      <c r="AA646" s="117"/>
      <c r="AB646" s="164"/>
      <c r="AC646" s="164"/>
      <c r="AD646" s="164"/>
      <c r="AE646" s="164"/>
      <c r="AF646" s="164"/>
      <c r="AG646" s="164"/>
      <c r="AI646" s="165"/>
      <c r="AJ646" s="166"/>
      <c r="AP646" s="166"/>
    </row>
    <row r="647" spans="1:42" s="160" customFormat="1" x14ac:dyDescent="0.25">
      <c r="A647" s="115"/>
      <c r="B647" s="115"/>
      <c r="C647" s="115"/>
      <c r="D647" s="117"/>
      <c r="E647" s="117"/>
      <c r="F647" s="117"/>
      <c r="G647" s="117"/>
      <c r="H647" s="117"/>
      <c r="I647" s="117"/>
      <c r="J647" s="117"/>
      <c r="K647" s="117"/>
      <c r="L647" s="117"/>
      <c r="M647" s="162"/>
      <c r="N647" s="117"/>
      <c r="O647" s="117"/>
      <c r="P647" s="117"/>
      <c r="Q647" s="117"/>
      <c r="R647" s="117"/>
      <c r="S647" s="117"/>
      <c r="T647" s="117"/>
      <c r="U647" s="117"/>
      <c r="V647" s="163"/>
      <c r="W647" s="164"/>
      <c r="X647" s="164"/>
      <c r="Y647" s="164"/>
      <c r="Z647" s="164"/>
      <c r="AA647" s="117"/>
      <c r="AB647" s="164"/>
      <c r="AC647" s="164"/>
      <c r="AD647" s="164"/>
      <c r="AE647" s="164"/>
      <c r="AF647" s="164"/>
      <c r="AG647" s="164"/>
      <c r="AI647" s="165"/>
      <c r="AJ647" s="166"/>
      <c r="AP647" s="166"/>
    </row>
    <row r="648" spans="1:42" s="160" customFormat="1" x14ac:dyDescent="0.25">
      <c r="A648" s="115"/>
      <c r="B648" s="115"/>
      <c r="C648" s="115"/>
      <c r="D648" s="117"/>
      <c r="E648" s="117"/>
      <c r="F648" s="117"/>
      <c r="G648" s="117"/>
      <c r="H648" s="117"/>
      <c r="I648" s="117"/>
      <c r="J648" s="117"/>
      <c r="K648" s="117"/>
      <c r="L648" s="117"/>
      <c r="M648" s="162"/>
      <c r="N648" s="117"/>
      <c r="O648" s="117"/>
      <c r="P648" s="117"/>
      <c r="Q648" s="117"/>
      <c r="R648" s="117"/>
      <c r="S648" s="117"/>
      <c r="T648" s="117"/>
      <c r="U648" s="117"/>
      <c r="V648" s="163"/>
      <c r="W648" s="164"/>
      <c r="X648" s="164"/>
      <c r="Y648" s="164"/>
      <c r="Z648" s="164"/>
      <c r="AA648" s="117"/>
      <c r="AB648" s="164"/>
      <c r="AC648" s="164"/>
      <c r="AD648" s="164"/>
      <c r="AE648" s="164"/>
      <c r="AF648" s="164"/>
      <c r="AG648" s="164"/>
      <c r="AI648" s="165"/>
      <c r="AJ648" s="166"/>
      <c r="AP648" s="166"/>
    </row>
    <row r="649" spans="1:42" s="160" customFormat="1" x14ac:dyDescent="0.25">
      <c r="A649" s="115"/>
      <c r="B649" s="115"/>
      <c r="C649" s="115"/>
      <c r="D649" s="117"/>
      <c r="E649" s="117"/>
      <c r="F649" s="117"/>
      <c r="G649" s="117"/>
      <c r="H649" s="117"/>
      <c r="I649" s="117"/>
      <c r="J649" s="117"/>
      <c r="K649" s="117"/>
      <c r="L649" s="117"/>
      <c r="M649" s="162"/>
      <c r="N649" s="117"/>
      <c r="O649" s="117"/>
      <c r="P649" s="117"/>
      <c r="Q649" s="117"/>
      <c r="R649" s="117"/>
      <c r="S649" s="117"/>
      <c r="T649" s="117"/>
      <c r="U649" s="117"/>
      <c r="V649" s="163"/>
      <c r="W649" s="164"/>
      <c r="X649" s="164"/>
      <c r="Y649" s="164"/>
      <c r="Z649" s="164"/>
      <c r="AA649" s="117"/>
      <c r="AB649" s="164"/>
      <c r="AC649" s="164"/>
      <c r="AD649" s="164"/>
      <c r="AE649" s="164"/>
      <c r="AF649" s="164"/>
      <c r="AG649" s="164"/>
      <c r="AI649" s="165"/>
      <c r="AJ649" s="166"/>
      <c r="AP649" s="166"/>
    </row>
    <row r="650" spans="1:42" s="160" customFormat="1" x14ac:dyDescent="0.25">
      <c r="A650" s="115"/>
      <c r="B650" s="115"/>
      <c r="C650" s="115"/>
      <c r="D650" s="117"/>
      <c r="E650" s="117"/>
      <c r="F650" s="117"/>
      <c r="G650" s="117"/>
      <c r="H650" s="117"/>
      <c r="I650" s="117"/>
      <c r="J650" s="117"/>
      <c r="K650" s="117"/>
      <c r="L650" s="117"/>
      <c r="M650" s="162"/>
      <c r="N650" s="117"/>
      <c r="O650" s="117"/>
      <c r="P650" s="117"/>
      <c r="Q650" s="117"/>
      <c r="R650" s="117"/>
      <c r="S650" s="117"/>
      <c r="T650" s="117"/>
      <c r="U650" s="117"/>
      <c r="V650" s="163"/>
      <c r="W650" s="164"/>
      <c r="X650" s="164"/>
      <c r="Y650" s="164"/>
      <c r="Z650" s="164"/>
      <c r="AA650" s="117"/>
      <c r="AB650" s="164"/>
      <c r="AC650" s="164"/>
      <c r="AD650" s="164"/>
      <c r="AE650" s="164"/>
      <c r="AF650" s="164"/>
      <c r="AG650" s="164"/>
      <c r="AI650" s="165"/>
      <c r="AJ650" s="166"/>
      <c r="AP650" s="166"/>
    </row>
    <row r="651" spans="1:42" s="160" customFormat="1" x14ac:dyDescent="0.25">
      <c r="A651" s="115"/>
      <c r="B651" s="115"/>
      <c r="C651" s="115"/>
      <c r="D651" s="117"/>
      <c r="E651" s="117"/>
      <c r="F651" s="117"/>
      <c r="G651" s="117"/>
      <c r="H651" s="117"/>
      <c r="I651" s="117"/>
      <c r="J651" s="117"/>
      <c r="K651" s="117"/>
      <c r="L651" s="117"/>
      <c r="M651" s="162"/>
      <c r="N651" s="117"/>
      <c r="O651" s="117"/>
      <c r="P651" s="117"/>
      <c r="Q651" s="117"/>
      <c r="R651" s="117"/>
      <c r="S651" s="117"/>
      <c r="T651" s="117"/>
      <c r="U651" s="117"/>
      <c r="V651" s="163"/>
      <c r="W651" s="164"/>
      <c r="X651" s="164"/>
      <c r="Y651" s="164"/>
      <c r="Z651" s="164"/>
      <c r="AA651" s="117"/>
      <c r="AB651" s="164"/>
      <c r="AC651" s="164"/>
      <c r="AD651" s="164"/>
      <c r="AE651" s="164"/>
      <c r="AF651" s="164"/>
      <c r="AG651" s="164"/>
      <c r="AI651" s="165"/>
      <c r="AJ651" s="166"/>
      <c r="AP651" s="166"/>
    </row>
    <row r="652" spans="1:42" s="160" customFormat="1" x14ac:dyDescent="0.25">
      <c r="A652" s="115"/>
      <c r="B652" s="115"/>
      <c r="C652" s="115"/>
      <c r="D652" s="117"/>
      <c r="E652" s="117"/>
      <c r="F652" s="117"/>
      <c r="G652" s="117"/>
      <c r="H652" s="117"/>
      <c r="I652" s="117"/>
      <c r="J652" s="117"/>
      <c r="K652" s="117"/>
      <c r="L652" s="117"/>
      <c r="M652" s="162"/>
      <c r="N652" s="117"/>
      <c r="O652" s="117"/>
      <c r="P652" s="117"/>
      <c r="Q652" s="117"/>
      <c r="R652" s="117"/>
      <c r="S652" s="117"/>
      <c r="T652" s="117"/>
      <c r="U652" s="117"/>
      <c r="V652" s="163"/>
      <c r="W652" s="164"/>
      <c r="X652" s="164"/>
      <c r="Y652" s="164"/>
      <c r="Z652" s="164"/>
      <c r="AA652" s="117"/>
      <c r="AB652" s="164"/>
      <c r="AC652" s="164"/>
      <c r="AD652" s="164"/>
      <c r="AE652" s="164"/>
      <c r="AF652" s="164"/>
      <c r="AG652" s="164"/>
      <c r="AI652" s="165"/>
      <c r="AJ652" s="166"/>
      <c r="AP652" s="166"/>
    </row>
    <row r="653" spans="1:42" s="160" customFormat="1" x14ac:dyDescent="0.25">
      <c r="A653" s="115"/>
      <c r="B653" s="115"/>
      <c r="C653" s="115"/>
      <c r="D653" s="117"/>
      <c r="E653" s="117"/>
      <c r="F653" s="117"/>
      <c r="G653" s="117"/>
      <c r="H653" s="117"/>
      <c r="I653" s="117"/>
      <c r="J653" s="117"/>
      <c r="K653" s="117"/>
      <c r="L653" s="117"/>
      <c r="M653" s="162"/>
      <c r="N653" s="117"/>
      <c r="O653" s="117"/>
      <c r="P653" s="117"/>
      <c r="Q653" s="117"/>
      <c r="R653" s="117"/>
      <c r="S653" s="117"/>
      <c r="T653" s="117"/>
      <c r="U653" s="117"/>
      <c r="V653" s="163"/>
      <c r="W653" s="164"/>
      <c r="X653" s="164"/>
      <c r="Y653" s="164"/>
      <c r="Z653" s="164"/>
      <c r="AA653" s="117"/>
      <c r="AB653" s="164"/>
      <c r="AC653" s="164"/>
      <c r="AD653" s="164"/>
      <c r="AE653" s="164"/>
      <c r="AF653" s="164"/>
      <c r="AG653" s="164"/>
      <c r="AI653" s="165"/>
      <c r="AJ653" s="166"/>
      <c r="AP653" s="166"/>
    </row>
    <row r="654" spans="1:42" s="160" customFormat="1" x14ac:dyDescent="0.25">
      <c r="A654" s="115"/>
      <c r="B654" s="115"/>
      <c r="C654" s="115"/>
      <c r="D654" s="117"/>
      <c r="E654" s="117"/>
      <c r="F654" s="117"/>
      <c r="G654" s="117"/>
      <c r="H654" s="117"/>
      <c r="I654" s="117"/>
      <c r="J654" s="117"/>
      <c r="K654" s="117"/>
      <c r="L654" s="117"/>
      <c r="M654" s="162"/>
      <c r="N654" s="117"/>
      <c r="O654" s="117"/>
      <c r="P654" s="117"/>
      <c r="Q654" s="117"/>
      <c r="R654" s="117"/>
      <c r="S654" s="117"/>
      <c r="T654" s="117"/>
      <c r="U654" s="117"/>
      <c r="V654" s="163"/>
      <c r="W654" s="164"/>
      <c r="X654" s="164"/>
      <c r="Y654" s="164"/>
      <c r="Z654" s="164"/>
      <c r="AA654" s="117"/>
      <c r="AB654" s="164"/>
      <c r="AC654" s="164"/>
      <c r="AD654" s="164"/>
      <c r="AE654" s="164"/>
      <c r="AF654" s="164"/>
      <c r="AG654" s="164"/>
      <c r="AI654" s="165"/>
      <c r="AJ654" s="166"/>
      <c r="AP654" s="166"/>
    </row>
    <row r="655" spans="1:42" s="160" customFormat="1" x14ac:dyDescent="0.25">
      <c r="A655" s="115"/>
      <c r="B655" s="115"/>
      <c r="C655" s="115"/>
      <c r="D655" s="117"/>
      <c r="E655" s="117"/>
      <c r="F655" s="117"/>
      <c r="G655" s="117"/>
      <c r="H655" s="117"/>
      <c r="I655" s="117"/>
      <c r="J655" s="117"/>
      <c r="K655" s="117"/>
      <c r="L655" s="117"/>
      <c r="M655" s="162"/>
      <c r="N655" s="117"/>
      <c r="O655" s="117"/>
      <c r="P655" s="117"/>
      <c r="Q655" s="117"/>
      <c r="R655" s="117"/>
      <c r="S655" s="117"/>
      <c r="T655" s="117"/>
      <c r="U655" s="117"/>
      <c r="V655" s="163"/>
      <c r="W655" s="164"/>
      <c r="X655" s="164"/>
      <c r="Y655" s="164"/>
      <c r="Z655" s="164"/>
      <c r="AA655" s="117"/>
      <c r="AB655" s="164"/>
      <c r="AC655" s="164"/>
      <c r="AD655" s="164"/>
      <c r="AE655" s="164"/>
      <c r="AF655" s="164"/>
      <c r="AG655" s="164"/>
      <c r="AI655" s="165"/>
      <c r="AJ655" s="166"/>
      <c r="AP655" s="166"/>
    </row>
    <row r="656" spans="1:42" s="160" customFormat="1" x14ac:dyDescent="0.25">
      <c r="A656" s="115"/>
      <c r="B656" s="115"/>
      <c r="C656" s="115"/>
      <c r="D656" s="117"/>
      <c r="E656" s="117"/>
      <c r="F656" s="117"/>
      <c r="G656" s="117"/>
      <c r="H656" s="117"/>
      <c r="I656" s="117"/>
      <c r="J656" s="117"/>
      <c r="K656" s="117"/>
      <c r="L656" s="117"/>
      <c r="M656" s="162"/>
      <c r="N656" s="117"/>
      <c r="O656" s="117"/>
      <c r="P656" s="117"/>
      <c r="Q656" s="117"/>
      <c r="R656" s="117"/>
      <c r="S656" s="117"/>
      <c r="T656" s="117"/>
      <c r="U656" s="117"/>
      <c r="V656" s="163"/>
      <c r="W656" s="164"/>
      <c r="X656" s="164"/>
      <c r="Y656" s="164"/>
      <c r="Z656" s="164"/>
      <c r="AA656" s="117"/>
      <c r="AB656" s="164"/>
      <c r="AC656" s="164"/>
      <c r="AD656" s="164"/>
      <c r="AE656" s="164"/>
      <c r="AF656" s="164"/>
      <c r="AG656" s="164"/>
      <c r="AI656" s="165"/>
      <c r="AJ656" s="166"/>
      <c r="AP656" s="166"/>
    </row>
    <row r="657" spans="1:42" s="160" customFormat="1" x14ac:dyDescent="0.25">
      <c r="A657" s="115"/>
      <c r="B657" s="115"/>
      <c r="C657" s="115"/>
      <c r="D657" s="117"/>
      <c r="E657" s="117"/>
      <c r="F657" s="117"/>
      <c r="G657" s="117"/>
      <c r="H657" s="117"/>
      <c r="I657" s="117"/>
      <c r="J657" s="117"/>
      <c r="K657" s="117"/>
      <c r="L657" s="117"/>
      <c r="M657" s="162"/>
      <c r="N657" s="117"/>
      <c r="O657" s="117"/>
      <c r="P657" s="117"/>
      <c r="Q657" s="117"/>
      <c r="R657" s="117"/>
      <c r="S657" s="117"/>
      <c r="T657" s="117"/>
      <c r="U657" s="117"/>
      <c r="V657" s="163"/>
      <c r="W657" s="164"/>
      <c r="X657" s="164"/>
      <c r="Y657" s="164"/>
      <c r="Z657" s="164"/>
      <c r="AA657" s="117"/>
      <c r="AB657" s="164"/>
      <c r="AC657" s="164"/>
      <c r="AD657" s="164"/>
      <c r="AE657" s="164"/>
      <c r="AF657" s="164"/>
      <c r="AG657" s="164"/>
      <c r="AI657" s="165"/>
      <c r="AJ657" s="166"/>
      <c r="AP657" s="166"/>
    </row>
    <row r="658" spans="1:42" s="160" customFormat="1" x14ac:dyDescent="0.25">
      <c r="A658" s="115"/>
      <c r="B658" s="115"/>
      <c r="C658" s="115"/>
      <c r="D658" s="117"/>
      <c r="E658" s="117"/>
      <c r="F658" s="117"/>
      <c r="G658" s="117"/>
      <c r="H658" s="117"/>
      <c r="I658" s="117"/>
      <c r="J658" s="117"/>
      <c r="K658" s="117"/>
      <c r="L658" s="117"/>
      <c r="M658" s="162"/>
      <c r="N658" s="117"/>
      <c r="O658" s="117"/>
      <c r="P658" s="117"/>
      <c r="Q658" s="117"/>
      <c r="R658" s="117"/>
      <c r="S658" s="117"/>
      <c r="T658" s="117"/>
      <c r="U658" s="117"/>
      <c r="V658" s="163"/>
      <c r="W658" s="164"/>
      <c r="X658" s="164"/>
      <c r="Y658" s="164"/>
      <c r="Z658" s="164"/>
      <c r="AA658" s="117"/>
      <c r="AB658" s="164"/>
      <c r="AC658" s="164"/>
      <c r="AD658" s="164"/>
      <c r="AE658" s="164"/>
      <c r="AF658" s="164"/>
      <c r="AG658" s="164"/>
      <c r="AI658" s="165"/>
      <c r="AJ658" s="166"/>
      <c r="AP658" s="166"/>
    </row>
    <row r="659" spans="1:42" s="160" customFormat="1" x14ac:dyDescent="0.25">
      <c r="A659" s="115"/>
      <c r="B659" s="115"/>
      <c r="C659" s="115"/>
      <c r="D659" s="117"/>
      <c r="E659" s="117"/>
      <c r="F659" s="117"/>
      <c r="G659" s="117"/>
      <c r="H659" s="117"/>
      <c r="I659" s="117"/>
      <c r="J659" s="117"/>
      <c r="K659" s="117"/>
      <c r="L659" s="117"/>
      <c r="M659" s="162"/>
      <c r="N659" s="117"/>
      <c r="O659" s="117"/>
      <c r="P659" s="117"/>
      <c r="Q659" s="117"/>
      <c r="R659" s="117"/>
      <c r="S659" s="117"/>
      <c r="T659" s="117"/>
      <c r="U659" s="117"/>
      <c r="V659" s="163"/>
      <c r="W659" s="164"/>
      <c r="X659" s="164"/>
      <c r="Y659" s="164"/>
      <c r="Z659" s="164"/>
      <c r="AA659" s="117"/>
      <c r="AB659" s="164"/>
      <c r="AC659" s="164"/>
      <c r="AD659" s="164"/>
      <c r="AE659" s="164"/>
      <c r="AF659" s="164"/>
      <c r="AG659" s="164"/>
      <c r="AI659" s="165"/>
      <c r="AJ659" s="166"/>
      <c r="AP659" s="166"/>
    </row>
    <row r="660" spans="1:42" s="160" customFormat="1" x14ac:dyDescent="0.25">
      <c r="A660" s="115"/>
      <c r="B660" s="115"/>
      <c r="C660" s="115"/>
      <c r="D660" s="117"/>
      <c r="E660" s="117"/>
      <c r="F660" s="117"/>
      <c r="G660" s="117"/>
      <c r="H660" s="117"/>
      <c r="I660" s="117"/>
      <c r="J660" s="117"/>
      <c r="K660" s="117"/>
      <c r="L660" s="117"/>
      <c r="M660" s="162"/>
      <c r="N660" s="117"/>
      <c r="O660" s="117"/>
      <c r="P660" s="117"/>
      <c r="Q660" s="117"/>
      <c r="R660" s="117"/>
      <c r="S660" s="117"/>
      <c r="T660" s="117"/>
      <c r="U660" s="117"/>
      <c r="V660" s="163"/>
      <c r="W660" s="164"/>
      <c r="X660" s="164"/>
      <c r="Y660" s="164"/>
      <c r="Z660" s="164"/>
      <c r="AA660" s="117"/>
      <c r="AB660" s="164"/>
      <c r="AC660" s="164"/>
      <c r="AD660" s="164"/>
      <c r="AE660" s="164"/>
      <c r="AF660" s="164"/>
      <c r="AG660" s="164"/>
      <c r="AI660" s="165"/>
      <c r="AJ660" s="166"/>
      <c r="AP660" s="166"/>
    </row>
    <row r="661" spans="1:42" s="160" customFormat="1" x14ac:dyDescent="0.25">
      <c r="A661" s="115"/>
      <c r="B661" s="115"/>
      <c r="C661" s="115"/>
      <c r="D661" s="117"/>
      <c r="E661" s="117"/>
      <c r="F661" s="117"/>
      <c r="G661" s="117"/>
      <c r="H661" s="117"/>
      <c r="I661" s="117"/>
      <c r="J661" s="117"/>
      <c r="K661" s="117"/>
      <c r="L661" s="117"/>
      <c r="M661" s="162"/>
      <c r="N661" s="117"/>
      <c r="O661" s="117"/>
      <c r="P661" s="117"/>
      <c r="Q661" s="117"/>
      <c r="R661" s="117"/>
      <c r="S661" s="117"/>
      <c r="T661" s="117"/>
      <c r="U661" s="117"/>
      <c r="V661" s="163"/>
      <c r="W661" s="164"/>
      <c r="X661" s="164"/>
      <c r="Y661" s="164"/>
      <c r="Z661" s="164"/>
      <c r="AA661" s="117"/>
      <c r="AB661" s="164"/>
      <c r="AC661" s="164"/>
      <c r="AD661" s="164"/>
      <c r="AE661" s="164"/>
      <c r="AF661" s="164"/>
      <c r="AG661" s="164"/>
      <c r="AI661" s="165"/>
      <c r="AJ661" s="166"/>
      <c r="AP661" s="166"/>
    </row>
    <row r="662" spans="1:42" s="160" customFormat="1" x14ac:dyDescent="0.25">
      <c r="A662" s="115"/>
      <c r="B662" s="115"/>
      <c r="C662" s="115"/>
      <c r="D662" s="117"/>
      <c r="E662" s="117"/>
      <c r="F662" s="117"/>
      <c r="G662" s="117"/>
      <c r="H662" s="117"/>
      <c r="I662" s="117"/>
      <c r="J662" s="117"/>
      <c r="K662" s="117"/>
      <c r="L662" s="117"/>
      <c r="M662" s="162"/>
      <c r="N662" s="117"/>
      <c r="O662" s="117"/>
      <c r="P662" s="117"/>
      <c r="Q662" s="117"/>
      <c r="R662" s="117"/>
      <c r="S662" s="117"/>
      <c r="T662" s="117"/>
      <c r="U662" s="117"/>
      <c r="V662" s="163"/>
      <c r="W662" s="164"/>
      <c r="X662" s="164"/>
      <c r="Y662" s="164"/>
      <c r="Z662" s="164"/>
      <c r="AA662" s="117"/>
      <c r="AB662" s="164"/>
      <c r="AC662" s="164"/>
      <c r="AD662" s="164"/>
      <c r="AE662" s="164"/>
      <c r="AF662" s="164"/>
      <c r="AG662" s="164"/>
      <c r="AI662" s="165"/>
      <c r="AJ662" s="166"/>
      <c r="AP662" s="166"/>
    </row>
    <row r="663" spans="1:42" s="160" customFormat="1" x14ac:dyDescent="0.25">
      <c r="A663" s="115"/>
      <c r="B663" s="115"/>
      <c r="C663" s="115"/>
      <c r="D663" s="117"/>
      <c r="E663" s="117"/>
      <c r="F663" s="117"/>
      <c r="G663" s="117"/>
      <c r="H663" s="117"/>
      <c r="I663" s="117"/>
      <c r="J663" s="117"/>
      <c r="K663" s="117"/>
      <c r="L663" s="117"/>
      <c r="M663" s="162"/>
      <c r="N663" s="117"/>
      <c r="O663" s="117"/>
      <c r="P663" s="117"/>
      <c r="Q663" s="117"/>
      <c r="R663" s="117"/>
      <c r="S663" s="117"/>
      <c r="T663" s="117"/>
      <c r="U663" s="117"/>
      <c r="V663" s="163"/>
      <c r="W663" s="164"/>
      <c r="X663" s="164"/>
      <c r="Y663" s="164"/>
      <c r="Z663" s="164"/>
      <c r="AA663" s="117"/>
      <c r="AB663" s="164"/>
      <c r="AC663" s="164"/>
      <c r="AD663" s="164"/>
      <c r="AE663" s="164"/>
      <c r="AF663" s="164"/>
      <c r="AG663" s="164"/>
      <c r="AI663" s="165"/>
      <c r="AJ663" s="166"/>
      <c r="AP663" s="166"/>
    </row>
    <row r="664" spans="1:42" s="160" customFormat="1" x14ac:dyDescent="0.25">
      <c r="A664" s="115"/>
      <c r="B664" s="115"/>
      <c r="C664" s="115"/>
      <c r="D664" s="117"/>
      <c r="E664" s="117"/>
      <c r="F664" s="117"/>
      <c r="G664" s="117"/>
      <c r="H664" s="117"/>
      <c r="I664" s="117"/>
      <c r="J664" s="117"/>
      <c r="K664" s="117"/>
      <c r="L664" s="117"/>
      <c r="M664" s="162"/>
      <c r="N664" s="117"/>
      <c r="O664" s="117"/>
      <c r="P664" s="117"/>
      <c r="Q664" s="117"/>
      <c r="R664" s="117"/>
      <c r="S664" s="117"/>
      <c r="T664" s="117"/>
      <c r="U664" s="117"/>
      <c r="V664" s="163"/>
      <c r="W664" s="164"/>
      <c r="X664" s="164"/>
      <c r="Y664" s="164"/>
      <c r="Z664" s="164"/>
      <c r="AA664" s="117"/>
      <c r="AB664" s="164"/>
      <c r="AC664" s="164"/>
      <c r="AD664" s="164"/>
      <c r="AE664" s="164"/>
      <c r="AF664" s="164"/>
      <c r="AG664" s="164"/>
      <c r="AI664" s="165"/>
      <c r="AJ664" s="166"/>
      <c r="AP664" s="166"/>
    </row>
    <row r="665" spans="1:42" s="160" customFormat="1" x14ac:dyDescent="0.25">
      <c r="A665" s="115"/>
      <c r="B665" s="115"/>
      <c r="C665" s="115"/>
      <c r="D665" s="117"/>
      <c r="E665" s="117"/>
      <c r="F665" s="117"/>
      <c r="G665" s="117"/>
      <c r="H665" s="117"/>
      <c r="I665" s="117"/>
      <c r="J665" s="117"/>
      <c r="K665" s="117"/>
      <c r="L665" s="117"/>
      <c r="M665" s="162"/>
      <c r="N665" s="117"/>
      <c r="O665" s="117"/>
      <c r="P665" s="117"/>
      <c r="Q665" s="117"/>
      <c r="R665" s="117"/>
      <c r="S665" s="117"/>
      <c r="T665" s="117"/>
      <c r="U665" s="117"/>
      <c r="V665" s="163"/>
      <c r="W665" s="164"/>
      <c r="X665" s="164"/>
      <c r="Y665" s="164"/>
      <c r="Z665" s="164"/>
      <c r="AA665" s="117"/>
      <c r="AB665" s="164"/>
      <c r="AC665" s="164"/>
      <c r="AD665" s="164"/>
      <c r="AE665" s="164"/>
      <c r="AF665" s="164"/>
      <c r="AG665" s="164"/>
      <c r="AI665" s="165"/>
      <c r="AJ665" s="166"/>
      <c r="AP665" s="166"/>
    </row>
    <row r="666" spans="1:42" s="160" customFormat="1" x14ac:dyDescent="0.25">
      <c r="A666" s="115"/>
      <c r="B666" s="115"/>
      <c r="C666" s="115"/>
      <c r="D666" s="117"/>
      <c r="E666" s="117"/>
      <c r="F666" s="117"/>
      <c r="G666" s="117"/>
      <c r="H666" s="117"/>
      <c r="I666" s="117"/>
      <c r="J666" s="117"/>
      <c r="K666" s="117"/>
      <c r="L666" s="117"/>
      <c r="M666" s="162"/>
      <c r="N666" s="117"/>
      <c r="O666" s="117"/>
      <c r="P666" s="117"/>
      <c r="Q666" s="117"/>
      <c r="R666" s="117"/>
      <c r="S666" s="117"/>
      <c r="T666" s="117"/>
      <c r="U666" s="117"/>
      <c r="V666" s="163"/>
      <c r="W666" s="164"/>
      <c r="X666" s="164"/>
      <c r="Y666" s="164"/>
      <c r="Z666" s="164"/>
      <c r="AA666" s="117"/>
      <c r="AB666" s="164"/>
      <c r="AC666" s="164"/>
      <c r="AD666" s="164"/>
      <c r="AE666" s="164"/>
      <c r="AF666" s="164"/>
      <c r="AG666" s="164"/>
      <c r="AI666" s="165"/>
      <c r="AJ666" s="166"/>
      <c r="AP666" s="166"/>
    </row>
    <row r="667" spans="1:42" s="160" customFormat="1" x14ac:dyDescent="0.25">
      <c r="A667" s="115"/>
      <c r="B667" s="115"/>
      <c r="C667" s="115"/>
      <c r="D667" s="117"/>
      <c r="E667" s="117"/>
      <c r="F667" s="117"/>
      <c r="G667" s="117"/>
      <c r="H667" s="117"/>
      <c r="I667" s="117"/>
      <c r="J667" s="117"/>
      <c r="K667" s="117"/>
      <c r="L667" s="117"/>
      <c r="M667" s="162"/>
      <c r="N667" s="117"/>
      <c r="O667" s="117"/>
      <c r="P667" s="117"/>
      <c r="Q667" s="117"/>
      <c r="R667" s="117"/>
      <c r="S667" s="117"/>
      <c r="T667" s="117"/>
      <c r="U667" s="117"/>
      <c r="V667" s="163"/>
      <c r="W667" s="164"/>
      <c r="X667" s="164"/>
      <c r="Y667" s="164"/>
      <c r="Z667" s="164"/>
      <c r="AA667" s="117"/>
      <c r="AB667" s="164"/>
      <c r="AC667" s="164"/>
      <c r="AD667" s="164"/>
      <c r="AE667" s="164"/>
      <c r="AF667" s="164"/>
      <c r="AG667" s="164"/>
      <c r="AI667" s="165"/>
      <c r="AJ667" s="166"/>
      <c r="AP667" s="166"/>
    </row>
    <row r="668" spans="1:42" s="160" customFormat="1" x14ac:dyDescent="0.25">
      <c r="A668" s="115"/>
      <c r="B668" s="115"/>
      <c r="C668" s="115"/>
      <c r="D668" s="117"/>
      <c r="E668" s="117"/>
      <c r="F668" s="117"/>
      <c r="G668" s="117"/>
      <c r="H668" s="117"/>
      <c r="I668" s="117"/>
      <c r="J668" s="117"/>
      <c r="K668" s="117"/>
      <c r="L668" s="117"/>
      <c r="M668" s="162"/>
      <c r="N668" s="117"/>
      <c r="O668" s="117"/>
      <c r="P668" s="117"/>
      <c r="Q668" s="117"/>
      <c r="R668" s="117"/>
      <c r="S668" s="117"/>
      <c r="T668" s="117"/>
      <c r="U668" s="117"/>
      <c r="V668" s="163"/>
      <c r="W668" s="164"/>
      <c r="X668" s="164"/>
      <c r="Y668" s="164"/>
      <c r="Z668" s="164"/>
      <c r="AA668" s="117"/>
      <c r="AB668" s="164"/>
      <c r="AC668" s="164"/>
      <c r="AD668" s="164"/>
      <c r="AE668" s="164"/>
      <c r="AF668" s="164"/>
      <c r="AG668" s="164"/>
      <c r="AI668" s="165"/>
      <c r="AJ668" s="166"/>
      <c r="AP668" s="166"/>
    </row>
    <row r="669" spans="1:42" s="160" customFormat="1" x14ac:dyDescent="0.25">
      <c r="A669" s="115"/>
      <c r="B669" s="115"/>
      <c r="C669" s="115"/>
      <c r="D669" s="117"/>
      <c r="E669" s="117"/>
      <c r="F669" s="117"/>
      <c r="G669" s="117"/>
      <c r="H669" s="117"/>
      <c r="I669" s="117"/>
      <c r="J669" s="117"/>
      <c r="K669" s="117"/>
      <c r="L669" s="117"/>
      <c r="M669" s="162"/>
      <c r="N669" s="117"/>
      <c r="O669" s="117"/>
      <c r="P669" s="117"/>
      <c r="Q669" s="117"/>
      <c r="R669" s="117"/>
      <c r="S669" s="117"/>
      <c r="T669" s="117"/>
      <c r="U669" s="117"/>
      <c r="V669" s="163"/>
      <c r="W669" s="164"/>
      <c r="X669" s="164"/>
      <c r="Y669" s="164"/>
      <c r="Z669" s="164"/>
      <c r="AA669" s="117"/>
      <c r="AB669" s="164"/>
      <c r="AC669" s="164"/>
      <c r="AD669" s="164"/>
      <c r="AE669" s="164"/>
      <c r="AF669" s="164"/>
      <c r="AG669" s="164"/>
      <c r="AI669" s="165"/>
      <c r="AJ669" s="166"/>
      <c r="AP669" s="166"/>
    </row>
    <row r="670" spans="1:42" s="160" customFormat="1" x14ac:dyDescent="0.25">
      <c r="A670" s="115"/>
      <c r="B670" s="115"/>
      <c r="C670" s="115"/>
      <c r="D670" s="117"/>
      <c r="E670" s="117"/>
      <c r="F670" s="117"/>
      <c r="G670" s="117"/>
      <c r="H670" s="117"/>
      <c r="I670" s="117"/>
      <c r="J670" s="117"/>
      <c r="K670" s="117"/>
      <c r="L670" s="117"/>
      <c r="M670" s="162"/>
      <c r="N670" s="117"/>
      <c r="O670" s="117"/>
      <c r="P670" s="117"/>
      <c r="Q670" s="117"/>
      <c r="R670" s="117"/>
      <c r="S670" s="117"/>
      <c r="T670" s="117"/>
      <c r="U670" s="117"/>
      <c r="V670" s="163"/>
      <c r="W670" s="164"/>
      <c r="X670" s="164"/>
      <c r="Y670" s="164"/>
      <c r="Z670" s="164"/>
      <c r="AA670" s="117"/>
      <c r="AB670" s="164"/>
      <c r="AC670" s="164"/>
      <c r="AD670" s="164"/>
      <c r="AE670" s="164"/>
      <c r="AF670" s="164"/>
      <c r="AG670" s="164"/>
      <c r="AI670" s="165"/>
      <c r="AJ670" s="166"/>
      <c r="AP670" s="166"/>
    </row>
    <row r="671" spans="1:42" s="160" customFormat="1" x14ac:dyDescent="0.25">
      <c r="A671" s="115"/>
      <c r="B671" s="115"/>
      <c r="C671" s="115"/>
      <c r="D671" s="117"/>
      <c r="E671" s="117"/>
      <c r="F671" s="117"/>
      <c r="G671" s="117"/>
      <c r="H671" s="117"/>
      <c r="I671" s="117"/>
      <c r="J671" s="117"/>
      <c r="K671" s="117"/>
      <c r="L671" s="117"/>
      <c r="M671" s="162"/>
      <c r="N671" s="117"/>
      <c r="O671" s="117"/>
      <c r="P671" s="117"/>
      <c r="Q671" s="117"/>
      <c r="R671" s="117"/>
      <c r="S671" s="117"/>
      <c r="T671" s="117"/>
      <c r="U671" s="117"/>
      <c r="V671" s="163"/>
      <c r="W671" s="164"/>
      <c r="X671" s="164"/>
      <c r="Y671" s="164"/>
      <c r="Z671" s="164"/>
      <c r="AA671" s="117"/>
      <c r="AB671" s="164"/>
      <c r="AC671" s="164"/>
      <c r="AD671" s="164"/>
      <c r="AE671" s="164"/>
      <c r="AF671" s="164"/>
      <c r="AG671" s="164"/>
      <c r="AI671" s="165"/>
      <c r="AJ671" s="166"/>
      <c r="AP671" s="166"/>
    </row>
    <row r="672" spans="1:42" s="160" customFormat="1" x14ac:dyDescent="0.25">
      <c r="A672" s="115"/>
      <c r="B672" s="115"/>
      <c r="C672" s="115"/>
      <c r="D672" s="117"/>
      <c r="E672" s="117"/>
      <c r="F672" s="117"/>
      <c r="G672" s="117"/>
      <c r="H672" s="117"/>
      <c r="I672" s="117"/>
      <c r="J672" s="117"/>
      <c r="K672" s="117"/>
      <c r="L672" s="117"/>
      <c r="M672" s="162"/>
      <c r="N672" s="117"/>
      <c r="O672" s="117"/>
      <c r="P672" s="117"/>
      <c r="Q672" s="117"/>
      <c r="R672" s="117"/>
      <c r="S672" s="117"/>
      <c r="T672" s="117"/>
      <c r="U672" s="117"/>
      <c r="V672" s="163"/>
      <c r="W672" s="164"/>
      <c r="X672" s="164"/>
      <c r="Y672" s="164"/>
      <c r="Z672" s="164"/>
      <c r="AA672" s="117"/>
      <c r="AB672" s="164"/>
      <c r="AC672" s="164"/>
      <c r="AD672" s="164"/>
      <c r="AE672" s="164"/>
      <c r="AF672" s="164"/>
      <c r="AG672" s="164"/>
      <c r="AI672" s="165"/>
      <c r="AJ672" s="166"/>
      <c r="AP672" s="166"/>
    </row>
    <row r="673" spans="1:42" s="160" customFormat="1" x14ac:dyDescent="0.25">
      <c r="A673" s="115"/>
      <c r="B673" s="115"/>
      <c r="C673" s="115"/>
      <c r="D673" s="117"/>
      <c r="E673" s="117"/>
      <c r="F673" s="117"/>
      <c r="G673" s="117"/>
      <c r="H673" s="117"/>
      <c r="I673" s="117"/>
      <c r="J673" s="117"/>
      <c r="K673" s="117"/>
      <c r="L673" s="117"/>
      <c r="M673" s="162"/>
      <c r="N673" s="117"/>
      <c r="O673" s="117"/>
      <c r="P673" s="117"/>
      <c r="Q673" s="117"/>
      <c r="R673" s="117"/>
      <c r="S673" s="117"/>
      <c r="T673" s="117"/>
      <c r="U673" s="117"/>
      <c r="V673" s="163"/>
      <c r="W673" s="164"/>
      <c r="X673" s="164"/>
      <c r="Y673" s="164"/>
      <c r="Z673" s="164"/>
      <c r="AA673" s="117"/>
      <c r="AB673" s="164"/>
      <c r="AC673" s="164"/>
      <c r="AD673" s="164"/>
      <c r="AE673" s="164"/>
      <c r="AF673" s="164"/>
      <c r="AG673" s="164"/>
      <c r="AI673" s="165"/>
      <c r="AJ673" s="166"/>
      <c r="AP673" s="166"/>
    </row>
    <row r="674" spans="1:42" s="160" customFormat="1" x14ac:dyDescent="0.25">
      <c r="A674" s="115"/>
      <c r="B674" s="115"/>
      <c r="C674" s="115"/>
      <c r="D674" s="117"/>
      <c r="E674" s="117"/>
      <c r="F674" s="117"/>
      <c r="G674" s="117"/>
      <c r="H674" s="117"/>
      <c r="I674" s="117"/>
      <c r="J674" s="117"/>
      <c r="K674" s="117"/>
      <c r="L674" s="117"/>
      <c r="M674" s="162"/>
      <c r="N674" s="117"/>
      <c r="O674" s="117"/>
      <c r="P674" s="117"/>
      <c r="Q674" s="117"/>
      <c r="R674" s="117"/>
      <c r="S674" s="117"/>
      <c r="T674" s="117"/>
      <c r="U674" s="117"/>
      <c r="V674" s="163"/>
      <c r="W674" s="164"/>
      <c r="X674" s="164"/>
      <c r="Y674" s="164"/>
      <c r="Z674" s="164"/>
      <c r="AA674" s="117"/>
      <c r="AB674" s="164"/>
      <c r="AC674" s="164"/>
      <c r="AD674" s="164"/>
      <c r="AE674" s="164"/>
      <c r="AF674" s="164"/>
      <c r="AG674" s="164"/>
      <c r="AI674" s="165"/>
      <c r="AJ674" s="166"/>
      <c r="AP674" s="166"/>
    </row>
  </sheetData>
  <sortState xmlns:xlrd2="http://schemas.microsoft.com/office/spreadsheetml/2017/richdata2" ref="A7:AT674">
    <sortCondition descending="1" ref="F7"/>
  </sortState>
  <mergeCells count="16">
    <mergeCell ref="AQ5:AT5"/>
    <mergeCell ref="AC5:AH5"/>
    <mergeCell ref="AJ5:AO5"/>
    <mergeCell ref="V5:Z5"/>
    <mergeCell ref="J5:N5"/>
    <mergeCell ref="P5:T5"/>
    <mergeCell ref="K1:K2"/>
    <mergeCell ref="M1:M2"/>
    <mergeCell ref="D1:H1"/>
    <mergeCell ref="I5:I6"/>
    <mergeCell ref="A5:A6"/>
    <mergeCell ref="B5:B6"/>
    <mergeCell ref="C5:C6"/>
    <mergeCell ref="D5:D6"/>
    <mergeCell ref="E5:E6"/>
    <mergeCell ref="I1:I2"/>
  </mergeCells>
  <phoneticPr fontId="4" type="noConversion"/>
  <conditionalFormatting sqref="Q511:Q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{4193E147-6537-4FB3-934E-831EB95526F4}</x14:id>
        </ext>
      </extLst>
    </cfRule>
  </conditionalFormatting>
  <conditionalFormatting sqref="S511:S1048576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{637A1AF0-5D85-46DF-96DC-8B288F76E931}</x14:id>
        </ext>
      </extLst>
    </cfRule>
  </conditionalFormatting>
  <conditionalFormatting sqref="Q511:Q61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{59BC6CE6-5B6C-403B-8897-378482C54361}</x14:id>
        </ext>
      </extLst>
    </cfRule>
  </conditionalFormatting>
  <conditionalFormatting sqref="S511:S619">
    <cfRule type="dataBar" priority="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{4A1019AB-BBDD-47B3-9B93-6B7A2A52AF6B}</x14:id>
        </ext>
      </extLst>
    </cfRule>
  </conditionalFormatting>
  <conditionalFormatting sqref="V511:V61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{E2F2C592-BE24-4443-8BB7-316460621F1D}</x14:id>
        </ext>
      </extLst>
    </cfRule>
  </conditionalFormatting>
  <conditionalFormatting sqref="W511:W619">
    <cfRule type="dataBar" priority="3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{54925397-8FB0-4948-9C1F-4872D3B96E1D}</x14:id>
        </ext>
      </extLst>
    </cfRule>
  </conditionalFormatting>
  <conditionalFormatting sqref="Y511:Y61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{B4A6618A-2BDD-42BC-A6B9-5C9582055115}</x14:id>
        </ext>
      </extLst>
    </cfRule>
  </conditionalFormatting>
  <conditionalFormatting sqref="J2">
    <cfRule type="dataBar" priority="10">
      <dataBar>
        <cfvo type="min"/>
        <cfvo type="num" val="1"/>
        <color rgb="FFFF555A"/>
      </dataBar>
      <extLst>
        <ext xmlns:x14="http://schemas.microsoft.com/office/spreadsheetml/2009/9/main" uri="{B025F937-C7B1-47D3-B67F-A62EFF666E3E}">
          <x14:id>{DABD5730-6B6A-46DA-B6D7-AFCEE8A031CB}</x14:id>
        </ext>
      </extLst>
    </cfRule>
  </conditionalFormatting>
  <conditionalFormatting sqref="L2">
    <cfRule type="dataBar" priority="9">
      <dataBar>
        <cfvo type="min"/>
        <cfvo type="num" val="1"/>
        <color rgb="FFFF555A"/>
      </dataBar>
      <extLst>
        <ext xmlns:x14="http://schemas.microsoft.com/office/spreadsheetml/2009/9/main" uri="{B025F937-C7B1-47D3-B67F-A62EFF666E3E}">
          <x14:id>{54AB408E-2FDA-4A4B-A54C-9253E44A95D6}</x14:id>
        </ext>
      </extLst>
    </cfRule>
  </conditionalFormatting>
  <conditionalFormatting sqref="N2">
    <cfRule type="dataBar" priority="8">
      <dataBar>
        <cfvo type="min"/>
        <cfvo type="num" val="1"/>
        <color rgb="FFFF555A"/>
      </dataBar>
      <extLst>
        <ext xmlns:x14="http://schemas.microsoft.com/office/spreadsheetml/2009/9/main" uri="{B025F937-C7B1-47D3-B67F-A62EFF666E3E}">
          <x14:id>{385DE573-FF89-4CA9-BFD8-5447BC7E34F0}</x14:id>
        </ext>
      </extLst>
    </cfRule>
  </conditionalFormatting>
  <conditionalFormatting sqref="Q7:Q510">
    <cfRule type="dataBar" priority="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{95305F94-281A-4F73-B444-C4F83C2E3BE3}</x14:id>
        </ext>
      </extLst>
    </cfRule>
  </conditionalFormatting>
  <conditionalFormatting sqref="S7:S510">
    <cfRule type="dataBar" priority="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{23C1F57F-6D68-4752-AAE8-DFFB6EAD5CE1}</x14:id>
        </ext>
      </extLst>
    </cfRule>
  </conditionalFormatting>
  <conditionalFormatting sqref="Q7:Q510">
    <cfRule type="dataBar" priority="3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{2D148AEB-600F-47F7-8C53-B86C5D3B0AE5}</x14:id>
        </ext>
      </extLst>
    </cfRule>
  </conditionalFormatting>
  <conditionalFormatting sqref="S7:S510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{77CDB8B8-E6D6-4F0B-967F-AD53961118DA}</x14:id>
        </ext>
      </extLst>
    </cfRule>
  </conditionalFormatting>
  <conditionalFormatting sqref="V7:V510">
    <cfRule type="dataBar" priority="5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{0BB1890C-387B-4A43-9113-79E09EFF7DB8}</x14:id>
        </ext>
      </extLst>
    </cfRule>
  </conditionalFormatting>
  <conditionalFormatting sqref="W7:W510">
    <cfRule type="dataBar" priority="6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{680071E7-098D-4FE8-B600-93478BC548E6}</x14:id>
        </ext>
      </extLst>
    </cfRule>
  </conditionalFormatting>
  <conditionalFormatting sqref="Y7:Y510">
    <cfRule type="dataBar" priority="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{D8620FDB-D974-40C9-9FEF-DA830AD56035}</x14:id>
        </ext>
      </extLst>
    </cfRule>
  </conditionalFormatting>
  <dataValidations disablePrompts="1" count="1">
    <dataValidation type="list" allowBlank="1" showInputMessage="1" showErrorMessage="1" sqref="C3" xr:uid="{00000000-0002-0000-0300-000000000000}">
      <formula1>D2:H2</formula1>
    </dataValidation>
  </dataValidations>
  <pageMargins left="0.25" right="0.25" top="0.75" bottom="0.75" header="0.3" footer="0.3"/>
  <pageSetup paperSize="9" scale="2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getCBEB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93E147-6537-4FB3-934E-831EB95526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Q511:Q1048576</xm:sqref>
        </x14:conditionalFormatting>
        <x14:conditionalFormatting xmlns:xm="http://schemas.microsoft.com/office/excel/2006/main">
          <x14:cfRule type="dataBar" id="{637A1AF0-5D85-46DF-96DC-8B288F76E9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S511:S1048576</xm:sqref>
        </x14:conditionalFormatting>
        <x14:conditionalFormatting xmlns:xm="http://schemas.microsoft.com/office/excel/2006/main">
          <x14:cfRule type="dataBar" id="{59BC6CE6-5B6C-403B-8897-378482C543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Q511:Q619</xm:sqref>
        </x14:conditionalFormatting>
        <x14:conditionalFormatting xmlns:xm="http://schemas.microsoft.com/office/excel/2006/main">
          <x14:cfRule type="dataBar" id="{4A1019AB-BBDD-47B3-9B93-6B7A2A52AF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S511:S619</xm:sqref>
        </x14:conditionalFormatting>
        <x14:conditionalFormatting xmlns:xm="http://schemas.microsoft.com/office/excel/2006/main">
          <x14:cfRule type="dataBar" id="{E2F2C592-BE24-4443-8BB7-316460621F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V511:V619</xm:sqref>
        </x14:conditionalFormatting>
        <x14:conditionalFormatting xmlns:xm="http://schemas.microsoft.com/office/excel/2006/main">
          <x14:cfRule type="dataBar" id="{54925397-8FB0-4948-9C1F-4872D3B96E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W511:W619</xm:sqref>
        </x14:conditionalFormatting>
        <x14:conditionalFormatting xmlns:xm="http://schemas.microsoft.com/office/excel/2006/main">
          <x14:cfRule type="dataBar" id="{B4A6618A-2BDD-42BC-A6B9-5C95820551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Y511:Y619</xm:sqref>
        </x14:conditionalFormatting>
        <x14:conditionalFormatting xmlns:xm="http://schemas.microsoft.com/office/excel/2006/main">
          <x14:cfRule type="dataBar" id="{DABD5730-6B6A-46DA-B6D7-AFCEE8A031CB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J2</xm:sqref>
        </x14:conditionalFormatting>
        <x14:conditionalFormatting xmlns:xm="http://schemas.microsoft.com/office/excel/2006/main">
          <x14:cfRule type="dataBar" id="{54AB408E-2FDA-4A4B-A54C-9253E44A95D6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L2</xm:sqref>
        </x14:conditionalFormatting>
        <x14:conditionalFormatting xmlns:xm="http://schemas.microsoft.com/office/excel/2006/main">
          <x14:cfRule type="dataBar" id="{385DE573-FF89-4CA9-BFD8-5447BC7E34F0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N2</xm:sqref>
        </x14:conditionalFormatting>
        <x14:conditionalFormatting xmlns:xm="http://schemas.microsoft.com/office/excel/2006/main">
          <x14:cfRule type="dataBar" id="{95305F94-281A-4F73-B444-C4F83C2E3B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Q7:Q510</xm:sqref>
        </x14:conditionalFormatting>
        <x14:conditionalFormatting xmlns:xm="http://schemas.microsoft.com/office/excel/2006/main">
          <x14:cfRule type="dataBar" id="{23C1F57F-6D68-4752-AAE8-DFFB6EAD5C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S7:S510</xm:sqref>
        </x14:conditionalFormatting>
        <x14:conditionalFormatting xmlns:xm="http://schemas.microsoft.com/office/excel/2006/main">
          <x14:cfRule type="dataBar" id="{2D148AEB-600F-47F7-8C53-B86C5D3B0A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Q7:Q510</xm:sqref>
        </x14:conditionalFormatting>
        <x14:conditionalFormatting xmlns:xm="http://schemas.microsoft.com/office/excel/2006/main">
          <x14:cfRule type="dataBar" id="{77CDB8B8-E6D6-4F0B-967F-AD53961118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S7:S510</xm:sqref>
        </x14:conditionalFormatting>
        <x14:conditionalFormatting xmlns:xm="http://schemas.microsoft.com/office/excel/2006/main">
          <x14:cfRule type="dataBar" id="{0BB1890C-387B-4A43-9113-79E09EFF7DB8}">
            <x14:dataBar minLength="0" maxLength="100" gradient="0">
              <x14:cfvo type="autoMin"/>
              <x14:cfvo type="autoMax"/>
              <x14:negativeFillColor rgb="FF00B0F0"/>
              <x14:axisColor rgb="FF000000"/>
            </x14:dataBar>
          </x14:cfRule>
          <xm:sqref>V7:V510</xm:sqref>
        </x14:conditionalFormatting>
        <x14:conditionalFormatting xmlns:xm="http://schemas.microsoft.com/office/excel/2006/main">
          <x14:cfRule type="dataBar" id="{680071E7-098D-4FE8-B600-93478BC548E6}">
            <x14:dataBar minLength="0" maxLength="100" gradient="0">
              <x14:cfvo type="autoMin"/>
              <x14:cfvo type="autoMax"/>
              <x14:negativeFillColor rgb="FF00B0F0"/>
              <x14:axisColor rgb="FF000000"/>
            </x14:dataBar>
          </x14:cfRule>
          <xm:sqref>W7:W510</xm:sqref>
        </x14:conditionalFormatting>
        <x14:conditionalFormatting xmlns:xm="http://schemas.microsoft.com/office/excel/2006/main">
          <x14:cfRule type="dataBar" id="{D8620FDB-D974-40C9-9FEF-DA830AD56035}">
            <x14:dataBar minLength="0" maxLength="100" gradient="0">
              <x14:cfvo type="autoMin"/>
              <x14:cfvo type="autoMax"/>
              <x14:negativeFillColor rgb="FF00B0F0"/>
              <x14:axisColor rgb="FF000000"/>
            </x14:dataBar>
          </x14:cfRule>
          <xm:sqref>Y7:Y510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rightToLeft="1" xr2:uid="{00000000-0003-0000-03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正股信息!AJ7:AO7</xm:f>
              <xm:sqref>AI7</xm:sqref>
            </x14:sparkline>
            <x14:sparkline>
              <xm:f>正股信息!AJ8:AO8</xm:f>
              <xm:sqref>AI8</xm:sqref>
            </x14:sparkline>
            <x14:sparkline>
              <xm:f>正股信息!AJ9:AO9</xm:f>
              <xm:sqref>AI9</xm:sqref>
            </x14:sparkline>
            <x14:sparkline>
              <xm:f>正股信息!AJ10:AO10</xm:f>
              <xm:sqref>AI10</xm:sqref>
            </x14:sparkline>
            <x14:sparkline>
              <xm:f>正股信息!AJ11:AO11</xm:f>
              <xm:sqref>AI11</xm:sqref>
            </x14:sparkline>
            <x14:sparkline>
              <xm:f>正股信息!AJ12:AO12</xm:f>
              <xm:sqref>AI12</xm:sqref>
            </x14:sparkline>
            <x14:sparkline>
              <xm:f>正股信息!AJ13:AO13</xm:f>
              <xm:sqref>AI13</xm:sqref>
            </x14:sparkline>
            <x14:sparkline>
              <xm:f>正股信息!AJ14:AO14</xm:f>
              <xm:sqref>AI14</xm:sqref>
            </x14:sparkline>
            <x14:sparkline>
              <xm:f>正股信息!AJ15:AO15</xm:f>
              <xm:sqref>AI15</xm:sqref>
            </x14:sparkline>
            <x14:sparkline>
              <xm:f>正股信息!AJ16:AO16</xm:f>
              <xm:sqref>AI16</xm:sqref>
            </x14:sparkline>
            <x14:sparkline>
              <xm:f>正股信息!AJ17:AO17</xm:f>
              <xm:sqref>AI17</xm:sqref>
            </x14:sparkline>
            <x14:sparkline>
              <xm:f>正股信息!AJ18:AO18</xm:f>
              <xm:sqref>AI18</xm:sqref>
            </x14:sparkline>
            <x14:sparkline>
              <xm:f>正股信息!AJ19:AO19</xm:f>
              <xm:sqref>AI19</xm:sqref>
            </x14:sparkline>
            <x14:sparkline>
              <xm:f>正股信息!AJ20:AO20</xm:f>
              <xm:sqref>AI20</xm:sqref>
            </x14:sparkline>
            <x14:sparkline>
              <xm:f>正股信息!AJ21:AO21</xm:f>
              <xm:sqref>AI21</xm:sqref>
            </x14:sparkline>
            <x14:sparkline>
              <xm:f>正股信息!AJ22:AO22</xm:f>
              <xm:sqref>AI22</xm:sqref>
            </x14:sparkline>
            <x14:sparkline>
              <xm:f>正股信息!AJ23:AO23</xm:f>
              <xm:sqref>AI23</xm:sqref>
            </x14:sparkline>
            <x14:sparkline>
              <xm:f>正股信息!AJ24:AO24</xm:f>
              <xm:sqref>AI24</xm:sqref>
            </x14:sparkline>
            <x14:sparkline>
              <xm:f>正股信息!AJ25:AO25</xm:f>
              <xm:sqref>AI25</xm:sqref>
            </x14:sparkline>
            <x14:sparkline>
              <xm:f>正股信息!AJ26:AO26</xm:f>
              <xm:sqref>AI26</xm:sqref>
            </x14:sparkline>
            <x14:sparkline>
              <xm:f>正股信息!AJ27:AO27</xm:f>
              <xm:sqref>AI27</xm:sqref>
            </x14:sparkline>
            <x14:sparkline>
              <xm:f>正股信息!AJ28:AO28</xm:f>
              <xm:sqref>AI28</xm:sqref>
            </x14:sparkline>
            <x14:sparkline>
              <xm:f>正股信息!AJ29:AO29</xm:f>
              <xm:sqref>AI29</xm:sqref>
            </x14:sparkline>
            <x14:sparkline>
              <xm:f>正股信息!AJ30:AO30</xm:f>
              <xm:sqref>AI30</xm:sqref>
            </x14:sparkline>
            <x14:sparkline>
              <xm:f>正股信息!AJ31:AO31</xm:f>
              <xm:sqref>AI31</xm:sqref>
            </x14:sparkline>
            <x14:sparkline>
              <xm:f>正股信息!AJ32:AO32</xm:f>
              <xm:sqref>AI32</xm:sqref>
            </x14:sparkline>
            <x14:sparkline>
              <xm:f>正股信息!AJ33:AO33</xm:f>
              <xm:sqref>AI33</xm:sqref>
            </x14:sparkline>
            <x14:sparkline>
              <xm:f>正股信息!AJ34:AO34</xm:f>
              <xm:sqref>AI34</xm:sqref>
            </x14:sparkline>
            <x14:sparkline>
              <xm:f>正股信息!AJ35:AO35</xm:f>
              <xm:sqref>AI35</xm:sqref>
            </x14:sparkline>
            <x14:sparkline>
              <xm:f>正股信息!AJ36:AO36</xm:f>
              <xm:sqref>AI36</xm:sqref>
            </x14:sparkline>
            <x14:sparkline>
              <xm:f>正股信息!AJ37:AO37</xm:f>
              <xm:sqref>AI37</xm:sqref>
            </x14:sparkline>
            <x14:sparkline>
              <xm:f>正股信息!AJ38:AO38</xm:f>
              <xm:sqref>AI38</xm:sqref>
            </x14:sparkline>
            <x14:sparkline>
              <xm:f>正股信息!AJ39:AO39</xm:f>
              <xm:sqref>AI39</xm:sqref>
            </x14:sparkline>
            <x14:sparkline>
              <xm:f>正股信息!AJ40:AO40</xm:f>
              <xm:sqref>AI40</xm:sqref>
            </x14:sparkline>
            <x14:sparkline>
              <xm:f>正股信息!AJ41:AO41</xm:f>
              <xm:sqref>AI41</xm:sqref>
            </x14:sparkline>
            <x14:sparkline>
              <xm:f>正股信息!AJ42:AO42</xm:f>
              <xm:sqref>AI42</xm:sqref>
            </x14:sparkline>
            <x14:sparkline>
              <xm:f>正股信息!AJ43:AO43</xm:f>
              <xm:sqref>AI43</xm:sqref>
            </x14:sparkline>
            <x14:sparkline>
              <xm:f>正股信息!AJ44:AO44</xm:f>
              <xm:sqref>AI44</xm:sqref>
            </x14:sparkline>
            <x14:sparkline>
              <xm:f>正股信息!AJ45:AO45</xm:f>
              <xm:sqref>AI45</xm:sqref>
            </x14:sparkline>
            <x14:sparkline>
              <xm:f>正股信息!AJ46:AO46</xm:f>
              <xm:sqref>AI46</xm:sqref>
            </x14:sparkline>
            <x14:sparkline>
              <xm:f>正股信息!AJ47:AO47</xm:f>
              <xm:sqref>AI47</xm:sqref>
            </x14:sparkline>
            <x14:sparkline>
              <xm:f>正股信息!AJ48:AO48</xm:f>
              <xm:sqref>AI48</xm:sqref>
            </x14:sparkline>
            <x14:sparkline>
              <xm:f>正股信息!AJ49:AO49</xm:f>
              <xm:sqref>AI49</xm:sqref>
            </x14:sparkline>
            <x14:sparkline>
              <xm:f>正股信息!AJ50:AO50</xm:f>
              <xm:sqref>AI50</xm:sqref>
            </x14:sparkline>
            <x14:sparkline>
              <xm:f>正股信息!AJ51:AO51</xm:f>
              <xm:sqref>AI51</xm:sqref>
            </x14:sparkline>
            <x14:sparkline>
              <xm:f>正股信息!AJ52:AO52</xm:f>
              <xm:sqref>AI52</xm:sqref>
            </x14:sparkline>
            <x14:sparkline>
              <xm:f>正股信息!AJ53:AO53</xm:f>
              <xm:sqref>AI53</xm:sqref>
            </x14:sparkline>
            <x14:sparkline>
              <xm:f>正股信息!AJ54:AO54</xm:f>
              <xm:sqref>AI54</xm:sqref>
            </x14:sparkline>
            <x14:sparkline>
              <xm:f>正股信息!AJ55:AO55</xm:f>
              <xm:sqref>AI55</xm:sqref>
            </x14:sparkline>
            <x14:sparkline>
              <xm:f>正股信息!AJ56:AO56</xm:f>
              <xm:sqref>AI56</xm:sqref>
            </x14:sparkline>
            <x14:sparkline>
              <xm:f>正股信息!AJ57:AO57</xm:f>
              <xm:sqref>AI57</xm:sqref>
            </x14:sparkline>
            <x14:sparkline>
              <xm:f>正股信息!AJ58:AO58</xm:f>
              <xm:sqref>AI58</xm:sqref>
            </x14:sparkline>
            <x14:sparkline>
              <xm:f>正股信息!AJ59:AO59</xm:f>
              <xm:sqref>AI59</xm:sqref>
            </x14:sparkline>
            <x14:sparkline>
              <xm:f>正股信息!AJ60:AO60</xm:f>
              <xm:sqref>AI60</xm:sqref>
            </x14:sparkline>
            <x14:sparkline>
              <xm:f>正股信息!AJ61:AO61</xm:f>
              <xm:sqref>AI61</xm:sqref>
            </x14:sparkline>
            <x14:sparkline>
              <xm:f>正股信息!AJ62:AO62</xm:f>
              <xm:sqref>AI62</xm:sqref>
            </x14:sparkline>
            <x14:sparkline>
              <xm:f>正股信息!AJ63:AO63</xm:f>
              <xm:sqref>AI63</xm:sqref>
            </x14:sparkline>
            <x14:sparkline>
              <xm:f>正股信息!AJ64:AO64</xm:f>
              <xm:sqref>AI64</xm:sqref>
            </x14:sparkline>
            <x14:sparkline>
              <xm:f>正股信息!AJ65:AO65</xm:f>
              <xm:sqref>AI65</xm:sqref>
            </x14:sparkline>
            <x14:sparkline>
              <xm:f>正股信息!AJ66:AO66</xm:f>
              <xm:sqref>AI66</xm:sqref>
            </x14:sparkline>
            <x14:sparkline>
              <xm:f>正股信息!AJ67:AO67</xm:f>
              <xm:sqref>AI67</xm:sqref>
            </x14:sparkline>
            <x14:sparkline>
              <xm:f>正股信息!AJ68:AO68</xm:f>
              <xm:sqref>AI68</xm:sqref>
            </x14:sparkline>
            <x14:sparkline>
              <xm:f>正股信息!AJ69:AO69</xm:f>
              <xm:sqref>AI69</xm:sqref>
            </x14:sparkline>
            <x14:sparkline>
              <xm:f>正股信息!AJ70:AO70</xm:f>
              <xm:sqref>AI70</xm:sqref>
            </x14:sparkline>
            <x14:sparkline>
              <xm:f>正股信息!AJ71:AO71</xm:f>
              <xm:sqref>AI71</xm:sqref>
            </x14:sparkline>
            <x14:sparkline>
              <xm:f>正股信息!AJ72:AO72</xm:f>
              <xm:sqref>AI72</xm:sqref>
            </x14:sparkline>
            <x14:sparkline>
              <xm:f>正股信息!AJ73:AO73</xm:f>
              <xm:sqref>AI73</xm:sqref>
            </x14:sparkline>
            <x14:sparkline>
              <xm:f>正股信息!AJ74:AO74</xm:f>
              <xm:sqref>AI74</xm:sqref>
            </x14:sparkline>
            <x14:sparkline>
              <xm:f>正股信息!AJ75:AO75</xm:f>
              <xm:sqref>AI75</xm:sqref>
            </x14:sparkline>
            <x14:sparkline>
              <xm:f>正股信息!AJ76:AO76</xm:f>
              <xm:sqref>AI76</xm:sqref>
            </x14:sparkline>
            <x14:sparkline>
              <xm:f>正股信息!AJ77:AO77</xm:f>
              <xm:sqref>AI77</xm:sqref>
            </x14:sparkline>
            <x14:sparkline>
              <xm:f>正股信息!AJ78:AO78</xm:f>
              <xm:sqref>AI78</xm:sqref>
            </x14:sparkline>
            <x14:sparkline>
              <xm:f>正股信息!AJ79:AO79</xm:f>
              <xm:sqref>AI79</xm:sqref>
            </x14:sparkline>
            <x14:sparkline>
              <xm:f>正股信息!AJ80:AO80</xm:f>
              <xm:sqref>AI80</xm:sqref>
            </x14:sparkline>
            <x14:sparkline>
              <xm:f>正股信息!AJ81:AO81</xm:f>
              <xm:sqref>AI81</xm:sqref>
            </x14:sparkline>
            <x14:sparkline>
              <xm:f>正股信息!AJ82:AO82</xm:f>
              <xm:sqref>AI82</xm:sqref>
            </x14:sparkline>
            <x14:sparkline>
              <xm:f>正股信息!AJ83:AO83</xm:f>
              <xm:sqref>AI83</xm:sqref>
            </x14:sparkline>
            <x14:sparkline>
              <xm:f>正股信息!AJ84:AO84</xm:f>
              <xm:sqref>AI84</xm:sqref>
            </x14:sparkline>
            <x14:sparkline>
              <xm:f>正股信息!AJ85:AO85</xm:f>
              <xm:sqref>AI85</xm:sqref>
            </x14:sparkline>
            <x14:sparkline>
              <xm:f>正股信息!AJ86:AO86</xm:f>
              <xm:sqref>AI86</xm:sqref>
            </x14:sparkline>
            <x14:sparkline>
              <xm:f>正股信息!AJ87:AO87</xm:f>
              <xm:sqref>AI87</xm:sqref>
            </x14:sparkline>
            <x14:sparkline>
              <xm:f>正股信息!AJ88:AO88</xm:f>
              <xm:sqref>AI88</xm:sqref>
            </x14:sparkline>
            <x14:sparkline>
              <xm:f>正股信息!AJ89:AO89</xm:f>
              <xm:sqref>AI89</xm:sqref>
            </x14:sparkline>
            <x14:sparkline>
              <xm:f>正股信息!AJ90:AO90</xm:f>
              <xm:sqref>AI90</xm:sqref>
            </x14:sparkline>
            <x14:sparkline>
              <xm:f>正股信息!AJ91:AO91</xm:f>
              <xm:sqref>AI91</xm:sqref>
            </x14:sparkline>
            <x14:sparkline>
              <xm:f>正股信息!AJ92:AO92</xm:f>
              <xm:sqref>AI92</xm:sqref>
            </x14:sparkline>
            <x14:sparkline>
              <xm:f>正股信息!AJ93:AO93</xm:f>
              <xm:sqref>AI93</xm:sqref>
            </x14:sparkline>
            <x14:sparkline>
              <xm:f>正股信息!AJ94:AO94</xm:f>
              <xm:sqref>AI94</xm:sqref>
            </x14:sparkline>
            <x14:sparkline>
              <xm:f>正股信息!AJ95:AO95</xm:f>
              <xm:sqref>AI95</xm:sqref>
            </x14:sparkline>
            <x14:sparkline>
              <xm:f>正股信息!AJ96:AO96</xm:f>
              <xm:sqref>AI96</xm:sqref>
            </x14:sparkline>
            <x14:sparkline>
              <xm:f>正股信息!AJ97:AO97</xm:f>
              <xm:sqref>AI97</xm:sqref>
            </x14:sparkline>
            <x14:sparkline>
              <xm:f>正股信息!AJ98:AO98</xm:f>
              <xm:sqref>AI98</xm:sqref>
            </x14:sparkline>
            <x14:sparkline>
              <xm:f>正股信息!AJ99:AO99</xm:f>
              <xm:sqref>AI99</xm:sqref>
            </x14:sparkline>
            <x14:sparkline>
              <xm:f>正股信息!AJ100:AO100</xm:f>
              <xm:sqref>AI100</xm:sqref>
            </x14:sparkline>
            <x14:sparkline>
              <xm:f>正股信息!AJ101:AO101</xm:f>
              <xm:sqref>AI101</xm:sqref>
            </x14:sparkline>
            <x14:sparkline>
              <xm:f>正股信息!AJ102:AO102</xm:f>
              <xm:sqref>AI102</xm:sqref>
            </x14:sparkline>
            <x14:sparkline>
              <xm:f>正股信息!AJ103:AO103</xm:f>
              <xm:sqref>AI103</xm:sqref>
            </x14:sparkline>
            <x14:sparkline>
              <xm:f>正股信息!AJ104:AO104</xm:f>
              <xm:sqref>AI104</xm:sqref>
            </x14:sparkline>
            <x14:sparkline>
              <xm:f>正股信息!AJ105:AO105</xm:f>
              <xm:sqref>AI105</xm:sqref>
            </x14:sparkline>
            <x14:sparkline>
              <xm:f>正股信息!AJ106:AO106</xm:f>
              <xm:sqref>AI106</xm:sqref>
            </x14:sparkline>
            <x14:sparkline>
              <xm:f>正股信息!AJ107:AO107</xm:f>
              <xm:sqref>AI107</xm:sqref>
            </x14:sparkline>
            <x14:sparkline>
              <xm:f>正股信息!AJ108:AO108</xm:f>
              <xm:sqref>AI108</xm:sqref>
            </x14:sparkline>
            <x14:sparkline>
              <xm:f>正股信息!AJ109:AO109</xm:f>
              <xm:sqref>AI109</xm:sqref>
            </x14:sparkline>
            <x14:sparkline>
              <xm:f>正股信息!AJ110:AO110</xm:f>
              <xm:sqref>AI110</xm:sqref>
            </x14:sparkline>
            <x14:sparkline>
              <xm:f>正股信息!AJ111:AO111</xm:f>
              <xm:sqref>AI111</xm:sqref>
            </x14:sparkline>
            <x14:sparkline>
              <xm:f>正股信息!AJ112:AO112</xm:f>
              <xm:sqref>AI112</xm:sqref>
            </x14:sparkline>
            <x14:sparkline>
              <xm:f>正股信息!AJ113:AO113</xm:f>
              <xm:sqref>AI113</xm:sqref>
            </x14:sparkline>
            <x14:sparkline>
              <xm:f>正股信息!AJ114:AO114</xm:f>
              <xm:sqref>AI114</xm:sqref>
            </x14:sparkline>
            <x14:sparkline>
              <xm:f>正股信息!AJ115:AO115</xm:f>
              <xm:sqref>AI115</xm:sqref>
            </x14:sparkline>
            <x14:sparkline>
              <xm:f>正股信息!AJ116:AO116</xm:f>
              <xm:sqref>AI116</xm:sqref>
            </x14:sparkline>
            <x14:sparkline>
              <xm:f>正股信息!AJ117:AO117</xm:f>
              <xm:sqref>AI117</xm:sqref>
            </x14:sparkline>
            <x14:sparkline>
              <xm:f>正股信息!AJ118:AO118</xm:f>
              <xm:sqref>AI118</xm:sqref>
            </x14:sparkline>
            <x14:sparkline>
              <xm:f>正股信息!AJ119:AO119</xm:f>
              <xm:sqref>AI119</xm:sqref>
            </x14:sparkline>
            <x14:sparkline>
              <xm:f>正股信息!AJ120:AO120</xm:f>
              <xm:sqref>AI120</xm:sqref>
            </x14:sparkline>
            <x14:sparkline>
              <xm:f>正股信息!AJ121:AO121</xm:f>
              <xm:sqref>AI121</xm:sqref>
            </x14:sparkline>
            <x14:sparkline>
              <xm:f>正股信息!AJ122:AO122</xm:f>
              <xm:sqref>AI122</xm:sqref>
            </x14:sparkline>
            <x14:sparkline>
              <xm:f>正股信息!AJ123:AO123</xm:f>
              <xm:sqref>AI123</xm:sqref>
            </x14:sparkline>
            <x14:sparkline>
              <xm:f>正股信息!AJ124:AO124</xm:f>
              <xm:sqref>AI124</xm:sqref>
            </x14:sparkline>
            <x14:sparkline>
              <xm:f>正股信息!AJ125:AO125</xm:f>
              <xm:sqref>AI125</xm:sqref>
            </x14:sparkline>
            <x14:sparkline>
              <xm:f>正股信息!AJ126:AO126</xm:f>
              <xm:sqref>AI126</xm:sqref>
            </x14:sparkline>
            <x14:sparkline>
              <xm:f>正股信息!AJ127:AO127</xm:f>
              <xm:sqref>AI127</xm:sqref>
            </x14:sparkline>
            <x14:sparkline>
              <xm:f>正股信息!AJ128:AO128</xm:f>
              <xm:sqref>AI128</xm:sqref>
            </x14:sparkline>
            <x14:sparkline>
              <xm:f>正股信息!AJ129:AO129</xm:f>
              <xm:sqref>AI129</xm:sqref>
            </x14:sparkline>
            <x14:sparkline>
              <xm:f>正股信息!AJ130:AO130</xm:f>
              <xm:sqref>AI130</xm:sqref>
            </x14:sparkline>
            <x14:sparkline>
              <xm:f>正股信息!AJ131:AO131</xm:f>
              <xm:sqref>AI131</xm:sqref>
            </x14:sparkline>
            <x14:sparkline>
              <xm:f>正股信息!AJ132:AO132</xm:f>
              <xm:sqref>AI132</xm:sqref>
            </x14:sparkline>
            <x14:sparkline>
              <xm:f>正股信息!AJ133:AO133</xm:f>
              <xm:sqref>AI133</xm:sqref>
            </x14:sparkline>
            <x14:sparkline>
              <xm:f>正股信息!AJ134:AO134</xm:f>
              <xm:sqref>AI134</xm:sqref>
            </x14:sparkline>
            <x14:sparkline>
              <xm:f>正股信息!AJ135:AO135</xm:f>
              <xm:sqref>AI135</xm:sqref>
            </x14:sparkline>
            <x14:sparkline>
              <xm:f>正股信息!AJ136:AO136</xm:f>
              <xm:sqref>AI136</xm:sqref>
            </x14:sparkline>
            <x14:sparkline>
              <xm:f>正股信息!AJ137:AO137</xm:f>
              <xm:sqref>AI137</xm:sqref>
            </x14:sparkline>
            <x14:sparkline>
              <xm:f>正股信息!AJ138:AO138</xm:f>
              <xm:sqref>AI138</xm:sqref>
            </x14:sparkline>
            <x14:sparkline>
              <xm:f>正股信息!AJ139:AO139</xm:f>
              <xm:sqref>AI139</xm:sqref>
            </x14:sparkline>
            <x14:sparkline>
              <xm:f>正股信息!AJ140:AO140</xm:f>
              <xm:sqref>AI140</xm:sqref>
            </x14:sparkline>
            <x14:sparkline>
              <xm:f>正股信息!AJ141:AO141</xm:f>
              <xm:sqref>AI141</xm:sqref>
            </x14:sparkline>
            <x14:sparkline>
              <xm:f>正股信息!AJ142:AO142</xm:f>
              <xm:sqref>AI142</xm:sqref>
            </x14:sparkline>
            <x14:sparkline>
              <xm:f>正股信息!AJ143:AO143</xm:f>
              <xm:sqref>AI143</xm:sqref>
            </x14:sparkline>
            <x14:sparkline>
              <xm:f>正股信息!AJ144:AO144</xm:f>
              <xm:sqref>AI144</xm:sqref>
            </x14:sparkline>
            <x14:sparkline>
              <xm:f>正股信息!AJ145:AO145</xm:f>
              <xm:sqref>AI145</xm:sqref>
            </x14:sparkline>
            <x14:sparkline>
              <xm:f>正股信息!AJ146:AO146</xm:f>
              <xm:sqref>AI146</xm:sqref>
            </x14:sparkline>
            <x14:sparkline>
              <xm:f>正股信息!AJ147:AO147</xm:f>
              <xm:sqref>AI147</xm:sqref>
            </x14:sparkline>
            <x14:sparkline>
              <xm:f>正股信息!AJ148:AO148</xm:f>
              <xm:sqref>AI148</xm:sqref>
            </x14:sparkline>
            <x14:sparkline>
              <xm:f>正股信息!AJ149:AO149</xm:f>
              <xm:sqref>AI149</xm:sqref>
            </x14:sparkline>
            <x14:sparkline>
              <xm:f>正股信息!AJ150:AO150</xm:f>
              <xm:sqref>AI150</xm:sqref>
            </x14:sparkline>
            <x14:sparkline>
              <xm:f>正股信息!AJ151:AO151</xm:f>
              <xm:sqref>AI151</xm:sqref>
            </x14:sparkline>
            <x14:sparkline>
              <xm:f>正股信息!AJ152:AO152</xm:f>
              <xm:sqref>AI152</xm:sqref>
            </x14:sparkline>
            <x14:sparkline>
              <xm:f>正股信息!AJ153:AO153</xm:f>
              <xm:sqref>AI153</xm:sqref>
            </x14:sparkline>
            <x14:sparkline>
              <xm:f>正股信息!AJ154:AO154</xm:f>
              <xm:sqref>AI154</xm:sqref>
            </x14:sparkline>
            <x14:sparkline>
              <xm:f>正股信息!AJ155:AO155</xm:f>
              <xm:sqref>AI155</xm:sqref>
            </x14:sparkline>
            <x14:sparkline>
              <xm:f>正股信息!AJ156:AO156</xm:f>
              <xm:sqref>AI156</xm:sqref>
            </x14:sparkline>
            <x14:sparkline>
              <xm:f>正股信息!AJ157:AO157</xm:f>
              <xm:sqref>AI157</xm:sqref>
            </x14:sparkline>
            <x14:sparkline>
              <xm:f>正股信息!AJ158:AO158</xm:f>
              <xm:sqref>AI158</xm:sqref>
            </x14:sparkline>
            <x14:sparkline>
              <xm:f>正股信息!AJ159:AO159</xm:f>
              <xm:sqref>AI159</xm:sqref>
            </x14:sparkline>
            <x14:sparkline>
              <xm:f>正股信息!AJ160:AO160</xm:f>
              <xm:sqref>AI160</xm:sqref>
            </x14:sparkline>
            <x14:sparkline>
              <xm:f>正股信息!AJ161:AO161</xm:f>
              <xm:sqref>AI161</xm:sqref>
            </x14:sparkline>
            <x14:sparkline>
              <xm:f>正股信息!AJ162:AO162</xm:f>
              <xm:sqref>AI162</xm:sqref>
            </x14:sparkline>
            <x14:sparkline>
              <xm:f>正股信息!AJ163:AO163</xm:f>
              <xm:sqref>AI163</xm:sqref>
            </x14:sparkline>
            <x14:sparkline>
              <xm:f>正股信息!AJ164:AO164</xm:f>
              <xm:sqref>AI164</xm:sqref>
            </x14:sparkline>
            <x14:sparkline>
              <xm:f>正股信息!AJ165:AO165</xm:f>
              <xm:sqref>AI165</xm:sqref>
            </x14:sparkline>
            <x14:sparkline>
              <xm:f>正股信息!AJ166:AO166</xm:f>
              <xm:sqref>AI166</xm:sqref>
            </x14:sparkline>
            <x14:sparkline>
              <xm:f>正股信息!AJ167:AO167</xm:f>
              <xm:sqref>AI167</xm:sqref>
            </x14:sparkline>
            <x14:sparkline>
              <xm:f>正股信息!AJ168:AO168</xm:f>
              <xm:sqref>AI168</xm:sqref>
            </x14:sparkline>
            <x14:sparkline>
              <xm:f>正股信息!AJ169:AO169</xm:f>
              <xm:sqref>AI169</xm:sqref>
            </x14:sparkline>
            <x14:sparkline>
              <xm:f>正股信息!AJ170:AO170</xm:f>
              <xm:sqref>AI170</xm:sqref>
            </x14:sparkline>
            <x14:sparkline>
              <xm:f>正股信息!AJ171:AO171</xm:f>
              <xm:sqref>AI171</xm:sqref>
            </x14:sparkline>
            <x14:sparkline>
              <xm:f>正股信息!AJ172:AO172</xm:f>
              <xm:sqref>AI172</xm:sqref>
            </x14:sparkline>
            <x14:sparkline>
              <xm:f>正股信息!AJ173:AO173</xm:f>
              <xm:sqref>AI173</xm:sqref>
            </x14:sparkline>
            <x14:sparkline>
              <xm:f>正股信息!AJ174:AO174</xm:f>
              <xm:sqref>AI174</xm:sqref>
            </x14:sparkline>
            <x14:sparkline>
              <xm:f>正股信息!AJ175:AO175</xm:f>
              <xm:sqref>AI175</xm:sqref>
            </x14:sparkline>
            <x14:sparkline>
              <xm:f>正股信息!AJ176:AO176</xm:f>
              <xm:sqref>AI176</xm:sqref>
            </x14:sparkline>
            <x14:sparkline>
              <xm:f>正股信息!AJ177:AO177</xm:f>
              <xm:sqref>AI177</xm:sqref>
            </x14:sparkline>
            <x14:sparkline>
              <xm:f>正股信息!AJ178:AO178</xm:f>
              <xm:sqref>AI178</xm:sqref>
            </x14:sparkline>
            <x14:sparkline>
              <xm:f>正股信息!AJ179:AO179</xm:f>
              <xm:sqref>AI179</xm:sqref>
            </x14:sparkline>
            <x14:sparkline>
              <xm:f>正股信息!AJ180:AO180</xm:f>
              <xm:sqref>AI180</xm:sqref>
            </x14:sparkline>
            <x14:sparkline>
              <xm:f>正股信息!AJ181:AO181</xm:f>
              <xm:sqref>AI181</xm:sqref>
            </x14:sparkline>
            <x14:sparkline>
              <xm:f>正股信息!AJ182:AO182</xm:f>
              <xm:sqref>AI182</xm:sqref>
            </x14:sparkline>
            <x14:sparkline>
              <xm:f>正股信息!AJ183:AO183</xm:f>
              <xm:sqref>AI183</xm:sqref>
            </x14:sparkline>
            <x14:sparkline>
              <xm:f>正股信息!AJ184:AO184</xm:f>
              <xm:sqref>AI184</xm:sqref>
            </x14:sparkline>
            <x14:sparkline>
              <xm:f>正股信息!AJ185:AO185</xm:f>
              <xm:sqref>AI185</xm:sqref>
            </x14:sparkline>
            <x14:sparkline>
              <xm:f>正股信息!AJ186:AO186</xm:f>
              <xm:sqref>AI186</xm:sqref>
            </x14:sparkline>
            <x14:sparkline>
              <xm:f>正股信息!AJ187:AO187</xm:f>
              <xm:sqref>AI187</xm:sqref>
            </x14:sparkline>
            <x14:sparkline>
              <xm:f>正股信息!AJ188:AO188</xm:f>
              <xm:sqref>AI188</xm:sqref>
            </x14:sparkline>
            <x14:sparkline>
              <xm:f>正股信息!AJ189:AO189</xm:f>
              <xm:sqref>AI189</xm:sqref>
            </x14:sparkline>
            <x14:sparkline>
              <xm:f>正股信息!AJ190:AO190</xm:f>
              <xm:sqref>AI190</xm:sqref>
            </x14:sparkline>
            <x14:sparkline>
              <xm:f>正股信息!AJ191:AO191</xm:f>
              <xm:sqref>AI191</xm:sqref>
            </x14:sparkline>
            <x14:sparkline>
              <xm:f>正股信息!AJ192:AO192</xm:f>
              <xm:sqref>AI192</xm:sqref>
            </x14:sparkline>
            <x14:sparkline>
              <xm:f>正股信息!AJ193:AO193</xm:f>
              <xm:sqref>AI193</xm:sqref>
            </x14:sparkline>
            <x14:sparkline>
              <xm:f>正股信息!AJ194:AO194</xm:f>
              <xm:sqref>AI194</xm:sqref>
            </x14:sparkline>
            <x14:sparkline>
              <xm:f>正股信息!AJ195:AO195</xm:f>
              <xm:sqref>AI195</xm:sqref>
            </x14:sparkline>
            <x14:sparkline>
              <xm:f>正股信息!AJ196:AO196</xm:f>
              <xm:sqref>AI196</xm:sqref>
            </x14:sparkline>
            <x14:sparkline>
              <xm:f>正股信息!AJ197:AO197</xm:f>
              <xm:sqref>AI197</xm:sqref>
            </x14:sparkline>
            <x14:sparkline>
              <xm:f>正股信息!AJ198:AO198</xm:f>
              <xm:sqref>AI198</xm:sqref>
            </x14:sparkline>
            <x14:sparkline>
              <xm:f>正股信息!AJ199:AO199</xm:f>
              <xm:sqref>AI199</xm:sqref>
            </x14:sparkline>
            <x14:sparkline>
              <xm:f>正股信息!AJ200:AO200</xm:f>
              <xm:sqref>AI200</xm:sqref>
            </x14:sparkline>
            <x14:sparkline>
              <xm:f>正股信息!AJ201:AO201</xm:f>
              <xm:sqref>AI201</xm:sqref>
            </x14:sparkline>
            <x14:sparkline>
              <xm:f>正股信息!AJ202:AO202</xm:f>
              <xm:sqref>AI202</xm:sqref>
            </x14:sparkline>
            <x14:sparkline>
              <xm:f>正股信息!AJ203:AO203</xm:f>
              <xm:sqref>AI203</xm:sqref>
            </x14:sparkline>
            <x14:sparkline>
              <xm:f>正股信息!AJ204:AO204</xm:f>
              <xm:sqref>AI204</xm:sqref>
            </x14:sparkline>
            <x14:sparkline>
              <xm:f>正股信息!AJ205:AO205</xm:f>
              <xm:sqref>AI205</xm:sqref>
            </x14:sparkline>
            <x14:sparkline>
              <xm:f>正股信息!AJ206:AO206</xm:f>
              <xm:sqref>AI206</xm:sqref>
            </x14:sparkline>
            <x14:sparkline>
              <xm:f>正股信息!AJ207:AO207</xm:f>
              <xm:sqref>AI207</xm:sqref>
            </x14:sparkline>
            <x14:sparkline>
              <xm:f>正股信息!AJ208:AO208</xm:f>
              <xm:sqref>AI208</xm:sqref>
            </x14:sparkline>
            <x14:sparkline>
              <xm:f>正股信息!AJ209:AO209</xm:f>
              <xm:sqref>AI209</xm:sqref>
            </x14:sparkline>
            <x14:sparkline>
              <xm:f>正股信息!AJ210:AO210</xm:f>
              <xm:sqref>AI210</xm:sqref>
            </x14:sparkline>
            <x14:sparkline>
              <xm:f>正股信息!AJ211:AO211</xm:f>
              <xm:sqref>AI211</xm:sqref>
            </x14:sparkline>
            <x14:sparkline>
              <xm:f>正股信息!AJ212:AO212</xm:f>
              <xm:sqref>AI212</xm:sqref>
            </x14:sparkline>
            <x14:sparkline>
              <xm:f>正股信息!AJ213:AO213</xm:f>
              <xm:sqref>AI213</xm:sqref>
            </x14:sparkline>
            <x14:sparkline>
              <xm:f>正股信息!AJ214:AO214</xm:f>
              <xm:sqref>AI214</xm:sqref>
            </x14:sparkline>
            <x14:sparkline>
              <xm:f>正股信息!AJ215:AO215</xm:f>
              <xm:sqref>AI215</xm:sqref>
            </x14:sparkline>
            <x14:sparkline>
              <xm:f>正股信息!AJ216:AO216</xm:f>
              <xm:sqref>AI216</xm:sqref>
            </x14:sparkline>
            <x14:sparkline>
              <xm:f>正股信息!AJ217:AO217</xm:f>
              <xm:sqref>AI217</xm:sqref>
            </x14:sparkline>
            <x14:sparkline>
              <xm:f>正股信息!AJ218:AO218</xm:f>
              <xm:sqref>AI218</xm:sqref>
            </x14:sparkline>
            <x14:sparkline>
              <xm:f>正股信息!AJ219:AO219</xm:f>
              <xm:sqref>AI219</xm:sqref>
            </x14:sparkline>
            <x14:sparkline>
              <xm:f>正股信息!AJ220:AO220</xm:f>
              <xm:sqref>AI220</xm:sqref>
            </x14:sparkline>
            <x14:sparkline>
              <xm:f>正股信息!AJ221:AO221</xm:f>
              <xm:sqref>AI221</xm:sqref>
            </x14:sparkline>
            <x14:sparkline>
              <xm:f>正股信息!AJ222:AO222</xm:f>
              <xm:sqref>AI222</xm:sqref>
            </x14:sparkline>
            <x14:sparkline>
              <xm:f>正股信息!AJ223:AO223</xm:f>
              <xm:sqref>AI223</xm:sqref>
            </x14:sparkline>
            <x14:sparkline>
              <xm:f>正股信息!AJ224:AO224</xm:f>
              <xm:sqref>AI224</xm:sqref>
            </x14:sparkline>
            <x14:sparkline>
              <xm:f>正股信息!AJ225:AO225</xm:f>
              <xm:sqref>AI225</xm:sqref>
            </x14:sparkline>
            <x14:sparkline>
              <xm:f>正股信息!AJ226:AO226</xm:f>
              <xm:sqref>AI226</xm:sqref>
            </x14:sparkline>
            <x14:sparkline>
              <xm:f>正股信息!AJ227:AO227</xm:f>
              <xm:sqref>AI227</xm:sqref>
            </x14:sparkline>
            <x14:sparkline>
              <xm:f>正股信息!AJ228:AO228</xm:f>
              <xm:sqref>AI228</xm:sqref>
            </x14:sparkline>
            <x14:sparkline>
              <xm:f>正股信息!AJ229:AO229</xm:f>
              <xm:sqref>AI229</xm:sqref>
            </x14:sparkline>
            <x14:sparkline>
              <xm:f>正股信息!AJ230:AO230</xm:f>
              <xm:sqref>AI230</xm:sqref>
            </x14:sparkline>
            <x14:sparkline>
              <xm:f>正股信息!AJ231:AO231</xm:f>
              <xm:sqref>AI231</xm:sqref>
            </x14:sparkline>
            <x14:sparkline>
              <xm:f>正股信息!AJ232:AO232</xm:f>
              <xm:sqref>AI232</xm:sqref>
            </x14:sparkline>
            <x14:sparkline>
              <xm:f>正股信息!AJ233:AO233</xm:f>
              <xm:sqref>AI233</xm:sqref>
            </x14:sparkline>
            <x14:sparkline>
              <xm:f>正股信息!AJ234:AO234</xm:f>
              <xm:sqref>AI234</xm:sqref>
            </x14:sparkline>
            <x14:sparkline>
              <xm:f>正股信息!AJ235:AO235</xm:f>
              <xm:sqref>AI235</xm:sqref>
            </x14:sparkline>
            <x14:sparkline>
              <xm:f>正股信息!AJ236:AO236</xm:f>
              <xm:sqref>AI236</xm:sqref>
            </x14:sparkline>
            <x14:sparkline>
              <xm:f>正股信息!AJ237:AO237</xm:f>
              <xm:sqref>AI237</xm:sqref>
            </x14:sparkline>
            <x14:sparkline>
              <xm:f>正股信息!AJ238:AO238</xm:f>
              <xm:sqref>AI238</xm:sqref>
            </x14:sparkline>
            <x14:sparkline>
              <xm:f>正股信息!AJ239:AO239</xm:f>
              <xm:sqref>AI239</xm:sqref>
            </x14:sparkline>
            <x14:sparkline>
              <xm:f>正股信息!AJ240:AO240</xm:f>
              <xm:sqref>AI240</xm:sqref>
            </x14:sparkline>
            <x14:sparkline>
              <xm:f>正股信息!AJ241:AO241</xm:f>
              <xm:sqref>AI241</xm:sqref>
            </x14:sparkline>
            <x14:sparkline>
              <xm:f>正股信息!AJ242:AO242</xm:f>
              <xm:sqref>AI242</xm:sqref>
            </x14:sparkline>
            <x14:sparkline>
              <xm:f>正股信息!AJ243:AO243</xm:f>
              <xm:sqref>AI243</xm:sqref>
            </x14:sparkline>
            <x14:sparkline>
              <xm:f>正股信息!AJ244:AO244</xm:f>
              <xm:sqref>AI244</xm:sqref>
            </x14:sparkline>
            <x14:sparkline>
              <xm:f>正股信息!AJ245:AO245</xm:f>
              <xm:sqref>AI245</xm:sqref>
            </x14:sparkline>
            <x14:sparkline>
              <xm:f>正股信息!AJ246:AO246</xm:f>
              <xm:sqref>AI246</xm:sqref>
            </x14:sparkline>
            <x14:sparkline>
              <xm:f>正股信息!AJ247:AO247</xm:f>
              <xm:sqref>AI247</xm:sqref>
            </x14:sparkline>
            <x14:sparkline>
              <xm:f>正股信息!AJ248:AO248</xm:f>
              <xm:sqref>AI248</xm:sqref>
            </x14:sparkline>
            <x14:sparkline>
              <xm:f>正股信息!AJ249:AO249</xm:f>
              <xm:sqref>AI249</xm:sqref>
            </x14:sparkline>
            <x14:sparkline>
              <xm:f>正股信息!AJ250:AO250</xm:f>
              <xm:sqref>AI250</xm:sqref>
            </x14:sparkline>
            <x14:sparkline>
              <xm:f>正股信息!AJ251:AO251</xm:f>
              <xm:sqref>AI251</xm:sqref>
            </x14:sparkline>
            <x14:sparkline>
              <xm:f>正股信息!AJ252:AO252</xm:f>
              <xm:sqref>AI252</xm:sqref>
            </x14:sparkline>
            <x14:sparkline>
              <xm:f>正股信息!AJ253:AO253</xm:f>
              <xm:sqref>AI253</xm:sqref>
            </x14:sparkline>
            <x14:sparkline>
              <xm:f>正股信息!AJ254:AO254</xm:f>
              <xm:sqref>AI254</xm:sqref>
            </x14:sparkline>
            <x14:sparkline>
              <xm:f>正股信息!AJ255:AO255</xm:f>
              <xm:sqref>AI255</xm:sqref>
            </x14:sparkline>
            <x14:sparkline>
              <xm:f>正股信息!AJ256:AO256</xm:f>
              <xm:sqref>AI256</xm:sqref>
            </x14:sparkline>
            <x14:sparkline>
              <xm:f>正股信息!AJ257:AO257</xm:f>
              <xm:sqref>AI257</xm:sqref>
            </x14:sparkline>
            <x14:sparkline>
              <xm:f>正股信息!AJ258:AO258</xm:f>
              <xm:sqref>AI258</xm:sqref>
            </x14:sparkline>
            <x14:sparkline>
              <xm:f>正股信息!AJ259:AO259</xm:f>
              <xm:sqref>AI259</xm:sqref>
            </x14:sparkline>
            <x14:sparkline>
              <xm:f>正股信息!AJ260:AO260</xm:f>
              <xm:sqref>AI260</xm:sqref>
            </x14:sparkline>
            <x14:sparkline>
              <xm:f>正股信息!AJ261:AO261</xm:f>
              <xm:sqref>AI261</xm:sqref>
            </x14:sparkline>
            <x14:sparkline>
              <xm:f>正股信息!AJ262:AO262</xm:f>
              <xm:sqref>AI262</xm:sqref>
            </x14:sparkline>
            <x14:sparkline>
              <xm:f>正股信息!AJ263:AO263</xm:f>
              <xm:sqref>AI263</xm:sqref>
            </x14:sparkline>
            <x14:sparkline>
              <xm:f>正股信息!AJ264:AO264</xm:f>
              <xm:sqref>AI264</xm:sqref>
            </x14:sparkline>
            <x14:sparkline>
              <xm:f>正股信息!AJ265:AO265</xm:f>
              <xm:sqref>AI265</xm:sqref>
            </x14:sparkline>
            <x14:sparkline>
              <xm:f>正股信息!AJ266:AO266</xm:f>
              <xm:sqref>AI266</xm:sqref>
            </x14:sparkline>
            <x14:sparkline>
              <xm:f>正股信息!AJ267:AO267</xm:f>
              <xm:sqref>AI267</xm:sqref>
            </x14:sparkline>
            <x14:sparkline>
              <xm:f>正股信息!AJ268:AO268</xm:f>
              <xm:sqref>AI268</xm:sqref>
            </x14:sparkline>
            <x14:sparkline>
              <xm:f>正股信息!AJ269:AO269</xm:f>
              <xm:sqref>AI269</xm:sqref>
            </x14:sparkline>
            <x14:sparkline>
              <xm:f>正股信息!AJ270:AO270</xm:f>
              <xm:sqref>AI270</xm:sqref>
            </x14:sparkline>
            <x14:sparkline>
              <xm:f>正股信息!AJ271:AO271</xm:f>
              <xm:sqref>AI271</xm:sqref>
            </x14:sparkline>
            <x14:sparkline>
              <xm:f>正股信息!AJ272:AO272</xm:f>
              <xm:sqref>AI272</xm:sqref>
            </x14:sparkline>
            <x14:sparkline>
              <xm:f>正股信息!AJ273:AO273</xm:f>
              <xm:sqref>AI273</xm:sqref>
            </x14:sparkline>
            <x14:sparkline>
              <xm:f>正股信息!AJ274:AO274</xm:f>
              <xm:sqref>AI274</xm:sqref>
            </x14:sparkline>
            <x14:sparkline>
              <xm:f>正股信息!AJ275:AO275</xm:f>
              <xm:sqref>AI275</xm:sqref>
            </x14:sparkline>
            <x14:sparkline>
              <xm:f>正股信息!AJ276:AO276</xm:f>
              <xm:sqref>AI276</xm:sqref>
            </x14:sparkline>
            <x14:sparkline>
              <xm:f>正股信息!AJ277:AO277</xm:f>
              <xm:sqref>AI277</xm:sqref>
            </x14:sparkline>
            <x14:sparkline>
              <xm:f>正股信息!AJ278:AO278</xm:f>
              <xm:sqref>AI278</xm:sqref>
            </x14:sparkline>
            <x14:sparkline>
              <xm:f>正股信息!AJ279:AO279</xm:f>
              <xm:sqref>AI279</xm:sqref>
            </x14:sparkline>
            <x14:sparkline>
              <xm:f>正股信息!AJ280:AO280</xm:f>
              <xm:sqref>AI280</xm:sqref>
            </x14:sparkline>
            <x14:sparkline>
              <xm:f>正股信息!AJ281:AO281</xm:f>
              <xm:sqref>AI281</xm:sqref>
            </x14:sparkline>
            <x14:sparkline>
              <xm:f>正股信息!AJ282:AO282</xm:f>
              <xm:sqref>AI282</xm:sqref>
            </x14:sparkline>
            <x14:sparkline>
              <xm:f>正股信息!AJ283:AO283</xm:f>
              <xm:sqref>AI283</xm:sqref>
            </x14:sparkline>
            <x14:sparkline>
              <xm:f>正股信息!AJ284:AO284</xm:f>
              <xm:sqref>AI284</xm:sqref>
            </x14:sparkline>
            <x14:sparkline>
              <xm:f>正股信息!AJ285:AO285</xm:f>
              <xm:sqref>AI285</xm:sqref>
            </x14:sparkline>
            <x14:sparkline>
              <xm:f>正股信息!AJ286:AO286</xm:f>
              <xm:sqref>AI286</xm:sqref>
            </x14:sparkline>
            <x14:sparkline>
              <xm:f>正股信息!AJ287:AO287</xm:f>
              <xm:sqref>AI287</xm:sqref>
            </x14:sparkline>
            <x14:sparkline>
              <xm:f>正股信息!AJ288:AO288</xm:f>
              <xm:sqref>AI288</xm:sqref>
            </x14:sparkline>
            <x14:sparkline>
              <xm:f>正股信息!AJ289:AO289</xm:f>
              <xm:sqref>AI289</xm:sqref>
            </x14:sparkline>
            <x14:sparkline>
              <xm:f>正股信息!AJ290:AO290</xm:f>
              <xm:sqref>AI290</xm:sqref>
            </x14:sparkline>
            <x14:sparkline>
              <xm:f>正股信息!AJ291:AO291</xm:f>
              <xm:sqref>AI291</xm:sqref>
            </x14:sparkline>
            <x14:sparkline>
              <xm:f>正股信息!AJ292:AO292</xm:f>
              <xm:sqref>AI292</xm:sqref>
            </x14:sparkline>
            <x14:sparkline>
              <xm:f>正股信息!AJ293:AO293</xm:f>
              <xm:sqref>AI293</xm:sqref>
            </x14:sparkline>
            <x14:sparkline>
              <xm:f>正股信息!AJ294:AO294</xm:f>
              <xm:sqref>AI294</xm:sqref>
            </x14:sparkline>
            <x14:sparkline>
              <xm:f>正股信息!AJ295:AO295</xm:f>
              <xm:sqref>AI295</xm:sqref>
            </x14:sparkline>
            <x14:sparkline>
              <xm:f>正股信息!AJ296:AO296</xm:f>
              <xm:sqref>AI296</xm:sqref>
            </x14:sparkline>
            <x14:sparkline>
              <xm:f>正股信息!AJ297:AO297</xm:f>
              <xm:sqref>AI297</xm:sqref>
            </x14:sparkline>
            <x14:sparkline>
              <xm:f>正股信息!AJ298:AO298</xm:f>
              <xm:sqref>AI298</xm:sqref>
            </x14:sparkline>
            <x14:sparkline>
              <xm:f>正股信息!AJ299:AO299</xm:f>
              <xm:sqref>AI299</xm:sqref>
            </x14:sparkline>
            <x14:sparkline>
              <xm:f>正股信息!AJ300:AO300</xm:f>
              <xm:sqref>AI300</xm:sqref>
            </x14:sparkline>
            <x14:sparkline>
              <xm:f>正股信息!AJ301:AO301</xm:f>
              <xm:sqref>AI301</xm:sqref>
            </x14:sparkline>
            <x14:sparkline>
              <xm:f>正股信息!AJ302:AO302</xm:f>
              <xm:sqref>AI302</xm:sqref>
            </x14:sparkline>
            <x14:sparkline>
              <xm:f>正股信息!AJ303:AO303</xm:f>
              <xm:sqref>AI303</xm:sqref>
            </x14:sparkline>
            <x14:sparkline>
              <xm:f>正股信息!AJ304:AO304</xm:f>
              <xm:sqref>AI304</xm:sqref>
            </x14:sparkline>
            <x14:sparkline>
              <xm:f>正股信息!AJ305:AO305</xm:f>
              <xm:sqref>AI305</xm:sqref>
            </x14:sparkline>
            <x14:sparkline>
              <xm:f>正股信息!AJ306:AO306</xm:f>
              <xm:sqref>AI306</xm:sqref>
            </x14:sparkline>
            <x14:sparkline>
              <xm:f>正股信息!AJ307:AO307</xm:f>
              <xm:sqref>AI307</xm:sqref>
            </x14:sparkline>
            <x14:sparkline>
              <xm:f>正股信息!AJ308:AO308</xm:f>
              <xm:sqref>AI308</xm:sqref>
            </x14:sparkline>
            <x14:sparkline>
              <xm:f>正股信息!AJ309:AO309</xm:f>
              <xm:sqref>AI309</xm:sqref>
            </x14:sparkline>
            <x14:sparkline>
              <xm:f>正股信息!AJ310:AO310</xm:f>
              <xm:sqref>AI310</xm:sqref>
            </x14:sparkline>
            <x14:sparkline>
              <xm:f>正股信息!AJ311:AO311</xm:f>
              <xm:sqref>AI311</xm:sqref>
            </x14:sparkline>
            <x14:sparkline>
              <xm:f>正股信息!AJ312:AO312</xm:f>
              <xm:sqref>AI312</xm:sqref>
            </x14:sparkline>
            <x14:sparkline>
              <xm:f>正股信息!AJ313:AO313</xm:f>
              <xm:sqref>AI313</xm:sqref>
            </x14:sparkline>
            <x14:sparkline>
              <xm:f>正股信息!AJ314:AO314</xm:f>
              <xm:sqref>AI314</xm:sqref>
            </x14:sparkline>
            <x14:sparkline>
              <xm:f>正股信息!AJ315:AO315</xm:f>
              <xm:sqref>AI315</xm:sqref>
            </x14:sparkline>
            <x14:sparkline>
              <xm:f>正股信息!AJ316:AO316</xm:f>
              <xm:sqref>AI316</xm:sqref>
            </x14:sparkline>
            <x14:sparkline>
              <xm:f>正股信息!AJ317:AO317</xm:f>
              <xm:sqref>AI317</xm:sqref>
            </x14:sparkline>
            <x14:sparkline>
              <xm:f>正股信息!AJ318:AO318</xm:f>
              <xm:sqref>AI318</xm:sqref>
            </x14:sparkline>
            <x14:sparkline>
              <xm:f>正股信息!AJ319:AO319</xm:f>
              <xm:sqref>AI319</xm:sqref>
            </x14:sparkline>
            <x14:sparkline>
              <xm:f>正股信息!AJ320:AO320</xm:f>
              <xm:sqref>AI320</xm:sqref>
            </x14:sparkline>
            <x14:sparkline>
              <xm:f>正股信息!AJ321:AO321</xm:f>
              <xm:sqref>AI321</xm:sqref>
            </x14:sparkline>
            <x14:sparkline>
              <xm:f>正股信息!AJ322:AO322</xm:f>
              <xm:sqref>AI322</xm:sqref>
            </x14:sparkline>
            <x14:sparkline>
              <xm:f>正股信息!AJ323:AO323</xm:f>
              <xm:sqref>AI323</xm:sqref>
            </x14:sparkline>
            <x14:sparkline>
              <xm:f>正股信息!AJ324:AO324</xm:f>
              <xm:sqref>AI324</xm:sqref>
            </x14:sparkline>
            <x14:sparkline>
              <xm:f>正股信息!AJ325:AO325</xm:f>
              <xm:sqref>AI325</xm:sqref>
            </x14:sparkline>
            <x14:sparkline>
              <xm:f>正股信息!AJ326:AO326</xm:f>
              <xm:sqref>AI326</xm:sqref>
            </x14:sparkline>
            <x14:sparkline>
              <xm:f>正股信息!AJ327:AO327</xm:f>
              <xm:sqref>AI327</xm:sqref>
            </x14:sparkline>
            <x14:sparkline>
              <xm:f>正股信息!AJ328:AO328</xm:f>
              <xm:sqref>AI328</xm:sqref>
            </x14:sparkline>
            <x14:sparkline>
              <xm:f>正股信息!AJ329:AO329</xm:f>
              <xm:sqref>AI329</xm:sqref>
            </x14:sparkline>
            <x14:sparkline>
              <xm:f>正股信息!AJ330:AO330</xm:f>
              <xm:sqref>AI330</xm:sqref>
            </x14:sparkline>
            <x14:sparkline>
              <xm:f>正股信息!AJ331:AO331</xm:f>
              <xm:sqref>AI331</xm:sqref>
            </x14:sparkline>
            <x14:sparkline>
              <xm:f>正股信息!AJ332:AO332</xm:f>
              <xm:sqref>AI332</xm:sqref>
            </x14:sparkline>
            <x14:sparkline>
              <xm:f>正股信息!AJ333:AO333</xm:f>
              <xm:sqref>AI333</xm:sqref>
            </x14:sparkline>
            <x14:sparkline>
              <xm:f>正股信息!AJ334:AO334</xm:f>
              <xm:sqref>AI334</xm:sqref>
            </x14:sparkline>
            <x14:sparkline>
              <xm:f>正股信息!AJ335:AO335</xm:f>
              <xm:sqref>AI335</xm:sqref>
            </x14:sparkline>
            <x14:sparkline>
              <xm:f>正股信息!AJ336:AO336</xm:f>
              <xm:sqref>AI336</xm:sqref>
            </x14:sparkline>
            <x14:sparkline>
              <xm:f>正股信息!AJ337:AO337</xm:f>
              <xm:sqref>AI337</xm:sqref>
            </x14:sparkline>
            <x14:sparkline>
              <xm:f>正股信息!AJ338:AO338</xm:f>
              <xm:sqref>AI338</xm:sqref>
            </x14:sparkline>
            <x14:sparkline>
              <xm:f>正股信息!AJ339:AO339</xm:f>
              <xm:sqref>AI339</xm:sqref>
            </x14:sparkline>
            <x14:sparkline>
              <xm:f>正股信息!AJ340:AO340</xm:f>
              <xm:sqref>AI340</xm:sqref>
            </x14:sparkline>
            <x14:sparkline>
              <xm:f>正股信息!AJ341:AO341</xm:f>
              <xm:sqref>AI341</xm:sqref>
            </x14:sparkline>
            <x14:sparkline>
              <xm:f>正股信息!AJ342:AO342</xm:f>
              <xm:sqref>AI342</xm:sqref>
            </x14:sparkline>
            <x14:sparkline>
              <xm:f>正股信息!AJ343:AO343</xm:f>
              <xm:sqref>AI343</xm:sqref>
            </x14:sparkline>
            <x14:sparkline>
              <xm:f>正股信息!AJ344:AO344</xm:f>
              <xm:sqref>AI344</xm:sqref>
            </x14:sparkline>
            <x14:sparkline>
              <xm:f>正股信息!AJ345:AO345</xm:f>
              <xm:sqref>AI345</xm:sqref>
            </x14:sparkline>
            <x14:sparkline>
              <xm:f>正股信息!AJ346:AO346</xm:f>
              <xm:sqref>AI346</xm:sqref>
            </x14:sparkline>
            <x14:sparkline>
              <xm:f>正股信息!AJ347:AO347</xm:f>
              <xm:sqref>AI347</xm:sqref>
            </x14:sparkline>
            <x14:sparkline>
              <xm:f>正股信息!AJ348:AO348</xm:f>
              <xm:sqref>AI348</xm:sqref>
            </x14:sparkline>
            <x14:sparkline>
              <xm:f>正股信息!AJ349:AO349</xm:f>
              <xm:sqref>AI349</xm:sqref>
            </x14:sparkline>
            <x14:sparkline>
              <xm:f>正股信息!AJ350:AO350</xm:f>
              <xm:sqref>AI350</xm:sqref>
            </x14:sparkline>
            <x14:sparkline>
              <xm:f>正股信息!AJ351:AO351</xm:f>
              <xm:sqref>AI351</xm:sqref>
            </x14:sparkline>
            <x14:sparkline>
              <xm:f>正股信息!AJ352:AO352</xm:f>
              <xm:sqref>AI352</xm:sqref>
            </x14:sparkline>
            <x14:sparkline>
              <xm:f>正股信息!AJ353:AO353</xm:f>
              <xm:sqref>AI353</xm:sqref>
            </x14:sparkline>
            <x14:sparkline>
              <xm:f>正股信息!AJ354:AO354</xm:f>
              <xm:sqref>AI354</xm:sqref>
            </x14:sparkline>
            <x14:sparkline>
              <xm:f>正股信息!AJ355:AO355</xm:f>
              <xm:sqref>AI355</xm:sqref>
            </x14:sparkline>
            <x14:sparkline>
              <xm:f>正股信息!AJ356:AO356</xm:f>
              <xm:sqref>AI356</xm:sqref>
            </x14:sparkline>
            <x14:sparkline>
              <xm:f>正股信息!AJ357:AO357</xm:f>
              <xm:sqref>AI357</xm:sqref>
            </x14:sparkline>
            <x14:sparkline>
              <xm:f>正股信息!AJ358:AO358</xm:f>
              <xm:sqref>AI358</xm:sqref>
            </x14:sparkline>
            <x14:sparkline>
              <xm:f>正股信息!AJ359:AO359</xm:f>
              <xm:sqref>AI359</xm:sqref>
            </x14:sparkline>
            <x14:sparkline>
              <xm:f>正股信息!AJ360:AO360</xm:f>
              <xm:sqref>AI360</xm:sqref>
            </x14:sparkline>
            <x14:sparkline>
              <xm:f>正股信息!AJ361:AO361</xm:f>
              <xm:sqref>AI361</xm:sqref>
            </x14:sparkline>
            <x14:sparkline>
              <xm:f>正股信息!AJ362:AO362</xm:f>
              <xm:sqref>AI362</xm:sqref>
            </x14:sparkline>
            <x14:sparkline>
              <xm:f>正股信息!AJ363:AO363</xm:f>
              <xm:sqref>AI363</xm:sqref>
            </x14:sparkline>
            <x14:sparkline>
              <xm:f>正股信息!AJ364:AO364</xm:f>
              <xm:sqref>AI364</xm:sqref>
            </x14:sparkline>
            <x14:sparkline>
              <xm:f>正股信息!AJ365:AO365</xm:f>
              <xm:sqref>AI365</xm:sqref>
            </x14:sparkline>
            <x14:sparkline>
              <xm:f>正股信息!AJ366:AO366</xm:f>
              <xm:sqref>AI366</xm:sqref>
            </x14:sparkline>
            <x14:sparkline>
              <xm:f>正股信息!AJ367:AO367</xm:f>
              <xm:sqref>AI367</xm:sqref>
            </x14:sparkline>
            <x14:sparkline>
              <xm:f>正股信息!AJ368:AO368</xm:f>
              <xm:sqref>AI368</xm:sqref>
            </x14:sparkline>
            <x14:sparkline>
              <xm:f>正股信息!AJ369:AO369</xm:f>
              <xm:sqref>AI369</xm:sqref>
            </x14:sparkline>
            <x14:sparkline>
              <xm:f>正股信息!AJ370:AO370</xm:f>
              <xm:sqref>AI370</xm:sqref>
            </x14:sparkline>
            <x14:sparkline>
              <xm:f>正股信息!AJ371:AO371</xm:f>
              <xm:sqref>AI371</xm:sqref>
            </x14:sparkline>
            <x14:sparkline>
              <xm:f>正股信息!AJ372:AO372</xm:f>
              <xm:sqref>AI372</xm:sqref>
            </x14:sparkline>
            <x14:sparkline>
              <xm:f>正股信息!AJ373:AO373</xm:f>
              <xm:sqref>AI373</xm:sqref>
            </x14:sparkline>
            <x14:sparkline>
              <xm:f>正股信息!AJ374:AO374</xm:f>
              <xm:sqref>AI374</xm:sqref>
            </x14:sparkline>
            <x14:sparkline>
              <xm:f>正股信息!AJ375:AO375</xm:f>
              <xm:sqref>AI375</xm:sqref>
            </x14:sparkline>
            <x14:sparkline>
              <xm:f>正股信息!AJ376:AO376</xm:f>
              <xm:sqref>AI376</xm:sqref>
            </x14:sparkline>
            <x14:sparkline>
              <xm:f>正股信息!AJ377:AO377</xm:f>
              <xm:sqref>AI377</xm:sqref>
            </x14:sparkline>
            <x14:sparkline>
              <xm:f>正股信息!AJ378:AO378</xm:f>
              <xm:sqref>AI378</xm:sqref>
            </x14:sparkline>
            <x14:sparkline>
              <xm:f>正股信息!AJ379:AO379</xm:f>
              <xm:sqref>AI379</xm:sqref>
            </x14:sparkline>
            <x14:sparkline>
              <xm:f>正股信息!AJ380:AO380</xm:f>
              <xm:sqref>AI380</xm:sqref>
            </x14:sparkline>
            <x14:sparkline>
              <xm:f>正股信息!AJ381:AO381</xm:f>
              <xm:sqref>AI381</xm:sqref>
            </x14:sparkline>
            <x14:sparkline>
              <xm:f>正股信息!AJ382:AO382</xm:f>
              <xm:sqref>AI382</xm:sqref>
            </x14:sparkline>
            <x14:sparkline>
              <xm:f>正股信息!AJ383:AO383</xm:f>
              <xm:sqref>AI383</xm:sqref>
            </x14:sparkline>
            <x14:sparkline>
              <xm:f>正股信息!AJ384:AO384</xm:f>
              <xm:sqref>AI384</xm:sqref>
            </x14:sparkline>
            <x14:sparkline>
              <xm:f>正股信息!AJ385:AO385</xm:f>
              <xm:sqref>AI385</xm:sqref>
            </x14:sparkline>
            <x14:sparkline>
              <xm:f>正股信息!AJ386:AO386</xm:f>
              <xm:sqref>AI386</xm:sqref>
            </x14:sparkline>
            <x14:sparkline>
              <xm:f>正股信息!AJ387:AO387</xm:f>
              <xm:sqref>AI387</xm:sqref>
            </x14:sparkline>
            <x14:sparkline>
              <xm:f>正股信息!AJ388:AO388</xm:f>
              <xm:sqref>AI388</xm:sqref>
            </x14:sparkline>
            <x14:sparkline>
              <xm:f>正股信息!AJ389:AO389</xm:f>
              <xm:sqref>AI389</xm:sqref>
            </x14:sparkline>
            <x14:sparkline>
              <xm:f>正股信息!AJ390:AO390</xm:f>
              <xm:sqref>AI390</xm:sqref>
            </x14:sparkline>
            <x14:sparkline>
              <xm:f>正股信息!AJ391:AO391</xm:f>
              <xm:sqref>AI391</xm:sqref>
            </x14:sparkline>
            <x14:sparkline>
              <xm:f>正股信息!AJ392:AO392</xm:f>
              <xm:sqref>AI392</xm:sqref>
            </x14:sparkline>
            <x14:sparkline>
              <xm:f>正股信息!AJ393:AO393</xm:f>
              <xm:sqref>AI393</xm:sqref>
            </x14:sparkline>
            <x14:sparkline>
              <xm:f>正股信息!AJ394:AO394</xm:f>
              <xm:sqref>AI394</xm:sqref>
            </x14:sparkline>
            <x14:sparkline>
              <xm:f>正股信息!AJ395:AO395</xm:f>
              <xm:sqref>AI395</xm:sqref>
            </x14:sparkline>
            <x14:sparkline>
              <xm:f>正股信息!AJ396:AO396</xm:f>
              <xm:sqref>AI396</xm:sqref>
            </x14:sparkline>
            <x14:sparkline>
              <xm:f>正股信息!AJ397:AO397</xm:f>
              <xm:sqref>AI397</xm:sqref>
            </x14:sparkline>
            <x14:sparkline>
              <xm:f>正股信息!AJ398:AO398</xm:f>
              <xm:sqref>AI398</xm:sqref>
            </x14:sparkline>
            <x14:sparkline>
              <xm:f>正股信息!AJ399:AO399</xm:f>
              <xm:sqref>AI399</xm:sqref>
            </x14:sparkline>
            <x14:sparkline>
              <xm:f>正股信息!AJ400:AO400</xm:f>
              <xm:sqref>AI400</xm:sqref>
            </x14:sparkline>
            <x14:sparkline>
              <xm:f>正股信息!AJ401:AO401</xm:f>
              <xm:sqref>AI401</xm:sqref>
            </x14:sparkline>
            <x14:sparkline>
              <xm:f>正股信息!AJ402:AO402</xm:f>
              <xm:sqref>AI402</xm:sqref>
            </x14:sparkline>
            <x14:sparkline>
              <xm:f>正股信息!AJ403:AO403</xm:f>
              <xm:sqref>AI403</xm:sqref>
            </x14:sparkline>
            <x14:sparkline>
              <xm:f>正股信息!AJ404:AO404</xm:f>
              <xm:sqref>AI404</xm:sqref>
            </x14:sparkline>
            <x14:sparkline>
              <xm:f>正股信息!AJ405:AO405</xm:f>
              <xm:sqref>AI405</xm:sqref>
            </x14:sparkline>
            <x14:sparkline>
              <xm:f>正股信息!AJ406:AO406</xm:f>
              <xm:sqref>AI406</xm:sqref>
            </x14:sparkline>
            <x14:sparkline>
              <xm:f>正股信息!AJ407:AO407</xm:f>
              <xm:sqref>AI407</xm:sqref>
            </x14:sparkline>
            <x14:sparkline>
              <xm:f>正股信息!AJ408:AO408</xm:f>
              <xm:sqref>AI408</xm:sqref>
            </x14:sparkline>
            <x14:sparkline>
              <xm:f>正股信息!AJ409:AO409</xm:f>
              <xm:sqref>AI409</xm:sqref>
            </x14:sparkline>
            <x14:sparkline>
              <xm:f>正股信息!AJ410:AO410</xm:f>
              <xm:sqref>AI410</xm:sqref>
            </x14:sparkline>
            <x14:sparkline>
              <xm:f>正股信息!AJ411:AO411</xm:f>
              <xm:sqref>AI411</xm:sqref>
            </x14:sparkline>
            <x14:sparkline>
              <xm:f>正股信息!AJ412:AO412</xm:f>
              <xm:sqref>AI412</xm:sqref>
            </x14:sparkline>
            <x14:sparkline>
              <xm:f>正股信息!AJ413:AO413</xm:f>
              <xm:sqref>AI413</xm:sqref>
            </x14:sparkline>
            <x14:sparkline>
              <xm:f>正股信息!AJ414:AO414</xm:f>
              <xm:sqref>AI414</xm:sqref>
            </x14:sparkline>
            <x14:sparkline>
              <xm:f>正股信息!AJ415:AO415</xm:f>
              <xm:sqref>AI415</xm:sqref>
            </x14:sparkline>
            <x14:sparkline>
              <xm:f>正股信息!AJ416:AO416</xm:f>
              <xm:sqref>AI416</xm:sqref>
            </x14:sparkline>
            <x14:sparkline>
              <xm:f>正股信息!AJ417:AO417</xm:f>
              <xm:sqref>AI417</xm:sqref>
            </x14:sparkline>
            <x14:sparkline>
              <xm:f>正股信息!AJ418:AO418</xm:f>
              <xm:sqref>AI418</xm:sqref>
            </x14:sparkline>
            <x14:sparkline>
              <xm:f>正股信息!AJ419:AO419</xm:f>
              <xm:sqref>AI419</xm:sqref>
            </x14:sparkline>
            <x14:sparkline>
              <xm:f>正股信息!AJ420:AO420</xm:f>
              <xm:sqref>AI420</xm:sqref>
            </x14:sparkline>
            <x14:sparkline>
              <xm:f>正股信息!AJ421:AO421</xm:f>
              <xm:sqref>AI421</xm:sqref>
            </x14:sparkline>
            <x14:sparkline>
              <xm:f>正股信息!AJ422:AO422</xm:f>
              <xm:sqref>AI422</xm:sqref>
            </x14:sparkline>
            <x14:sparkline>
              <xm:f>正股信息!AJ423:AO423</xm:f>
              <xm:sqref>AI423</xm:sqref>
            </x14:sparkline>
            <x14:sparkline>
              <xm:f>正股信息!AJ424:AO424</xm:f>
              <xm:sqref>AI424</xm:sqref>
            </x14:sparkline>
            <x14:sparkline>
              <xm:f>正股信息!AJ425:AO425</xm:f>
              <xm:sqref>AI425</xm:sqref>
            </x14:sparkline>
            <x14:sparkline>
              <xm:f>正股信息!AJ426:AO426</xm:f>
              <xm:sqref>AI426</xm:sqref>
            </x14:sparkline>
            <x14:sparkline>
              <xm:f>正股信息!AJ427:AO427</xm:f>
              <xm:sqref>AI427</xm:sqref>
            </x14:sparkline>
            <x14:sparkline>
              <xm:f>正股信息!AJ428:AO428</xm:f>
              <xm:sqref>AI428</xm:sqref>
            </x14:sparkline>
            <x14:sparkline>
              <xm:f>正股信息!AJ429:AO429</xm:f>
              <xm:sqref>AI429</xm:sqref>
            </x14:sparkline>
            <x14:sparkline>
              <xm:f>正股信息!AJ430:AO430</xm:f>
              <xm:sqref>AI430</xm:sqref>
            </x14:sparkline>
            <x14:sparkline>
              <xm:f>正股信息!AJ431:AO431</xm:f>
              <xm:sqref>AI431</xm:sqref>
            </x14:sparkline>
            <x14:sparkline>
              <xm:f>正股信息!AJ432:AO432</xm:f>
              <xm:sqref>AI432</xm:sqref>
            </x14:sparkline>
            <x14:sparkline>
              <xm:f>正股信息!AJ433:AO433</xm:f>
              <xm:sqref>AI433</xm:sqref>
            </x14:sparkline>
            <x14:sparkline>
              <xm:f>正股信息!AJ434:AO434</xm:f>
              <xm:sqref>AI434</xm:sqref>
            </x14:sparkline>
            <x14:sparkline>
              <xm:f>正股信息!AJ435:AO435</xm:f>
              <xm:sqref>AI435</xm:sqref>
            </x14:sparkline>
            <x14:sparkline>
              <xm:f>正股信息!AJ436:AO436</xm:f>
              <xm:sqref>AI436</xm:sqref>
            </x14:sparkline>
            <x14:sparkline>
              <xm:f>正股信息!AJ437:AO437</xm:f>
              <xm:sqref>AI437</xm:sqref>
            </x14:sparkline>
            <x14:sparkline>
              <xm:f>正股信息!AJ438:AO438</xm:f>
              <xm:sqref>AI438</xm:sqref>
            </x14:sparkline>
            <x14:sparkline>
              <xm:f>正股信息!AJ439:AO439</xm:f>
              <xm:sqref>AI439</xm:sqref>
            </x14:sparkline>
            <x14:sparkline>
              <xm:f>正股信息!AJ440:AO440</xm:f>
              <xm:sqref>AI440</xm:sqref>
            </x14:sparkline>
            <x14:sparkline>
              <xm:f>正股信息!AJ441:AO441</xm:f>
              <xm:sqref>AI441</xm:sqref>
            </x14:sparkline>
            <x14:sparkline>
              <xm:f>正股信息!AJ442:AO442</xm:f>
              <xm:sqref>AI442</xm:sqref>
            </x14:sparkline>
            <x14:sparkline>
              <xm:f>正股信息!AJ443:AO443</xm:f>
              <xm:sqref>AI443</xm:sqref>
            </x14:sparkline>
            <x14:sparkline>
              <xm:f>正股信息!AJ444:AO444</xm:f>
              <xm:sqref>AI444</xm:sqref>
            </x14:sparkline>
            <x14:sparkline>
              <xm:f>正股信息!AJ445:AO445</xm:f>
              <xm:sqref>AI445</xm:sqref>
            </x14:sparkline>
            <x14:sparkline>
              <xm:f>正股信息!AJ446:AO446</xm:f>
              <xm:sqref>AI446</xm:sqref>
            </x14:sparkline>
            <x14:sparkline>
              <xm:f>正股信息!AJ447:AO447</xm:f>
              <xm:sqref>AI447</xm:sqref>
            </x14:sparkline>
            <x14:sparkline>
              <xm:f>正股信息!AJ448:AO448</xm:f>
              <xm:sqref>AI448</xm:sqref>
            </x14:sparkline>
            <x14:sparkline>
              <xm:f>正股信息!AJ449:AO449</xm:f>
              <xm:sqref>AI449</xm:sqref>
            </x14:sparkline>
            <x14:sparkline>
              <xm:f>正股信息!AJ450:AO450</xm:f>
              <xm:sqref>AI450</xm:sqref>
            </x14:sparkline>
            <x14:sparkline>
              <xm:f>正股信息!AJ451:AO451</xm:f>
              <xm:sqref>AI451</xm:sqref>
            </x14:sparkline>
            <x14:sparkline>
              <xm:f>正股信息!AJ452:AO452</xm:f>
              <xm:sqref>AI452</xm:sqref>
            </x14:sparkline>
            <x14:sparkline>
              <xm:f>正股信息!AJ453:AO453</xm:f>
              <xm:sqref>AI453</xm:sqref>
            </x14:sparkline>
            <x14:sparkline>
              <xm:f>正股信息!AJ454:AO454</xm:f>
              <xm:sqref>AI454</xm:sqref>
            </x14:sparkline>
            <x14:sparkline>
              <xm:f>正股信息!AJ455:AO455</xm:f>
              <xm:sqref>AI455</xm:sqref>
            </x14:sparkline>
            <x14:sparkline>
              <xm:f>正股信息!AJ456:AO456</xm:f>
              <xm:sqref>AI456</xm:sqref>
            </x14:sparkline>
            <x14:sparkline>
              <xm:f>正股信息!AJ457:AO457</xm:f>
              <xm:sqref>AI457</xm:sqref>
            </x14:sparkline>
            <x14:sparkline>
              <xm:f>正股信息!AJ458:AO458</xm:f>
              <xm:sqref>AI458</xm:sqref>
            </x14:sparkline>
            <x14:sparkline>
              <xm:f>正股信息!AJ459:AO459</xm:f>
              <xm:sqref>AI459</xm:sqref>
            </x14:sparkline>
            <x14:sparkline>
              <xm:f>正股信息!AJ460:AO460</xm:f>
              <xm:sqref>AI460</xm:sqref>
            </x14:sparkline>
            <x14:sparkline>
              <xm:f>正股信息!AJ461:AO461</xm:f>
              <xm:sqref>AI461</xm:sqref>
            </x14:sparkline>
            <x14:sparkline>
              <xm:f>正股信息!AJ462:AO462</xm:f>
              <xm:sqref>AI462</xm:sqref>
            </x14:sparkline>
            <x14:sparkline>
              <xm:f>正股信息!AJ463:AO463</xm:f>
              <xm:sqref>AI463</xm:sqref>
            </x14:sparkline>
            <x14:sparkline>
              <xm:f>正股信息!AJ464:AO464</xm:f>
              <xm:sqref>AI464</xm:sqref>
            </x14:sparkline>
            <x14:sparkline>
              <xm:f>正股信息!AJ465:AO465</xm:f>
              <xm:sqref>AI465</xm:sqref>
            </x14:sparkline>
            <x14:sparkline>
              <xm:f>正股信息!AJ466:AO466</xm:f>
              <xm:sqref>AI466</xm:sqref>
            </x14:sparkline>
            <x14:sparkline>
              <xm:f>正股信息!AJ467:AO467</xm:f>
              <xm:sqref>AI467</xm:sqref>
            </x14:sparkline>
            <x14:sparkline>
              <xm:f>正股信息!AJ468:AO468</xm:f>
              <xm:sqref>AI468</xm:sqref>
            </x14:sparkline>
            <x14:sparkline>
              <xm:f>正股信息!AJ469:AO469</xm:f>
              <xm:sqref>AI469</xm:sqref>
            </x14:sparkline>
            <x14:sparkline>
              <xm:f>正股信息!AJ470:AO470</xm:f>
              <xm:sqref>AI470</xm:sqref>
            </x14:sparkline>
            <x14:sparkline>
              <xm:f>正股信息!AJ471:AO471</xm:f>
              <xm:sqref>AI471</xm:sqref>
            </x14:sparkline>
            <x14:sparkline>
              <xm:f>正股信息!AJ472:AO472</xm:f>
              <xm:sqref>AI472</xm:sqref>
            </x14:sparkline>
            <x14:sparkline>
              <xm:f>正股信息!AJ473:AO473</xm:f>
              <xm:sqref>AI473</xm:sqref>
            </x14:sparkline>
            <x14:sparkline>
              <xm:f>正股信息!AJ474:AO474</xm:f>
              <xm:sqref>AI474</xm:sqref>
            </x14:sparkline>
            <x14:sparkline>
              <xm:f>正股信息!AJ475:AO475</xm:f>
              <xm:sqref>AI475</xm:sqref>
            </x14:sparkline>
            <x14:sparkline>
              <xm:f>正股信息!AJ476:AO476</xm:f>
              <xm:sqref>AI476</xm:sqref>
            </x14:sparkline>
            <x14:sparkline>
              <xm:f>正股信息!AJ477:AO477</xm:f>
              <xm:sqref>AI477</xm:sqref>
            </x14:sparkline>
            <x14:sparkline>
              <xm:f>正股信息!AJ478:AO478</xm:f>
              <xm:sqref>AI478</xm:sqref>
            </x14:sparkline>
            <x14:sparkline>
              <xm:f>正股信息!AJ479:AO479</xm:f>
              <xm:sqref>AI479</xm:sqref>
            </x14:sparkline>
            <x14:sparkline>
              <xm:f>正股信息!AJ480:AO480</xm:f>
              <xm:sqref>AI480</xm:sqref>
            </x14:sparkline>
            <x14:sparkline>
              <xm:f>正股信息!AJ481:AO481</xm:f>
              <xm:sqref>AI481</xm:sqref>
            </x14:sparkline>
            <x14:sparkline>
              <xm:f>正股信息!AJ482:AO482</xm:f>
              <xm:sqref>AI482</xm:sqref>
            </x14:sparkline>
            <x14:sparkline>
              <xm:f>正股信息!AJ483:AO483</xm:f>
              <xm:sqref>AI483</xm:sqref>
            </x14:sparkline>
            <x14:sparkline>
              <xm:f>正股信息!AJ484:AO484</xm:f>
              <xm:sqref>AI484</xm:sqref>
            </x14:sparkline>
            <x14:sparkline>
              <xm:f>正股信息!AJ485:AO485</xm:f>
              <xm:sqref>AI485</xm:sqref>
            </x14:sparkline>
            <x14:sparkline>
              <xm:f>正股信息!AJ486:AO486</xm:f>
              <xm:sqref>AI486</xm:sqref>
            </x14:sparkline>
            <x14:sparkline>
              <xm:f>正股信息!AJ487:AO487</xm:f>
              <xm:sqref>AI487</xm:sqref>
            </x14:sparkline>
            <x14:sparkline>
              <xm:f>正股信息!AJ488:AO488</xm:f>
              <xm:sqref>AI488</xm:sqref>
            </x14:sparkline>
            <x14:sparkline>
              <xm:f>正股信息!AJ489:AO489</xm:f>
              <xm:sqref>AI489</xm:sqref>
            </x14:sparkline>
            <x14:sparkline>
              <xm:f>正股信息!AJ490:AO490</xm:f>
              <xm:sqref>AI490</xm:sqref>
            </x14:sparkline>
            <x14:sparkline>
              <xm:f>正股信息!AJ491:AO491</xm:f>
              <xm:sqref>AI491</xm:sqref>
            </x14:sparkline>
            <x14:sparkline>
              <xm:f>正股信息!AJ492:AO492</xm:f>
              <xm:sqref>AI492</xm:sqref>
            </x14:sparkline>
            <x14:sparkline>
              <xm:f>正股信息!AJ493:AO493</xm:f>
              <xm:sqref>AI493</xm:sqref>
            </x14:sparkline>
            <x14:sparkline>
              <xm:f>正股信息!AJ494:AO494</xm:f>
              <xm:sqref>AI494</xm:sqref>
            </x14:sparkline>
            <x14:sparkline>
              <xm:f>正股信息!AJ495:AO495</xm:f>
              <xm:sqref>AI495</xm:sqref>
            </x14:sparkline>
            <x14:sparkline>
              <xm:f>正股信息!AJ496:AO496</xm:f>
              <xm:sqref>AI496</xm:sqref>
            </x14:sparkline>
            <x14:sparkline>
              <xm:f>正股信息!AJ497:AO497</xm:f>
              <xm:sqref>AI497</xm:sqref>
            </x14:sparkline>
            <x14:sparkline>
              <xm:f>正股信息!AJ498:AO498</xm:f>
              <xm:sqref>AI498</xm:sqref>
            </x14:sparkline>
            <x14:sparkline>
              <xm:f>正股信息!AJ499:AO499</xm:f>
              <xm:sqref>AI499</xm:sqref>
            </x14:sparkline>
            <x14:sparkline>
              <xm:f>正股信息!AJ500:AO500</xm:f>
              <xm:sqref>AI500</xm:sqref>
            </x14:sparkline>
            <x14:sparkline>
              <xm:f>正股信息!AJ501:AO501</xm:f>
              <xm:sqref>AI501</xm:sqref>
            </x14:sparkline>
            <x14:sparkline>
              <xm:f>正股信息!AJ502:AO502</xm:f>
              <xm:sqref>AI502</xm:sqref>
            </x14:sparkline>
            <x14:sparkline>
              <xm:f>正股信息!AJ503:AO503</xm:f>
              <xm:sqref>AI503</xm:sqref>
            </x14:sparkline>
            <x14:sparkline>
              <xm:f>正股信息!AJ504:AO504</xm:f>
              <xm:sqref>AI504</xm:sqref>
            </x14:sparkline>
            <x14:sparkline>
              <xm:f>正股信息!AJ505:AO505</xm:f>
              <xm:sqref>AI505</xm:sqref>
            </x14:sparkline>
            <x14:sparkline>
              <xm:f>正股信息!AJ506:AO506</xm:f>
              <xm:sqref>AI506</xm:sqref>
            </x14:sparkline>
            <x14:sparkline>
              <xm:f>正股信息!AJ507:AO507</xm:f>
              <xm:sqref>AI507</xm:sqref>
            </x14:sparkline>
            <x14:sparkline>
              <xm:f>正股信息!AJ508:AO508</xm:f>
              <xm:sqref>AI508</xm:sqref>
            </x14:sparkline>
            <x14:sparkline>
              <xm:f>正股信息!AJ509:AO509</xm:f>
              <xm:sqref>AI509</xm:sqref>
            </x14:sparkline>
            <x14:sparkline>
              <xm:f>正股信息!AJ510:AO510</xm:f>
              <xm:sqref>AI510</xm:sqref>
            </x14:sparkline>
            <x14:sparkline>
              <xm:f>正股信息!AJ511:AO511</xm:f>
              <xm:sqref>AI511</xm:sqref>
            </x14:sparkline>
            <x14:sparkline>
              <xm:f>正股信息!AJ512:AO512</xm:f>
              <xm:sqref>AI512</xm:sqref>
            </x14:sparkline>
            <x14:sparkline>
              <xm:f>正股信息!AJ513:AO513</xm:f>
              <xm:sqref>AI513</xm:sqref>
            </x14:sparkline>
            <x14:sparkline>
              <xm:f>正股信息!AJ514:AO514</xm:f>
              <xm:sqref>AI514</xm:sqref>
            </x14:sparkline>
            <x14:sparkline>
              <xm:f>正股信息!AJ515:AO515</xm:f>
              <xm:sqref>AI515</xm:sqref>
            </x14:sparkline>
            <x14:sparkline>
              <xm:f>正股信息!AJ516:AO516</xm:f>
              <xm:sqref>AI516</xm:sqref>
            </x14:sparkline>
            <x14:sparkline>
              <xm:f>正股信息!AJ517:AO517</xm:f>
              <xm:sqref>AI517</xm:sqref>
            </x14:sparkline>
            <x14:sparkline>
              <xm:f>正股信息!AJ518:AO518</xm:f>
              <xm:sqref>AI518</xm:sqref>
            </x14:sparkline>
            <x14:sparkline>
              <xm:f>正股信息!AJ519:AO519</xm:f>
              <xm:sqref>AI519</xm:sqref>
            </x14:sparkline>
            <x14:sparkline>
              <xm:f>正股信息!AJ520:AO520</xm:f>
              <xm:sqref>AI520</xm:sqref>
            </x14:sparkline>
            <x14:sparkline>
              <xm:f>正股信息!AJ521:AO521</xm:f>
              <xm:sqref>AI521</xm:sqref>
            </x14:sparkline>
            <x14:sparkline>
              <xm:f>正股信息!AJ522:AO522</xm:f>
              <xm:sqref>AI522</xm:sqref>
            </x14:sparkline>
            <x14:sparkline>
              <xm:f>正股信息!AJ523:AO523</xm:f>
              <xm:sqref>AI523</xm:sqref>
            </x14:sparkline>
            <x14:sparkline>
              <xm:f>正股信息!AJ524:AO524</xm:f>
              <xm:sqref>AI524</xm:sqref>
            </x14:sparkline>
            <x14:sparkline>
              <xm:f>正股信息!AJ525:AO525</xm:f>
              <xm:sqref>AI525</xm:sqref>
            </x14:sparkline>
            <x14:sparkline>
              <xm:f>正股信息!AJ526:AO526</xm:f>
              <xm:sqref>AI526</xm:sqref>
            </x14:sparkline>
            <x14:sparkline>
              <xm:f>正股信息!AJ527:AO527</xm:f>
              <xm:sqref>AI527</xm:sqref>
            </x14:sparkline>
            <x14:sparkline>
              <xm:f>正股信息!AJ528:AO528</xm:f>
              <xm:sqref>AI528</xm:sqref>
            </x14:sparkline>
            <x14:sparkline>
              <xm:f>正股信息!AJ529:AO529</xm:f>
              <xm:sqref>AI529</xm:sqref>
            </x14:sparkline>
            <x14:sparkline>
              <xm:f>正股信息!AJ530:AO530</xm:f>
              <xm:sqref>AI530</xm:sqref>
            </x14:sparkline>
            <x14:sparkline>
              <xm:f>正股信息!AJ531:AO531</xm:f>
              <xm:sqref>AI531</xm:sqref>
            </x14:sparkline>
            <x14:sparkline>
              <xm:f>正股信息!AJ532:AO532</xm:f>
              <xm:sqref>AI532</xm:sqref>
            </x14:sparkline>
            <x14:sparkline>
              <xm:f>正股信息!AJ533:AO533</xm:f>
              <xm:sqref>AI533</xm:sqref>
            </x14:sparkline>
            <x14:sparkline>
              <xm:f>正股信息!AJ534:AO534</xm:f>
              <xm:sqref>AI534</xm:sqref>
            </x14:sparkline>
            <x14:sparkline>
              <xm:f>正股信息!AJ535:AO535</xm:f>
              <xm:sqref>AI535</xm:sqref>
            </x14:sparkline>
            <x14:sparkline>
              <xm:f>正股信息!AJ536:AO536</xm:f>
              <xm:sqref>AI536</xm:sqref>
            </x14:sparkline>
            <x14:sparkline>
              <xm:f>正股信息!AJ537:AO537</xm:f>
              <xm:sqref>AI537</xm:sqref>
            </x14:sparkline>
            <x14:sparkline>
              <xm:f>正股信息!AJ538:AO538</xm:f>
              <xm:sqref>AI538</xm:sqref>
            </x14:sparkline>
            <x14:sparkline>
              <xm:f>正股信息!AJ539:AO539</xm:f>
              <xm:sqref>AI539</xm:sqref>
            </x14:sparkline>
            <x14:sparkline>
              <xm:f>正股信息!AJ540:AO540</xm:f>
              <xm:sqref>AI540</xm:sqref>
            </x14:sparkline>
            <x14:sparkline>
              <xm:f>正股信息!AJ541:AO541</xm:f>
              <xm:sqref>AI541</xm:sqref>
            </x14:sparkline>
            <x14:sparkline>
              <xm:f>正股信息!AJ542:AO542</xm:f>
              <xm:sqref>AI542</xm:sqref>
            </x14:sparkline>
            <x14:sparkline>
              <xm:f>正股信息!AJ543:AO543</xm:f>
              <xm:sqref>AI543</xm:sqref>
            </x14:sparkline>
          </x14:sparklines>
        </x14:sparklineGroup>
        <x14:sparklineGroup manualMax="0" manualMin="0" displayEmptyCellsAs="gap" rightToLeft="1" xr2:uid="{00000000-0003-0000-03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正股信息!AC7:AH7</xm:f>
              <xm:sqref>AB7</xm:sqref>
            </x14:sparkline>
            <x14:sparkline>
              <xm:f>正股信息!AC8:AH8</xm:f>
              <xm:sqref>AB8</xm:sqref>
            </x14:sparkline>
            <x14:sparkline>
              <xm:f>正股信息!AC9:AH9</xm:f>
              <xm:sqref>AB9</xm:sqref>
            </x14:sparkline>
            <x14:sparkline>
              <xm:f>正股信息!AC10:AH10</xm:f>
              <xm:sqref>AB10</xm:sqref>
            </x14:sparkline>
            <x14:sparkline>
              <xm:f>正股信息!AC11:AH11</xm:f>
              <xm:sqref>AB11</xm:sqref>
            </x14:sparkline>
            <x14:sparkline>
              <xm:f>正股信息!AC12:AH12</xm:f>
              <xm:sqref>AB12</xm:sqref>
            </x14:sparkline>
            <x14:sparkline>
              <xm:f>正股信息!AC13:AH13</xm:f>
              <xm:sqref>AB13</xm:sqref>
            </x14:sparkline>
            <x14:sparkline>
              <xm:f>正股信息!AC14:AH14</xm:f>
              <xm:sqref>AB14</xm:sqref>
            </x14:sparkline>
            <x14:sparkline>
              <xm:f>正股信息!AC15:AH15</xm:f>
              <xm:sqref>AB15</xm:sqref>
            </x14:sparkline>
            <x14:sparkline>
              <xm:f>正股信息!AC16:AH16</xm:f>
              <xm:sqref>AB16</xm:sqref>
            </x14:sparkline>
            <x14:sparkline>
              <xm:f>正股信息!AC17:AH17</xm:f>
              <xm:sqref>AB17</xm:sqref>
            </x14:sparkline>
            <x14:sparkline>
              <xm:f>正股信息!AC18:AH18</xm:f>
              <xm:sqref>AB18</xm:sqref>
            </x14:sparkline>
            <x14:sparkline>
              <xm:f>正股信息!AC19:AH19</xm:f>
              <xm:sqref>AB19</xm:sqref>
            </x14:sparkline>
            <x14:sparkline>
              <xm:f>正股信息!AC20:AH20</xm:f>
              <xm:sqref>AB20</xm:sqref>
            </x14:sparkline>
            <x14:sparkline>
              <xm:f>正股信息!AC21:AH21</xm:f>
              <xm:sqref>AB21</xm:sqref>
            </x14:sparkline>
            <x14:sparkline>
              <xm:f>正股信息!AC22:AH22</xm:f>
              <xm:sqref>AB22</xm:sqref>
            </x14:sparkline>
            <x14:sparkline>
              <xm:f>正股信息!AC23:AH23</xm:f>
              <xm:sqref>AB23</xm:sqref>
            </x14:sparkline>
            <x14:sparkline>
              <xm:f>正股信息!AC24:AH24</xm:f>
              <xm:sqref>AB24</xm:sqref>
            </x14:sparkline>
            <x14:sparkline>
              <xm:f>正股信息!AC25:AH25</xm:f>
              <xm:sqref>AB25</xm:sqref>
            </x14:sparkline>
            <x14:sparkline>
              <xm:f>正股信息!AC26:AH26</xm:f>
              <xm:sqref>AB26</xm:sqref>
            </x14:sparkline>
            <x14:sparkline>
              <xm:f>正股信息!AC27:AH27</xm:f>
              <xm:sqref>AB27</xm:sqref>
            </x14:sparkline>
            <x14:sparkline>
              <xm:f>正股信息!AC28:AH28</xm:f>
              <xm:sqref>AB28</xm:sqref>
            </x14:sparkline>
            <x14:sparkline>
              <xm:f>正股信息!AC29:AH29</xm:f>
              <xm:sqref>AB29</xm:sqref>
            </x14:sparkline>
            <x14:sparkline>
              <xm:f>正股信息!AC30:AH30</xm:f>
              <xm:sqref>AB30</xm:sqref>
            </x14:sparkline>
            <x14:sparkline>
              <xm:f>正股信息!AC31:AH31</xm:f>
              <xm:sqref>AB31</xm:sqref>
            </x14:sparkline>
            <x14:sparkline>
              <xm:f>正股信息!AC32:AH32</xm:f>
              <xm:sqref>AB32</xm:sqref>
            </x14:sparkline>
            <x14:sparkline>
              <xm:f>正股信息!AC33:AH33</xm:f>
              <xm:sqref>AB33</xm:sqref>
            </x14:sparkline>
            <x14:sparkline>
              <xm:f>正股信息!AC34:AH34</xm:f>
              <xm:sqref>AB34</xm:sqref>
            </x14:sparkline>
            <x14:sparkline>
              <xm:f>正股信息!AC35:AH35</xm:f>
              <xm:sqref>AB35</xm:sqref>
            </x14:sparkline>
            <x14:sparkline>
              <xm:f>正股信息!AC36:AH36</xm:f>
              <xm:sqref>AB36</xm:sqref>
            </x14:sparkline>
            <x14:sparkline>
              <xm:f>正股信息!AC37:AH37</xm:f>
              <xm:sqref>AB37</xm:sqref>
            </x14:sparkline>
            <x14:sparkline>
              <xm:f>正股信息!AC38:AH38</xm:f>
              <xm:sqref>AB38</xm:sqref>
            </x14:sparkline>
            <x14:sparkline>
              <xm:f>正股信息!AC39:AH39</xm:f>
              <xm:sqref>AB39</xm:sqref>
            </x14:sparkline>
            <x14:sparkline>
              <xm:f>正股信息!AC40:AH40</xm:f>
              <xm:sqref>AB40</xm:sqref>
            </x14:sparkline>
            <x14:sparkline>
              <xm:f>正股信息!AC41:AH41</xm:f>
              <xm:sqref>AB41</xm:sqref>
            </x14:sparkline>
            <x14:sparkline>
              <xm:f>正股信息!AC42:AH42</xm:f>
              <xm:sqref>AB42</xm:sqref>
            </x14:sparkline>
            <x14:sparkline>
              <xm:f>正股信息!AC43:AH43</xm:f>
              <xm:sqref>AB43</xm:sqref>
            </x14:sparkline>
            <x14:sparkline>
              <xm:f>正股信息!AC44:AH44</xm:f>
              <xm:sqref>AB44</xm:sqref>
            </x14:sparkline>
            <x14:sparkline>
              <xm:f>正股信息!AC45:AH45</xm:f>
              <xm:sqref>AB45</xm:sqref>
            </x14:sparkline>
            <x14:sparkline>
              <xm:f>正股信息!AC46:AH46</xm:f>
              <xm:sqref>AB46</xm:sqref>
            </x14:sparkline>
            <x14:sparkline>
              <xm:f>正股信息!AC47:AH47</xm:f>
              <xm:sqref>AB47</xm:sqref>
            </x14:sparkline>
            <x14:sparkline>
              <xm:f>正股信息!AC48:AH48</xm:f>
              <xm:sqref>AB48</xm:sqref>
            </x14:sparkline>
            <x14:sparkline>
              <xm:f>正股信息!AC49:AH49</xm:f>
              <xm:sqref>AB49</xm:sqref>
            </x14:sparkline>
            <x14:sparkline>
              <xm:f>正股信息!AC50:AH50</xm:f>
              <xm:sqref>AB50</xm:sqref>
            </x14:sparkline>
            <x14:sparkline>
              <xm:f>正股信息!AC51:AH51</xm:f>
              <xm:sqref>AB51</xm:sqref>
            </x14:sparkline>
            <x14:sparkline>
              <xm:f>正股信息!AC52:AH52</xm:f>
              <xm:sqref>AB52</xm:sqref>
            </x14:sparkline>
            <x14:sparkline>
              <xm:f>正股信息!AC53:AH53</xm:f>
              <xm:sqref>AB53</xm:sqref>
            </x14:sparkline>
            <x14:sparkline>
              <xm:f>正股信息!AC54:AH54</xm:f>
              <xm:sqref>AB54</xm:sqref>
            </x14:sparkline>
            <x14:sparkline>
              <xm:f>正股信息!AC55:AH55</xm:f>
              <xm:sqref>AB55</xm:sqref>
            </x14:sparkline>
            <x14:sparkline>
              <xm:f>正股信息!AC56:AH56</xm:f>
              <xm:sqref>AB56</xm:sqref>
            </x14:sparkline>
            <x14:sparkline>
              <xm:f>正股信息!AC57:AH57</xm:f>
              <xm:sqref>AB57</xm:sqref>
            </x14:sparkline>
            <x14:sparkline>
              <xm:f>正股信息!AC58:AH58</xm:f>
              <xm:sqref>AB58</xm:sqref>
            </x14:sparkline>
            <x14:sparkline>
              <xm:f>正股信息!AC59:AH59</xm:f>
              <xm:sqref>AB59</xm:sqref>
            </x14:sparkline>
            <x14:sparkline>
              <xm:f>正股信息!AC60:AH60</xm:f>
              <xm:sqref>AB60</xm:sqref>
            </x14:sparkline>
            <x14:sparkline>
              <xm:f>正股信息!AC61:AH61</xm:f>
              <xm:sqref>AB61</xm:sqref>
            </x14:sparkline>
            <x14:sparkline>
              <xm:f>正股信息!AC62:AH62</xm:f>
              <xm:sqref>AB62</xm:sqref>
            </x14:sparkline>
            <x14:sparkline>
              <xm:f>正股信息!AC63:AH63</xm:f>
              <xm:sqref>AB63</xm:sqref>
            </x14:sparkline>
            <x14:sparkline>
              <xm:f>正股信息!AC64:AH64</xm:f>
              <xm:sqref>AB64</xm:sqref>
            </x14:sparkline>
            <x14:sparkline>
              <xm:f>正股信息!AC65:AH65</xm:f>
              <xm:sqref>AB65</xm:sqref>
            </x14:sparkline>
            <x14:sparkline>
              <xm:f>正股信息!AC66:AH66</xm:f>
              <xm:sqref>AB66</xm:sqref>
            </x14:sparkline>
            <x14:sparkline>
              <xm:f>正股信息!AC67:AH67</xm:f>
              <xm:sqref>AB67</xm:sqref>
            </x14:sparkline>
            <x14:sparkline>
              <xm:f>正股信息!AC68:AH68</xm:f>
              <xm:sqref>AB68</xm:sqref>
            </x14:sparkline>
            <x14:sparkline>
              <xm:f>正股信息!AC69:AH69</xm:f>
              <xm:sqref>AB69</xm:sqref>
            </x14:sparkline>
            <x14:sparkline>
              <xm:f>正股信息!AC70:AH70</xm:f>
              <xm:sqref>AB70</xm:sqref>
            </x14:sparkline>
            <x14:sparkline>
              <xm:f>正股信息!AC71:AH71</xm:f>
              <xm:sqref>AB71</xm:sqref>
            </x14:sparkline>
            <x14:sparkline>
              <xm:f>正股信息!AC72:AH72</xm:f>
              <xm:sqref>AB72</xm:sqref>
            </x14:sparkline>
            <x14:sparkline>
              <xm:f>正股信息!AC73:AH73</xm:f>
              <xm:sqref>AB73</xm:sqref>
            </x14:sparkline>
            <x14:sparkline>
              <xm:f>正股信息!AC74:AH74</xm:f>
              <xm:sqref>AB74</xm:sqref>
            </x14:sparkline>
            <x14:sparkline>
              <xm:f>正股信息!AC75:AH75</xm:f>
              <xm:sqref>AB75</xm:sqref>
            </x14:sparkline>
            <x14:sparkline>
              <xm:f>正股信息!AC76:AH76</xm:f>
              <xm:sqref>AB76</xm:sqref>
            </x14:sparkline>
            <x14:sparkline>
              <xm:f>正股信息!AC77:AH77</xm:f>
              <xm:sqref>AB77</xm:sqref>
            </x14:sparkline>
            <x14:sparkline>
              <xm:f>正股信息!AC78:AH78</xm:f>
              <xm:sqref>AB78</xm:sqref>
            </x14:sparkline>
            <x14:sparkline>
              <xm:f>正股信息!AC79:AH79</xm:f>
              <xm:sqref>AB79</xm:sqref>
            </x14:sparkline>
            <x14:sparkline>
              <xm:f>正股信息!AC80:AH80</xm:f>
              <xm:sqref>AB80</xm:sqref>
            </x14:sparkline>
            <x14:sparkline>
              <xm:f>正股信息!AC81:AH81</xm:f>
              <xm:sqref>AB81</xm:sqref>
            </x14:sparkline>
            <x14:sparkline>
              <xm:f>正股信息!AC82:AH82</xm:f>
              <xm:sqref>AB82</xm:sqref>
            </x14:sparkline>
            <x14:sparkline>
              <xm:f>正股信息!AC83:AH83</xm:f>
              <xm:sqref>AB83</xm:sqref>
            </x14:sparkline>
            <x14:sparkline>
              <xm:f>正股信息!AC84:AH84</xm:f>
              <xm:sqref>AB84</xm:sqref>
            </x14:sparkline>
            <x14:sparkline>
              <xm:f>正股信息!AC85:AH85</xm:f>
              <xm:sqref>AB85</xm:sqref>
            </x14:sparkline>
            <x14:sparkline>
              <xm:f>正股信息!AC86:AH86</xm:f>
              <xm:sqref>AB86</xm:sqref>
            </x14:sparkline>
            <x14:sparkline>
              <xm:f>正股信息!AC87:AH87</xm:f>
              <xm:sqref>AB87</xm:sqref>
            </x14:sparkline>
            <x14:sparkline>
              <xm:f>正股信息!AC88:AH88</xm:f>
              <xm:sqref>AB88</xm:sqref>
            </x14:sparkline>
            <x14:sparkline>
              <xm:f>正股信息!AC89:AH89</xm:f>
              <xm:sqref>AB89</xm:sqref>
            </x14:sparkline>
            <x14:sparkline>
              <xm:f>正股信息!AC90:AH90</xm:f>
              <xm:sqref>AB90</xm:sqref>
            </x14:sparkline>
            <x14:sparkline>
              <xm:f>正股信息!AC91:AH91</xm:f>
              <xm:sqref>AB91</xm:sqref>
            </x14:sparkline>
            <x14:sparkline>
              <xm:f>正股信息!AC92:AH92</xm:f>
              <xm:sqref>AB92</xm:sqref>
            </x14:sparkline>
            <x14:sparkline>
              <xm:f>正股信息!AC93:AH93</xm:f>
              <xm:sqref>AB93</xm:sqref>
            </x14:sparkline>
            <x14:sparkline>
              <xm:f>正股信息!AC94:AH94</xm:f>
              <xm:sqref>AB94</xm:sqref>
            </x14:sparkline>
            <x14:sparkline>
              <xm:f>正股信息!AC95:AH95</xm:f>
              <xm:sqref>AB95</xm:sqref>
            </x14:sparkline>
            <x14:sparkline>
              <xm:f>正股信息!AC96:AH96</xm:f>
              <xm:sqref>AB96</xm:sqref>
            </x14:sparkline>
            <x14:sparkline>
              <xm:f>正股信息!AC97:AH97</xm:f>
              <xm:sqref>AB97</xm:sqref>
            </x14:sparkline>
            <x14:sparkline>
              <xm:f>正股信息!AC98:AH98</xm:f>
              <xm:sqref>AB98</xm:sqref>
            </x14:sparkline>
            <x14:sparkline>
              <xm:f>正股信息!AC99:AH99</xm:f>
              <xm:sqref>AB99</xm:sqref>
            </x14:sparkline>
            <x14:sparkline>
              <xm:f>正股信息!AC100:AH100</xm:f>
              <xm:sqref>AB100</xm:sqref>
            </x14:sparkline>
            <x14:sparkline>
              <xm:f>正股信息!AC101:AH101</xm:f>
              <xm:sqref>AB101</xm:sqref>
            </x14:sparkline>
            <x14:sparkline>
              <xm:f>正股信息!AC102:AH102</xm:f>
              <xm:sqref>AB102</xm:sqref>
            </x14:sparkline>
            <x14:sparkline>
              <xm:f>正股信息!AC103:AH103</xm:f>
              <xm:sqref>AB103</xm:sqref>
            </x14:sparkline>
            <x14:sparkline>
              <xm:f>正股信息!AC104:AH104</xm:f>
              <xm:sqref>AB104</xm:sqref>
            </x14:sparkline>
            <x14:sparkline>
              <xm:f>正股信息!AC105:AH105</xm:f>
              <xm:sqref>AB105</xm:sqref>
            </x14:sparkline>
            <x14:sparkline>
              <xm:f>正股信息!AC106:AH106</xm:f>
              <xm:sqref>AB106</xm:sqref>
            </x14:sparkline>
            <x14:sparkline>
              <xm:f>正股信息!AC107:AH107</xm:f>
              <xm:sqref>AB107</xm:sqref>
            </x14:sparkline>
            <x14:sparkline>
              <xm:f>正股信息!AC108:AH108</xm:f>
              <xm:sqref>AB108</xm:sqref>
            </x14:sparkline>
            <x14:sparkline>
              <xm:f>正股信息!AC109:AH109</xm:f>
              <xm:sqref>AB109</xm:sqref>
            </x14:sparkline>
            <x14:sparkline>
              <xm:f>正股信息!AC110:AH110</xm:f>
              <xm:sqref>AB110</xm:sqref>
            </x14:sparkline>
            <x14:sparkline>
              <xm:f>正股信息!AC111:AH111</xm:f>
              <xm:sqref>AB111</xm:sqref>
            </x14:sparkline>
            <x14:sparkline>
              <xm:f>正股信息!AC112:AH112</xm:f>
              <xm:sqref>AB112</xm:sqref>
            </x14:sparkline>
            <x14:sparkline>
              <xm:f>正股信息!AC113:AH113</xm:f>
              <xm:sqref>AB113</xm:sqref>
            </x14:sparkline>
            <x14:sparkline>
              <xm:f>正股信息!AC114:AH114</xm:f>
              <xm:sqref>AB114</xm:sqref>
            </x14:sparkline>
            <x14:sparkline>
              <xm:f>正股信息!AC115:AH115</xm:f>
              <xm:sqref>AB115</xm:sqref>
            </x14:sparkline>
            <x14:sparkline>
              <xm:f>正股信息!AC116:AH116</xm:f>
              <xm:sqref>AB116</xm:sqref>
            </x14:sparkline>
            <x14:sparkline>
              <xm:f>正股信息!AC117:AH117</xm:f>
              <xm:sqref>AB117</xm:sqref>
            </x14:sparkline>
            <x14:sparkline>
              <xm:f>正股信息!AC118:AH118</xm:f>
              <xm:sqref>AB118</xm:sqref>
            </x14:sparkline>
            <x14:sparkline>
              <xm:f>正股信息!AC119:AH119</xm:f>
              <xm:sqref>AB119</xm:sqref>
            </x14:sparkline>
            <x14:sparkline>
              <xm:f>正股信息!AC120:AH120</xm:f>
              <xm:sqref>AB120</xm:sqref>
            </x14:sparkline>
            <x14:sparkline>
              <xm:f>正股信息!AC121:AH121</xm:f>
              <xm:sqref>AB121</xm:sqref>
            </x14:sparkline>
            <x14:sparkline>
              <xm:f>正股信息!AC122:AH122</xm:f>
              <xm:sqref>AB122</xm:sqref>
            </x14:sparkline>
            <x14:sparkline>
              <xm:f>正股信息!AC123:AH123</xm:f>
              <xm:sqref>AB123</xm:sqref>
            </x14:sparkline>
            <x14:sparkline>
              <xm:f>正股信息!AC124:AH124</xm:f>
              <xm:sqref>AB124</xm:sqref>
            </x14:sparkline>
            <x14:sparkline>
              <xm:f>正股信息!AC125:AH125</xm:f>
              <xm:sqref>AB125</xm:sqref>
            </x14:sparkline>
            <x14:sparkline>
              <xm:f>正股信息!AC126:AH126</xm:f>
              <xm:sqref>AB126</xm:sqref>
            </x14:sparkline>
            <x14:sparkline>
              <xm:f>正股信息!AC127:AH127</xm:f>
              <xm:sqref>AB127</xm:sqref>
            </x14:sparkline>
            <x14:sparkline>
              <xm:f>正股信息!AC128:AH128</xm:f>
              <xm:sqref>AB128</xm:sqref>
            </x14:sparkline>
            <x14:sparkline>
              <xm:f>正股信息!AC129:AH129</xm:f>
              <xm:sqref>AB129</xm:sqref>
            </x14:sparkline>
            <x14:sparkline>
              <xm:f>正股信息!AC130:AH130</xm:f>
              <xm:sqref>AB130</xm:sqref>
            </x14:sparkline>
            <x14:sparkline>
              <xm:f>正股信息!AC131:AH131</xm:f>
              <xm:sqref>AB131</xm:sqref>
            </x14:sparkline>
            <x14:sparkline>
              <xm:f>正股信息!AC132:AH132</xm:f>
              <xm:sqref>AB132</xm:sqref>
            </x14:sparkline>
            <x14:sparkline>
              <xm:f>正股信息!AC133:AH133</xm:f>
              <xm:sqref>AB133</xm:sqref>
            </x14:sparkline>
            <x14:sparkline>
              <xm:f>正股信息!AC134:AH134</xm:f>
              <xm:sqref>AB134</xm:sqref>
            </x14:sparkline>
            <x14:sparkline>
              <xm:f>正股信息!AC135:AH135</xm:f>
              <xm:sqref>AB135</xm:sqref>
            </x14:sparkline>
            <x14:sparkline>
              <xm:f>正股信息!AC136:AH136</xm:f>
              <xm:sqref>AB136</xm:sqref>
            </x14:sparkline>
            <x14:sparkline>
              <xm:f>正股信息!AC137:AH137</xm:f>
              <xm:sqref>AB137</xm:sqref>
            </x14:sparkline>
            <x14:sparkline>
              <xm:f>正股信息!AC138:AH138</xm:f>
              <xm:sqref>AB138</xm:sqref>
            </x14:sparkline>
            <x14:sparkline>
              <xm:f>正股信息!AC139:AH139</xm:f>
              <xm:sqref>AB139</xm:sqref>
            </x14:sparkline>
            <x14:sparkline>
              <xm:f>正股信息!AC140:AH140</xm:f>
              <xm:sqref>AB140</xm:sqref>
            </x14:sparkline>
            <x14:sparkline>
              <xm:f>正股信息!AC141:AH141</xm:f>
              <xm:sqref>AB141</xm:sqref>
            </x14:sparkline>
            <x14:sparkline>
              <xm:f>正股信息!AC142:AH142</xm:f>
              <xm:sqref>AB142</xm:sqref>
            </x14:sparkline>
            <x14:sparkline>
              <xm:f>正股信息!AC143:AH143</xm:f>
              <xm:sqref>AB143</xm:sqref>
            </x14:sparkline>
            <x14:sparkline>
              <xm:f>正股信息!AC144:AH144</xm:f>
              <xm:sqref>AB144</xm:sqref>
            </x14:sparkline>
            <x14:sparkline>
              <xm:f>正股信息!AC145:AH145</xm:f>
              <xm:sqref>AB145</xm:sqref>
            </x14:sparkline>
            <x14:sparkline>
              <xm:f>正股信息!AC146:AH146</xm:f>
              <xm:sqref>AB146</xm:sqref>
            </x14:sparkline>
            <x14:sparkline>
              <xm:f>正股信息!AC147:AH147</xm:f>
              <xm:sqref>AB147</xm:sqref>
            </x14:sparkline>
            <x14:sparkline>
              <xm:f>正股信息!AC148:AH148</xm:f>
              <xm:sqref>AB148</xm:sqref>
            </x14:sparkline>
            <x14:sparkline>
              <xm:f>正股信息!AC149:AH149</xm:f>
              <xm:sqref>AB149</xm:sqref>
            </x14:sparkline>
            <x14:sparkline>
              <xm:f>正股信息!AC150:AH150</xm:f>
              <xm:sqref>AB150</xm:sqref>
            </x14:sparkline>
            <x14:sparkline>
              <xm:f>正股信息!AC151:AH151</xm:f>
              <xm:sqref>AB151</xm:sqref>
            </x14:sparkline>
            <x14:sparkline>
              <xm:f>正股信息!AC152:AH152</xm:f>
              <xm:sqref>AB152</xm:sqref>
            </x14:sparkline>
            <x14:sparkline>
              <xm:f>正股信息!AC153:AH153</xm:f>
              <xm:sqref>AB153</xm:sqref>
            </x14:sparkline>
            <x14:sparkline>
              <xm:f>正股信息!AC154:AH154</xm:f>
              <xm:sqref>AB154</xm:sqref>
            </x14:sparkline>
            <x14:sparkline>
              <xm:f>正股信息!AC155:AH155</xm:f>
              <xm:sqref>AB155</xm:sqref>
            </x14:sparkline>
            <x14:sparkline>
              <xm:f>正股信息!AC156:AH156</xm:f>
              <xm:sqref>AB156</xm:sqref>
            </x14:sparkline>
            <x14:sparkline>
              <xm:f>正股信息!AC157:AH157</xm:f>
              <xm:sqref>AB157</xm:sqref>
            </x14:sparkline>
            <x14:sparkline>
              <xm:f>正股信息!AC158:AH158</xm:f>
              <xm:sqref>AB158</xm:sqref>
            </x14:sparkline>
            <x14:sparkline>
              <xm:f>正股信息!AC159:AH159</xm:f>
              <xm:sqref>AB159</xm:sqref>
            </x14:sparkline>
            <x14:sparkline>
              <xm:f>正股信息!AC160:AH160</xm:f>
              <xm:sqref>AB160</xm:sqref>
            </x14:sparkline>
            <x14:sparkline>
              <xm:f>正股信息!AC161:AH161</xm:f>
              <xm:sqref>AB161</xm:sqref>
            </x14:sparkline>
            <x14:sparkline>
              <xm:f>正股信息!AC162:AH162</xm:f>
              <xm:sqref>AB162</xm:sqref>
            </x14:sparkline>
            <x14:sparkline>
              <xm:f>正股信息!AC163:AH163</xm:f>
              <xm:sqref>AB163</xm:sqref>
            </x14:sparkline>
            <x14:sparkline>
              <xm:f>正股信息!AC164:AH164</xm:f>
              <xm:sqref>AB164</xm:sqref>
            </x14:sparkline>
            <x14:sparkline>
              <xm:f>正股信息!AC165:AH165</xm:f>
              <xm:sqref>AB165</xm:sqref>
            </x14:sparkline>
            <x14:sparkline>
              <xm:f>正股信息!AC166:AH166</xm:f>
              <xm:sqref>AB166</xm:sqref>
            </x14:sparkline>
            <x14:sparkline>
              <xm:f>正股信息!AC167:AH167</xm:f>
              <xm:sqref>AB167</xm:sqref>
            </x14:sparkline>
            <x14:sparkline>
              <xm:f>正股信息!AC168:AH168</xm:f>
              <xm:sqref>AB168</xm:sqref>
            </x14:sparkline>
            <x14:sparkline>
              <xm:f>正股信息!AC169:AH169</xm:f>
              <xm:sqref>AB169</xm:sqref>
            </x14:sparkline>
            <x14:sparkline>
              <xm:f>正股信息!AC170:AH170</xm:f>
              <xm:sqref>AB170</xm:sqref>
            </x14:sparkline>
            <x14:sparkline>
              <xm:f>正股信息!AC171:AH171</xm:f>
              <xm:sqref>AB171</xm:sqref>
            </x14:sparkline>
            <x14:sparkline>
              <xm:f>正股信息!AC172:AH172</xm:f>
              <xm:sqref>AB172</xm:sqref>
            </x14:sparkline>
            <x14:sparkline>
              <xm:f>正股信息!AC173:AH173</xm:f>
              <xm:sqref>AB173</xm:sqref>
            </x14:sparkline>
            <x14:sparkline>
              <xm:f>正股信息!AC174:AH174</xm:f>
              <xm:sqref>AB174</xm:sqref>
            </x14:sparkline>
            <x14:sparkline>
              <xm:f>正股信息!AC175:AH175</xm:f>
              <xm:sqref>AB175</xm:sqref>
            </x14:sparkline>
            <x14:sparkline>
              <xm:f>正股信息!AC176:AH176</xm:f>
              <xm:sqref>AB176</xm:sqref>
            </x14:sparkline>
            <x14:sparkline>
              <xm:f>正股信息!AC177:AH177</xm:f>
              <xm:sqref>AB177</xm:sqref>
            </x14:sparkline>
            <x14:sparkline>
              <xm:f>正股信息!AC178:AH178</xm:f>
              <xm:sqref>AB178</xm:sqref>
            </x14:sparkline>
            <x14:sparkline>
              <xm:f>正股信息!AC179:AH179</xm:f>
              <xm:sqref>AB179</xm:sqref>
            </x14:sparkline>
            <x14:sparkline>
              <xm:f>正股信息!AC180:AH180</xm:f>
              <xm:sqref>AB180</xm:sqref>
            </x14:sparkline>
            <x14:sparkline>
              <xm:f>正股信息!AC181:AH181</xm:f>
              <xm:sqref>AB181</xm:sqref>
            </x14:sparkline>
            <x14:sparkline>
              <xm:f>正股信息!AC182:AH182</xm:f>
              <xm:sqref>AB182</xm:sqref>
            </x14:sparkline>
            <x14:sparkline>
              <xm:f>正股信息!AC183:AH183</xm:f>
              <xm:sqref>AB183</xm:sqref>
            </x14:sparkline>
            <x14:sparkline>
              <xm:f>正股信息!AC184:AH184</xm:f>
              <xm:sqref>AB184</xm:sqref>
            </x14:sparkline>
            <x14:sparkline>
              <xm:f>正股信息!AC185:AH185</xm:f>
              <xm:sqref>AB185</xm:sqref>
            </x14:sparkline>
            <x14:sparkline>
              <xm:f>正股信息!AC186:AH186</xm:f>
              <xm:sqref>AB186</xm:sqref>
            </x14:sparkline>
            <x14:sparkline>
              <xm:f>正股信息!AC187:AH187</xm:f>
              <xm:sqref>AB187</xm:sqref>
            </x14:sparkline>
            <x14:sparkline>
              <xm:f>正股信息!AC188:AH188</xm:f>
              <xm:sqref>AB188</xm:sqref>
            </x14:sparkline>
            <x14:sparkline>
              <xm:f>正股信息!AC189:AH189</xm:f>
              <xm:sqref>AB189</xm:sqref>
            </x14:sparkline>
            <x14:sparkline>
              <xm:f>正股信息!AC190:AH190</xm:f>
              <xm:sqref>AB190</xm:sqref>
            </x14:sparkline>
            <x14:sparkline>
              <xm:f>正股信息!AC191:AH191</xm:f>
              <xm:sqref>AB191</xm:sqref>
            </x14:sparkline>
            <x14:sparkline>
              <xm:f>正股信息!AC192:AH192</xm:f>
              <xm:sqref>AB192</xm:sqref>
            </x14:sparkline>
            <x14:sparkline>
              <xm:f>正股信息!AC193:AH193</xm:f>
              <xm:sqref>AB193</xm:sqref>
            </x14:sparkline>
            <x14:sparkline>
              <xm:f>正股信息!AC194:AH194</xm:f>
              <xm:sqref>AB194</xm:sqref>
            </x14:sparkline>
            <x14:sparkline>
              <xm:f>正股信息!AC195:AH195</xm:f>
              <xm:sqref>AB195</xm:sqref>
            </x14:sparkline>
            <x14:sparkline>
              <xm:f>正股信息!AC196:AH196</xm:f>
              <xm:sqref>AB196</xm:sqref>
            </x14:sparkline>
            <x14:sparkline>
              <xm:f>正股信息!AC197:AH197</xm:f>
              <xm:sqref>AB197</xm:sqref>
            </x14:sparkline>
            <x14:sparkline>
              <xm:f>正股信息!AC198:AH198</xm:f>
              <xm:sqref>AB198</xm:sqref>
            </x14:sparkline>
            <x14:sparkline>
              <xm:f>正股信息!AC199:AH199</xm:f>
              <xm:sqref>AB199</xm:sqref>
            </x14:sparkline>
            <x14:sparkline>
              <xm:f>正股信息!AC200:AH200</xm:f>
              <xm:sqref>AB200</xm:sqref>
            </x14:sparkline>
            <x14:sparkline>
              <xm:f>正股信息!AC201:AH201</xm:f>
              <xm:sqref>AB201</xm:sqref>
            </x14:sparkline>
            <x14:sparkline>
              <xm:f>正股信息!AC202:AH202</xm:f>
              <xm:sqref>AB202</xm:sqref>
            </x14:sparkline>
            <x14:sparkline>
              <xm:f>正股信息!AC203:AH203</xm:f>
              <xm:sqref>AB203</xm:sqref>
            </x14:sparkline>
            <x14:sparkline>
              <xm:f>正股信息!AC204:AH204</xm:f>
              <xm:sqref>AB204</xm:sqref>
            </x14:sparkline>
            <x14:sparkline>
              <xm:f>正股信息!AC205:AH205</xm:f>
              <xm:sqref>AB205</xm:sqref>
            </x14:sparkline>
            <x14:sparkline>
              <xm:f>正股信息!AC206:AH206</xm:f>
              <xm:sqref>AB206</xm:sqref>
            </x14:sparkline>
            <x14:sparkline>
              <xm:f>正股信息!AC207:AH207</xm:f>
              <xm:sqref>AB207</xm:sqref>
            </x14:sparkline>
            <x14:sparkline>
              <xm:f>正股信息!AC208:AH208</xm:f>
              <xm:sqref>AB208</xm:sqref>
            </x14:sparkline>
            <x14:sparkline>
              <xm:f>正股信息!AC209:AH209</xm:f>
              <xm:sqref>AB209</xm:sqref>
            </x14:sparkline>
            <x14:sparkline>
              <xm:f>正股信息!AC210:AH210</xm:f>
              <xm:sqref>AB210</xm:sqref>
            </x14:sparkline>
            <x14:sparkline>
              <xm:f>正股信息!AC211:AH211</xm:f>
              <xm:sqref>AB211</xm:sqref>
            </x14:sparkline>
            <x14:sparkline>
              <xm:f>正股信息!AC212:AH212</xm:f>
              <xm:sqref>AB212</xm:sqref>
            </x14:sparkline>
            <x14:sparkline>
              <xm:f>正股信息!AC213:AH213</xm:f>
              <xm:sqref>AB213</xm:sqref>
            </x14:sparkline>
            <x14:sparkline>
              <xm:f>正股信息!AC214:AH214</xm:f>
              <xm:sqref>AB214</xm:sqref>
            </x14:sparkline>
            <x14:sparkline>
              <xm:f>正股信息!AC215:AH215</xm:f>
              <xm:sqref>AB215</xm:sqref>
            </x14:sparkline>
            <x14:sparkline>
              <xm:f>正股信息!AC216:AH216</xm:f>
              <xm:sqref>AB216</xm:sqref>
            </x14:sparkline>
            <x14:sparkline>
              <xm:f>正股信息!AC217:AH217</xm:f>
              <xm:sqref>AB217</xm:sqref>
            </x14:sparkline>
            <x14:sparkline>
              <xm:f>正股信息!AC218:AH218</xm:f>
              <xm:sqref>AB218</xm:sqref>
            </x14:sparkline>
            <x14:sparkline>
              <xm:f>正股信息!AC219:AH219</xm:f>
              <xm:sqref>AB219</xm:sqref>
            </x14:sparkline>
            <x14:sparkline>
              <xm:f>正股信息!AC220:AH220</xm:f>
              <xm:sqref>AB220</xm:sqref>
            </x14:sparkline>
            <x14:sparkline>
              <xm:f>正股信息!AC221:AH221</xm:f>
              <xm:sqref>AB221</xm:sqref>
            </x14:sparkline>
            <x14:sparkline>
              <xm:f>正股信息!AC222:AH222</xm:f>
              <xm:sqref>AB222</xm:sqref>
            </x14:sparkline>
            <x14:sparkline>
              <xm:f>正股信息!AC223:AH223</xm:f>
              <xm:sqref>AB223</xm:sqref>
            </x14:sparkline>
            <x14:sparkline>
              <xm:f>正股信息!AC224:AH224</xm:f>
              <xm:sqref>AB224</xm:sqref>
            </x14:sparkline>
            <x14:sparkline>
              <xm:f>正股信息!AC225:AH225</xm:f>
              <xm:sqref>AB225</xm:sqref>
            </x14:sparkline>
            <x14:sparkline>
              <xm:f>正股信息!AC226:AH226</xm:f>
              <xm:sqref>AB226</xm:sqref>
            </x14:sparkline>
            <x14:sparkline>
              <xm:f>正股信息!AC227:AH227</xm:f>
              <xm:sqref>AB227</xm:sqref>
            </x14:sparkline>
            <x14:sparkline>
              <xm:f>正股信息!AC228:AH228</xm:f>
              <xm:sqref>AB228</xm:sqref>
            </x14:sparkline>
            <x14:sparkline>
              <xm:f>正股信息!AC229:AH229</xm:f>
              <xm:sqref>AB229</xm:sqref>
            </x14:sparkline>
            <x14:sparkline>
              <xm:f>正股信息!AC230:AH230</xm:f>
              <xm:sqref>AB230</xm:sqref>
            </x14:sparkline>
            <x14:sparkline>
              <xm:f>正股信息!AC231:AH231</xm:f>
              <xm:sqref>AB231</xm:sqref>
            </x14:sparkline>
            <x14:sparkline>
              <xm:f>正股信息!AC232:AH232</xm:f>
              <xm:sqref>AB232</xm:sqref>
            </x14:sparkline>
            <x14:sparkline>
              <xm:f>正股信息!AC233:AH233</xm:f>
              <xm:sqref>AB233</xm:sqref>
            </x14:sparkline>
            <x14:sparkline>
              <xm:f>正股信息!AC234:AH234</xm:f>
              <xm:sqref>AB234</xm:sqref>
            </x14:sparkline>
            <x14:sparkline>
              <xm:f>正股信息!AC235:AH235</xm:f>
              <xm:sqref>AB235</xm:sqref>
            </x14:sparkline>
            <x14:sparkline>
              <xm:f>正股信息!AC236:AH236</xm:f>
              <xm:sqref>AB236</xm:sqref>
            </x14:sparkline>
            <x14:sparkline>
              <xm:f>正股信息!AC237:AH237</xm:f>
              <xm:sqref>AB237</xm:sqref>
            </x14:sparkline>
            <x14:sparkline>
              <xm:f>正股信息!AC238:AH238</xm:f>
              <xm:sqref>AB238</xm:sqref>
            </x14:sparkline>
            <x14:sparkline>
              <xm:f>正股信息!AC239:AH239</xm:f>
              <xm:sqref>AB239</xm:sqref>
            </x14:sparkline>
            <x14:sparkline>
              <xm:f>正股信息!AC240:AH240</xm:f>
              <xm:sqref>AB240</xm:sqref>
            </x14:sparkline>
            <x14:sparkline>
              <xm:f>正股信息!AC241:AH241</xm:f>
              <xm:sqref>AB241</xm:sqref>
            </x14:sparkline>
            <x14:sparkline>
              <xm:f>正股信息!AC242:AH242</xm:f>
              <xm:sqref>AB242</xm:sqref>
            </x14:sparkline>
            <x14:sparkline>
              <xm:f>正股信息!AC243:AH243</xm:f>
              <xm:sqref>AB243</xm:sqref>
            </x14:sparkline>
            <x14:sparkline>
              <xm:f>正股信息!AC244:AH244</xm:f>
              <xm:sqref>AB244</xm:sqref>
            </x14:sparkline>
            <x14:sparkline>
              <xm:f>正股信息!AC245:AH245</xm:f>
              <xm:sqref>AB245</xm:sqref>
            </x14:sparkline>
            <x14:sparkline>
              <xm:f>正股信息!AC246:AH246</xm:f>
              <xm:sqref>AB246</xm:sqref>
            </x14:sparkline>
            <x14:sparkline>
              <xm:f>正股信息!AC247:AH247</xm:f>
              <xm:sqref>AB247</xm:sqref>
            </x14:sparkline>
            <x14:sparkline>
              <xm:f>正股信息!AC248:AH248</xm:f>
              <xm:sqref>AB248</xm:sqref>
            </x14:sparkline>
            <x14:sparkline>
              <xm:f>正股信息!AC249:AH249</xm:f>
              <xm:sqref>AB249</xm:sqref>
            </x14:sparkline>
            <x14:sparkline>
              <xm:f>正股信息!AC250:AH250</xm:f>
              <xm:sqref>AB250</xm:sqref>
            </x14:sparkline>
            <x14:sparkline>
              <xm:f>正股信息!AC251:AH251</xm:f>
              <xm:sqref>AB251</xm:sqref>
            </x14:sparkline>
            <x14:sparkline>
              <xm:f>正股信息!AC252:AH252</xm:f>
              <xm:sqref>AB252</xm:sqref>
            </x14:sparkline>
            <x14:sparkline>
              <xm:f>正股信息!AC253:AH253</xm:f>
              <xm:sqref>AB253</xm:sqref>
            </x14:sparkline>
            <x14:sparkline>
              <xm:f>正股信息!AC254:AH254</xm:f>
              <xm:sqref>AB254</xm:sqref>
            </x14:sparkline>
            <x14:sparkline>
              <xm:f>正股信息!AC255:AH255</xm:f>
              <xm:sqref>AB255</xm:sqref>
            </x14:sparkline>
            <x14:sparkline>
              <xm:f>正股信息!AC256:AH256</xm:f>
              <xm:sqref>AB256</xm:sqref>
            </x14:sparkline>
            <x14:sparkline>
              <xm:f>正股信息!AC257:AH257</xm:f>
              <xm:sqref>AB257</xm:sqref>
            </x14:sparkline>
            <x14:sparkline>
              <xm:f>正股信息!AC258:AH258</xm:f>
              <xm:sqref>AB258</xm:sqref>
            </x14:sparkline>
            <x14:sparkline>
              <xm:f>正股信息!AC259:AH259</xm:f>
              <xm:sqref>AB259</xm:sqref>
            </x14:sparkline>
            <x14:sparkline>
              <xm:f>正股信息!AC260:AH260</xm:f>
              <xm:sqref>AB260</xm:sqref>
            </x14:sparkline>
            <x14:sparkline>
              <xm:f>正股信息!AC261:AH261</xm:f>
              <xm:sqref>AB261</xm:sqref>
            </x14:sparkline>
            <x14:sparkline>
              <xm:f>正股信息!AC262:AH262</xm:f>
              <xm:sqref>AB262</xm:sqref>
            </x14:sparkline>
            <x14:sparkline>
              <xm:f>正股信息!AC263:AH263</xm:f>
              <xm:sqref>AB263</xm:sqref>
            </x14:sparkline>
            <x14:sparkline>
              <xm:f>正股信息!AC264:AH264</xm:f>
              <xm:sqref>AB264</xm:sqref>
            </x14:sparkline>
            <x14:sparkline>
              <xm:f>正股信息!AC265:AH265</xm:f>
              <xm:sqref>AB265</xm:sqref>
            </x14:sparkline>
            <x14:sparkline>
              <xm:f>正股信息!AC266:AH266</xm:f>
              <xm:sqref>AB266</xm:sqref>
            </x14:sparkline>
            <x14:sparkline>
              <xm:f>正股信息!AC267:AH267</xm:f>
              <xm:sqref>AB267</xm:sqref>
            </x14:sparkline>
            <x14:sparkline>
              <xm:f>正股信息!AC268:AH268</xm:f>
              <xm:sqref>AB268</xm:sqref>
            </x14:sparkline>
            <x14:sparkline>
              <xm:f>正股信息!AC269:AH269</xm:f>
              <xm:sqref>AB269</xm:sqref>
            </x14:sparkline>
            <x14:sparkline>
              <xm:f>正股信息!AC270:AH270</xm:f>
              <xm:sqref>AB270</xm:sqref>
            </x14:sparkline>
            <x14:sparkline>
              <xm:f>正股信息!AC271:AH271</xm:f>
              <xm:sqref>AB271</xm:sqref>
            </x14:sparkline>
            <x14:sparkline>
              <xm:f>正股信息!AC272:AH272</xm:f>
              <xm:sqref>AB272</xm:sqref>
            </x14:sparkline>
            <x14:sparkline>
              <xm:f>正股信息!AC273:AH273</xm:f>
              <xm:sqref>AB273</xm:sqref>
            </x14:sparkline>
            <x14:sparkline>
              <xm:f>正股信息!AC274:AH274</xm:f>
              <xm:sqref>AB274</xm:sqref>
            </x14:sparkline>
            <x14:sparkline>
              <xm:f>正股信息!AC275:AH275</xm:f>
              <xm:sqref>AB275</xm:sqref>
            </x14:sparkline>
            <x14:sparkline>
              <xm:f>正股信息!AC276:AH276</xm:f>
              <xm:sqref>AB276</xm:sqref>
            </x14:sparkline>
            <x14:sparkline>
              <xm:f>正股信息!AC277:AH277</xm:f>
              <xm:sqref>AB277</xm:sqref>
            </x14:sparkline>
            <x14:sparkline>
              <xm:f>正股信息!AC278:AH278</xm:f>
              <xm:sqref>AB278</xm:sqref>
            </x14:sparkline>
            <x14:sparkline>
              <xm:f>正股信息!AC279:AH279</xm:f>
              <xm:sqref>AB279</xm:sqref>
            </x14:sparkline>
            <x14:sparkline>
              <xm:f>正股信息!AC280:AH280</xm:f>
              <xm:sqref>AB280</xm:sqref>
            </x14:sparkline>
            <x14:sparkline>
              <xm:f>正股信息!AC281:AH281</xm:f>
              <xm:sqref>AB281</xm:sqref>
            </x14:sparkline>
            <x14:sparkline>
              <xm:f>正股信息!AC282:AH282</xm:f>
              <xm:sqref>AB282</xm:sqref>
            </x14:sparkline>
            <x14:sparkline>
              <xm:f>正股信息!AC283:AH283</xm:f>
              <xm:sqref>AB283</xm:sqref>
            </x14:sparkline>
            <x14:sparkline>
              <xm:f>正股信息!AC284:AH284</xm:f>
              <xm:sqref>AB284</xm:sqref>
            </x14:sparkline>
            <x14:sparkline>
              <xm:f>正股信息!AC285:AH285</xm:f>
              <xm:sqref>AB285</xm:sqref>
            </x14:sparkline>
            <x14:sparkline>
              <xm:f>正股信息!AC286:AH286</xm:f>
              <xm:sqref>AB286</xm:sqref>
            </x14:sparkline>
            <x14:sparkline>
              <xm:f>正股信息!AC287:AH287</xm:f>
              <xm:sqref>AB287</xm:sqref>
            </x14:sparkline>
            <x14:sparkline>
              <xm:f>正股信息!AC288:AH288</xm:f>
              <xm:sqref>AB288</xm:sqref>
            </x14:sparkline>
            <x14:sparkline>
              <xm:f>正股信息!AC289:AH289</xm:f>
              <xm:sqref>AB289</xm:sqref>
            </x14:sparkline>
            <x14:sparkline>
              <xm:f>正股信息!AC290:AH290</xm:f>
              <xm:sqref>AB290</xm:sqref>
            </x14:sparkline>
            <x14:sparkline>
              <xm:f>正股信息!AC291:AH291</xm:f>
              <xm:sqref>AB291</xm:sqref>
            </x14:sparkline>
            <x14:sparkline>
              <xm:f>正股信息!AC292:AH292</xm:f>
              <xm:sqref>AB292</xm:sqref>
            </x14:sparkline>
            <x14:sparkline>
              <xm:f>正股信息!AC293:AH293</xm:f>
              <xm:sqref>AB293</xm:sqref>
            </x14:sparkline>
            <x14:sparkline>
              <xm:f>正股信息!AC294:AH294</xm:f>
              <xm:sqref>AB294</xm:sqref>
            </x14:sparkline>
            <x14:sparkline>
              <xm:f>正股信息!AC295:AH295</xm:f>
              <xm:sqref>AB295</xm:sqref>
            </x14:sparkline>
            <x14:sparkline>
              <xm:f>正股信息!AC296:AH296</xm:f>
              <xm:sqref>AB296</xm:sqref>
            </x14:sparkline>
            <x14:sparkline>
              <xm:f>正股信息!AC297:AH297</xm:f>
              <xm:sqref>AB297</xm:sqref>
            </x14:sparkline>
            <x14:sparkline>
              <xm:f>正股信息!AC298:AH298</xm:f>
              <xm:sqref>AB298</xm:sqref>
            </x14:sparkline>
            <x14:sparkline>
              <xm:f>正股信息!AC299:AH299</xm:f>
              <xm:sqref>AB299</xm:sqref>
            </x14:sparkline>
            <x14:sparkline>
              <xm:f>正股信息!AC300:AH300</xm:f>
              <xm:sqref>AB300</xm:sqref>
            </x14:sparkline>
            <x14:sparkline>
              <xm:f>正股信息!AC301:AH301</xm:f>
              <xm:sqref>AB301</xm:sqref>
            </x14:sparkline>
            <x14:sparkline>
              <xm:f>正股信息!AC302:AH302</xm:f>
              <xm:sqref>AB302</xm:sqref>
            </x14:sparkline>
            <x14:sparkline>
              <xm:f>正股信息!AC303:AH303</xm:f>
              <xm:sqref>AB303</xm:sqref>
            </x14:sparkline>
            <x14:sparkline>
              <xm:f>正股信息!AC304:AH304</xm:f>
              <xm:sqref>AB304</xm:sqref>
            </x14:sparkline>
            <x14:sparkline>
              <xm:f>正股信息!AC305:AH305</xm:f>
              <xm:sqref>AB305</xm:sqref>
            </x14:sparkline>
            <x14:sparkline>
              <xm:f>正股信息!AC306:AH306</xm:f>
              <xm:sqref>AB306</xm:sqref>
            </x14:sparkline>
            <x14:sparkline>
              <xm:f>正股信息!AC307:AH307</xm:f>
              <xm:sqref>AB307</xm:sqref>
            </x14:sparkline>
            <x14:sparkline>
              <xm:f>正股信息!AC308:AH308</xm:f>
              <xm:sqref>AB308</xm:sqref>
            </x14:sparkline>
            <x14:sparkline>
              <xm:f>正股信息!AC309:AH309</xm:f>
              <xm:sqref>AB309</xm:sqref>
            </x14:sparkline>
            <x14:sparkline>
              <xm:f>正股信息!AC310:AH310</xm:f>
              <xm:sqref>AB310</xm:sqref>
            </x14:sparkline>
            <x14:sparkline>
              <xm:f>正股信息!AC311:AH311</xm:f>
              <xm:sqref>AB311</xm:sqref>
            </x14:sparkline>
            <x14:sparkline>
              <xm:f>正股信息!AC312:AH312</xm:f>
              <xm:sqref>AB312</xm:sqref>
            </x14:sparkline>
            <x14:sparkline>
              <xm:f>正股信息!AC313:AH313</xm:f>
              <xm:sqref>AB313</xm:sqref>
            </x14:sparkline>
            <x14:sparkline>
              <xm:f>正股信息!AC314:AH314</xm:f>
              <xm:sqref>AB314</xm:sqref>
            </x14:sparkline>
            <x14:sparkline>
              <xm:f>正股信息!AC315:AH315</xm:f>
              <xm:sqref>AB315</xm:sqref>
            </x14:sparkline>
            <x14:sparkline>
              <xm:f>正股信息!AC316:AH316</xm:f>
              <xm:sqref>AB316</xm:sqref>
            </x14:sparkline>
            <x14:sparkline>
              <xm:f>正股信息!AC317:AH317</xm:f>
              <xm:sqref>AB317</xm:sqref>
            </x14:sparkline>
            <x14:sparkline>
              <xm:f>正股信息!AC318:AH318</xm:f>
              <xm:sqref>AB318</xm:sqref>
            </x14:sparkline>
            <x14:sparkline>
              <xm:f>正股信息!AC319:AH319</xm:f>
              <xm:sqref>AB319</xm:sqref>
            </x14:sparkline>
            <x14:sparkline>
              <xm:f>正股信息!AC320:AH320</xm:f>
              <xm:sqref>AB320</xm:sqref>
            </x14:sparkline>
            <x14:sparkline>
              <xm:f>正股信息!AC321:AH321</xm:f>
              <xm:sqref>AB321</xm:sqref>
            </x14:sparkline>
            <x14:sparkline>
              <xm:f>正股信息!AC322:AH322</xm:f>
              <xm:sqref>AB322</xm:sqref>
            </x14:sparkline>
            <x14:sparkline>
              <xm:f>正股信息!AC323:AH323</xm:f>
              <xm:sqref>AB323</xm:sqref>
            </x14:sparkline>
            <x14:sparkline>
              <xm:f>正股信息!AC324:AH324</xm:f>
              <xm:sqref>AB324</xm:sqref>
            </x14:sparkline>
            <x14:sparkline>
              <xm:f>正股信息!AC325:AH325</xm:f>
              <xm:sqref>AB325</xm:sqref>
            </x14:sparkline>
            <x14:sparkline>
              <xm:f>正股信息!AC326:AH326</xm:f>
              <xm:sqref>AB326</xm:sqref>
            </x14:sparkline>
            <x14:sparkline>
              <xm:f>正股信息!AC327:AH327</xm:f>
              <xm:sqref>AB327</xm:sqref>
            </x14:sparkline>
            <x14:sparkline>
              <xm:f>正股信息!AC328:AH328</xm:f>
              <xm:sqref>AB328</xm:sqref>
            </x14:sparkline>
            <x14:sparkline>
              <xm:f>正股信息!AC329:AH329</xm:f>
              <xm:sqref>AB329</xm:sqref>
            </x14:sparkline>
            <x14:sparkline>
              <xm:f>正股信息!AC330:AH330</xm:f>
              <xm:sqref>AB330</xm:sqref>
            </x14:sparkline>
            <x14:sparkline>
              <xm:f>正股信息!AC331:AH331</xm:f>
              <xm:sqref>AB331</xm:sqref>
            </x14:sparkline>
            <x14:sparkline>
              <xm:f>正股信息!AC332:AH332</xm:f>
              <xm:sqref>AB332</xm:sqref>
            </x14:sparkline>
            <x14:sparkline>
              <xm:f>正股信息!AC333:AH333</xm:f>
              <xm:sqref>AB333</xm:sqref>
            </x14:sparkline>
            <x14:sparkline>
              <xm:f>正股信息!AC334:AH334</xm:f>
              <xm:sqref>AB334</xm:sqref>
            </x14:sparkline>
            <x14:sparkline>
              <xm:f>正股信息!AC335:AH335</xm:f>
              <xm:sqref>AB335</xm:sqref>
            </x14:sparkline>
            <x14:sparkline>
              <xm:f>正股信息!AC336:AH336</xm:f>
              <xm:sqref>AB336</xm:sqref>
            </x14:sparkline>
            <x14:sparkline>
              <xm:f>正股信息!AC337:AH337</xm:f>
              <xm:sqref>AB337</xm:sqref>
            </x14:sparkline>
            <x14:sparkline>
              <xm:f>正股信息!AC338:AH338</xm:f>
              <xm:sqref>AB338</xm:sqref>
            </x14:sparkline>
            <x14:sparkline>
              <xm:f>正股信息!AC339:AH339</xm:f>
              <xm:sqref>AB339</xm:sqref>
            </x14:sparkline>
            <x14:sparkline>
              <xm:f>正股信息!AC340:AH340</xm:f>
              <xm:sqref>AB340</xm:sqref>
            </x14:sparkline>
            <x14:sparkline>
              <xm:f>正股信息!AC341:AH341</xm:f>
              <xm:sqref>AB341</xm:sqref>
            </x14:sparkline>
            <x14:sparkline>
              <xm:f>正股信息!AC342:AH342</xm:f>
              <xm:sqref>AB342</xm:sqref>
            </x14:sparkline>
            <x14:sparkline>
              <xm:f>正股信息!AC343:AH343</xm:f>
              <xm:sqref>AB343</xm:sqref>
            </x14:sparkline>
            <x14:sparkline>
              <xm:f>正股信息!AC344:AH344</xm:f>
              <xm:sqref>AB344</xm:sqref>
            </x14:sparkline>
            <x14:sparkline>
              <xm:f>正股信息!AC345:AH345</xm:f>
              <xm:sqref>AB345</xm:sqref>
            </x14:sparkline>
            <x14:sparkline>
              <xm:f>正股信息!AC346:AH346</xm:f>
              <xm:sqref>AB346</xm:sqref>
            </x14:sparkline>
            <x14:sparkline>
              <xm:f>正股信息!AC347:AH347</xm:f>
              <xm:sqref>AB347</xm:sqref>
            </x14:sparkline>
            <x14:sparkline>
              <xm:f>正股信息!AC348:AH348</xm:f>
              <xm:sqref>AB348</xm:sqref>
            </x14:sparkline>
            <x14:sparkline>
              <xm:f>正股信息!AC349:AH349</xm:f>
              <xm:sqref>AB349</xm:sqref>
            </x14:sparkline>
            <x14:sparkline>
              <xm:f>正股信息!AC350:AH350</xm:f>
              <xm:sqref>AB350</xm:sqref>
            </x14:sparkline>
            <x14:sparkline>
              <xm:f>正股信息!AC351:AH351</xm:f>
              <xm:sqref>AB351</xm:sqref>
            </x14:sparkline>
            <x14:sparkline>
              <xm:f>正股信息!AC352:AH352</xm:f>
              <xm:sqref>AB352</xm:sqref>
            </x14:sparkline>
            <x14:sparkline>
              <xm:f>正股信息!AC353:AH353</xm:f>
              <xm:sqref>AB353</xm:sqref>
            </x14:sparkline>
            <x14:sparkline>
              <xm:f>正股信息!AC354:AH354</xm:f>
              <xm:sqref>AB354</xm:sqref>
            </x14:sparkline>
            <x14:sparkline>
              <xm:f>正股信息!AC355:AH355</xm:f>
              <xm:sqref>AB355</xm:sqref>
            </x14:sparkline>
            <x14:sparkline>
              <xm:f>正股信息!AC356:AH356</xm:f>
              <xm:sqref>AB356</xm:sqref>
            </x14:sparkline>
            <x14:sparkline>
              <xm:f>正股信息!AC357:AH357</xm:f>
              <xm:sqref>AB357</xm:sqref>
            </x14:sparkline>
            <x14:sparkline>
              <xm:f>正股信息!AC358:AH358</xm:f>
              <xm:sqref>AB358</xm:sqref>
            </x14:sparkline>
            <x14:sparkline>
              <xm:f>正股信息!AC359:AH359</xm:f>
              <xm:sqref>AB359</xm:sqref>
            </x14:sparkline>
            <x14:sparkline>
              <xm:f>正股信息!AC360:AH360</xm:f>
              <xm:sqref>AB360</xm:sqref>
            </x14:sparkline>
            <x14:sparkline>
              <xm:f>正股信息!AC361:AH361</xm:f>
              <xm:sqref>AB361</xm:sqref>
            </x14:sparkline>
            <x14:sparkline>
              <xm:f>正股信息!AC362:AH362</xm:f>
              <xm:sqref>AB362</xm:sqref>
            </x14:sparkline>
            <x14:sparkline>
              <xm:f>正股信息!AC363:AH363</xm:f>
              <xm:sqref>AB363</xm:sqref>
            </x14:sparkline>
            <x14:sparkline>
              <xm:f>正股信息!AC364:AH364</xm:f>
              <xm:sqref>AB364</xm:sqref>
            </x14:sparkline>
            <x14:sparkline>
              <xm:f>正股信息!AC365:AH365</xm:f>
              <xm:sqref>AB365</xm:sqref>
            </x14:sparkline>
            <x14:sparkline>
              <xm:f>正股信息!AC366:AH366</xm:f>
              <xm:sqref>AB366</xm:sqref>
            </x14:sparkline>
            <x14:sparkline>
              <xm:f>正股信息!AC367:AH367</xm:f>
              <xm:sqref>AB367</xm:sqref>
            </x14:sparkline>
            <x14:sparkline>
              <xm:f>正股信息!AC368:AH368</xm:f>
              <xm:sqref>AB368</xm:sqref>
            </x14:sparkline>
            <x14:sparkline>
              <xm:f>正股信息!AC369:AH369</xm:f>
              <xm:sqref>AB369</xm:sqref>
            </x14:sparkline>
            <x14:sparkline>
              <xm:f>正股信息!AC370:AH370</xm:f>
              <xm:sqref>AB370</xm:sqref>
            </x14:sparkline>
            <x14:sparkline>
              <xm:f>正股信息!AC371:AH371</xm:f>
              <xm:sqref>AB371</xm:sqref>
            </x14:sparkline>
            <x14:sparkline>
              <xm:f>正股信息!AC372:AH372</xm:f>
              <xm:sqref>AB372</xm:sqref>
            </x14:sparkline>
            <x14:sparkline>
              <xm:f>正股信息!AC373:AH373</xm:f>
              <xm:sqref>AB373</xm:sqref>
            </x14:sparkline>
            <x14:sparkline>
              <xm:f>正股信息!AC374:AH374</xm:f>
              <xm:sqref>AB374</xm:sqref>
            </x14:sparkline>
            <x14:sparkline>
              <xm:f>正股信息!AC375:AH375</xm:f>
              <xm:sqref>AB375</xm:sqref>
            </x14:sparkline>
            <x14:sparkline>
              <xm:f>正股信息!AC376:AH376</xm:f>
              <xm:sqref>AB376</xm:sqref>
            </x14:sparkline>
            <x14:sparkline>
              <xm:f>正股信息!AC377:AH377</xm:f>
              <xm:sqref>AB377</xm:sqref>
            </x14:sparkline>
            <x14:sparkline>
              <xm:f>正股信息!AC378:AH378</xm:f>
              <xm:sqref>AB378</xm:sqref>
            </x14:sparkline>
            <x14:sparkline>
              <xm:f>正股信息!AC379:AH379</xm:f>
              <xm:sqref>AB379</xm:sqref>
            </x14:sparkline>
            <x14:sparkline>
              <xm:f>正股信息!AC380:AH380</xm:f>
              <xm:sqref>AB380</xm:sqref>
            </x14:sparkline>
            <x14:sparkline>
              <xm:f>正股信息!AC381:AH381</xm:f>
              <xm:sqref>AB381</xm:sqref>
            </x14:sparkline>
            <x14:sparkline>
              <xm:f>正股信息!AC382:AH382</xm:f>
              <xm:sqref>AB382</xm:sqref>
            </x14:sparkline>
            <x14:sparkline>
              <xm:f>正股信息!AC383:AH383</xm:f>
              <xm:sqref>AB383</xm:sqref>
            </x14:sparkline>
            <x14:sparkline>
              <xm:f>正股信息!AC384:AH384</xm:f>
              <xm:sqref>AB384</xm:sqref>
            </x14:sparkline>
            <x14:sparkline>
              <xm:f>正股信息!AC385:AH385</xm:f>
              <xm:sqref>AB385</xm:sqref>
            </x14:sparkline>
            <x14:sparkline>
              <xm:f>正股信息!AC386:AH386</xm:f>
              <xm:sqref>AB386</xm:sqref>
            </x14:sparkline>
            <x14:sparkline>
              <xm:f>正股信息!AC387:AH387</xm:f>
              <xm:sqref>AB387</xm:sqref>
            </x14:sparkline>
            <x14:sparkline>
              <xm:f>正股信息!AC388:AH388</xm:f>
              <xm:sqref>AB388</xm:sqref>
            </x14:sparkline>
            <x14:sparkline>
              <xm:f>正股信息!AC389:AH389</xm:f>
              <xm:sqref>AB389</xm:sqref>
            </x14:sparkline>
            <x14:sparkline>
              <xm:f>正股信息!AC390:AH390</xm:f>
              <xm:sqref>AB390</xm:sqref>
            </x14:sparkline>
            <x14:sparkline>
              <xm:f>正股信息!AC391:AH391</xm:f>
              <xm:sqref>AB391</xm:sqref>
            </x14:sparkline>
            <x14:sparkline>
              <xm:f>正股信息!AC392:AH392</xm:f>
              <xm:sqref>AB392</xm:sqref>
            </x14:sparkline>
            <x14:sparkline>
              <xm:f>正股信息!AC393:AH393</xm:f>
              <xm:sqref>AB393</xm:sqref>
            </x14:sparkline>
            <x14:sparkline>
              <xm:f>正股信息!AC394:AH394</xm:f>
              <xm:sqref>AB394</xm:sqref>
            </x14:sparkline>
            <x14:sparkline>
              <xm:f>正股信息!AC395:AH395</xm:f>
              <xm:sqref>AB395</xm:sqref>
            </x14:sparkline>
            <x14:sparkline>
              <xm:f>正股信息!AC396:AH396</xm:f>
              <xm:sqref>AB396</xm:sqref>
            </x14:sparkline>
            <x14:sparkline>
              <xm:f>正股信息!AC397:AH397</xm:f>
              <xm:sqref>AB397</xm:sqref>
            </x14:sparkline>
            <x14:sparkline>
              <xm:f>正股信息!AC398:AH398</xm:f>
              <xm:sqref>AB398</xm:sqref>
            </x14:sparkline>
            <x14:sparkline>
              <xm:f>正股信息!AC399:AH399</xm:f>
              <xm:sqref>AB399</xm:sqref>
            </x14:sparkline>
            <x14:sparkline>
              <xm:f>正股信息!AC400:AH400</xm:f>
              <xm:sqref>AB400</xm:sqref>
            </x14:sparkline>
            <x14:sparkline>
              <xm:f>正股信息!AC401:AH401</xm:f>
              <xm:sqref>AB401</xm:sqref>
            </x14:sparkline>
            <x14:sparkline>
              <xm:f>正股信息!AC402:AH402</xm:f>
              <xm:sqref>AB402</xm:sqref>
            </x14:sparkline>
            <x14:sparkline>
              <xm:f>正股信息!AC403:AH403</xm:f>
              <xm:sqref>AB403</xm:sqref>
            </x14:sparkline>
            <x14:sparkline>
              <xm:f>正股信息!AC404:AH404</xm:f>
              <xm:sqref>AB404</xm:sqref>
            </x14:sparkline>
            <x14:sparkline>
              <xm:f>正股信息!AC405:AH405</xm:f>
              <xm:sqref>AB405</xm:sqref>
            </x14:sparkline>
            <x14:sparkline>
              <xm:f>正股信息!AC406:AH406</xm:f>
              <xm:sqref>AB406</xm:sqref>
            </x14:sparkline>
            <x14:sparkline>
              <xm:f>正股信息!AC407:AH407</xm:f>
              <xm:sqref>AB407</xm:sqref>
            </x14:sparkline>
            <x14:sparkline>
              <xm:f>正股信息!AC408:AH408</xm:f>
              <xm:sqref>AB408</xm:sqref>
            </x14:sparkline>
            <x14:sparkline>
              <xm:f>正股信息!AC409:AH409</xm:f>
              <xm:sqref>AB409</xm:sqref>
            </x14:sparkline>
            <x14:sparkline>
              <xm:f>正股信息!AC410:AH410</xm:f>
              <xm:sqref>AB410</xm:sqref>
            </x14:sparkline>
            <x14:sparkline>
              <xm:f>正股信息!AC411:AH411</xm:f>
              <xm:sqref>AB411</xm:sqref>
            </x14:sparkline>
            <x14:sparkline>
              <xm:f>正股信息!AC412:AH412</xm:f>
              <xm:sqref>AB412</xm:sqref>
            </x14:sparkline>
            <x14:sparkline>
              <xm:f>正股信息!AC413:AH413</xm:f>
              <xm:sqref>AB413</xm:sqref>
            </x14:sparkline>
            <x14:sparkline>
              <xm:f>正股信息!AC414:AH414</xm:f>
              <xm:sqref>AB414</xm:sqref>
            </x14:sparkline>
            <x14:sparkline>
              <xm:f>正股信息!AC415:AH415</xm:f>
              <xm:sqref>AB415</xm:sqref>
            </x14:sparkline>
            <x14:sparkline>
              <xm:f>正股信息!AC416:AH416</xm:f>
              <xm:sqref>AB416</xm:sqref>
            </x14:sparkline>
            <x14:sparkline>
              <xm:f>正股信息!AC417:AH417</xm:f>
              <xm:sqref>AB417</xm:sqref>
            </x14:sparkline>
            <x14:sparkline>
              <xm:f>正股信息!AC418:AH418</xm:f>
              <xm:sqref>AB418</xm:sqref>
            </x14:sparkline>
            <x14:sparkline>
              <xm:f>正股信息!AC419:AH419</xm:f>
              <xm:sqref>AB419</xm:sqref>
            </x14:sparkline>
            <x14:sparkline>
              <xm:f>正股信息!AC420:AH420</xm:f>
              <xm:sqref>AB420</xm:sqref>
            </x14:sparkline>
            <x14:sparkline>
              <xm:f>正股信息!AC421:AH421</xm:f>
              <xm:sqref>AB421</xm:sqref>
            </x14:sparkline>
            <x14:sparkline>
              <xm:f>正股信息!AC422:AH422</xm:f>
              <xm:sqref>AB422</xm:sqref>
            </x14:sparkline>
            <x14:sparkline>
              <xm:f>正股信息!AC423:AH423</xm:f>
              <xm:sqref>AB423</xm:sqref>
            </x14:sparkline>
            <x14:sparkline>
              <xm:f>正股信息!AC424:AH424</xm:f>
              <xm:sqref>AB424</xm:sqref>
            </x14:sparkline>
            <x14:sparkline>
              <xm:f>正股信息!AC425:AH425</xm:f>
              <xm:sqref>AB425</xm:sqref>
            </x14:sparkline>
            <x14:sparkline>
              <xm:f>正股信息!AC426:AH426</xm:f>
              <xm:sqref>AB426</xm:sqref>
            </x14:sparkline>
            <x14:sparkline>
              <xm:f>正股信息!AC427:AH427</xm:f>
              <xm:sqref>AB427</xm:sqref>
            </x14:sparkline>
            <x14:sparkline>
              <xm:f>正股信息!AC428:AH428</xm:f>
              <xm:sqref>AB428</xm:sqref>
            </x14:sparkline>
            <x14:sparkline>
              <xm:f>正股信息!AC429:AH429</xm:f>
              <xm:sqref>AB429</xm:sqref>
            </x14:sparkline>
            <x14:sparkline>
              <xm:f>正股信息!AC430:AH430</xm:f>
              <xm:sqref>AB430</xm:sqref>
            </x14:sparkline>
            <x14:sparkline>
              <xm:f>正股信息!AC431:AH431</xm:f>
              <xm:sqref>AB431</xm:sqref>
            </x14:sparkline>
            <x14:sparkline>
              <xm:f>正股信息!AC432:AH432</xm:f>
              <xm:sqref>AB432</xm:sqref>
            </x14:sparkline>
            <x14:sparkline>
              <xm:f>正股信息!AC433:AH433</xm:f>
              <xm:sqref>AB433</xm:sqref>
            </x14:sparkline>
            <x14:sparkline>
              <xm:f>正股信息!AC434:AH434</xm:f>
              <xm:sqref>AB434</xm:sqref>
            </x14:sparkline>
            <x14:sparkline>
              <xm:f>正股信息!AC435:AH435</xm:f>
              <xm:sqref>AB435</xm:sqref>
            </x14:sparkline>
            <x14:sparkline>
              <xm:f>正股信息!AC436:AH436</xm:f>
              <xm:sqref>AB436</xm:sqref>
            </x14:sparkline>
            <x14:sparkline>
              <xm:f>正股信息!AC437:AH437</xm:f>
              <xm:sqref>AB437</xm:sqref>
            </x14:sparkline>
            <x14:sparkline>
              <xm:f>正股信息!AC438:AH438</xm:f>
              <xm:sqref>AB438</xm:sqref>
            </x14:sparkline>
            <x14:sparkline>
              <xm:f>正股信息!AC439:AH439</xm:f>
              <xm:sqref>AB439</xm:sqref>
            </x14:sparkline>
            <x14:sparkline>
              <xm:f>正股信息!AC440:AH440</xm:f>
              <xm:sqref>AB440</xm:sqref>
            </x14:sparkline>
            <x14:sparkline>
              <xm:f>正股信息!AC441:AH441</xm:f>
              <xm:sqref>AB441</xm:sqref>
            </x14:sparkline>
            <x14:sparkline>
              <xm:f>正股信息!AC442:AH442</xm:f>
              <xm:sqref>AB442</xm:sqref>
            </x14:sparkline>
            <x14:sparkline>
              <xm:f>正股信息!AC443:AH443</xm:f>
              <xm:sqref>AB443</xm:sqref>
            </x14:sparkline>
            <x14:sparkline>
              <xm:f>正股信息!AC444:AH444</xm:f>
              <xm:sqref>AB444</xm:sqref>
            </x14:sparkline>
            <x14:sparkline>
              <xm:f>正股信息!AC445:AH445</xm:f>
              <xm:sqref>AB445</xm:sqref>
            </x14:sparkline>
            <x14:sparkline>
              <xm:f>正股信息!AC446:AH446</xm:f>
              <xm:sqref>AB446</xm:sqref>
            </x14:sparkline>
            <x14:sparkline>
              <xm:f>正股信息!AC447:AH447</xm:f>
              <xm:sqref>AB447</xm:sqref>
            </x14:sparkline>
            <x14:sparkline>
              <xm:f>正股信息!AC448:AH448</xm:f>
              <xm:sqref>AB448</xm:sqref>
            </x14:sparkline>
            <x14:sparkline>
              <xm:f>正股信息!AC449:AH449</xm:f>
              <xm:sqref>AB449</xm:sqref>
            </x14:sparkline>
            <x14:sparkline>
              <xm:f>正股信息!AC450:AH450</xm:f>
              <xm:sqref>AB450</xm:sqref>
            </x14:sparkline>
            <x14:sparkline>
              <xm:f>正股信息!AC451:AH451</xm:f>
              <xm:sqref>AB451</xm:sqref>
            </x14:sparkline>
            <x14:sparkline>
              <xm:f>正股信息!AC452:AH452</xm:f>
              <xm:sqref>AB452</xm:sqref>
            </x14:sparkline>
            <x14:sparkline>
              <xm:f>正股信息!AC453:AH453</xm:f>
              <xm:sqref>AB453</xm:sqref>
            </x14:sparkline>
            <x14:sparkline>
              <xm:f>正股信息!AC454:AH454</xm:f>
              <xm:sqref>AB454</xm:sqref>
            </x14:sparkline>
            <x14:sparkline>
              <xm:f>正股信息!AC455:AH455</xm:f>
              <xm:sqref>AB455</xm:sqref>
            </x14:sparkline>
            <x14:sparkline>
              <xm:f>正股信息!AC456:AH456</xm:f>
              <xm:sqref>AB456</xm:sqref>
            </x14:sparkline>
            <x14:sparkline>
              <xm:f>正股信息!AC457:AH457</xm:f>
              <xm:sqref>AB457</xm:sqref>
            </x14:sparkline>
            <x14:sparkline>
              <xm:f>正股信息!AC458:AH458</xm:f>
              <xm:sqref>AB458</xm:sqref>
            </x14:sparkline>
            <x14:sparkline>
              <xm:f>正股信息!AC459:AH459</xm:f>
              <xm:sqref>AB459</xm:sqref>
            </x14:sparkline>
            <x14:sparkline>
              <xm:f>正股信息!AC460:AH460</xm:f>
              <xm:sqref>AB460</xm:sqref>
            </x14:sparkline>
            <x14:sparkline>
              <xm:f>正股信息!AC461:AH461</xm:f>
              <xm:sqref>AB461</xm:sqref>
            </x14:sparkline>
            <x14:sparkline>
              <xm:f>正股信息!AC462:AH462</xm:f>
              <xm:sqref>AB462</xm:sqref>
            </x14:sparkline>
            <x14:sparkline>
              <xm:f>正股信息!AC463:AH463</xm:f>
              <xm:sqref>AB463</xm:sqref>
            </x14:sparkline>
            <x14:sparkline>
              <xm:f>正股信息!AC464:AH464</xm:f>
              <xm:sqref>AB464</xm:sqref>
            </x14:sparkline>
            <x14:sparkline>
              <xm:f>正股信息!AC465:AH465</xm:f>
              <xm:sqref>AB465</xm:sqref>
            </x14:sparkline>
            <x14:sparkline>
              <xm:f>正股信息!AC466:AH466</xm:f>
              <xm:sqref>AB466</xm:sqref>
            </x14:sparkline>
            <x14:sparkline>
              <xm:f>正股信息!AC467:AH467</xm:f>
              <xm:sqref>AB467</xm:sqref>
            </x14:sparkline>
            <x14:sparkline>
              <xm:f>正股信息!AC468:AH468</xm:f>
              <xm:sqref>AB468</xm:sqref>
            </x14:sparkline>
            <x14:sparkline>
              <xm:f>正股信息!AC469:AH469</xm:f>
              <xm:sqref>AB469</xm:sqref>
            </x14:sparkline>
            <x14:sparkline>
              <xm:f>正股信息!AC470:AH470</xm:f>
              <xm:sqref>AB470</xm:sqref>
            </x14:sparkline>
            <x14:sparkline>
              <xm:f>正股信息!AC471:AH471</xm:f>
              <xm:sqref>AB471</xm:sqref>
            </x14:sparkline>
            <x14:sparkline>
              <xm:f>正股信息!AC472:AH472</xm:f>
              <xm:sqref>AB472</xm:sqref>
            </x14:sparkline>
            <x14:sparkline>
              <xm:f>正股信息!AC473:AH473</xm:f>
              <xm:sqref>AB473</xm:sqref>
            </x14:sparkline>
            <x14:sparkline>
              <xm:f>正股信息!AC474:AH474</xm:f>
              <xm:sqref>AB474</xm:sqref>
            </x14:sparkline>
            <x14:sparkline>
              <xm:f>正股信息!AC475:AH475</xm:f>
              <xm:sqref>AB475</xm:sqref>
            </x14:sparkline>
            <x14:sparkline>
              <xm:f>正股信息!AC476:AH476</xm:f>
              <xm:sqref>AB476</xm:sqref>
            </x14:sparkline>
            <x14:sparkline>
              <xm:f>正股信息!AC477:AH477</xm:f>
              <xm:sqref>AB477</xm:sqref>
            </x14:sparkline>
            <x14:sparkline>
              <xm:f>正股信息!AC478:AH478</xm:f>
              <xm:sqref>AB478</xm:sqref>
            </x14:sparkline>
            <x14:sparkline>
              <xm:f>正股信息!AC479:AH479</xm:f>
              <xm:sqref>AB479</xm:sqref>
            </x14:sparkline>
            <x14:sparkline>
              <xm:f>正股信息!AC480:AH480</xm:f>
              <xm:sqref>AB480</xm:sqref>
            </x14:sparkline>
            <x14:sparkline>
              <xm:f>正股信息!AC481:AH481</xm:f>
              <xm:sqref>AB481</xm:sqref>
            </x14:sparkline>
            <x14:sparkline>
              <xm:f>正股信息!AC482:AH482</xm:f>
              <xm:sqref>AB482</xm:sqref>
            </x14:sparkline>
            <x14:sparkline>
              <xm:f>正股信息!AC483:AH483</xm:f>
              <xm:sqref>AB483</xm:sqref>
            </x14:sparkline>
            <x14:sparkline>
              <xm:f>正股信息!AC484:AH484</xm:f>
              <xm:sqref>AB484</xm:sqref>
            </x14:sparkline>
            <x14:sparkline>
              <xm:f>正股信息!AC485:AH485</xm:f>
              <xm:sqref>AB485</xm:sqref>
            </x14:sparkline>
            <x14:sparkline>
              <xm:f>正股信息!AC486:AH486</xm:f>
              <xm:sqref>AB486</xm:sqref>
            </x14:sparkline>
            <x14:sparkline>
              <xm:f>正股信息!AC487:AH487</xm:f>
              <xm:sqref>AB487</xm:sqref>
            </x14:sparkline>
            <x14:sparkline>
              <xm:f>正股信息!AC488:AH488</xm:f>
              <xm:sqref>AB488</xm:sqref>
            </x14:sparkline>
            <x14:sparkline>
              <xm:f>正股信息!AC489:AH489</xm:f>
              <xm:sqref>AB489</xm:sqref>
            </x14:sparkline>
            <x14:sparkline>
              <xm:f>正股信息!AC490:AH490</xm:f>
              <xm:sqref>AB490</xm:sqref>
            </x14:sparkline>
            <x14:sparkline>
              <xm:f>正股信息!AC491:AH491</xm:f>
              <xm:sqref>AB491</xm:sqref>
            </x14:sparkline>
            <x14:sparkline>
              <xm:f>正股信息!AC492:AH492</xm:f>
              <xm:sqref>AB492</xm:sqref>
            </x14:sparkline>
            <x14:sparkline>
              <xm:f>正股信息!AC493:AH493</xm:f>
              <xm:sqref>AB493</xm:sqref>
            </x14:sparkline>
            <x14:sparkline>
              <xm:f>正股信息!AC494:AH494</xm:f>
              <xm:sqref>AB494</xm:sqref>
            </x14:sparkline>
            <x14:sparkline>
              <xm:f>正股信息!AC495:AH495</xm:f>
              <xm:sqref>AB495</xm:sqref>
            </x14:sparkline>
            <x14:sparkline>
              <xm:f>正股信息!AC496:AH496</xm:f>
              <xm:sqref>AB496</xm:sqref>
            </x14:sparkline>
            <x14:sparkline>
              <xm:f>正股信息!AC497:AH497</xm:f>
              <xm:sqref>AB497</xm:sqref>
            </x14:sparkline>
            <x14:sparkline>
              <xm:f>正股信息!AC498:AH498</xm:f>
              <xm:sqref>AB498</xm:sqref>
            </x14:sparkline>
            <x14:sparkline>
              <xm:f>正股信息!AC499:AH499</xm:f>
              <xm:sqref>AB499</xm:sqref>
            </x14:sparkline>
            <x14:sparkline>
              <xm:f>正股信息!AC500:AH500</xm:f>
              <xm:sqref>AB500</xm:sqref>
            </x14:sparkline>
            <x14:sparkline>
              <xm:f>正股信息!AC501:AH501</xm:f>
              <xm:sqref>AB501</xm:sqref>
            </x14:sparkline>
            <x14:sparkline>
              <xm:f>正股信息!AC502:AH502</xm:f>
              <xm:sqref>AB502</xm:sqref>
            </x14:sparkline>
            <x14:sparkline>
              <xm:f>正股信息!AC503:AH503</xm:f>
              <xm:sqref>AB503</xm:sqref>
            </x14:sparkline>
            <x14:sparkline>
              <xm:f>正股信息!AC504:AH504</xm:f>
              <xm:sqref>AB504</xm:sqref>
            </x14:sparkline>
            <x14:sparkline>
              <xm:f>正股信息!AC505:AH505</xm:f>
              <xm:sqref>AB505</xm:sqref>
            </x14:sparkline>
            <x14:sparkline>
              <xm:f>正股信息!AC506:AH506</xm:f>
              <xm:sqref>AB506</xm:sqref>
            </x14:sparkline>
            <x14:sparkline>
              <xm:f>正股信息!AC507:AH507</xm:f>
              <xm:sqref>AB507</xm:sqref>
            </x14:sparkline>
            <x14:sparkline>
              <xm:f>正股信息!AC508:AH508</xm:f>
              <xm:sqref>AB508</xm:sqref>
            </x14:sparkline>
            <x14:sparkline>
              <xm:f>正股信息!AC509:AH509</xm:f>
              <xm:sqref>AB509</xm:sqref>
            </x14:sparkline>
            <x14:sparkline>
              <xm:f>正股信息!AC510:AH510</xm:f>
              <xm:sqref>AB510</xm:sqref>
            </x14:sparkline>
            <x14:sparkline>
              <xm:f>正股信息!AC511:AH511</xm:f>
              <xm:sqref>AB511</xm:sqref>
            </x14:sparkline>
            <x14:sparkline>
              <xm:f>正股信息!AC512:AH512</xm:f>
              <xm:sqref>AB512</xm:sqref>
            </x14:sparkline>
            <x14:sparkline>
              <xm:f>正股信息!AC513:AH513</xm:f>
              <xm:sqref>AB513</xm:sqref>
            </x14:sparkline>
            <x14:sparkline>
              <xm:f>正股信息!AC514:AH514</xm:f>
              <xm:sqref>AB514</xm:sqref>
            </x14:sparkline>
            <x14:sparkline>
              <xm:f>正股信息!AC515:AH515</xm:f>
              <xm:sqref>AB515</xm:sqref>
            </x14:sparkline>
            <x14:sparkline>
              <xm:f>正股信息!AC516:AH516</xm:f>
              <xm:sqref>AB516</xm:sqref>
            </x14:sparkline>
            <x14:sparkline>
              <xm:f>正股信息!AC517:AH517</xm:f>
              <xm:sqref>AB517</xm:sqref>
            </x14:sparkline>
            <x14:sparkline>
              <xm:f>正股信息!AC518:AH518</xm:f>
              <xm:sqref>AB518</xm:sqref>
            </x14:sparkline>
            <x14:sparkline>
              <xm:f>正股信息!AC519:AH519</xm:f>
              <xm:sqref>AB519</xm:sqref>
            </x14:sparkline>
            <x14:sparkline>
              <xm:f>正股信息!AC520:AH520</xm:f>
              <xm:sqref>AB520</xm:sqref>
            </x14:sparkline>
            <x14:sparkline>
              <xm:f>正股信息!AC521:AH521</xm:f>
              <xm:sqref>AB521</xm:sqref>
            </x14:sparkline>
            <x14:sparkline>
              <xm:f>正股信息!AC522:AH522</xm:f>
              <xm:sqref>AB522</xm:sqref>
            </x14:sparkline>
            <x14:sparkline>
              <xm:f>正股信息!AC523:AH523</xm:f>
              <xm:sqref>AB523</xm:sqref>
            </x14:sparkline>
            <x14:sparkline>
              <xm:f>正股信息!AC524:AH524</xm:f>
              <xm:sqref>AB524</xm:sqref>
            </x14:sparkline>
            <x14:sparkline>
              <xm:f>正股信息!AC525:AH525</xm:f>
              <xm:sqref>AB525</xm:sqref>
            </x14:sparkline>
            <x14:sparkline>
              <xm:f>正股信息!AC526:AH526</xm:f>
              <xm:sqref>AB526</xm:sqref>
            </x14:sparkline>
            <x14:sparkline>
              <xm:f>正股信息!AC527:AH527</xm:f>
              <xm:sqref>AB527</xm:sqref>
            </x14:sparkline>
            <x14:sparkline>
              <xm:f>正股信息!AC528:AH528</xm:f>
              <xm:sqref>AB528</xm:sqref>
            </x14:sparkline>
            <x14:sparkline>
              <xm:f>正股信息!AC529:AH529</xm:f>
              <xm:sqref>AB529</xm:sqref>
            </x14:sparkline>
            <x14:sparkline>
              <xm:f>正股信息!AC530:AH530</xm:f>
              <xm:sqref>AB530</xm:sqref>
            </x14:sparkline>
            <x14:sparkline>
              <xm:f>正股信息!AC531:AH531</xm:f>
              <xm:sqref>AB531</xm:sqref>
            </x14:sparkline>
            <x14:sparkline>
              <xm:f>正股信息!AC532:AH532</xm:f>
              <xm:sqref>AB532</xm:sqref>
            </x14:sparkline>
            <x14:sparkline>
              <xm:f>正股信息!AC533:AH533</xm:f>
              <xm:sqref>AB533</xm:sqref>
            </x14:sparkline>
            <x14:sparkline>
              <xm:f>正股信息!AC534:AH534</xm:f>
              <xm:sqref>AB534</xm:sqref>
            </x14:sparkline>
            <x14:sparkline>
              <xm:f>正股信息!AC535:AH535</xm:f>
              <xm:sqref>AB535</xm:sqref>
            </x14:sparkline>
            <x14:sparkline>
              <xm:f>正股信息!AC536:AH536</xm:f>
              <xm:sqref>AB536</xm:sqref>
            </x14:sparkline>
            <x14:sparkline>
              <xm:f>正股信息!AC537:AH537</xm:f>
              <xm:sqref>AB537</xm:sqref>
            </x14:sparkline>
            <x14:sparkline>
              <xm:f>正股信息!AC538:AH538</xm:f>
              <xm:sqref>AB538</xm:sqref>
            </x14:sparkline>
            <x14:sparkline>
              <xm:f>正股信息!AC539:AH539</xm:f>
              <xm:sqref>AB539</xm:sqref>
            </x14:sparkline>
            <x14:sparkline>
              <xm:f>正股信息!AC540:AH540</xm:f>
              <xm:sqref>AB540</xm:sqref>
            </x14:sparkline>
            <x14:sparkline>
              <xm:f>正股信息!AC541:AH541</xm:f>
              <xm:sqref>AB541</xm:sqref>
            </x14:sparkline>
            <x14:sparkline>
              <xm:f>正股信息!AC542:AH542</xm:f>
              <xm:sqref>AB542</xm:sqref>
            </x14:sparkline>
            <x14:sparkline>
              <xm:f>正股信息!AC543:AH543</xm:f>
              <xm:sqref>AB543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299"/>
  <sheetViews>
    <sheetView showGridLines="0" topLeftCell="A7" zoomScaleNormal="100" workbookViewId="0">
      <selection activeCell="I19" sqref="I18:L19"/>
    </sheetView>
  </sheetViews>
  <sheetFormatPr defaultColWidth="9.140625" defaultRowHeight="14.15" x14ac:dyDescent="0.35"/>
  <cols>
    <col min="1" max="1" width="8.640625" style="100" customWidth="1"/>
    <col min="2" max="2" width="28.140625" style="100" customWidth="1"/>
    <col min="3" max="3" width="8.640625" style="100" bestFit="1" customWidth="1"/>
    <col min="4" max="4" width="15.640625" style="100" customWidth="1"/>
    <col min="5" max="5" width="14.2109375" style="100" customWidth="1"/>
    <col min="6" max="6" width="1.2109375" style="208" customWidth="1"/>
    <col min="7" max="7" width="14.640625" style="208" customWidth="1"/>
    <col min="8" max="8" width="12.140625" style="100" customWidth="1"/>
    <col min="9" max="9" width="10.640625" style="100" customWidth="1"/>
    <col min="10" max="10" width="8.7109375" style="100" customWidth="1"/>
    <col min="11" max="11" width="16.640625" style="100" customWidth="1"/>
    <col min="12" max="12" width="19.28515625" style="100" customWidth="1"/>
    <col min="13" max="16384" width="9.140625" style="100"/>
  </cols>
  <sheetData>
    <row r="1" spans="1:19" x14ac:dyDescent="0.35">
      <c r="F1" s="100"/>
      <c r="G1" s="100"/>
    </row>
    <row r="2" spans="1:19" ht="18" customHeight="1" x14ac:dyDescent="0.35">
      <c r="A2" s="93"/>
      <c r="B2" s="94"/>
      <c r="C2" s="394" t="s">
        <v>813</v>
      </c>
      <c r="D2" s="395" t="str">
        <f ca="1">INDIRECT(ADDRESS(MATCH(E2,Monitor!C7:C700,)+6,2,1,1,"Monitor"))</f>
        <v>128035.SZ</v>
      </c>
      <c r="E2" s="463" t="s">
        <v>450</v>
      </c>
      <c r="F2" s="464"/>
      <c r="G2" s="100"/>
    </row>
    <row r="3" spans="1:19" ht="18" customHeight="1" x14ac:dyDescent="0.35">
      <c r="A3" s="93"/>
      <c r="B3" s="94"/>
      <c r="C3" s="396" t="s">
        <v>814</v>
      </c>
      <c r="D3" s="397">
        <v>44104</v>
      </c>
      <c r="E3" s="465"/>
      <c r="F3" s="466"/>
      <c r="G3" s="100"/>
    </row>
    <row r="4" spans="1:19" ht="18" customHeight="1" x14ac:dyDescent="0.35">
      <c r="A4" s="93"/>
      <c r="B4" s="94"/>
      <c r="C4" s="394" t="s">
        <v>815</v>
      </c>
      <c r="D4" s="398" t="str">
        <f t="array" aca="1" ref="D4" ca="1">[1]!td(TODAY())</f>
        <v>2021-09-08</v>
      </c>
      <c r="E4" s="467"/>
      <c r="F4" s="468"/>
      <c r="G4" s="100"/>
    </row>
    <row r="5" spans="1:19" x14ac:dyDescent="0.35">
      <c r="A5" s="93"/>
      <c r="B5" s="94"/>
      <c r="C5" s="93"/>
      <c r="D5" s="94"/>
      <c r="E5" s="94"/>
      <c r="F5" s="94"/>
      <c r="G5" s="94"/>
      <c r="H5" s="94"/>
      <c r="I5" s="94"/>
      <c r="J5" s="94"/>
    </row>
    <row r="6" spans="1:19" x14ac:dyDescent="0.35">
      <c r="A6" s="198"/>
      <c r="B6" s="106"/>
      <c r="C6" s="198"/>
      <c r="D6" s="106"/>
      <c r="E6" s="106"/>
      <c r="F6" s="106"/>
      <c r="G6" s="106"/>
      <c r="H6" s="106"/>
      <c r="I6" s="106"/>
      <c r="J6" s="106"/>
      <c r="K6" s="107"/>
      <c r="L6" s="107"/>
    </row>
    <row r="7" spans="1:19" s="109" customFormat="1" ht="18" customHeight="1" x14ac:dyDescent="0.35">
      <c r="A7" s="484" t="s">
        <v>816</v>
      </c>
      <c r="B7" s="484"/>
      <c r="C7" s="484"/>
      <c r="D7" s="484"/>
      <c r="E7" s="484"/>
      <c r="F7" s="344"/>
      <c r="G7" s="469" t="s">
        <v>917</v>
      </c>
      <c r="H7" s="470"/>
      <c r="I7" s="470"/>
      <c r="J7" s="470"/>
      <c r="K7" s="470"/>
      <c r="L7" s="470"/>
      <c r="M7" s="471"/>
      <c r="N7" s="108"/>
      <c r="O7" s="108"/>
      <c r="P7" s="108"/>
      <c r="Q7" s="108"/>
      <c r="R7" s="108"/>
      <c r="S7" s="108"/>
    </row>
    <row r="8" spans="1:19" s="109" customFormat="1" ht="18" customHeight="1" x14ac:dyDescent="0.35">
      <c r="A8" s="502" t="s">
        <v>1203</v>
      </c>
      <c r="B8" s="502"/>
      <c r="C8" s="502"/>
      <c r="D8" s="502"/>
      <c r="E8" s="502"/>
      <c r="F8" s="502"/>
      <c r="G8" s="503" t="s">
        <v>918</v>
      </c>
      <c r="H8" s="503"/>
      <c r="I8" s="503"/>
      <c r="J8" s="503"/>
      <c r="K8" s="503"/>
      <c r="L8" s="503"/>
      <c r="M8" s="503"/>
      <c r="N8" s="108"/>
      <c r="O8" s="108"/>
      <c r="P8" s="108"/>
      <c r="Q8" s="108"/>
      <c r="R8" s="108"/>
      <c r="S8" s="108"/>
    </row>
    <row r="9" spans="1:19" ht="18" customHeight="1" thickBot="1" x14ac:dyDescent="0.4">
      <c r="A9" s="345" t="s">
        <v>1659</v>
      </c>
      <c r="B9" s="346" t="s">
        <v>1792</v>
      </c>
      <c r="C9" s="345" t="s">
        <v>817</v>
      </c>
      <c r="D9" s="347" t="s">
        <v>1794</v>
      </c>
      <c r="E9" s="348"/>
      <c r="F9" s="344"/>
      <c r="G9" s="362" t="s">
        <v>1202</v>
      </c>
      <c r="H9" s="363" t="str">
        <f ca="1">[1]!cb_info_underlyingname(D2)</f>
        <v>大族激光</v>
      </c>
      <c r="I9" s="364" t="s">
        <v>1216</v>
      </c>
      <c r="J9" s="365" t="str">
        <f ca="1">"共"&amp;[1]!s_wrating_instnum(H10,D4,180)&amp;"家"</f>
        <v>共13家</v>
      </c>
      <c r="K9" s="364" t="s">
        <v>1217</v>
      </c>
      <c r="L9" s="363" t="str">
        <f ca="1">[1]!s_info_industry_sw(H10,4)</f>
        <v>电子-其他电子Ⅱ-其他电子Ⅲ</v>
      </c>
      <c r="M9" s="508" t="s">
        <v>1173</v>
      </c>
    </row>
    <row r="10" spans="1:19" ht="18" customHeight="1" thickBot="1" x14ac:dyDescent="0.4">
      <c r="A10" s="345" t="s">
        <v>1660</v>
      </c>
      <c r="B10" s="349" t="s">
        <v>1791</v>
      </c>
      <c r="C10" s="345" t="s">
        <v>818</v>
      </c>
      <c r="D10" s="350" t="s">
        <v>1793</v>
      </c>
      <c r="E10" s="351"/>
      <c r="F10" s="344"/>
      <c r="G10" s="362" t="s">
        <v>1025</v>
      </c>
      <c r="H10" s="366" t="str">
        <f ca="1">D10</f>
        <v>002008.SZ</v>
      </c>
      <c r="I10" s="367" t="s">
        <v>1226</v>
      </c>
      <c r="J10" s="368">
        <f ca="1">[1]!s_holder_pctbyinst(H10,D3)</f>
        <v>43.454062299706202</v>
      </c>
      <c r="K10" s="369" t="s">
        <v>1026</v>
      </c>
      <c r="L10" s="368">
        <f ca="1">[1]!s_share_liqa_pct(D10,D4)</f>
        <v>93.157256300830682</v>
      </c>
      <c r="M10" s="509"/>
    </row>
    <row r="11" spans="1:19" ht="18" customHeight="1" thickBot="1" x14ac:dyDescent="0.4">
      <c r="A11" s="345" t="s">
        <v>1661</v>
      </c>
      <c r="B11" s="346" t="s">
        <v>1795</v>
      </c>
      <c r="C11" s="345" t="s">
        <v>819</v>
      </c>
      <c r="D11" s="347" t="s">
        <v>1799</v>
      </c>
      <c r="E11" s="348"/>
      <c r="F11" s="344"/>
      <c r="G11" s="370" t="s">
        <v>1027</v>
      </c>
      <c r="H11" s="371">
        <f ca="1">[1]!s_val_ev(H10,D4,100000000)</f>
        <v>477.51484395749998</v>
      </c>
      <c r="I11" s="372" t="s">
        <v>1174</v>
      </c>
      <c r="J11" s="371">
        <f ca="1">[1]!s_share_total(H10,D4,100000000)</f>
        <v>10.670722769999999</v>
      </c>
      <c r="K11" s="373" t="s">
        <v>1028</v>
      </c>
      <c r="L11" s="371">
        <f ca="1">[1]!s_fa_gr_ttm2(H10,D3,100000000)</f>
        <v>114.77763074489999</v>
      </c>
      <c r="M11" s="507" t="s">
        <v>1076</v>
      </c>
    </row>
    <row r="12" spans="1:19" ht="18" customHeight="1" thickBot="1" x14ac:dyDescent="0.4">
      <c r="A12" s="345" t="s">
        <v>1662</v>
      </c>
      <c r="B12" s="349" t="s">
        <v>935</v>
      </c>
      <c r="C12" s="345" t="s">
        <v>820</v>
      </c>
      <c r="D12" s="350" t="s">
        <v>935</v>
      </c>
      <c r="E12" s="351"/>
      <c r="F12" s="344"/>
      <c r="G12" s="370" t="s">
        <v>1185</v>
      </c>
      <c r="H12" s="371">
        <f ca="1">[1]!s_fa_netprofit_ttm2(D10,D3,100000000)</f>
        <v>10.6228309828</v>
      </c>
      <c r="I12" s="372" t="s">
        <v>1186</v>
      </c>
      <c r="J12" s="371">
        <f ca="1">[1]!s_margin_tradingbalance(H10,D4-1,100000000)</f>
        <v>19.348223569999998</v>
      </c>
      <c r="K12" s="372" t="s">
        <v>1187</v>
      </c>
      <c r="L12" s="371">
        <f ca="1">[1]!s_fa_grossmargin_ttm2(H10,D3,100000000)</f>
        <v>45.338098237099999</v>
      </c>
      <c r="M12" s="507"/>
    </row>
    <row r="13" spans="1:19" ht="18" customHeight="1" thickBot="1" x14ac:dyDescent="0.4">
      <c r="A13" s="345" t="s">
        <v>1663</v>
      </c>
      <c r="B13" s="346" t="s">
        <v>1679</v>
      </c>
      <c r="C13" s="345" t="s">
        <v>821</v>
      </c>
      <c r="D13" s="347" t="str">
        <f ca="1">ROUND([1]!cb_anal_ldiluterate(D2,D4),2) &amp; "%（流通盘）"</f>
        <v>4.27%（流通盘）</v>
      </c>
      <c r="E13" s="348"/>
      <c r="F13" s="352"/>
      <c r="G13" s="362" t="s">
        <v>1188</v>
      </c>
      <c r="H13" s="368">
        <f ca="1">[1]!s_fa_roic_ttm(H10,D3)</f>
        <v>8.0776000000000003</v>
      </c>
      <c r="I13" s="369" t="s">
        <v>1189</v>
      </c>
      <c r="J13" s="368">
        <f ca="1">[1]!s_fa_dupont_roe(H10,D3)</f>
        <v>10.9915</v>
      </c>
      <c r="K13" s="369" t="s">
        <v>1190</v>
      </c>
      <c r="L13" s="368">
        <f ca="1">[1]!fa_rop(H10,D3)</f>
        <v>71.905851351929101</v>
      </c>
      <c r="M13" s="507" t="s">
        <v>1077</v>
      </c>
      <c r="N13" s="99"/>
      <c r="O13" s="99"/>
      <c r="P13" s="99"/>
      <c r="Q13" s="99"/>
      <c r="R13" s="99"/>
      <c r="S13" s="99"/>
    </row>
    <row r="14" spans="1:19" s="109" customFormat="1" ht="18" customHeight="1" thickBot="1" x14ac:dyDescent="0.4">
      <c r="A14" s="345" t="s">
        <v>1664</v>
      </c>
      <c r="B14" s="349" t="s">
        <v>1800</v>
      </c>
      <c r="C14" s="345" t="s">
        <v>822</v>
      </c>
      <c r="D14" s="350" t="s">
        <v>1796</v>
      </c>
      <c r="E14" s="351"/>
      <c r="F14" s="352"/>
      <c r="G14" s="362" t="s">
        <v>1191</v>
      </c>
      <c r="H14" s="374">
        <f ca="1">[1]!s_fa_grossprofitmargin_ttm2(H10,D3)</f>
        <v>39.500799999999998</v>
      </c>
      <c r="I14" s="375" t="s">
        <v>1192</v>
      </c>
      <c r="J14" s="374">
        <f ca="1">[1]!s_fa_roa2_ttm2(H10,D3)</f>
        <v>6.3150000000000004</v>
      </c>
      <c r="K14" s="369" t="s">
        <v>1193</v>
      </c>
      <c r="L14" s="368">
        <f ca="1">[1]!s_fa_netprofittoor_ttm(H10,D3)</f>
        <v>9.2551000000000005</v>
      </c>
      <c r="M14" s="507"/>
      <c r="N14" s="108"/>
      <c r="O14" s="108"/>
      <c r="P14" s="108"/>
      <c r="Q14" s="108"/>
      <c r="R14" s="108"/>
      <c r="S14" s="108"/>
    </row>
    <row r="15" spans="1:19" s="109" customFormat="1" ht="18" customHeight="1" thickBot="1" x14ac:dyDescent="0.4">
      <c r="A15" s="345" t="s">
        <v>1665</v>
      </c>
      <c r="B15" s="346" t="s">
        <v>1797</v>
      </c>
      <c r="C15" s="345" t="s">
        <v>823</v>
      </c>
      <c r="D15" s="347" t="s">
        <v>1803</v>
      </c>
      <c r="E15" s="348"/>
      <c r="F15" s="352"/>
      <c r="G15" s="370" t="s">
        <v>1194</v>
      </c>
      <c r="H15" s="371">
        <f ca="1">[1]!s_fa_debttoassets(H10,D3)</f>
        <v>50.514400000000002</v>
      </c>
      <c r="I15" s="372" t="s">
        <v>1195</v>
      </c>
      <c r="J15" s="371">
        <f ca="1">[1]!fa_longdebttolongcaptial(H10,D3)</f>
        <v>23.206088171849782</v>
      </c>
      <c r="K15" s="372" t="s">
        <v>1196</v>
      </c>
      <c r="L15" s="371">
        <f ca="1">[1]!s_fa_assetstoequity(H10,D3)</f>
        <v>2.0207999999999999</v>
      </c>
      <c r="M15" s="507" t="s">
        <v>1078</v>
      </c>
      <c r="N15" s="108"/>
      <c r="O15" s="108"/>
      <c r="P15" s="108"/>
      <c r="Q15" s="108"/>
      <c r="R15" s="108"/>
      <c r="S15" s="108"/>
    </row>
    <row r="16" spans="1:19" s="109" customFormat="1" ht="18" customHeight="1" thickBot="1" x14ac:dyDescent="0.4">
      <c r="A16" s="345" t="s">
        <v>1666</v>
      </c>
      <c r="B16" s="353" t="s">
        <v>1658</v>
      </c>
      <c r="C16" s="354" t="s">
        <v>824</v>
      </c>
      <c r="D16" s="355">
        <v>43325</v>
      </c>
      <c r="E16" s="356"/>
      <c r="F16" s="352"/>
      <c r="G16" s="376" t="s">
        <v>1175</v>
      </c>
      <c r="H16" s="371">
        <f ca="1">[1]!s_fa_deducteddebttoassets(H10,D3)</f>
        <v>48.085589801345918</v>
      </c>
      <c r="I16" s="372" t="s">
        <v>1176</v>
      </c>
      <c r="J16" s="371">
        <f ca="1">[1]!fa_longcapitaltoinvestment(H10,D3)</f>
        <v>697.27399669156705</v>
      </c>
      <c r="K16" s="372" t="s">
        <v>1177</v>
      </c>
      <c r="L16" s="371">
        <f ca="1">[1]!s_fa_interestdebttototalcapital(H10,D3)</f>
        <v>24.218599999999999</v>
      </c>
      <c r="M16" s="507"/>
      <c r="N16" s="108"/>
      <c r="O16" s="108"/>
      <c r="P16" s="108"/>
      <c r="Q16" s="108"/>
      <c r="R16" s="108"/>
      <c r="S16" s="108"/>
    </row>
    <row r="17" spans="1:19" s="109" customFormat="1" ht="18" customHeight="1" thickBot="1" x14ac:dyDescent="0.4">
      <c r="A17" s="357" t="s">
        <v>1667</v>
      </c>
      <c r="B17" s="475" t="s">
        <v>1801</v>
      </c>
      <c r="C17" s="476"/>
      <c r="D17" s="476"/>
      <c r="E17" s="358"/>
      <c r="F17" s="359"/>
      <c r="G17" s="362" t="s">
        <v>1079</v>
      </c>
      <c r="H17" s="377">
        <f ca="1">[1]!s_val_pe_ttm(H10,D4-1)</f>
        <v>38.389633178710938</v>
      </c>
      <c r="I17" s="378" t="s">
        <v>1080</v>
      </c>
      <c r="J17" s="377">
        <f ca="1">[1]!pb_mrq(H10,D4-1)</f>
        <v>4.7666184085673624</v>
      </c>
      <c r="K17" s="378" t="s">
        <v>1178</v>
      </c>
      <c r="L17" s="377">
        <f ca="1">[1]!i_val_pe_percentile(H10,[1]!td(D4-1),[1]!td(D4-365*5),[1]!td(D4))</f>
        <v>64.692982456140342</v>
      </c>
      <c r="M17" s="507" t="s">
        <v>1081</v>
      </c>
      <c r="N17" s="108"/>
      <c r="O17" s="108"/>
      <c r="P17" s="108"/>
      <c r="Q17" s="108"/>
      <c r="R17" s="108"/>
      <c r="S17" s="108"/>
    </row>
    <row r="18" spans="1:19" s="109" customFormat="1" ht="18" customHeight="1" thickBot="1" x14ac:dyDescent="0.4">
      <c r="A18" s="357" t="s">
        <v>1668</v>
      </c>
      <c r="B18" s="477" t="s">
        <v>1798</v>
      </c>
      <c r="C18" s="478"/>
      <c r="D18" s="478"/>
      <c r="E18" s="360"/>
      <c r="F18" s="359"/>
      <c r="G18" s="379" t="s">
        <v>1197</v>
      </c>
      <c r="H18" s="377">
        <f ca="1">[1]!s_val_pe_deducted_ttm(H10,D4-1)</f>
        <v>50.911086035951087</v>
      </c>
      <c r="I18" s="378" t="s">
        <v>1179</v>
      </c>
      <c r="J18" s="377">
        <f ca="1">[1]!s_val_dividendyield2(H10,D4)</f>
        <v>0.44692723357306663</v>
      </c>
      <c r="K18" s="378" t="s">
        <v>1180</v>
      </c>
      <c r="L18" s="377">
        <f ca="1">[1]!i_val_pb_percentile(H10,[1]!td(D4-1),[1]!td(D4-365*5),[1]!td(D4))</f>
        <v>42.489035087719294</v>
      </c>
      <c r="M18" s="507"/>
      <c r="N18" s="108"/>
      <c r="O18" s="108"/>
      <c r="P18" s="108"/>
      <c r="Q18" s="108"/>
      <c r="R18" s="108"/>
      <c r="S18" s="108"/>
    </row>
    <row r="19" spans="1:19" s="109" customFormat="1" ht="18" customHeight="1" thickBot="1" x14ac:dyDescent="0.4">
      <c r="A19" s="482" t="s">
        <v>1669</v>
      </c>
      <c r="B19" s="485" t="s">
        <v>1802</v>
      </c>
      <c r="C19" s="486"/>
      <c r="D19" s="486"/>
      <c r="E19" s="487"/>
      <c r="F19" s="361"/>
      <c r="G19" s="370" t="s">
        <v>1181</v>
      </c>
      <c r="H19" s="380">
        <f ca="1">[1]!s_risk_avgreturnr100(H10,D4)</f>
        <v>18.844799041748047</v>
      </c>
      <c r="I19" s="381" t="s">
        <v>1198</v>
      </c>
      <c r="J19" s="380">
        <f ca="1">[1]!s_risk_betar100(H10,D4)</f>
        <v>1.7129000425338745</v>
      </c>
      <c r="K19" s="373" t="s">
        <v>1199</v>
      </c>
      <c r="L19" s="382" t="str">
        <f ca="1">IF([1]!s_techanal_rcnthigh(H10,D4,10,2),"是","否")&amp;"/"&amp;IF([1]!s_techanal_rcntlow(H10,D4,10,2),"是","否")</f>
        <v>否/否</v>
      </c>
      <c r="M19" s="507" t="s">
        <v>1172</v>
      </c>
      <c r="N19" s="108"/>
      <c r="O19" s="108"/>
      <c r="P19" s="108"/>
      <c r="Q19" s="108"/>
      <c r="R19" s="108"/>
      <c r="S19" s="108"/>
    </row>
    <row r="20" spans="1:19" s="109" customFormat="1" ht="18" customHeight="1" thickBot="1" x14ac:dyDescent="0.4">
      <c r="A20" s="483"/>
      <c r="B20" s="488" t="s">
        <v>1680</v>
      </c>
      <c r="C20" s="489"/>
      <c r="D20" s="489"/>
      <c r="E20" s="490"/>
      <c r="F20" s="361"/>
      <c r="G20" s="370" t="s">
        <v>1182</v>
      </c>
      <c r="H20" s="380">
        <f ca="1">[1]!s_risk_stdevr100(H10,D4)</f>
        <v>45.727764129638672</v>
      </c>
      <c r="I20" s="381" t="s">
        <v>1183</v>
      </c>
      <c r="J20" s="382" t="str">
        <f ca="1">IF([1]!s_techanal_svravgline(H10,D4,5,10,20,30,1,2),"多头","空头")</f>
        <v>空头</v>
      </c>
      <c r="K20" s="373" t="s">
        <v>1200</v>
      </c>
      <c r="L20" s="382" t="str">
        <f ca="1">IF([1]!s_techanal_stagehigh(H10,D4,10,252,2),"是","否")&amp;"/"&amp;IF([1]!s_techanal_stagelow(H10,D4,10,252,2),"是","否")</f>
        <v>否/否</v>
      </c>
      <c r="M20" s="507"/>
      <c r="N20" s="108"/>
      <c r="O20" s="108"/>
      <c r="P20" s="108"/>
      <c r="Q20" s="108"/>
      <c r="R20" s="108"/>
      <c r="S20" s="108"/>
    </row>
    <row r="21" spans="1:19" s="109" customFormat="1" ht="18" customHeight="1" thickBot="1" x14ac:dyDescent="0.4">
      <c r="A21" s="482" t="s">
        <v>1670</v>
      </c>
      <c r="B21" s="491" t="s">
        <v>825</v>
      </c>
      <c r="C21" s="492"/>
      <c r="D21" s="492"/>
      <c r="E21" s="493"/>
      <c r="F21" s="361"/>
      <c r="G21" s="393" t="s">
        <v>1657</v>
      </c>
      <c r="H21" s="368">
        <f ca="1">IF([1]!s_val_targetnp(H10,YEAR(D4),100000000)=0,"-",[1]!s_val_targetnp(H10,YEAR(D4),100000000))</f>
        <v>16.723283467255001</v>
      </c>
      <c r="I21" s="369" t="s">
        <v>1201</v>
      </c>
      <c r="J21" s="368">
        <f ca="1">[1]!s_val_estpe_fy1(H10,[1]!td(D4-1))</f>
        <v>27.422000000000001</v>
      </c>
      <c r="K21" s="383" t="s">
        <v>1184</v>
      </c>
      <c r="L21" s="377">
        <f ca="1">[1]!s_west_netprofit_yoy(H10,[1]!td(D4-1))</f>
        <v>77.882099999999994</v>
      </c>
      <c r="M21" s="507" t="s">
        <v>1168</v>
      </c>
      <c r="N21" s="108"/>
      <c r="O21" s="108"/>
      <c r="P21" s="108"/>
      <c r="Q21" s="108"/>
      <c r="R21" s="108"/>
      <c r="S21" s="108"/>
    </row>
    <row r="22" spans="1:19" s="109" customFormat="1" ht="18" customHeight="1" x14ac:dyDescent="0.35">
      <c r="A22" s="482"/>
      <c r="B22" s="494" t="s">
        <v>1656</v>
      </c>
      <c r="C22" s="495"/>
      <c r="D22" s="495"/>
      <c r="E22" s="496"/>
      <c r="F22" s="361"/>
      <c r="G22" s="384" t="s">
        <v>1169</v>
      </c>
      <c r="H22" s="368">
        <f ca="1">[1]!s_val_estpeg_ftm(H10,[1]!td(D4-1))</f>
        <v>0.48470000000000002</v>
      </c>
      <c r="I22" s="369" t="s">
        <v>1171</v>
      </c>
      <c r="J22" s="368">
        <f ca="1">[1]!s_val_estpe_fy2(H10,[1]!td(D4-1))</f>
        <v>22.100899999999999</v>
      </c>
      <c r="K22" s="383" t="s">
        <v>1170</v>
      </c>
      <c r="L22" s="377">
        <f ca="1">[1]!s_west_nproc_4w(H10,YEAR(D4),D4)</f>
        <v>0.43925192740360647</v>
      </c>
      <c r="M22" s="510"/>
      <c r="N22" s="108"/>
      <c r="O22" s="108"/>
      <c r="P22" s="108"/>
      <c r="Q22" s="108"/>
      <c r="R22" s="108"/>
      <c r="S22" s="108"/>
    </row>
    <row r="23" spans="1:19" s="111" customFormat="1" ht="18" customHeight="1" x14ac:dyDescent="0.35">
      <c r="A23" s="479" t="s">
        <v>826</v>
      </c>
      <c r="B23" s="479"/>
      <c r="C23" s="479"/>
      <c r="D23" s="479"/>
      <c r="E23" s="480"/>
      <c r="F23" s="385"/>
      <c r="G23" s="472" t="s">
        <v>1225</v>
      </c>
      <c r="H23" s="473"/>
      <c r="I23" s="473"/>
      <c r="J23" s="473"/>
      <c r="K23" s="473"/>
      <c r="L23" s="473"/>
      <c r="M23" s="474"/>
      <c r="N23" s="110"/>
      <c r="O23" s="110"/>
      <c r="P23" s="110"/>
      <c r="Q23" s="110"/>
      <c r="R23" s="110"/>
      <c r="S23" s="110"/>
    </row>
    <row r="24" spans="1:19" s="113" customFormat="1" ht="18" customHeight="1" x14ac:dyDescent="0.35">
      <c r="A24" s="506" t="s">
        <v>1205</v>
      </c>
      <c r="B24" s="481"/>
      <c r="C24" s="481" t="s">
        <v>1206</v>
      </c>
      <c r="D24" s="481"/>
      <c r="E24" s="481"/>
      <c r="F24" s="386"/>
      <c r="G24" s="513" t="s">
        <v>1207</v>
      </c>
      <c r="H24" s="511"/>
      <c r="I24" s="511"/>
      <c r="J24" s="512"/>
      <c r="K24" s="511" t="s">
        <v>1208</v>
      </c>
      <c r="L24" s="511"/>
      <c r="M24" s="512"/>
      <c r="N24" s="112"/>
      <c r="O24" s="112"/>
      <c r="P24" s="112"/>
      <c r="Q24" s="112"/>
      <c r="R24" s="112"/>
      <c r="S24" s="112"/>
    </row>
    <row r="25" spans="1:19" s="109" customFormat="1" ht="18" customHeight="1" x14ac:dyDescent="0.35">
      <c r="A25" s="243"/>
      <c r="B25" s="243"/>
      <c r="C25" s="244"/>
      <c r="D25" s="243"/>
      <c r="E25" s="243"/>
      <c r="F25" s="243"/>
      <c r="G25" s="245">
        <f ca="1">EOMONTH(D3,0)</f>
        <v>44104</v>
      </c>
      <c r="H25" s="255">
        <f ca="1">[1]!s_fa_gr_ttm2($H$10,G25,100000000)</f>
        <v>114.77763074489999</v>
      </c>
      <c r="I25" s="255">
        <f ca="1">100*H25/H26-100</f>
        <v>14.912465221553276</v>
      </c>
      <c r="J25" s="252"/>
      <c r="K25" s="245">
        <f ca="1">G25</f>
        <v>44104</v>
      </c>
      <c r="L25" s="255">
        <f ca="1">[1]!s_fa_netprofit_ttm2($H$10,K25,100000000)</f>
        <v>10.6228309828</v>
      </c>
      <c r="M25" s="256">
        <f ca="1">100*L25/L26-100</f>
        <v>19.883648102300086</v>
      </c>
      <c r="N25" s="108"/>
      <c r="O25" s="108"/>
      <c r="P25" s="108"/>
      <c r="Q25" s="108"/>
      <c r="R25" s="108"/>
      <c r="S25" s="108"/>
    </row>
    <row r="26" spans="1:19" s="109" customFormat="1" ht="18" customHeight="1" x14ac:dyDescent="0.35">
      <c r="A26" s="243"/>
      <c r="B26" s="243"/>
      <c r="C26" s="244"/>
      <c r="D26" s="243"/>
      <c r="E26" s="243"/>
      <c r="F26" s="243"/>
      <c r="G26" s="247">
        <f ca="1">EOMONTH([1]!TDaysOffset($D$3,"Days=Alldays","Period=Q","Offset=-1"),0)</f>
        <v>44012</v>
      </c>
      <c r="H26" s="255">
        <f ca="1">[1]!s_fa_gr_ttm2($H$10,G26,100000000)</f>
        <v>99.882663315599999</v>
      </c>
      <c r="I26" s="255">
        <f t="shared" ref="I26:I34" ca="1" si="0">100*H26/H27-100</f>
        <v>11.639637953304373</v>
      </c>
      <c r="J26" s="252"/>
      <c r="K26" s="246">
        <f t="shared" ref="K26:K35" ca="1" si="1">G26</f>
        <v>44012</v>
      </c>
      <c r="L26" s="255">
        <f ca="1">[1]!s_fa_netprofit_ttm2($H$10,K26,100000000)</f>
        <v>8.8609507226000002</v>
      </c>
      <c r="M26" s="257">
        <f t="shared" ref="M26:M34" ca="1" si="2">100*L26/L27-100</f>
        <v>50.493926399886902</v>
      </c>
      <c r="N26" s="108"/>
      <c r="O26" s="108"/>
      <c r="P26" s="108"/>
      <c r="Q26" s="108"/>
      <c r="R26" s="108"/>
      <c r="S26" s="108"/>
    </row>
    <row r="27" spans="1:19" s="109" customFormat="1" ht="18" customHeight="1" x14ac:dyDescent="0.35">
      <c r="A27" s="243"/>
      <c r="B27" s="243"/>
      <c r="C27" s="244"/>
      <c r="D27" s="243"/>
      <c r="E27" s="243"/>
      <c r="F27" s="243"/>
      <c r="G27" s="247">
        <f ca="1">EOMONTH([1]!TDaysOffset($D$3,"Days=Alldays","Period=Q","Offset=-2"),0)</f>
        <v>43921</v>
      </c>
      <c r="H27" s="255">
        <f ca="1">[1]!s_fa_gr_ttm2($H$10,G27,100000000)</f>
        <v>89.468816942399997</v>
      </c>
      <c r="I27" s="255">
        <f t="shared" ca="1" si="0"/>
        <v>-6.4390844411218069</v>
      </c>
      <c r="J27" s="252"/>
      <c r="K27" s="246">
        <f t="shared" ca="1" si="1"/>
        <v>43921</v>
      </c>
      <c r="L27" s="255">
        <f ca="1">[1]!s_fa_netprofit_ttm2($H$10,K27,100000000)</f>
        <v>5.8879125122000007</v>
      </c>
      <c r="M27" s="257">
        <f t="shared" ca="1" si="2"/>
        <v>-8.3193056416863556</v>
      </c>
      <c r="N27" s="108"/>
      <c r="O27" s="108"/>
      <c r="P27" s="108"/>
      <c r="Q27" s="108"/>
      <c r="R27" s="108"/>
      <c r="S27" s="108"/>
    </row>
    <row r="28" spans="1:19" s="109" customFormat="1" ht="18" customHeight="1" x14ac:dyDescent="0.35">
      <c r="A28" s="243"/>
      <c r="B28" s="243"/>
      <c r="C28" s="244"/>
      <c r="D28" s="243"/>
      <c r="E28" s="243"/>
      <c r="F28" s="243"/>
      <c r="G28" s="247">
        <f ca="1">EOMONTH([1]!TDaysOffset($D$3,"Days=Alldays","Period=Q","Offset=-3"),0)</f>
        <v>43830</v>
      </c>
      <c r="H28" s="255">
        <f ca="1">[1]!s_fa_gr_ttm2($H$10,G28,100000000)</f>
        <v>95.626273436900007</v>
      </c>
      <c r="I28" s="255">
        <f t="shared" ca="1" si="0"/>
        <v>2.6355212318308503</v>
      </c>
      <c r="J28" s="252"/>
      <c r="K28" s="246">
        <f t="shared" ca="1" si="1"/>
        <v>43830</v>
      </c>
      <c r="L28" s="255">
        <f ca="1">[1]!s_fa_netprofit_ttm2($H$10,K28,100000000)</f>
        <v>6.4221945016999999</v>
      </c>
      <c r="M28" s="257">
        <f t="shared" ca="1" si="2"/>
        <v>-3.0084227449664382</v>
      </c>
      <c r="N28" s="108"/>
      <c r="O28" s="108"/>
      <c r="P28" s="108"/>
      <c r="Q28" s="108"/>
      <c r="R28" s="108"/>
      <c r="S28" s="108"/>
    </row>
    <row r="29" spans="1:19" s="109" customFormat="1" ht="18" customHeight="1" x14ac:dyDescent="0.35">
      <c r="A29" s="243"/>
      <c r="B29" s="243"/>
      <c r="C29" s="244"/>
      <c r="D29" s="243"/>
      <c r="E29" s="243"/>
      <c r="F29" s="243"/>
      <c r="G29" s="247">
        <f ca="1">EOMONTH([1]!TDaysOffset($D$3,"Days=Alldays","Period=Q","Offset=-4"),0)</f>
        <v>43738</v>
      </c>
      <c r="H29" s="255">
        <f ca="1">[1]!s_fa_gr_ttm2($H$10,G29,100000000)</f>
        <v>93.170738833099989</v>
      </c>
      <c r="I29" s="255">
        <f t="shared" ca="1" si="0"/>
        <v>-12.570451858070129</v>
      </c>
      <c r="J29" s="252"/>
      <c r="K29" s="246">
        <f t="shared" ca="1" si="1"/>
        <v>43738</v>
      </c>
      <c r="L29" s="255">
        <f ca="1">[1]!s_fa_netprofit_ttm2($H$10,K29,100000000)</f>
        <v>6.621394025599999</v>
      </c>
      <c r="M29" s="257">
        <f t="shared" ca="1" si="2"/>
        <v>-38.663633801515566</v>
      </c>
      <c r="N29" s="108"/>
      <c r="O29" s="108"/>
      <c r="P29" s="108"/>
      <c r="Q29" s="108"/>
      <c r="R29" s="108"/>
      <c r="S29" s="108"/>
    </row>
    <row r="30" spans="1:19" s="109" customFormat="1" ht="18" customHeight="1" x14ac:dyDescent="0.35">
      <c r="A30" s="243"/>
      <c r="B30" s="243"/>
      <c r="C30" s="244"/>
      <c r="D30" s="243"/>
      <c r="E30" s="243"/>
      <c r="F30" s="243"/>
      <c r="G30" s="247">
        <f ca="1">EOMONTH([1]!TDaysOffset($D$3,"Days=Alldays","Period=Q","Offset=-5"),0)</f>
        <v>43646</v>
      </c>
      <c r="H30" s="255">
        <f ca="1">[1]!s_fa_gr_ttm2($H$10,G30,100000000)</f>
        <v>106.5666480191</v>
      </c>
      <c r="I30" s="255">
        <f t="shared" ca="1" si="0"/>
        <v>-7.0383825181393433</v>
      </c>
      <c r="J30" s="252"/>
      <c r="K30" s="246">
        <f t="shared" ca="1" si="1"/>
        <v>43646</v>
      </c>
      <c r="L30" s="255">
        <f ca="1">[1]!s_fa_netprofit_ttm2($H$10,K30,100000000)</f>
        <v>10.795217317200001</v>
      </c>
      <c r="M30" s="257">
        <f t="shared" ca="1" si="2"/>
        <v>-28.734999259546441</v>
      </c>
      <c r="N30" s="108"/>
      <c r="O30" s="108"/>
      <c r="P30" s="108"/>
      <c r="Q30" s="108"/>
      <c r="R30" s="108"/>
      <c r="S30" s="108"/>
    </row>
    <row r="31" spans="1:19" s="109" customFormat="1" ht="18" customHeight="1" x14ac:dyDescent="0.35">
      <c r="A31" s="243"/>
      <c r="B31" s="243"/>
      <c r="C31" s="244"/>
      <c r="D31" s="243"/>
      <c r="E31" s="243"/>
      <c r="F31" s="243"/>
      <c r="G31" s="247">
        <f ca="1">EOMONTH([1]!TDaysOffset($D$3,"Days=Alldays","Period=Q","Offset=-6"),0)</f>
        <v>43555</v>
      </c>
      <c r="H31" s="255">
        <f ca="1">[1]!s_fa_gr_ttm2($H$10,G31,100000000)</f>
        <v>114.6351052249</v>
      </c>
      <c r="I31" s="255">
        <f t="shared" ca="1" si="0"/>
        <v>3.9351322018079458</v>
      </c>
      <c r="J31" s="252"/>
      <c r="K31" s="246">
        <f t="shared" ca="1" si="1"/>
        <v>43555</v>
      </c>
      <c r="L31" s="255">
        <f ca="1">[1]!s_fa_netprofit_ttm2($H$10,K31,100000000)</f>
        <v>15.147992990999999</v>
      </c>
      <c r="M31" s="257">
        <f t="shared" ca="1" si="2"/>
        <v>-11.859996564383721</v>
      </c>
      <c r="N31" s="108"/>
      <c r="O31" s="108"/>
      <c r="P31" s="108"/>
      <c r="Q31" s="108"/>
      <c r="R31" s="108"/>
      <c r="S31" s="108"/>
    </row>
    <row r="32" spans="1:19" s="109" customFormat="1" ht="18" customHeight="1" x14ac:dyDescent="0.35">
      <c r="A32" s="243"/>
      <c r="B32" s="243"/>
      <c r="C32" s="244"/>
      <c r="D32" s="243"/>
      <c r="E32" s="243"/>
      <c r="F32" s="243"/>
      <c r="G32" s="247">
        <f ca="1">EOMONTH([1]!TDaysOffset($D$3,"Days=Alldays","Period=Q","Offset=-7"),0)</f>
        <v>43465</v>
      </c>
      <c r="H32" s="255">
        <f ca="1">[1]!s_fa_gr_ttm2($H$10,G32,100000000)</f>
        <v>110.2948567981</v>
      </c>
      <c r="I32" s="255">
        <f t="shared" ca="1" si="0"/>
        <v>-2.4098068124570773</v>
      </c>
      <c r="J32" s="252"/>
      <c r="K32" s="247">
        <f t="shared" ca="1" si="1"/>
        <v>43465</v>
      </c>
      <c r="L32" s="255">
        <f ca="1">[1]!s_fa_netprofit_ttm2($H$10,K32,100000000)</f>
        <v>17.186285909400002</v>
      </c>
      <c r="M32" s="257">
        <f t="shared" ca="1" si="2"/>
        <v>-5.5481404621218218</v>
      </c>
      <c r="N32" s="108"/>
      <c r="O32" s="108"/>
      <c r="P32" s="108"/>
      <c r="Q32" s="108"/>
      <c r="R32" s="108"/>
      <c r="S32" s="108"/>
    </row>
    <row r="33" spans="1:19" s="109" customFormat="1" ht="18" customHeight="1" x14ac:dyDescent="0.35">
      <c r="A33" s="243"/>
      <c r="B33" s="243"/>
      <c r="C33" s="244"/>
      <c r="D33" s="243"/>
      <c r="E33" s="243"/>
      <c r="F33" s="243"/>
      <c r="G33" s="247">
        <f ca="1">EOMONTH([1]!TDaysOffset($D$3,"Days=Alldays","Period=Q","Offset=-8"),0)</f>
        <v>43373</v>
      </c>
      <c r="H33" s="255">
        <f ca="1">[1]!s_fa_gr_ttm2($H$10,G33,100000000)</f>
        <v>113.0183814537</v>
      </c>
      <c r="I33" s="255">
        <f t="shared" ca="1" si="0"/>
        <v>1.5323611023855932</v>
      </c>
      <c r="J33" s="252"/>
      <c r="K33" s="247">
        <f t="shared" ca="1" si="1"/>
        <v>43373</v>
      </c>
      <c r="L33" s="255">
        <f ca="1">[1]!s_fa_netprofit_ttm2($H$10,K33,100000000)</f>
        <v>18.195815300499998</v>
      </c>
      <c r="M33" s="257">
        <f t="shared" ca="1" si="2"/>
        <v>2.8284410178974326</v>
      </c>
      <c r="N33" s="108"/>
      <c r="O33" s="108"/>
      <c r="P33" s="108"/>
      <c r="Q33" s="108"/>
      <c r="R33" s="108"/>
      <c r="S33" s="108"/>
    </row>
    <row r="34" spans="1:19" s="109" customFormat="1" ht="18" customHeight="1" x14ac:dyDescent="0.35">
      <c r="A34" s="243"/>
      <c r="B34" s="243"/>
      <c r="C34" s="244"/>
      <c r="D34" s="243"/>
      <c r="E34" s="243"/>
      <c r="F34" s="243"/>
      <c r="G34" s="247">
        <f ca="1">EOMONTH([1]!TDaysOffset($D$3,"Days=Alldays","Period=Q","Offset=-9"),0)</f>
        <v>43281</v>
      </c>
      <c r="H34" s="255">
        <f ca="1">[1]!s_fa_gr_ttm2($H$10,G34,100000000)</f>
        <v>111.31266940569999</v>
      </c>
      <c r="I34" s="255">
        <f t="shared" ca="1" si="0"/>
        <v>-5.1079640346062973</v>
      </c>
      <c r="J34" s="252"/>
      <c r="K34" s="247">
        <f t="shared" ca="1" si="1"/>
        <v>43281</v>
      </c>
      <c r="L34" s="255">
        <f ca="1">[1]!s_fa_netprofit_ttm2($H$10,K34,100000000)</f>
        <v>17.695313787100002</v>
      </c>
      <c r="M34" s="257">
        <f t="shared" ca="1" si="2"/>
        <v>-5.782037178057891</v>
      </c>
      <c r="N34" s="108"/>
      <c r="O34" s="108"/>
      <c r="P34" s="108"/>
      <c r="Q34" s="108"/>
      <c r="R34" s="108"/>
      <c r="S34" s="108"/>
    </row>
    <row r="35" spans="1:19" s="113" customFormat="1" ht="18" customHeight="1" x14ac:dyDescent="0.35">
      <c r="A35" s="248"/>
      <c r="B35" s="248"/>
      <c r="C35" s="249"/>
      <c r="D35" s="248"/>
      <c r="E35" s="248"/>
      <c r="F35" s="248"/>
      <c r="G35" s="247">
        <f ca="1">EOMONTH([1]!TDaysOffset($D$3,"Days=Alldays","Period=Q","Offset=-10"),0)</f>
        <v>43190</v>
      </c>
      <c r="H35" s="255">
        <f ca="1">[1]!s_fa_gr_ttm2($H$10,G35,100000000)</f>
        <v>117.3045432878</v>
      </c>
      <c r="I35" s="252"/>
      <c r="J35" s="248"/>
      <c r="K35" s="247">
        <f t="shared" ca="1" si="1"/>
        <v>43190</v>
      </c>
      <c r="L35" s="255">
        <f ca="1">[1]!s_fa_netprofit_ttm2($H$10,K35,100000000)</f>
        <v>18.7812528069</v>
      </c>
      <c r="M35" s="250"/>
      <c r="N35" s="112"/>
      <c r="O35" s="112"/>
      <c r="P35" s="112"/>
      <c r="Q35" s="112"/>
      <c r="R35" s="112"/>
      <c r="S35" s="112"/>
    </row>
    <row r="36" spans="1:19" s="109" customFormat="1" ht="18" customHeight="1" x14ac:dyDescent="0.35">
      <c r="A36" s="504" t="s">
        <v>1204</v>
      </c>
      <c r="B36" s="505"/>
      <c r="C36" s="497" t="s">
        <v>1209</v>
      </c>
      <c r="D36" s="498"/>
      <c r="E36" s="499"/>
      <c r="F36" s="387"/>
      <c r="G36" s="514" t="s">
        <v>1210</v>
      </c>
      <c r="H36" s="500"/>
      <c r="I36" s="500"/>
      <c r="J36" s="501"/>
      <c r="K36" s="500" t="s">
        <v>1211</v>
      </c>
      <c r="L36" s="500"/>
      <c r="M36" s="501"/>
      <c r="N36" s="108"/>
      <c r="O36" s="108"/>
      <c r="P36" s="108"/>
      <c r="Q36" s="108"/>
      <c r="R36" s="108"/>
      <c r="S36" s="108"/>
    </row>
    <row r="37" spans="1:19" s="109" customFormat="1" ht="18" customHeight="1" x14ac:dyDescent="0.35">
      <c r="A37" s="243"/>
      <c r="B37" s="243"/>
      <c r="C37" s="244"/>
      <c r="D37" s="243"/>
      <c r="E37" s="243"/>
      <c r="F37" s="243"/>
      <c r="G37" s="245">
        <f ca="1">G25</f>
        <v>44104</v>
      </c>
      <c r="H37" s="251">
        <f ca="1">[1]!fa_score($H$10,G37)</f>
        <v>3.782601294026132</v>
      </c>
      <c r="I37" s="251">
        <v>1.81</v>
      </c>
      <c r="J37" s="252"/>
      <c r="K37" s="245">
        <f ca="1">K25</f>
        <v>44104</v>
      </c>
      <c r="L37" s="253">
        <f ca="1">[1]!s_fa_fcfe($H$10,K37,100000000)</f>
        <v>-7.8342509436829992</v>
      </c>
      <c r="M37" s="254">
        <f ca="1">SUM(L37:L40)</f>
        <v>-15.749798711442999</v>
      </c>
      <c r="N37" s="108"/>
      <c r="O37" s="108"/>
      <c r="P37" s="108"/>
      <c r="Q37" s="108"/>
      <c r="R37" s="108"/>
      <c r="S37" s="108"/>
    </row>
    <row r="38" spans="1:19" s="109" customFormat="1" ht="18" customHeight="1" x14ac:dyDescent="0.35">
      <c r="A38" s="243"/>
      <c r="B38" s="243"/>
      <c r="C38" s="244"/>
      <c r="D38" s="243"/>
      <c r="E38" s="243"/>
      <c r="F38" s="243"/>
      <c r="G38" s="246">
        <f ca="1">G26</f>
        <v>44012</v>
      </c>
      <c r="H38" s="251">
        <f ca="1">[1]!fa_score($H$10,G38)</f>
        <v>3.7940726538624858</v>
      </c>
      <c r="I38" s="251">
        <v>1.81</v>
      </c>
      <c r="J38" s="252"/>
      <c r="K38" s="246">
        <f ca="1">K26</f>
        <v>44012</v>
      </c>
      <c r="L38" s="253">
        <f ca="1">[1]!s_fa_fcfe($H$10,K38,100000000)</f>
        <v>1.59089845988</v>
      </c>
      <c r="M38" s="254">
        <f t="shared" ref="M38:M44" ca="1" si="3">SUM(L38:L41)</f>
        <v>-26.367662272002999</v>
      </c>
      <c r="N38" s="108"/>
      <c r="O38" s="108"/>
      <c r="P38" s="108"/>
      <c r="Q38" s="108"/>
      <c r="R38" s="108"/>
      <c r="S38" s="108"/>
    </row>
    <row r="39" spans="1:19" s="109" customFormat="1" ht="18" customHeight="1" x14ac:dyDescent="0.35">
      <c r="A39" s="243"/>
      <c r="B39" s="243"/>
      <c r="C39" s="244"/>
      <c r="D39" s="243"/>
      <c r="E39" s="243"/>
      <c r="F39" s="243"/>
      <c r="G39" s="245">
        <f t="shared" ref="G39:G46" ca="1" si="4">G27</f>
        <v>43921</v>
      </c>
      <c r="H39" s="251">
        <f ca="1">[1]!fa_score($H$10,G39)</f>
        <v>3.2915026893946582</v>
      </c>
      <c r="I39" s="251">
        <v>1.81</v>
      </c>
      <c r="J39" s="252"/>
      <c r="K39" s="245">
        <f t="shared" ref="K39:K47" ca="1" si="5">K27</f>
        <v>43921</v>
      </c>
      <c r="L39" s="253">
        <f ca="1">[1]!s_fa_fcfe($H$10,K39,100000000)</f>
        <v>3.0839451265509998</v>
      </c>
      <c r="M39" s="254">
        <f t="shared" ca="1" si="3"/>
        <v>-41.330433959841002</v>
      </c>
      <c r="N39" s="108"/>
      <c r="O39" s="108"/>
      <c r="P39" s="108"/>
      <c r="Q39" s="108"/>
      <c r="R39" s="108"/>
      <c r="S39" s="108"/>
    </row>
    <row r="40" spans="1:19" s="109" customFormat="1" ht="18" customHeight="1" x14ac:dyDescent="0.35">
      <c r="A40" s="243"/>
      <c r="B40" s="243"/>
      <c r="C40" s="244"/>
      <c r="D40" s="243"/>
      <c r="E40" s="243"/>
      <c r="F40" s="243"/>
      <c r="G40" s="246">
        <f t="shared" ca="1" si="4"/>
        <v>43830</v>
      </c>
      <c r="H40" s="251">
        <f ca="1">[1]!fa_score($H$10,G40)</f>
        <v>4.4360010287829574</v>
      </c>
      <c r="I40" s="251">
        <v>1.81</v>
      </c>
      <c r="J40" s="252"/>
      <c r="K40" s="246">
        <f t="shared" ca="1" si="5"/>
        <v>43830</v>
      </c>
      <c r="L40" s="253">
        <f ca="1">[1]!s_fa_fcfe($H$10,K40,100000000)</f>
        <v>-12.590391354191</v>
      </c>
      <c r="M40" s="254">
        <f t="shared" ca="1" si="3"/>
        <v>-53.459209132505997</v>
      </c>
      <c r="N40" s="108"/>
      <c r="O40" s="108"/>
      <c r="P40" s="108"/>
      <c r="Q40" s="108"/>
      <c r="R40" s="108"/>
      <c r="S40" s="108"/>
    </row>
    <row r="41" spans="1:19" s="109" customFormat="1" ht="18" customHeight="1" x14ac:dyDescent="0.35">
      <c r="A41" s="243"/>
      <c r="B41" s="243"/>
      <c r="C41" s="244"/>
      <c r="D41" s="243"/>
      <c r="E41" s="243"/>
      <c r="F41" s="243"/>
      <c r="G41" s="245">
        <f t="shared" ca="1" si="4"/>
        <v>43738</v>
      </c>
      <c r="H41" s="251">
        <f ca="1">[1]!fa_score($H$10,G41)</f>
        <v>4.0933259371729767</v>
      </c>
      <c r="I41" s="251">
        <v>1.81</v>
      </c>
      <c r="J41" s="252"/>
      <c r="K41" s="245">
        <f t="shared" ca="1" si="5"/>
        <v>43738</v>
      </c>
      <c r="L41" s="253">
        <f ca="1">[1]!s_fa_fcfe($H$10,K41,100000000)</f>
        <v>-18.452114504242999</v>
      </c>
      <c r="M41" s="254">
        <f t="shared" ca="1" si="3"/>
        <v>-9.3765484762959979</v>
      </c>
      <c r="N41" s="108"/>
      <c r="O41" s="108"/>
      <c r="P41" s="108"/>
      <c r="Q41" s="108"/>
      <c r="R41" s="108"/>
      <c r="S41" s="108"/>
    </row>
    <row r="42" spans="1:19" s="109" customFormat="1" ht="18" customHeight="1" x14ac:dyDescent="0.35">
      <c r="A42" s="243"/>
      <c r="B42" s="243"/>
      <c r="C42" s="244"/>
      <c r="D42" s="243"/>
      <c r="E42" s="243"/>
      <c r="F42" s="243"/>
      <c r="G42" s="246">
        <f t="shared" ca="1" si="4"/>
        <v>43646</v>
      </c>
      <c r="H42" s="251">
        <f ca="1">[1]!fa_score($H$10,G42)</f>
        <v>3.9622606658980626</v>
      </c>
      <c r="I42" s="251">
        <v>1.81</v>
      </c>
      <c r="J42" s="252"/>
      <c r="K42" s="246">
        <f t="shared" ca="1" si="5"/>
        <v>43646</v>
      </c>
      <c r="L42" s="253">
        <f ca="1">[1]!s_fa_fcfe($H$10,K42,100000000)</f>
        <v>-13.371873227958</v>
      </c>
      <c r="M42" s="254">
        <f t="shared" ca="1" si="3"/>
        <v>10.538351085054002</v>
      </c>
      <c r="N42" s="108"/>
      <c r="O42" s="108"/>
      <c r="P42" s="108"/>
      <c r="Q42" s="108"/>
      <c r="R42" s="108"/>
      <c r="S42" s="108"/>
    </row>
    <row r="43" spans="1:19" s="109" customFormat="1" ht="18" customHeight="1" x14ac:dyDescent="0.35">
      <c r="A43" s="243"/>
      <c r="B43" s="243"/>
      <c r="C43" s="244"/>
      <c r="D43" s="243"/>
      <c r="E43" s="243"/>
      <c r="F43" s="243"/>
      <c r="G43" s="245">
        <f t="shared" ca="1" si="4"/>
        <v>43555</v>
      </c>
      <c r="H43" s="251">
        <f ca="1">[1]!fa_score($H$10,G43)</f>
        <v>4.362562084754007</v>
      </c>
      <c r="I43" s="251">
        <v>1.81</v>
      </c>
      <c r="J43" s="252"/>
      <c r="K43" s="245">
        <f t="shared" ca="1" si="5"/>
        <v>43555</v>
      </c>
      <c r="L43" s="253">
        <f ca="1">[1]!s_fa_fcfe($H$10,K43,100000000)</f>
        <v>-9.0448300461140008</v>
      </c>
      <c r="M43" s="254">
        <f t="shared" ca="1" si="3"/>
        <v>26.874670786486</v>
      </c>
      <c r="N43" s="108"/>
      <c r="O43" s="108"/>
      <c r="P43" s="108"/>
      <c r="Q43" s="108"/>
      <c r="R43" s="108"/>
      <c r="S43" s="108"/>
    </row>
    <row r="44" spans="1:19" s="109" customFormat="1" ht="18" customHeight="1" x14ac:dyDescent="0.35">
      <c r="A44" s="243"/>
      <c r="B44" s="243"/>
      <c r="C44" s="244"/>
      <c r="D44" s="243"/>
      <c r="E44" s="243"/>
      <c r="F44" s="243"/>
      <c r="G44" s="246">
        <f t="shared" ca="1" si="4"/>
        <v>43465</v>
      </c>
      <c r="H44" s="251">
        <f ca="1">[1]!fa_score($H$10,G44)</f>
        <v>3.5748078907084686</v>
      </c>
      <c r="I44" s="251">
        <v>1.81</v>
      </c>
      <c r="J44" s="252"/>
      <c r="K44" s="246">
        <f t="shared" ca="1" si="5"/>
        <v>43465</v>
      </c>
      <c r="L44" s="253">
        <f ca="1">[1]!s_fa_fcfe($H$10,K44,100000000)</f>
        <v>31.492269302019</v>
      </c>
      <c r="M44" s="254">
        <f t="shared" ca="1" si="3"/>
        <v>36.032379944882003</v>
      </c>
      <c r="N44" s="108"/>
      <c r="O44" s="108"/>
      <c r="P44" s="108"/>
      <c r="Q44" s="108"/>
      <c r="R44" s="108"/>
      <c r="S44" s="108"/>
    </row>
    <row r="45" spans="1:19" s="109" customFormat="1" ht="18" customHeight="1" x14ac:dyDescent="0.35">
      <c r="A45" s="243"/>
      <c r="B45" s="243"/>
      <c r="C45" s="244"/>
      <c r="D45" s="243"/>
      <c r="E45" s="243"/>
      <c r="F45" s="243"/>
      <c r="G45" s="245">
        <f t="shared" ca="1" si="4"/>
        <v>43373</v>
      </c>
      <c r="H45" s="251">
        <f ca="1">[1]!fa_score($H$10,G45)</f>
        <v>4.7106165092825902</v>
      </c>
      <c r="I45" s="251">
        <v>1.81</v>
      </c>
      <c r="J45" s="252"/>
      <c r="K45" s="245">
        <f t="shared" ca="1" si="5"/>
        <v>43373</v>
      </c>
      <c r="L45" s="253">
        <f ca="1">[1]!s_fa_fcfe($H$10,K45,100000000)</f>
        <v>1.462785057107</v>
      </c>
      <c r="M45" s="254"/>
      <c r="N45" s="108"/>
      <c r="O45" s="108"/>
      <c r="P45" s="108"/>
      <c r="Q45" s="108"/>
      <c r="R45" s="108"/>
      <c r="S45" s="108"/>
    </row>
    <row r="46" spans="1:19" s="109" customFormat="1" ht="18" customHeight="1" x14ac:dyDescent="0.35">
      <c r="A46" s="243"/>
      <c r="B46" s="243"/>
      <c r="C46" s="244"/>
      <c r="D46" s="243"/>
      <c r="E46" s="243"/>
      <c r="F46" s="243"/>
      <c r="G46" s="246">
        <f t="shared" ca="1" si="4"/>
        <v>43281</v>
      </c>
      <c r="H46" s="251">
        <f ca="1">[1]!fa_score($H$10,G46)</f>
        <v>5.6505059702168099</v>
      </c>
      <c r="I46" s="251">
        <v>1.81</v>
      </c>
      <c r="J46" s="252"/>
      <c r="K46" s="246">
        <f t="shared" ca="1" si="5"/>
        <v>43281</v>
      </c>
      <c r="L46" s="253">
        <f ca="1">[1]!s_fa_fcfe($H$10,K46,100000000)</f>
        <v>2.9644464734740001</v>
      </c>
      <c r="M46" s="254"/>
      <c r="N46" s="108"/>
      <c r="O46" s="108"/>
      <c r="P46" s="108"/>
      <c r="Q46" s="108"/>
      <c r="R46" s="108"/>
      <c r="S46" s="108"/>
    </row>
    <row r="47" spans="1:19" s="109" customFormat="1" ht="18" customHeight="1" x14ac:dyDescent="0.35">
      <c r="A47" s="243"/>
      <c r="B47" s="243"/>
      <c r="C47" s="244"/>
      <c r="D47" s="243"/>
      <c r="E47" s="243"/>
      <c r="F47" s="243"/>
      <c r="G47" s="245">
        <f ca="1">G35</f>
        <v>43190</v>
      </c>
      <c r="H47" s="251">
        <f ca="1">[1]!fa_score($H$10,G47)</f>
        <v>6.2938548400958121</v>
      </c>
      <c r="I47" s="251">
        <v>1.81</v>
      </c>
      <c r="J47" s="252"/>
      <c r="K47" s="245">
        <f t="shared" ca="1" si="5"/>
        <v>43190</v>
      </c>
      <c r="L47" s="253">
        <f ca="1">[1]!s_fa_fcfe($H$10,K47,100000000)</f>
        <v>0.112879112282</v>
      </c>
      <c r="M47" s="254"/>
      <c r="N47" s="108"/>
      <c r="O47" s="108"/>
      <c r="P47" s="108"/>
      <c r="Q47" s="108"/>
      <c r="R47" s="108"/>
      <c r="S47" s="108"/>
    </row>
    <row r="48" spans="1:19" s="109" customFormat="1" ht="18" customHeight="1" x14ac:dyDescent="0.35">
      <c r="A48" s="388"/>
      <c r="B48" s="388"/>
      <c r="C48" s="389"/>
      <c r="D48" s="389"/>
      <c r="E48" s="389"/>
      <c r="F48" s="390"/>
      <c r="G48" s="391"/>
      <c r="H48" s="391"/>
      <c r="I48" s="392"/>
      <c r="J48" s="391"/>
      <c r="K48" s="391"/>
      <c r="L48" s="391"/>
      <c r="M48" s="392"/>
      <c r="N48" s="108"/>
      <c r="O48" s="108"/>
      <c r="P48" s="108"/>
      <c r="Q48" s="108"/>
      <c r="R48" s="108"/>
      <c r="S48" s="108"/>
    </row>
    <row r="49" spans="1:19" s="109" customFormat="1" ht="18" customHeight="1" x14ac:dyDescent="0.35">
      <c r="A49" s="108"/>
      <c r="B49" s="108"/>
      <c r="C49" s="108"/>
      <c r="D49" s="108"/>
      <c r="E49" s="108"/>
      <c r="F49" s="206"/>
      <c r="G49" s="206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1:19" s="109" customFormat="1" ht="18" customHeight="1" x14ac:dyDescent="0.35">
      <c r="A50" s="108"/>
      <c r="B50" s="108"/>
      <c r="C50" s="108"/>
      <c r="D50" s="108"/>
      <c r="E50" s="108"/>
      <c r="F50" s="206"/>
      <c r="G50" s="206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1:19" s="109" customFormat="1" ht="18" customHeight="1" x14ac:dyDescent="0.35">
      <c r="A51" s="108"/>
      <c r="B51" s="108"/>
      <c r="C51" s="108"/>
      <c r="D51" s="108"/>
      <c r="E51" s="108"/>
      <c r="F51" s="206"/>
      <c r="G51" s="206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1:19" s="109" customFormat="1" ht="18" customHeight="1" x14ac:dyDescent="0.35">
      <c r="A52" s="108"/>
      <c r="B52" s="108"/>
      <c r="C52" s="108"/>
      <c r="D52" s="108"/>
      <c r="E52" s="108"/>
      <c r="F52" s="206"/>
      <c r="G52" s="206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1:19" s="109" customFormat="1" ht="18" customHeight="1" x14ac:dyDescent="0.35">
      <c r="A53" s="108"/>
      <c r="B53" s="108"/>
      <c r="C53" s="108"/>
      <c r="D53" s="108"/>
      <c r="E53" s="108"/>
      <c r="F53" s="206"/>
      <c r="G53" s="206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</row>
    <row r="54" spans="1:19" s="109" customFormat="1" ht="18" customHeight="1" x14ac:dyDescent="0.35">
      <c r="A54" s="108"/>
      <c r="B54" s="108"/>
      <c r="C54" s="108"/>
      <c r="D54" s="108"/>
      <c r="E54" s="108"/>
      <c r="F54" s="206"/>
      <c r="G54" s="206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</row>
    <row r="55" spans="1:19" s="109" customFormat="1" ht="18" customHeight="1" x14ac:dyDescent="0.35">
      <c r="A55" s="108"/>
      <c r="B55" s="108"/>
      <c r="C55" s="108"/>
      <c r="D55" s="108"/>
      <c r="E55" s="108"/>
      <c r="F55" s="206"/>
      <c r="G55" s="206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</row>
    <row r="56" spans="1:19" s="109" customFormat="1" ht="18" customHeight="1" x14ac:dyDescent="0.35">
      <c r="A56" s="108"/>
      <c r="B56" s="108"/>
      <c r="C56" s="108"/>
      <c r="D56" s="108"/>
      <c r="E56" s="108"/>
      <c r="F56" s="206"/>
      <c r="G56" s="206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</row>
    <row r="57" spans="1:19" s="109" customFormat="1" ht="18" customHeight="1" x14ac:dyDescent="0.35">
      <c r="A57" s="108"/>
      <c r="B57" s="108"/>
      <c r="C57" s="108"/>
      <c r="D57" s="108"/>
      <c r="E57" s="108"/>
      <c r="F57" s="206"/>
      <c r="G57" s="206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</row>
    <row r="58" spans="1:19" s="109" customFormat="1" ht="18" customHeight="1" x14ac:dyDescent="0.35">
      <c r="A58" s="108"/>
      <c r="B58" s="108"/>
      <c r="C58" s="108"/>
      <c r="D58" s="108"/>
      <c r="E58" s="108"/>
      <c r="F58" s="206"/>
      <c r="G58" s="206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</row>
    <row r="59" spans="1:19" s="109" customFormat="1" ht="18" customHeight="1" x14ac:dyDescent="0.35">
      <c r="A59" s="108"/>
      <c r="B59" s="108"/>
      <c r="C59" s="108"/>
      <c r="D59" s="108"/>
      <c r="E59" s="108"/>
      <c r="F59" s="206"/>
      <c r="G59" s="206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</row>
    <row r="60" spans="1:19" s="109" customFormat="1" ht="18" customHeight="1" x14ac:dyDescent="0.35">
      <c r="A60" s="108"/>
      <c r="B60" s="108"/>
      <c r="C60" s="108"/>
      <c r="D60" s="108"/>
      <c r="E60" s="108"/>
      <c r="F60" s="206"/>
      <c r="G60" s="206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</row>
    <row r="61" spans="1:19" s="109" customFormat="1" ht="18" customHeight="1" x14ac:dyDescent="0.35">
      <c r="A61" s="108"/>
      <c r="B61" s="108"/>
      <c r="C61" s="108"/>
      <c r="D61" s="108"/>
      <c r="E61" s="108"/>
      <c r="F61" s="206"/>
      <c r="G61" s="206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</row>
    <row r="62" spans="1:19" s="109" customFormat="1" ht="18" customHeight="1" x14ac:dyDescent="0.35">
      <c r="A62" s="108"/>
      <c r="B62" s="108"/>
      <c r="C62" s="108"/>
      <c r="D62" s="108"/>
      <c r="E62" s="108"/>
      <c r="F62" s="206"/>
      <c r="G62" s="206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</row>
    <row r="63" spans="1:19" s="109" customFormat="1" ht="18" customHeight="1" x14ac:dyDescent="0.35">
      <c r="A63" s="108"/>
      <c r="B63" s="108"/>
      <c r="C63" s="108"/>
      <c r="D63" s="108"/>
      <c r="E63" s="108"/>
      <c r="F63" s="206"/>
      <c r="G63" s="206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</row>
    <row r="64" spans="1:19" s="109" customFormat="1" ht="18" customHeight="1" x14ac:dyDescent="0.35">
      <c r="A64" s="108"/>
      <c r="B64" s="108"/>
      <c r="C64" s="108"/>
      <c r="D64" s="108"/>
      <c r="E64" s="108"/>
      <c r="F64" s="206"/>
      <c r="G64" s="206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</row>
    <row r="65" spans="1:19" s="109" customFormat="1" ht="18" customHeight="1" x14ac:dyDescent="0.35">
      <c r="A65" s="108"/>
      <c r="B65" s="108"/>
      <c r="C65" s="108"/>
      <c r="D65" s="108"/>
      <c r="E65" s="108"/>
      <c r="F65" s="206"/>
      <c r="G65" s="206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</row>
    <row r="66" spans="1:19" s="109" customFormat="1" ht="18" customHeight="1" x14ac:dyDescent="0.35">
      <c r="A66" s="108"/>
      <c r="B66" s="108"/>
      <c r="C66" s="108"/>
      <c r="D66" s="108"/>
      <c r="E66" s="108"/>
      <c r="F66" s="206"/>
      <c r="G66" s="206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</row>
    <row r="67" spans="1:19" s="109" customFormat="1" ht="18" customHeight="1" x14ac:dyDescent="0.35">
      <c r="A67" s="108"/>
      <c r="B67" s="108"/>
      <c r="C67" s="108"/>
      <c r="D67" s="108"/>
      <c r="E67" s="108"/>
      <c r="F67" s="206"/>
      <c r="G67" s="206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</row>
    <row r="68" spans="1:19" s="109" customFormat="1" ht="18" customHeight="1" x14ac:dyDescent="0.35">
      <c r="A68" s="108"/>
      <c r="B68" s="108"/>
      <c r="C68" s="108"/>
      <c r="D68" s="108"/>
      <c r="E68" s="108"/>
      <c r="F68" s="206"/>
      <c r="G68" s="206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</row>
    <row r="69" spans="1:19" s="109" customFormat="1" ht="18" customHeight="1" x14ac:dyDescent="0.35">
      <c r="A69" s="108"/>
      <c r="B69" s="108"/>
      <c r="C69" s="108"/>
      <c r="D69" s="108"/>
      <c r="E69" s="108"/>
      <c r="F69" s="206"/>
      <c r="G69" s="206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</row>
    <row r="70" spans="1:19" s="109" customFormat="1" ht="18" customHeight="1" x14ac:dyDescent="0.35">
      <c r="A70" s="108"/>
      <c r="B70" s="108"/>
      <c r="C70" s="108"/>
      <c r="D70" s="108"/>
      <c r="E70" s="108"/>
      <c r="F70" s="206"/>
      <c r="G70" s="206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</row>
    <row r="71" spans="1:19" s="109" customFormat="1" ht="18" customHeight="1" x14ac:dyDescent="0.35">
      <c r="A71" s="108"/>
      <c r="B71" s="108"/>
      <c r="C71" s="108"/>
      <c r="D71" s="108"/>
      <c r="E71" s="108"/>
      <c r="F71" s="206"/>
      <c r="G71" s="206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</row>
    <row r="72" spans="1:19" s="109" customFormat="1" ht="18" customHeight="1" x14ac:dyDescent="0.35">
      <c r="A72" s="108"/>
      <c r="B72" s="108"/>
      <c r="C72" s="108"/>
      <c r="D72" s="108"/>
      <c r="E72" s="108"/>
      <c r="F72" s="206"/>
      <c r="G72" s="206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</row>
    <row r="73" spans="1:19" s="109" customFormat="1" ht="18" customHeight="1" x14ac:dyDescent="0.35">
      <c r="A73" s="108"/>
      <c r="B73" s="108"/>
      <c r="C73" s="108"/>
      <c r="D73" s="108"/>
      <c r="E73" s="108"/>
      <c r="F73" s="206"/>
      <c r="G73" s="206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</row>
    <row r="74" spans="1:19" s="109" customFormat="1" ht="18" customHeight="1" x14ac:dyDescent="0.35">
      <c r="A74" s="108"/>
      <c r="B74" s="108"/>
      <c r="C74" s="108"/>
      <c r="D74" s="108"/>
      <c r="E74" s="108"/>
      <c r="F74" s="206"/>
      <c r="G74" s="206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</row>
    <row r="75" spans="1:19" s="109" customFormat="1" ht="18" customHeight="1" x14ac:dyDescent="0.35">
      <c r="A75" s="108"/>
      <c r="B75" s="108"/>
      <c r="C75" s="108"/>
      <c r="D75" s="108"/>
      <c r="E75" s="108"/>
      <c r="F75" s="206"/>
      <c r="G75" s="206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</row>
    <row r="76" spans="1:19" s="109" customFormat="1" ht="18" customHeight="1" x14ac:dyDescent="0.35">
      <c r="A76" s="108"/>
      <c r="B76" s="108"/>
      <c r="C76" s="108"/>
      <c r="D76" s="108"/>
      <c r="E76" s="108"/>
      <c r="F76" s="206"/>
      <c r="G76" s="206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</row>
    <row r="77" spans="1:19" s="109" customFormat="1" ht="18" customHeight="1" x14ac:dyDescent="0.35">
      <c r="A77" s="108"/>
      <c r="B77" s="108"/>
      <c r="C77" s="108"/>
      <c r="D77" s="108"/>
      <c r="E77" s="108"/>
      <c r="F77" s="206"/>
      <c r="G77" s="206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</row>
    <row r="78" spans="1:19" s="109" customFormat="1" ht="18" customHeight="1" x14ac:dyDescent="0.35">
      <c r="A78" s="108"/>
      <c r="B78" s="108"/>
      <c r="C78" s="108"/>
      <c r="D78" s="108"/>
      <c r="E78" s="108"/>
      <c r="F78" s="206"/>
      <c r="G78" s="206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</row>
    <row r="79" spans="1:19" s="109" customFormat="1" ht="18" customHeight="1" x14ac:dyDescent="0.35">
      <c r="A79" s="108"/>
      <c r="B79" s="108"/>
      <c r="C79" s="108"/>
      <c r="D79" s="108"/>
      <c r="E79" s="108"/>
      <c r="F79" s="206"/>
      <c r="G79" s="206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</row>
    <row r="80" spans="1:19" s="109" customFormat="1" ht="18" customHeight="1" x14ac:dyDescent="0.35">
      <c r="A80" s="108"/>
      <c r="B80" s="108"/>
      <c r="C80" s="108"/>
      <c r="D80" s="108"/>
      <c r="E80" s="108"/>
      <c r="F80" s="206"/>
      <c r="G80" s="206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</row>
    <row r="81" spans="1:19" s="109" customFormat="1" ht="18" customHeight="1" x14ac:dyDescent="0.35">
      <c r="A81" s="108"/>
      <c r="B81" s="108"/>
      <c r="C81" s="108"/>
      <c r="D81" s="108"/>
      <c r="E81" s="108"/>
      <c r="F81" s="206"/>
      <c r="G81" s="206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</row>
    <row r="82" spans="1:19" s="109" customFormat="1" ht="18" customHeight="1" x14ac:dyDescent="0.35">
      <c r="A82" s="108"/>
      <c r="B82" s="108"/>
      <c r="C82" s="108"/>
      <c r="D82" s="108"/>
      <c r="E82" s="108"/>
      <c r="F82" s="206"/>
      <c r="G82" s="206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</row>
    <row r="83" spans="1:19" s="109" customFormat="1" ht="18" customHeight="1" x14ac:dyDescent="0.35">
      <c r="A83" s="108"/>
      <c r="B83" s="108"/>
      <c r="C83" s="108"/>
      <c r="D83" s="108"/>
      <c r="E83" s="108"/>
      <c r="F83" s="206"/>
      <c r="G83" s="206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</row>
    <row r="84" spans="1:19" s="109" customFormat="1" ht="18" customHeight="1" x14ac:dyDescent="0.35">
      <c r="A84" s="108"/>
      <c r="B84" s="108"/>
      <c r="C84" s="108"/>
      <c r="D84" s="108"/>
      <c r="E84" s="108"/>
      <c r="F84" s="206"/>
      <c r="G84" s="206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</row>
    <row r="85" spans="1:19" s="109" customFormat="1" ht="18" customHeight="1" x14ac:dyDescent="0.35">
      <c r="A85" s="108"/>
      <c r="B85" s="108"/>
      <c r="C85" s="108"/>
      <c r="D85" s="108"/>
      <c r="E85" s="108"/>
      <c r="F85" s="206"/>
      <c r="G85" s="206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</row>
    <row r="86" spans="1:19" s="109" customFormat="1" ht="18" customHeight="1" x14ac:dyDescent="0.35">
      <c r="A86" s="108"/>
      <c r="B86" s="108"/>
      <c r="C86" s="108"/>
      <c r="D86" s="108"/>
      <c r="E86" s="108"/>
      <c r="F86" s="206"/>
      <c r="G86" s="206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</row>
    <row r="87" spans="1:19" s="109" customFormat="1" ht="18" customHeight="1" x14ac:dyDescent="0.35">
      <c r="A87" s="108"/>
      <c r="B87" s="108"/>
      <c r="C87" s="108"/>
      <c r="D87" s="108"/>
      <c r="E87" s="108"/>
      <c r="F87" s="206"/>
      <c r="G87" s="206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</row>
    <row r="88" spans="1:19" s="109" customFormat="1" ht="18" customHeight="1" x14ac:dyDescent="0.35">
      <c r="A88" s="108"/>
      <c r="B88" s="108"/>
      <c r="C88" s="108"/>
      <c r="D88" s="108"/>
      <c r="E88" s="108"/>
      <c r="F88" s="206"/>
      <c r="G88" s="206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</row>
    <row r="89" spans="1:19" s="109" customFormat="1" ht="18" customHeight="1" x14ac:dyDescent="0.35">
      <c r="A89" s="108"/>
      <c r="B89" s="108"/>
      <c r="C89" s="108"/>
      <c r="D89" s="108"/>
      <c r="E89" s="108"/>
      <c r="F89" s="206"/>
      <c r="G89" s="206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</row>
    <row r="90" spans="1:19" s="109" customFormat="1" ht="18" customHeight="1" x14ac:dyDescent="0.35">
      <c r="A90" s="108"/>
      <c r="B90" s="108"/>
      <c r="C90" s="108"/>
      <c r="D90" s="108"/>
      <c r="E90" s="108"/>
      <c r="F90" s="206"/>
      <c r="G90" s="206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</row>
    <row r="91" spans="1:19" s="109" customFormat="1" ht="18" customHeight="1" x14ac:dyDescent="0.35">
      <c r="A91" s="108"/>
      <c r="B91" s="108"/>
      <c r="C91" s="108"/>
      <c r="D91" s="108"/>
      <c r="E91" s="108"/>
      <c r="F91" s="206"/>
      <c r="G91" s="206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</row>
    <row r="92" spans="1:19" s="109" customFormat="1" ht="18" customHeight="1" x14ac:dyDescent="0.35">
      <c r="A92" s="108"/>
      <c r="B92" s="108"/>
      <c r="C92" s="108"/>
      <c r="D92" s="108"/>
      <c r="E92" s="108"/>
      <c r="F92" s="206"/>
      <c r="G92" s="206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</row>
    <row r="93" spans="1:19" s="109" customFormat="1" ht="18" customHeight="1" x14ac:dyDescent="0.35">
      <c r="A93" s="108"/>
      <c r="B93" s="108"/>
      <c r="C93" s="108"/>
      <c r="D93" s="108"/>
      <c r="E93" s="108"/>
      <c r="F93" s="206"/>
      <c r="G93" s="206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</row>
    <row r="94" spans="1:19" s="109" customFormat="1" ht="18" customHeight="1" x14ac:dyDescent="0.35">
      <c r="A94" s="108"/>
      <c r="B94" s="108"/>
      <c r="C94" s="108"/>
      <c r="D94" s="108"/>
      <c r="E94" s="108"/>
      <c r="F94" s="206"/>
      <c r="G94" s="206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</row>
    <row r="95" spans="1:19" s="109" customFormat="1" ht="18" customHeight="1" x14ac:dyDescent="0.35">
      <c r="A95" s="108"/>
      <c r="B95" s="108"/>
      <c r="C95" s="108"/>
      <c r="D95" s="108"/>
      <c r="E95" s="108"/>
      <c r="F95" s="206"/>
      <c r="G95" s="206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</row>
    <row r="96" spans="1:19" s="109" customFormat="1" ht="18" customHeight="1" x14ac:dyDescent="0.35">
      <c r="A96" s="108"/>
      <c r="B96" s="108"/>
      <c r="C96" s="108"/>
      <c r="D96" s="108"/>
      <c r="E96" s="108"/>
      <c r="F96" s="206"/>
      <c r="G96" s="206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</row>
    <row r="97" spans="1:19" s="109" customFormat="1" ht="18" customHeight="1" x14ac:dyDescent="0.35">
      <c r="A97" s="108"/>
      <c r="B97" s="108"/>
      <c r="C97" s="108"/>
      <c r="D97" s="108"/>
      <c r="E97" s="108"/>
      <c r="F97" s="206"/>
      <c r="G97" s="206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</row>
    <row r="98" spans="1:19" s="109" customFormat="1" ht="18" customHeight="1" x14ac:dyDescent="0.35">
      <c r="A98" s="108"/>
      <c r="B98" s="108"/>
      <c r="C98" s="108"/>
      <c r="D98" s="108"/>
      <c r="E98" s="108"/>
      <c r="F98" s="206"/>
      <c r="G98" s="206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</row>
    <row r="99" spans="1:19" s="109" customFormat="1" ht="18" customHeight="1" x14ac:dyDescent="0.35">
      <c r="A99" s="108"/>
      <c r="B99" s="108"/>
      <c r="C99" s="108"/>
      <c r="D99" s="108"/>
      <c r="E99" s="108"/>
      <c r="F99" s="206"/>
      <c r="G99" s="206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</row>
    <row r="100" spans="1:19" s="109" customFormat="1" ht="18" customHeight="1" x14ac:dyDescent="0.35">
      <c r="A100" s="108"/>
      <c r="B100" s="108"/>
      <c r="C100" s="108"/>
      <c r="D100" s="108"/>
      <c r="E100" s="108"/>
      <c r="F100" s="206"/>
      <c r="G100" s="206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</row>
    <row r="101" spans="1:19" s="109" customFormat="1" ht="18" customHeight="1" x14ac:dyDescent="0.35">
      <c r="A101" s="108"/>
      <c r="B101" s="108"/>
      <c r="C101" s="108"/>
      <c r="D101" s="108"/>
      <c r="E101" s="108"/>
      <c r="F101" s="206"/>
      <c r="G101" s="206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</row>
    <row r="102" spans="1:19" s="109" customFormat="1" ht="18" customHeight="1" x14ac:dyDescent="0.35">
      <c r="A102" s="108"/>
      <c r="B102" s="108"/>
      <c r="C102" s="108"/>
      <c r="D102" s="108"/>
      <c r="E102" s="108"/>
      <c r="F102" s="206"/>
      <c r="G102" s="206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</row>
    <row r="103" spans="1:19" s="109" customFormat="1" ht="18" customHeight="1" x14ac:dyDescent="0.35">
      <c r="A103" s="108"/>
      <c r="B103" s="108"/>
      <c r="C103" s="108"/>
      <c r="D103" s="108"/>
      <c r="E103" s="108"/>
      <c r="F103" s="206"/>
      <c r="G103" s="206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</row>
    <row r="104" spans="1:19" s="109" customFormat="1" ht="18" customHeight="1" x14ac:dyDescent="0.35">
      <c r="A104" s="108"/>
      <c r="B104" s="108"/>
      <c r="C104" s="108"/>
      <c r="D104" s="108"/>
      <c r="E104" s="108"/>
      <c r="F104" s="206"/>
      <c r="G104" s="206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</row>
    <row r="105" spans="1:19" s="109" customFormat="1" ht="18" customHeight="1" x14ac:dyDescent="0.35">
      <c r="A105" s="108"/>
      <c r="B105" s="108"/>
      <c r="C105" s="108"/>
      <c r="D105" s="108"/>
      <c r="E105" s="108"/>
      <c r="F105" s="206"/>
      <c r="G105" s="206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</row>
    <row r="106" spans="1:19" s="109" customFormat="1" ht="18" customHeight="1" x14ac:dyDescent="0.35">
      <c r="A106" s="108"/>
      <c r="B106" s="108"/>
      <c r="C106" s="108"/>
      <c r="D106" s="108"/>
      <c r="E106" s="108"/>
      <c r="F106" s="206"/>
      <c r="G106" s="206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</row>
    <row r="107" spans="1:19" s="109" customFormat="1" ht="18" customHeight="1" x14ac:dyDescent="0.35">
      <c r="A107" s="108"/>
      <c r="B107" s="108"/>
      <c r="C107" s="108"/>
      <c r="D107" s="108"/>
      <c r="E107" s="108"/>
      <c r="F107" s="206"/>
      <c r="G107" s="206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</row>
    <row r="108" spans="1:19" s="109" customFormat="1" ht="18" customHeight="1" x14ac:dyDescent="0.35">
      <c r="A108" s="108"/>
      <c r="B108" s="108"/>
      <c r="C108" s="108"/>
      <c r="D108" s="108"/>
      <c r="E108" s="108"/>
      <c r="F108" s="206"/>
      <c r="G108" s="206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</row>
    <row r="109" spans="1:19" s="109" customFormat="1" ht="18" customHeight="1" x14ac:dyDescent="0.35">
      <c r="A109" s="108"/>
      <c r="B109" s="108"/>
      <c r="C109" s="108"/>
      <c r="D109" s="108"/>
      <c r="E109" s="108"/>
      <c r="F109" s="206"/>
      <c r="G109" s="206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</row>
    <row r="110" spans="1:19" s="109" customFormat="1" ht="18" customHeight="1" x14ac:dyDescent="0.35">
      <c r="A110" s="108"/>
      <c r="B110" s="108"/>
      <c r="C110" s="108"/>
      <c r="D110" s="108"/>
      <c r="E110" s="108"/>
      <c r="F110" s="206"/>
      <c r="G110" s="206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</row>
    <row r="111" spans="1:19" s="109" customFormat="1" ht="18" customHeight="1" x14ac:dyDescent="0.35">
      <c r="A111" s="108"/>
      <c r="B111" s="108"/>
      <c r="C111" s="108"/>
      <c r="D111" s="108"/>
      <c r="E111" s="108"/>
      <c r="F111" s="206"/>
      <c r="G111" s="206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</row>
    <row r="112" spans="1:19" s="109" customFormat="1" ht="18" customHeight="1" x14ac:dyDescent="0.35">
      <c r="A112" s="108"/>
      <c r="B112" s="108"/>
      <c r="C112" s="108"/>
      <c r="D112" s="108"/>
      <c r="E112" s="108"/>
      <c r="F112" s="206"/>
      <c r="G112" s="206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</row>
    <row r="113" spans="1:19" s="109" customFormat="1" ht="18" customHeight="1" x14ac:dyDescent="0.35">
      <c r="A113" s="108"/>
      <c r="B113" s="108"/>
      <c r="C113" s="108"/>
      <c r="D113" s="108"/>
      <c r="E113" s="108"/>
      <c r="F113" s="206"/>
      <c r="G113" s="206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</row>
    <row r="114" spans="1:19" s="109" customFormat="1" ht="18" customHeight="1" x14ac:dyDescent="0.35">
      <c r="A114" s="108"/>
      <c r="B114" s="108"/>
      <c r="C114" s="108"/>
      <c r="D114" s="108"/>
      <c r="E114" s="108"/>
      <c r="F114" s="206"/>
      <c r="G114" s="206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</row>
    <row r="115" spans="1:19" s="109" customFormat="1" ht="18" customHeight="1" x14ac:dyDescent="0.35">
      <c r="A115" s="108"/>
      <c r="B115" s="108"/>
      <c r="C115" s="108"/>
      <c r="D115" s="108"/>
      <c r="E115" s="108"/>
      <c r="F115" s="206"/>
      <c r="G115" s="206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</row>
    <row r="116" spans="1:19" s="109" customFormat="1" ht="18" customHeight="1" x14ac:dyDescent="0.35">
      <c r="A116" s="108"/>
      <c r="B116" s="108"/>
      <c r="C116" s="108"/>
      <c r="D116" s="108"/>
      <c r="E116" s="108"/>
      <c r="F116" s="206"/>
      <c r="G116" s="206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</row>
    <row r="117" spans="1:19" s="109" customFormat="1" ht="18" customHeight="1" x14ac:dyDescent="0.35">
      <c r="A117" s="108"/>
      <c r="B117" s="108"/>
      <c r="C117" s="108"/>
      <c r="D117" s="108"/>
      <c r="E117" s="108"/>
      <c r="F117" s="206"/>
      <c r="G117" s="206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</row>
    <row r="118" spans="1:19" s="109" customFormat="1" ht="18" customHeight="1" x14ac:dyDescent="0.35">
      <c r="A118" s="108"/>
      <c r="B118" s="108"/>
      <c r="C118" s="108"/>
      <c r="D118" s="108"/>
      <c r="E118" s="108"/>
      <c r="F118" s="206"/>
      <c r="G118" s="206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</row>
    <row r="119" spans="1:19" s="109" customFormat="1" ht="18" customHeight="1" x14ac:dyDescent="0.35">
      <c r="A119" s="108"/>
      <c r="B119" s="108"/>
      <c r="C119" s="108"/>
      <c r="D119" s="108"/>
      <c r="E119" s="108"/>
      <c r="F119" s="206"/>
      <c r="G119" s="206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</row>
    <row r="120" spans="1:19" s="109" customFormat="1" ht="18" customHeight="1" x14ac:dyDescent="0.35">
      <c r="A120" s="108"/>
      <c r="B120" s="108"/>
      <c r="C120" s="108"/>
      <c r="D120" s="108"/>
      <c r="E120" s="108"/>
      <c r="F120" s="206"/>
      <c r="G120" s="206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</row>
    <row r="121" spans="1:19" s="109" customFormat="1" ht="18" customHeight="1" x14ac:dyDescent="0.35">
      <c r="A121" s="108"/>
      <c r="B121" s="108"/>
      <c r="C121" s="108"/>
      <c r="D121" s="108"/>
      <c r="E121" s="108"/>
      <c r="F121" s="206"/>
      <c r="G121" s="206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</row>
    <row r="122" spans="1:19" s="109" customFormat="1" ht="18" customHeight="1" x14ac:dyDescent="0.35">
      <c r="A122" s="108"/>
      <c r="B122" s="108"/>
      <c r="C122" s="108"/>
      <c r="D122" s="108"/>
      <c r="E122" s="108"/>
      <c r="F122" s="206"/>
      <c r="G122" s="206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</row>
    <row r="123" spans="1:19" s="109" customFormat="1" ht="18" customHeight="1" x14ac:dyDescent="0.35">
      <c r="A123" s="108"/>
      <c r="B123" s="108"/>
      <c r="C123" s="108"/>
      <c r="D123" s="108"/>
      <c r="E123" s="108"/>
      <c r="F123" s="206"/>
      <c r="G123" s="206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</row>
    <row r="124" spans="1:19" s="109" customFormat="1" ht="18" customHeight="1" x14ac:dyDescent="0.35">
      <c r="A124" s="108"/>
      <c r="B124" s="108"/>
      <c r="C124" s="108"/>
      <c r="D124" s="108"/>
      <c r="E124" s="108"/>
      <c r="F124" s="206"/>
      <c r="G124" s="206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</row>
    <row r="125" spans="1:19" s="109" customFormat="1" ht="18" customHeight="1" x14ac:dyDescent="0.35">
      <c r="A125" s="108"/>
      <c r="B125" s="108"/>
      <c r="C125" s="108"/>
      <c r="D125" s="108"/>
      <c r="E125" s="108"/>
      <c r="F125" s="206"/>
      <c r="G125" s="206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</row>
    <row r="126" spans="1:19" s="109" customFormat="1" ht="18" customHeight="1" x14ac:dyDescent="0.35">
      <c r="A126" s="108"/>
      <c r="B126" s="108"/>
      <c r="C126" s="108"/>
      <c r="D126" s="108"/>
      <c r="E126" s="108"/>
      <c r="F126" s="206"/>
      <c r="G126" s="206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</row>
    <row r="127" spans="1:19" s="109" customFormat="1" ht="18" customHeight="1" x14ac:dyDescent="0.35">
      <c r="A127" s="108"/>
      <c r="B127" s="108"/>
      <c r="C127" s="108"/>
      <c r="D127" s="108"/>
      <c r="E127" s="108"/>
      <c r="F127" s="206"/>
      <c r="G127" s="206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</row>
    <row r="128" spans="1:19" s="109" customFormat="1" ht="18" customHeight="1" x14ac:dyDescent="0.35">
      <c r="A128" s="108"/>
      <c r="B128" s="108"/>
      <c r="C128" s="108"/>
      <c r="D128" s="108"/>
      <c r="E128" s="108"/>
      <c r="F128" s="206"/>
      <c r="G128" s="206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</row>
    <row r="129" spans="1:19" s="109" customFormat="1" ht="18" customHeight="1" x14ac:dyDescent="0.35">
      <c r="A129" s="108"/>
      <c r="B129" s="108"/>
      <c r="C129" s="108"/>
      <c r="D129" s="108"/>
      <c r="E129" s="108"/>
      <c r="F129" s="206"/>
      <c r="G129" s="206"/>
      <c r="H129" s="108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</row>
    <row r="130" spans="1:19" s="109" customFormat="1" ht="18" customHeight="1" x14ac:dyDescent="0.35">
      <c r="A130" s="108"/>
      <c r="B130" s="108"/>
      <c r="C130" s="108"/>
      <c r="D130" s="108"/>
      <c r="E130" s="108"/>
      <c r="F130" s="206"/>
      <c r="G130" s="206"/>
      <c r="H130" s="108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</row>
    <row r="131" spans="1:19" s="109" customFormat="1" ht="18" customHeight="1" x14ac:dyDescent="0.35">
      <c r="A131" s="108"/>
      <c r="B131" s="108"/>
      <c r="C131" s="108"/>
      <c r="D131" s="108"/>
      <c r="E131" s="108"/>
      <c r="F131" s="206"/>
      <c r="G131" s="206"/>
      <c r="H131" s="108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</row>
    <row r="132" spans="1:19" s="109" customFormat="1" ht="18" customHeight="1" x14ac:dyDescent="0.35">
      <c r="A132" s="108"/>
      <c r="B132" s="108"/>
      <c r="C132" s="108"/>
      <c r="D132" s="108"/>
      <c r="E132" s="108"/>
      <c r="F132" s="206"/>
      <c r="G132" s="206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</row>
    <row r="133" spans="1:19" s="109" customFormat="1" ht="18" customHeight="1" x14ac:dyDescent="0.35">
      <c r="A133" s="108"/>
      <c r="B133" s="108"/>
      <c r="C133" s="108"/>
      <c r="D133" s="108"/>
      <c r="E133" s="108"/>
      <c r="F133" s="206"/>
      <c r="G133" s="206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</row>
    <row r="134" spans="1:19" s="109" customFormat="1" ht="18" customHeight="1" x14ac:dyDescent="0.35">
      <c r="A134" s="108"/>
      <c r="B134" s="108"/>
      <c r="C134" s="108"/>
      <c r="D134" s="108"/>
      <c r="E134" s="108"/>
      <c r="F134" s="206"/>
      <c r="G134" s="206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</row>
    <row r="135" spans="1:19" s="109" customFormat="1" ht="18" customHeight="1" x14ac:dyDescent="0.35">
      <c r="A135" s="108"/>
      <c r="B135" s="108"/>
      <c r="C135" s="108"/>
      <c r="D135" s="108"/>
      <c r="E135" s="108"/>
      <c r="F135" s="206"/>
      <c r="G135" s="206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</row>
    <row r="136" spans="1:19" s="109" customFormat="1" ht="18" customHeight="1" x14ac:dyDescent="0.35">
      <c r="A136" s="108"/>
      <c r="B136" s="108"/>
      <c r="C136" s="108"/>
      <c r="D136" s="108"/>
      <c r="E136" s="108"/>
      <c r="F136" s="206"/>
      <c r="G136" s="206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</row>
    <row r="137" spans="1:19" s="109" customFormat="1" ht="18" customHeight="1" x14ac:dyDescent="0.35">
      <c r="A137" s="108"/>
      <c r="B137" s="108"/>
      <c r="C137" s="108"/>
      <c r="D137" s="108"/>
      <c r="E137" s="108"/>
      <c r="F137" s="206"/>
      <c r="G137" s="206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</row>
    <row r="138" spans="1:19" s="109" customFormat="1" ht="18" customHeight="1" x14ac:dyDescent="0.35">
      <c r="A138" s="108"/>
      <c r="B138" s="108"/>
      <c r="C138" s="108"/>
      <c r="D138" s="108"/>
      <c r="E138" s="108"/>
      <c r="F138" s="206"/>
      <c r="G138" s="206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</row>
    <row r="139" spans="1:19" s="109" customFormat="1" ht="18" customHeight="1" x14ac:dyDescent="0.35">
      <c r="A139" s="108"/>
      <c r="B139" s="108"/>
      <c r="C139" s="108"/>
      <c r="D139" s="108"/>
      <c r="E139" s="108"/>
      <c r="F139" s="206"/>
      <c r="G139" s="206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</row>
    <row r="140" spans="1:19" s="109" customFormat="1" ht="18" customHeight="1" x14ac:dyDescent="0.35">
      <c r="A140" s="108"/>
      <c r="B140" s="108"/>
      <c r="C140" s="108"/>
      <c r="D140" s="108"/>
      <c r="E140" s="108"/>
      <c r="F140" s="206"/>
      <c r="G140" s="206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</row>
    <row r="141" spans="1:19" s="109" customFormat="1" ht="18" customHeight="1" x14ac:dyDescent="0.35">
      <c r="A141" s="108"/>
      <c r="B141" s="108"/>
      <c r="C141" s="108"/>
      <c r="D141" s="108"/>
      <c r="E141" s="108"/>
      <c r="F141" s="206"/>
      <c r="G141" s="206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</row>
    <row r="142" spans="1:19" s="109" customFormat="1" ht="18" customHeight="1" x14ac:dyDescent="0.35">
      <c r="A142" s="108"/>
      <c r="B142" s="108"/>
      <c r="C142" s="108"/>
      <c r="D142" s="108"/>
      <c r="E142" s="108"/>
      <c r="F142" s="206"/>
      <c r="G142" s="206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</row>
    <row r="143" spans="1:19" s="109" customFormat="1" ht="18" customHeight="1" x14ac:dyDescent="0.35">
      <c r="A143" s="108"/>
      <c r="B143" s="108"/>
      <c r="C143" s="108"/>
      <c r="D143" s="108"/>
      <c r="E143" s="108"/>
      <c r="F143" s="206"/>
      <c r="G143" s="206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</row>
    <row r="144" spans="1:19" s="109" customFormat="1" ht="18" customHeight="1" x14ac:dyDescent="0.35">
      <c r="A144" s="108"/>
      <c r="B144" s="108"/>
      <c r="C144" s="108"/>
      <c r="D144" s="108"/>
      <c r="E144" s="108"/>
      <c r="F144" s="206"/>
      <c r="G144" s="206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</row>
    <row r="145" spans="1:19" s="109" customFormat="1" ht="18" customHeight="1" x14ac:dyDescent="0.35">
      <c r="A145" s="108"/>
      <c r="B145" s="108"/>
      <c r="C145" s="108"/>
      <c r="D145" s="108"/>
      <c r="E145" s="108"/>
      <c r="F145" s="206"/>
      <c r="G145" s="206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</row>
    <row r="146" spans="1:19" s="109" customFormat="1" ht="18" customHeight="1" x14ac:dyDescent="0.35">
      <c r="A146" s="108"/>
      <c r="B146" s="108"/>
      <c r="C146" s="108"/>
      <c r="D146" s="108"/>
      <c r="E146" s="108"/>
      <c r="F146" s="206"/>
      <c r="G146" s="206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</row>
    <row r="147" spans="1:19" s="109" customFormat="1" ht="18" customHeight="1" x14ac:dyDescent="0.35">
      <c r="A147" s="108"/>
      <c r="B147" s="108"/>
      <c r="C147" s="108"/>
      <c r="D147" s="108"/>
      <c r="E147" s="108"/>
      <c r="F147" s="206"/>
      <c r="G147" s="206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</row>
    <row r="148" spans="1:19" s="109" customFormat="1" ht="18" customHeight="1" x14ac:dyDescent="0.35">
      <c r="A148" s="108"/>
      <c r="B148" s="108"/>
      <c r="C148" s="108"/>
      <c r="D148" s="108"/>
      <c r="E148" s="108"/>
      <c r="F148" s="206"/>
      <c r="G148" s="206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</row>
    <row r="149" spans="1:19" s="109" customFormat="1" ht="18" customHeight="1" x14ac:dyDescent="0.35">
      <c r="A149" s="108"/>
      <c r="B149" s="108"/>
      <c r="C149" s="108"/>
      <c r="D149" s="108"/>
      <c r="E149" s="108"/>
      <c r="F149" s="206"/>
      <c r="G149" s="206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</row>
    <row r="150" spans="1:19" s="109" customFormat="1" ht="18" customHeight="1" x14ac:dyDescent="0.35">
      <c r="A150" s="108"/>
      <c r="B150" s="108"/>
      <c r="C150" s="108"/>
      <c r="D150" s="108"/>
      <c r="E150" s="108"/>
      <c r="F150" s="206"/>
      <c r="G150" s="206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</row>
    <row r="151" spans="1:19" s="109" customFormat="1" ht="18" customHeight="1" x14ac:dyDescent="0.35">
      <c r="A151" s="108"/>
      <c r="B151" s="108"/>
      <c r="C151" s="108"/>
      <c r="D151" s="108"/>
      <c r="E151" s="108"/>
      <c r="F151" s="206"/>
      <c r="G151" s="206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</row>
    <row r="152" spans="1:19" s="109" customFormat="1" ht="18" customHeight="1" x14ac:dyDescent="0.35">
      <c r="A152" s="108"/>
      <c r="B152" s="108"/>
      <c r="C152" s="108"/>
      <c r="D152" s="108"/>
      <c r="E152" s="108"/>
      <c r="F152" s="206"/>
      <c r="G152" s="206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</row>
    <row r="153" spans="1:19" s="109" customFormat="1" ht="18" customHeight="1" x14ac:dyDescent="0.35">
      <c r="A153" s="108"/>
      <c r="B153" s="108"/>
      <c r="C153" s="108"/>
      <c r="D153" s="108"/>
      <c r="E153" s="108"/>
      <c r="F153" s="206"/>
      <c r="G153" s="206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</row>
    <row r="154" spans="1:19" s="109" customFormat="1" ht="18" customHeight="1" x14ac:dyDescent="0.35">
      <c r="A154" s="108"/>
      <c r="B154" s="108"/>
      <c r="C154" s="108"/>
      <c r="D154" s="108"/>
      <c r="E154" s="108"/>
      <c r="F154" s="206"/>
      <c r="G154" s="206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</row>
    <row r="155" spans="1:19" s="109" customFormat="1" ht="18" customHeight="1" x14ac:dyDescent="0.35">
      <c r="A155" s="108"/>
      <c r="B155" s="108"/>
      <c r="C155" s="108"/>
      <c r="D155" s="108"/>
      <c r="E155" s="108"/>
      <c r="F155" s="206"/>
      <c r="G155" s="206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</row>
    <row r="156" spans="1:19" s="109" customFormat="1" ht="18" customHeight="1" x14ac:dyDescent="0.35">
      <c r="A156" s="108"/>
      <c r="B156" s="108"/>
      <c r="C156" s="108"/>
      <c r="D156" s="108"/>
      <c r="E156" s="108"/>
      <c r="F156" s="206"/>
      <c r="G156" s="206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</row>
    <row r="157" spans="1:19" s="109" customFormat="1" ht="18" customHeight="1" x14ac:dyDescent="0.35">
      <c r="A157" s="108"/>
      <c r="B157" s="108"/>
      <c r="C157" s="108"/>
      <c r="D157" s="108"/>
      <c r="E157" s="108"/>
      <c r="F157" s="206"/>
      <c r="G157" s="206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</row>
    <row r="158" spans="1:19" s="109" customFormat="1" ht="18" customHeight="1" x14ac:dyDescent="0.35">
      <c r="A158" s="108"/>
      <c r="B158" s="108"/>
      <c r="C158" s="108"/>
      <c r="D158" s="108"/>
      <c r="E158" s="108"/>
      <c r="F158" s="206"/>
      <c r="G158" s="206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</row>
    <row r="159" spans="1:19" s="109" customFormat="1" ht="18" customHeight="1" x14ac:dyDescent="0.35">
      <c r="A159" s="108"/>
      <c r="B159" s="108"/>
      <c r="C159" s="108"/>
      <c r="D159" s="108"/>
      <c r="E159" s="108"/>
      <c r="F159" s="206"/>
      <c r="G159" s="206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</row>
    <row r="160" spans="1:19" s="109" customFormat="1" ht="18" customHeight="1" x14ac:dyDescent="0.35">
      <c r="A160" s="108"/>
      <c r="B160" s="108"/>
      <c r="C160" s="108"/>
      <c r="D160" s="108"/>
      <c r="E160" s="108"/>
      <c r="F160" s="206"/>
      <c r="G160" s="206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</row>
    <row r="161" spans="1:19" s="109" customFormat="1" ht="18" customHeight="1" x14ac:dyDescent="0.35">
      <c r="A161" s="108"/>
      <c r="B161" s="108"/>
      <c r="C161" s="108"/>
      <c r="D161" s="108"/>
      <c r="E161" s="108"/>
      <c r="F161" s="206"/>
      <c r="G161" s="206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</row>
    <row r="162" spans="1:19" s="109" customFormat="1" ht="18" customHeight="1" x14ac:dyDescent="0.35">
      <c r="A162" s="108"/>
      <c r="B162" s="108"/>
      <c r="C162" s="108"/>
      <c r="D162" s="108"/>
      <c r="E162" s="108"/>
      <c r="F162" s="206"/>
      <c r="G162" s="206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</row>
    <row r="163" spans="1:19" s="109" customFormat="1" ht="18" customHeight="1" x14ac:dyDescent="0.35">
      <c r="A163" s="108"/>
      <c r="B163" s="108"/>
      <c r="C163" s="108"/>
      <c r="D163" s="108"/>
      <c r="E163" s="108"/>
      <c r="F163" s="206"/>
      <c r="G163" s="206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</row>
    <row r="164" spans="1:19" s="109" customFormat="1" ht="18" customHeight="1" x14ac:dyDescent="0.35">
      <c r="A164" s="108"/>
      <c r="B164" s="108"/>
      <c r="C164" s="108"/>
      <c r="D164" s="108"/>
      <c r="E164" s="108"/>
      <c r="F164" s="206"/>
      <c r="G164" s="206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</row>
    <row r="165" spans="1:19" s="109" customFormat="1" ht="18" customHeight="1" x14ac:dyDescent="0.35">
      <c r="A165" s="108"/>
      <c r="B165" s="108"/>
      <c r="C165" s="108"/>
      <c r="D165" s="108"/>
      <c r="E165" s="108"/>
      <c r="F165" s="206"/>
      <c r="G165" s="206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</row>
    <row r="166" spans="1:19" s="109" customFormat="1" ht="18" customHeight="1" x14ac:dyDescent="0.35">
      <c r="A166" s="108"/>
      <c r="B166" s="108"/>
      <c r="C166" s="108"/>
      <c r="D166" s="108"/>
      <c r="E166" s="108"/>
      <c r="F166" s="206"/>
      <c r="G166" s="206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</row>
    <row r="167" spans="1:19" s="109" customFormat="1" ht="18" customHeight="1" x14ac:dyDescent="0.35">
      <c r="A167" s="108"/>
      <c r="B167" s="108"/>
      <c r="C167" s="108"/>
      <c r="D167" s="108"/>
      <c r="E167" s="108"/>
      <c r="F167" s="206"/>
      <c r="G167" s="206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</row>
    <row r="168" spans="1:19" s="109" customFormat="1" ht="18" customHeight="1" x14ac:dyDescent="0.35">
      <c r="A168" s="108"/>
      <c r="B168" s="108"/>
      <c r="C168" s="108"/>
      <c r="D168" s="108"/>
      <c r="E168" s="108"/>
      <c r="F168" s="206"/>
      <c r="G168" s="206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</row>
    <row r="169" spans="1:19" s="109" customFormat="1" ht="18" customHeight="1" x14ac:dyDescent="0.35">
      <c r="A169" s="108"/>
      <c r="B169" s="108"/>
      <c r="C169" s="108"/>
      <c r="D169" s="108"/>
      <c r="E169" s="108"/>
      <c r="F169" s="206"/>
      <c r="G169" s="206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</row>
    <row r="170" spans="1:19" s="109" customFormat="1" ht="18" customHeight="1" x14ac:dyDescent="0.35">
      <c r="A170" s="108"/>
      <c r="B170" s="108"/>
      <c r="C170" s="108"/>
      <c r="D170" s="108"/>
      <c r="E170" s="108"/>
      <c r="F170" s="206"/>
      <c r="G170" s="206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</row>
    <row r="171" spans="1:19" s="109" customFormat="1" ht="18" customHeight="1" x14ac:dyDescent="0.35">
      <c r="A171" s="108"/>
      <c r="B171" s="108"/>
      <c r="C171" s="108"/>
      <c r="D171" s="108"/>
      <c r="E171" s="108"/>
      <c r="F171" s="206"/>
      <c r="G171" s="206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</row>
    <row r="172" spans="1:19" s="109" customFormat="1" ht="18" customHeight="1" x14ac:dyDescent="0.35">
      <c r="A172" s="108"/>
      <c r="B172" s="108"/>
      <c r="C172" s="108"/>
      <c r="D172" s="108"/>
      <c r="E172" s="108"/>
      <c r="F172" s="206"/>
      <c r="G172" s="206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</row>
    <row r="173" spans="1:19" s="109" customFormat="1" ht="18" customHeight="1" x14ac:dyDescent="0.35">
      <c r="A173" s="108"/>
      <c r="B173" s="108"/>
      <c r="C173" s="108"/>
      <c r="D173" s="108"/>
      <c r="E173" s="108"/>
      <c r="F173" s="206"/>
      <c r="G173" s="206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</row>
    <row r="174" spans="1:19" s="109" customFormat="1" ht="18" customHeight="1" x14ac:dyDescent="0.35">
      <c r="A174" s="108"/>
      <c r="B174" s="108"/>
      <c r="C174" s="108"/>
      <c r="D174" s="108"/>
      <c r="E174" s="108"/>
      <c r="F174" s="206"/>
      <c r="G174" s="206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</row>
    <row r="175" spans="1:19" s="109" customFormat="1" ht="18" customHeight="1" x14ac:dyDescent="0.35">
      <c r="A175" s="108"/>
      <c r="B175" s="108"/>
      <c r="C175" s="108"/>
      <c r="D175" s="108"/>
      <c r="E175" s="108"/>
      <c r="F175" s="206"/>
      <c r="G175" s="206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</row>
    <row r="176" spans="1:19" s="109" customFormat="1" ht="18" customHeight="1" x14ac:dyDescent="0.35">
      <c r="A176" s="108"/>
      <c r="B176" s="108"/>
      <c r="C176" s="108"/>
      <c r="D176" s="108"/>
      <c r="E176" s="108"/>
      <c r="F176" s="206"/>
      <c r="G176" s="206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</row>
    <row r="177" spans="1:19" s="109" customFormat="1" ht="18" customHeight="1" x14ac:dyDescent="0.35">
      <c r="A177" s="108"/>
      <c r="B177" s="108"/>
      <c r="C177" s="108"/>
      <c r="D177" s="108"/>
      <c r="E177" s="108"/>
      <c r="F177" s="206"/>
      <c r="G177" s="206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</row>
    <row r="178" spans="1:19" s="109" customFormat="1" ht="18" customHeight="1" x14ac:dyDescent="0.35">
      <c r="A178" s="108"/>
      <c r="B178" s="108"/>
      <c r="C178" s="108"/>
      <c r="D178" s="108"/>
      <c r="E178" s="108"/>
      <c r="F178" s="206"/>
      <c r="G178" s="206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</row>
    <row r="179" spans="1:19" s="109" customFormat="1" ht="18" customHeight="1" x14ac:dyDescent="0.35">
      <c r="A179" s="108"/>
      <c r="B179" s="108"/>
      <c r="C179" s="108"/>
      <c r="D179" s="108"/>
      <c r="E179" s="108"/>
      <c r="F179" s="206"/>
      <c r="G179" s="206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</row>
    <row r="180" spans="1:19" s="109" customFormat="1" ht="18" customHeight="1" x14ac:dyDescent="0.35">
      <c r="A180" s="108"/>
      <c r="B180" s="108"/>
      <c r="C180" s="108"/>
      <c r="D180" s="108"/>
      <c r="E180" s="108"/>
      <c r="F180" s="206"/>
      <c r="G180" s="206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</row>
    <row r="181" spans="1:19" s="109" customFormat="1" ht="18" customHeight="1" x14ac:dyDescent="0.35">
      <c r="A181" s="108"/>
      <c r="B181" s="108"/>
      <c r="C181" s="108"/>
      <c r="D181" s="108"/>
      <c r="E181" s="108"/>
      <c r="F181" s="206"/>
      <c r="G181" s="206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</row>
    <row r="182" spans="1:19" s="109" customFormat="1" ht="18" customHeight="1" x14ac:dyDescent="0.35">
      <c r="A182" s="108"/>
      <c r="B182" s="108"/>
      <c r="C182" s="108"/>
      <c r="D182" s="108"/>
      <c r="E182" s="108"/>
      <c r="F182" s="206"/>
      <c r="G182" s="206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</row>
    <row r="183" spans="1:19" s="109" customFormat="1" ht="18" customHeight="1" x14ac:dyDescent="0.35">
      <c r="A183" s="108"/>
      <c r="B183" s="108"/>
      <c r="C183" s="108"/>
      <c r="D183" s="108"/>
      <c r="E183" s="108"/>
      <c r="F183" s="206"/>
      <c r="G183" s="206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</row>
    <row r="184" spans="1:19" s="109" customFormat="1" ht="18" customHeight="1" x14ac:dyDescent="0.35">
      <c r="A184" s="108"/>
      <c r="B184" s="108"/>
      <c r="C184" s="108"/>
      <c r="D184" s="108"/>
      <c r="E184" s="108"/>
      <c r="F184" s="206"/>
      <c r="G184" s="206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</row>
    <row r="185" spans="1:19" s="109" customFormat="1" ht="18" customHeight="1" x14ac:dyDescent="0.35">
      <c r="A185" s="108"/>
      <c r="B185" s="108"/>
      <c r="C185" s="108"/>
      <c r="D185" s="108"/>
      <c r="E185" s="108"/>
      <c r="F185" s="206"/>
      <c r="G185" s="206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</row>
    <row r="186" spans="1:19" s="109" customFormat="1" ht="18" customHeight="1" x14ac:dyDescent="0.35">
      <c r="A186" s="108"/>
      <c r="B186" s="108"/>
      <c r="C186" s="108"/>
      <c r="D186" s="108"/>
      <c r="E186" s="108"/>
      <c r="F186" s="206"/>
      <c r="G186" s="206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</row>
    <row r="187" spans="1:19" s="109" customFormat="1" ht="18" customHeight="1" x14ac:dyDescent="0.35">
      <c r="A187" s="108"/>
      <c r="B187" s="108"/>
      <c r="C187" s="108"/>
      <c r="D187" s="108"/>
      <c r="E187" s="108"/>
      <c r="F187" s="206"/>
      <c r="G187" s="206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</row>
    <row r="188" spans="1:19" s="109" customFormat="1" ht="18" customHeight="1" x14ac:dyDescent="0.35">
      <c r="A188" s="108"/>
      <c r="B188" s="108"/>
      <c r="C188" s="108"/>
      <c r="D188" s="108"/>
      <c r="E188" s="108"/>
      <c r="F188" s="206"/>
      <c r="G188" s="206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</row>
    <row r="189" spans="1:19" s="109" customFormat="1" ht="18" customHeight="1" x14ac:dyDescent="0.35">
      <c r="A189" s="108"/>
      <c r="B189" s="108"/>
      <c r="C189" s="108"/>
      <c r="D189" s="108"/>
      <c r="E189" s="108"/>
      <c r="F189" s="206"/>
      <c r="G189" s="206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</row>
    <row r="190" spans="1:19" s="109" customFormat="1" ht="18" customHeight="1" x14ac:dyDescent="0.35">
      <c r="A190" s="108"/>
      <c r="B190" s="108"/>
      <c r="C190" s="108"/>
      <c r="D190" s="108"/>
      <c r="E190" s="108"/>
      <c r="F190" s="206"/>
      <c r="G190" s="206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</row>
    <row r="191" spans="1:19" s="109" customFormat="1" ht="18" customHeight="1" x14ac:dyDescent="0.35">
      <c r="A191" s="108"/>
      <c r="B191" s="108"/>
      <c r="C191" s="108"/>
      <c r="D191" s="108"/>
      <c r="E191" s="108"/>
      <c r="F191" s="206"/>
      <c r="G191" s="206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</row>
    <row r="192" spans="1:19" s="109" customFormat="1" ht="18" customHeight="1" x14ac:dyDescent="0.35">
      <c r="A192" s="108"/>
      <c r="B192" s="108"/>
      <c r="C192" s="108"/>
      <c r="D192" s="108"/>
      <c r="E192" s="108"/>
      <c r="F192" s="206"/>
      <c r="G192" s="206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</row>
    <row r="193" spans="1:19" s="109" customFormat="1" ht="18" customHeight="1" x14ac:dyDescent="0.35">
      <c r="A193" s="108"/>
      <c r="B193" s="108"/>
      <c r="C193" s="108"/>
      <c r="D193" s="108"/>
      <c r="E193" s="108"/>
      <c r="F193" s="206"/>
      <c r="G193" s="206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</row>
    <row r="194" spans="1:19" s="109" customFormat="1" ht="18" customHeight="1" x14ac:dyDescent="0.35">
      <c r="A194" s="108"/>
      <c r="B194" s="108"/>
      <c r="C194" s="108"/>
      <c r="D194" s="108"/>
      <c r="E194" s="108"/>
      <c r="F194" s="206"/>
      <c r="G194" s="206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</row>
    <row r="195" spans="1:19" s="109" customFormat="1" ht="18" customHeight="1" x14ac:dyDescent="0.35">
      <c r="A195" s="108"/>
      <c r="B195" s="108"/>
      <c r="C195" s="108"/>
      <c r="D195" s="108"/>
      <c r="E195" s="108"/>
      <c r="F195" s="206"/>
      <c r="G195" s="206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</row>
    <row r="196" spans="1:19" s="109" customFormat="1" ht="18" customHeight="1" x14ac:dyDescent="0.35">
      <c r="A196" s="108"/>
      <c r="B196" s="108"/>
      <c r="C196" s="108"/>
      <c r="D196" s="108"/>
      <c r="E196" s="108"/>
      <c r="F196" s="206"/>
      <c r="G196" s="206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</row>
    <row r="197" spans="1:19" s="109" customFormat="1" ht="18" customHeight="1" x14ac:dyDescent="0.35">
      <c r="A197" s="108"/>
      <c r="B197" s="108"/>
      <c r="C197" s="108"/>
      <c r="D197" s="108"/>
      <c r="E197" s="108"/>
      <c r="F197" s="206"/>
      <c r="G197" s="206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</row>
    <row r="198" spans="1:19" s="109" customFormat="1" ht="18" customHeight="1" x14ac:dyDescent="0.35">
      <c r="A198" s="108"/>
      <c r="B198" s="108"/>
      <c r="C198" s="108"/>
      <c r="D198" s="108"/>
      <c r="E198" s="108"/>
      <c r="F198" s="206"/>
      <c r="G198" s="206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</row>
    <row r="199" spans="1:19" s="109" customFormat="1" ht="18" customHeight="1" x14ac:dyDescent="0.35">
      <c r="A199" s="108"/>
      <c r="B199" s="108"/>
      <c r="C199" s="108"/>
      <c r="D199" s="108"/>
      <c r="E199" s="108"/>
      <c r="F199" s="206"/>
      <c r="G199" s="206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</row>
    <row r="200" spans="1:19" s="109" customFormat="1" ht="18" customHeight="1" x14ac:dyDescent="0.35">
      <c r="A200" s="108"/>
      <c r="B200" s="108"/>
      <c r="C200" s="108"/>
      <c r="D200" s="108"/>
      <c r="E200" s="108"/>
      <c r="F200" s="206"/>
      <c r="G200" s="206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</row>
    <row r="201" spans="1:19" s="109" customFormat="1" ht="18" customHeight="1" x14ac:dyDescent="0.35">
      <c r="A201" s="108"/>
      <c r="B201" s="108"/>
      <c r="C201" s="108"/>
      <c r="D201" s="108"/>
      <c r="E201" s="108"/>
      <c r="F201" s="206"/>
      <c r="G201" s="206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</row>
    <row r="202" spans="1:19" s="109" customFormat="1" ht="18" customHeight="1" x14ac:dyDescent="0.35">
      <c r="A202" s="108"/>
      <c r="B202" s="108"/>
      <c r="C202" s="108"/>
      <c r="D202" s="108"/>
      <c r="E202" s="108"/>
      <c r="F202" s="206"/>
      <c r="G202" s="206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</row>
    <row r="203" spans="1:19" s="109" customFormat="1" ht="18" customHeight="1" x14ac:dyDescent="0.35">
      <c r="A203" s="108"/>
      <c r="B203" s="108"/>
      <c r="C203" s="108"/>
      <c r="D203" s="108"/>
      <c r="E203" s="108"/>
      <c r="F203" s="206"/>
      <c r="G203" s="206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</row>
    <row r="204" spans="1:19" s="109" customFormat="1" ht="18" customHeight="1" x14ac:dyDescent="0.35">
      <c r="A204" s="108"/>
      <c r="B204" s="108"/>
      <c r="C204" s="108"/>
      <c r="D204" s="108"/>
      <c r="E204" s="108"/>
      <c r="F204" s="206"/>
      <c r="G204" s="206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</row>
    <row r="205" spans="1:19" s="109" customFormat="1" ht="18" customHeight="1" x14ac:dyDescent="0.35">
      <c r="A205" s="108"/>
      <c r="B205" s="108"/>
      <c r="C205" s="108"/>
      <c r="D205" s="108"/>
      <c r="E205" s="108"/>
      <c r="F205" s="206"/>
      <c r="G205" s="206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</row>
    <row r="206" spans="1:19" s="109" customFormat="1" ht="18" customHeight="1" x14ac:dyDescent="0.35">
      <c r="A206" s="108"/>
      <c r="B206" s="108"/>
      <c r="C206" s="108"/>
      <c r="D206" s="108"/>
      <c r="E206" s="108"/>
      <c r="F206" s="206"/>
      <c r="G206" s="206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</row>
    <row r="207" spans="1:19" s="109" customFormat="1" ht="18" customHeight="1" x14ac:dyDescent="0.35">
      <c r="A207" s="108"/>
      <c r="B207" s="108"/>
      <c r="C207" s="108"/>
      <c r="D207" s="108"/>
      <c r="E207" s="108"/>
      <c r="F207" s="206"/>
      <c r="G207" s="206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</row>
    <row r="208" spans="1:19" s="109" customFormat="1" ht="18" customHeight="1" x14ac:dyDescent="0.35">
      <c r="A208" s="108"/>
      <c r="B208" s="108"/>
      <c r="C208" s="108"/>
      <c r="D208" s="108"/>
      <c r="E208" s="108"/>
      <c r="F208" s="206"/>
      <c r="G208" s="206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</row>
    <row r="209" spans="1:19" s="109" customFormat="1" ht="18" customHeight="1" x14ac:dyDescent="0.35">
      <c r="A209" s="108"/>
      <c r="B209" s="108"/>
      <c r="C209" s="108"/>
      <c r="D209" s="108"/>
      <c r="E209" s="108"/>
      <c r="F209" s="206"/>
      <c r="G209" s="206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</row>
    <row r="210" spans="1:19" s="109" customFormat="1" ht="18" customHeight="1" x14ac:dyDescent="0.35">
      <c r="A210" s="108"/>
      <c r="B210" s="108"/>
      <c r="C210" s="108"/>
      <c r="D210" s="108"/>
      <c r="E210" s="108"/>
      <c r="F210" s="206"/>
      <c r="G210" s="206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</row>
    <row r="211" spans="1:19" s="109" customFormat="1" ht="18" customHeight="1" x14ac:dyDescent="0.35">
      <c r="A211" s="108"/>
      <c r="B211" s="108"/>
      <c r="C211" s="108"/>
      <c r="D211" s="108"/>
      <c r="E211" s="108"/>
      <c r="F211" s="206"/>
      <c r="G211" s="206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</row>
    <row r="212" spans="1:19" s="109" customFormat="1" ht="18" customHeight="1" x14ac:dyDescent="0.35">
      <c r="A212" s="108"/>
      <c r="B212" s="108"/>
      <c r="C212" s="108"/>
      <c r="D212" s="108"/>
      <c r="E212" s="108"/>
      <c r="F212" s="206"/>
      <c r="G212" s="206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</row>
    <row r="213" spans="1:19" s="109" customFormat="1" ht="18" customHeight="1" x14ac:dyDescent="0.35">
      <c r="A213" s="108"/>
      <c r="B213" s="108"/>
      <c r="C213" s="108"/>
      <c r="D213" s="108"/>
      <c r="E213" s="108"/>
      <c r="F213" s="206"/>
      <c r="G213" s="206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</row>
    <row r="214" spans="1:19" s="109" customFormat="1" ht="18" customHeight="1" x14ac:dyDescent="0.35">
      <c r="A214" s="108"/>
      <c r="B214" s="108"/>
      <c r="C214" s="108"/>
      <c r="D214" s="108"/>
      <c r="E214" s="108"/>
      <c r="F214" s="206"/>
      <c r="G214" s="206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</row>
    <row r="215" spans="1:19" s="109" customFormat="1" ht="18" customHeight="1" x14ac:dyDescent="0.35">
      <c r="A215" s="108"/>
      <c r="B215" s="108"/>
      <c r="C215" s="108"/>
      <c r="D215" s="108"/>
      <c r="E215" s="108"/>
      <c r="F215" s="206"/>
      <c r="G215" s="206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</row>
    <row r="216" spans="1:19" s="109" customFormat="1" ht="18" customHeight="1" x14ac:dyDescent="0.35">
      <c r="A216" s="108"/>
      <c r="B216" s="108"/>
      <c r="C216" s="108"/>
      <c r="D216" s="108"/>
      <c r="E216" s="108"/>
      <c r="F216" s="206"/>
      <c r="G216" s="206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</row>
    <row r="217" spans="1:19" s="109" customFormat="1" ht="18" customHeight="1" x14ac:dyDescent="0.35">
      <c r="A217" s="108"/>
      <c r="B217" s="108"/>
      <c r="C217" s="108"/>
      <c r="D217" s="108"/>
      <c r="E217" s="108"/>
      <c r="F217" s="206"/>
      <c r="G217" s="206"/>
      <c r="H217" s="108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</row>
    <row r="218" spans="1:19" s="109" customFormat="1" ht="18" customHeight="1" x14ac:dyDescent="0.35">
      <c r="A218" s="108"/>
      <c r="B218" s="108"/>
      <c r="C218" s="108"/>
      <c r="D218" s="108"/>
      <c r="E218" s="108"/>
      <c r="F218" s="206"/>
      <c r="G218" s="206"/>
      <c r="H218" s="10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</row>
    <row r="219" spans="1:19" s="109" customFormat="1" ht="18" customHeight="1" x14ac:dyDescent="0.35">
      <c r="A219" s="108"/>
      <c r="B219" s="108"/>
      <c r="C219" s="108"/>
      <c r="D219" s="108"/>
      <c r="E219" s="108"/>
      <c r="F219" s="206"/>
      <c r="G219" s="206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</row>
    <row r="220" spans="1:19" s="109" customFormat="1" ht="18" customHeight="1" x14ac:dyDescent="0.35">
      <c r="A220" s="108"/>
      <c r="B220" s="108"/>
      <c r="C220" s="108"/>
      <c r="D220" s="108"/>
      <c r="E220" s="108"/>
      <c r="F220" s="206"/>
      <c r="G220" s="206"/>
      <c r="H220" s="108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</row>
    <row r="221" spans="1:19" s="109" customFormat="1" ht="18" customHeight="1" x14ac:dyDescent="0.35">
      <c r="A221" s="108"/>
      <c r="B221" s="108"/>
      <c r="C221" s="108"/>
      <c r="D221" s="108"/>
      <c r="E221" s="108"/>
      <c r="F221" s="206"/>
      <c r="G221" s="206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</row>
    <row r="222" spans="1:19" s="109" customFormat="1" ht="18" customHeight="1" x14ac:dyDescent="0.35">
      <c r="A222" s="108"/>
      <c r="B222" s="108"/>
      <c r="C222" s="108"/>
      <c r="D222" s="108"/>
      <c r="E222" s="108"/>
      <c r="F222" s="206"/>
      <c r="G222" s="206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</row>
    <row r="223" spans="1:19" s="109" customFormat="1" ht="18" customHeight="1" x14ac:dyDescent="0.35">
      <c r="A223" s="108"/>
      <c r="B223" s="108"/>
      <c r="C223" s="108"/>
      <c r="D223" s="108"/>
      <c r="E223" s="108"/>
      <c r="F223" s="206"/>
      <c r="G223" s="206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</row>
    <row r="224" spans="1:19" s="109" customFormat="1" ht="18" customHeight="1" x14ac:dyDescent="0.35">
      <c r="A224" s="108"/>
      <c r="B224" s="108"/>
      <c r="C224" s="108"/>
      <c r="D224" s="108"/>
      <c r="E224" s="108"/>
      <c r="F224" s="206"/>
      <c r="G224" s="206"/>
      <c r="H224" s="108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</row>
    <row r="225" spans="1:19" s="109" customFormat="1" ht="18" customHeight="1" x14ac:dyDescent="0.35">
      <c r="A225" s="108"/>
      <c r="B225" s="108"/>
      <c r="C225" s="108"/>
      <c r="D225" s="108"/>
      <c r="E225" s="108"/>
      <c r="F225" s="206"/>
      <c r="G225" s="206"/>
      <c r="H225" s="108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</row>
    <row r="226" spans="1:19" s="109" customFormat="1" ht="18" customHeight="1" x14ac:dyDescent="0.35">
      <c r="A226" s="108"/>
      <c r="B226" s="108"/>
      <c r="C226" s="108"/>
      <c r="D226" s="108"/>
      <c r="E226" s="108"/>
      <c r="F226" s="206"/>
      <c r="G226" s="206"/>
      <c r="H226" s="108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</row>
    <row r="227" spans="1:19" s="109" customFormat="1" ht="18" customHeight="1" x14ac:dyDescent="0.35">
      <c r="A227" s="108"/>
      <c r="B227" s="108"/>
      <c r="C227" s="108"/>
      <c r="D227" s="108"/>
      <c r="E227" s="108"/>
      <c r="F227" s="206"/>
      <c r="G227" s="206"/>
      <c r="H227" s="108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</row>
    <row r="228" spans="1:19" s="109" customFormat="1" ht="18" customHeight="1" x14ac:dyDescent="0.35">
      <c r="A228" s="108"/>
      <c r="B228" s="108"/>
      <c r="C228" s="108"/>
      <c r="D228" s="108"/>
      <c r="E228" s="108"/>
      <c r="F228" s="206"/>
      <c r="G228" s="206"/>
      <c r="H228" s="10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</row>
    <row r="229" spans="1:19" s="109" customFormat="1" ht="18" customHeight="1" x14ac:dyDescent="0.35">
      <c r="A229" s="108"/>
      <c r="B229" s="108"/>
      <c r="C229" s="108"/>
      <c r="D229" s="108"/>
      <c r="E229" s="108"/>
      <c r="F229" s="206"/>
      <c r="G229" s="206"/>
      <c r="H229" s="108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</row>
    <row r="230" spans="1:19" s="109" customFormat="1" ht="18" customHeight="1" x14ac:dyDescent="0.35">
      <c r="A230" s="108"/>
      <c r="B230" s="108"/>
      <c r="C230" s="108"/>
      <c r="D230" s="108"/>
      <c r="E230" s="108"/>
      <c r="F230" s="206"/>
      <c r="G230" s="206"/>
      <c r="H230" s="108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</row>
    <row r="231" spans="1:19" s="109" customFormat="1" ht="18" customHeight="1" x14ac:dyDescent="0.35">
      <c r="A231" s="108"/>
      <c r="B231" s="108"/>
      <c r="C231" s="108"/>
      <c r="D231" s="108"/>
      <c r="E231" s="108"/>
      <c r="F231" s="206"/>
      <c r="G231" s="206"/>
      <c r="H231" s="108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</row>
    <row r="232" spans="1:19" s="109" customFormat="1" ht="18" customHeight="1" x14ac:dyDescent="0.35">
      <c r="A232" s="108"/>
      <c r="B232" s="108"/>
      <c r="C232" s="108"/>
      <c r="D232" s="108"/>
      <c r="E232" s="108"/>
      <c r="F232" s="206"/>
      <c r="G232" s="206"/>
      <c r="H232" s="108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</row>
    <row r="233" spans="1:19" s="109" customFormat="1" ht="18" customHeight="1" x14ac:dyDescent="0.35">
      <c r="A233" s="108"/>
      <c r="B233" s="108"/>
      <c r="C233" s="108"/>
      <c r="D233" s="108"/>
      <c r="E233" s="108"/>
      <c r="F233" s="206"/>
      <c r="G233" s="206"/>
      <c r="H233" s="108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</row>
    <row r="234" spans="1:19" s="109" customFormat="1" ht="18" customHeight="1" x14ac:dyDescent="0.35">
      <c r="A234" s="108"/>
      <c r="B234" s="108"/>
      <c r="C234" s="108"/>
      <c r="D234" s="108"/>
      <c r="E234" s="108"/>
      <c r="F234" s="206"/>
      <c r="G234" s="206"/>
      <c r="H234" s="108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</row>
    <row r="235" spans="1:19" s="109" customFormat="1" ht="18" customHeight="1" x14ac:dyDescent="0.35">
      <c r="A235" s="108"/>
      <c r="B235" s="108"/>
      <c r="C235" s="108"/>
      <c r="D235" s="108"/>
      <c r="E235" s="108"/>
      <c r="F235" s="206"/>
      <c r="G235" s="206"/>
      <c r="H235" s="108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</row>
    <row r="236" spans="1:19" s="109" customFormat="1" ht="18" customHeight="1" x14ac:dyDescent="0.35">
      <c r="A236" s="108"/>
      <c r="B236" s="108"/>
      <c r="C236" s="108"/>
      <c r="D236" s="108"/>
      <c r="E236" s="108"/>
      <c r="F236" s="206"/>
      <c r="G236" s="206"/>
      <c r="H236" s="108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</row>
    <row r="237" spans="1:19" s="109" customFormat="1" ht="18" customHeight="1" x14ac:dyDescent="0.35">
      <c r="A237" s="108"/>
      <c r="B237" s="108"/>
      <c r="C237" s="108"/>
      <c r="D237" s="108"/>
      <c r="E237" s="108"/>
      <c r="F237" s="206"/>
      <c r="G237" s="206"/>
      <c r="H237" s="108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</row>
    <row r="238" spans="1:19" s="109" customFormat="1" ht="18" customHeight="1" x14ac:dyDescent="0.35">
      <c r="A238" s="108"/>
      <c r="B238" s="108"/>
      <c r="C238" s="108"/>
      <c r="D238" s="108"/>
      <c r="E238" s="108"/>
      <c r="F238" s="206"/>
      <c r="G238" s="206"/>
      <c r="H238" s="10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</row>
    <row r="239" spans="1:19" s="109" customFormat="1" ht="18" customHeight="1" x14ac:dyDescent="0.35">
      <c r="A239" s="108"/>
      <c r="B239" s="108"/>
      <c r="C239" s="108"/>
      <c r="D239" s="108"/>
      <c r="E239" s="108"/>
      <c r="F239" s="206"/>
      <c r="G239" s="206"/>
      <c r="H239" s="108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</row>
    <row r="240" spans="1:19" s="109" customFormat="1" ht="18" customHeight="1" x14ac:dyDescent="0.35">
      <c r="A240" s="108"/>
      <c r="B240" s="108"/>
      <c r="C240" s="108"/>
      <c r="D240" s="108"/>
      <c r="E240" s="108"/>
      <c r="F240" s="206"/>
      <c r="G240" s="206"/>
      <c r="H240" s="108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</row>
    <row r="241" spans="1:19" s="109" customFormat="1" ht="18" customHeight="1" x14ac:dyDescent="0.35">
      <c r="A241" s="108"/>
      <c r="B241" s="108"/>
      <c r="C241" s="108"/>
      <c r="D241" s="108"/>
      <c r="E241" s="108"/>
      <c r="F241" s="206"/>
      <c r="G241" s="206"/>
      <c r="H241" s="108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</row>
    <row r="242" spans="1:19" s="109" customFormat="1" ht="18" customHeight="1" x14ac:dyDescent="0.35">
      <c r="A242" s="108"/>
      <c r="B242" s="108"/>
      <c r="C242" s="108"/>
      <c r="D242" s="108"/>
      <c r="E242" s="108"/>
      <c r="F242" s="206"/>
      <c r="G242" s="206"/>
      <c r="H242" s="108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</row>
    <row r="243" spans="1:19" s="109" customFormat="1" ht="18" customHeight="1" x14ac:dyDescent="0.35">
      <c r="A243" s="108"/>
      <c r="B243" s="108"/>
      <c r="C243" s="108"/>
      <c r="D243" s="108"/>
      <c r="E243" s="108"/>
      <c r="F243" s="206"/>
      <c r="G243" s="206"/>
      <c r="H243" s="108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</row>
    <row r="244" spans="1:19" s="109" customFormat="1" ht="18" customHeight="1" x14ac:dyDescent="0.35">
      <c r="A244" s="108"/>
      <c r="B244" s="108"/>
      <c r="C244" s="108"/>
      <c r="D244" s="108"/>
      <c r="E244" s="108"/>
      <c r="F244" s="206"/>
      <c r="G244" s="206"/>
      <c r="H244" s="108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</row>
    <row r="245" spans="1:19" s="109" customFormat="1" ht="18" customHeight="1" x14ac:dyDescent="0.35">
      <c r="A245" s="108"/>
      <c r="B245" s="108"/>
      <c r="C245" s="108"/>
      <c r="D245" s="108"/>
      <c r="E245" s="108"/>
      <c r="F245" s="206"/>
      <c r="G245" s="206"/>
      <c r="H245" s="108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</row>
    <row r="246" spans="1:19" s="109" customFormat="1" ht="18" customHeight="1" x14ac:dyDescent="0.35">
      <c r="A246" s="108"/>
      <c r="B246" s="108"/>
      <c r="C246" s="108"/>
      <c r="D246" s="108"/>
      <c r="E246" s="108"/>
      <c r="F246" s="206"/>
      <c r="G246" s="206"/>
      <c r="H246" s="108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</row>
    <row r="247" spans="1:19" s="109" customFormat="1" ht="18" customHeight="1" x14ac:dyDescent="0.35">
      <c r="A247" s="108"/>
      <c r="B247" s="108"/>
      <c r="C247" s="108"/>
      <c r="D247" s="108"/>
      <c r="E247" s="108"/>
      <c r="F247" s="206"/>
      <c r="G247" s="206"/>
      <c r="H247" s="108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</row>
    <row r="248" spans="1:19" s="109" customFormat="1" ht="18" customHeight="1" x14ac:dyDescent="0.35">
      <c r="A248" s="108"/>
      <c r="B248" s="108"/>
      <c r="C248" s="108"/>
      <c r="D248" s="108"/>
      <c r="E248" s="108"/>
      <c r="F248" s="206"/>
      <c r="G248" s="206"/>
      <c r="H248" s="10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</row>
    <row r="249" spans="1:19" s="109" customFormat="1" ht="18" customHeight="1" x14ac:dyDescent="0.35">
      <c r="A249" s="108"/>
      <c r="B249" s="108"/>
      <c r="C249" s="108"/>
      <c r="D249" s="108"/>
      <c r="E249" s="108"/>
      <c r="F249" s="206"/>
      <c r="G249" s="206"/>
      <c r="H249" s="108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</row>
    <row r="250" spans="1:19" s="109" customFormat="1" ht="18" customHeight="1" x14ac:dyDescent="0.35">
      <c r="A250" s="108"/>
      <c r="B250" s="108"/>
      <c r="C250" s="108"/>
      <c r="D250" s="108"/>
      <c r="E250" s="108"/>
      <c r="F250" s="206"/>
      <c r="G250" s="206"/>
      <c r="H250" s="108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</row>
    <row r="251" spans="1:19" s="109" customFormat="1" ht="18" customHeight="1" x14ac:dyDescent="0.35">
      <c r="A251" s="108"/>
      <c r="B251" s="108"/>
      <c r="C251" s="108"/>
      <c r="D251" s="108"/>
      <c r="E251" s="108"/>
      <c r="F251" s="206"/>
      <c r="G251" s="206"/>
      <c r="H251" s="108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</row>
    <row r="252" spans="1:19" s="109" customFormat="1" ht="18" customHeight="1" x14ac:dyDescent="0.35">
      <c r="A252" s="108"/>
      <c r="B252" s="108"/>
      <c r="C252" s="108"/>
      <c r="D252" s="108"/>
      <c r="E252" s="108"/>
      <c r="F252" s="206"/>
      <c r="G252" s="206"/>
      <c r="H252" s="108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</row>
    <row r="253" spans="1:19" s="109" customFormat="1" ht="18" customHeight="1" x14ac:dyDescent="0.35">
      <c r="A253" s="108"/>
      <c r="B253" s="108"/>
      <c r="C253" s="108"/>
      <c r="D253" s="108"/>
      <c r="E253" s="108"/>
      <c r="F253" s="206"/>
      <c r="G253" s="206"/>
      <c r="H253" s="108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</row>
    <row r="254" spans="1:19" s="109" customFormat="1" ht="18" customHeight="1" x14ac:dyDescent="0.35">
      <c r="A254" s="108"/>
      <c r="B254" s="108"/>
      <c r="C254" s="108"/>
      <c r="D254" s="108"/>
      <c r="E254" s="108"/>
      <c r="F254" s="206"/>
      <c r="G254" s="206"/>
      <c r="H254" s="108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</row>
    <row r="255" spans="1:19" s="109" customFormat="1" ht="18" customHeight="1" x14ac:dyDescent="0.35">
      <c r="A255" s="108"/>
      <c r="B255" s="108"/>
      <c r="C255" s="108"/>
      <c r="D255" s="108"/>
      <c r="E255" s="108"/>
      <c r="F255" s="206"/>
      <c r="G255" s="206"/>
      <c r="H255" s="108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</row>
    <row r="256" spans="1:19" s="109" customFormat="1" ht="18" customHeight="1" x14ac:dyDescent="0.35">
      <c r="A256" s="108"/>
      <c r="B256" s="108"/>
      <c r="C256" s="108"/>
      <c r="D256" s="108"/>
      <c r="E256" s="108"/>
      <c r="F256" s="206"/>
      <c r="G256" s="206"/>
      <c r="H256" s="108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</row>
    <row r="257" spans="1:19" s="109" customFormat="1" ht="18" customHeight="1" x14ac:dyDescent="0.35">
      <c r="A257" s="108"/>
      <c r="B257" s="108"/>
      <c r="C257" s="108"/>
      <c r="D257" s="108"/>
      <c r="E257" s="108"/>
      <c r="F257" s="206"/>
      <c r="G257" s="206"/>
      <c r="H257" s="108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</row>
    <row r="258" spans="1:19" s="109" customFormat="1" ht="18" customHeight="1" x14ac:dyDescent="0.35">
      <c r="A258" s="108"/>
      <c r="B258" s="108"/>
      <c r="C258" s="108"/>
      <c r="D258" s="108"/>
      <c r="E258" s="108"/>
      <c r="F258" s="206"/>
      <c r="G258" s="206"/>
      <c r="H258" s="10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</row>
    <row r="259" spans="1:19" s="109" customFormat="1" ht="18" customHeight="1" x14ac:dyDescent="0.35">
      <c r="A259" s="108"/>
      <c r="B259" s="108"/>
      <c r="C259" s="108"/>
      <c r="D259" s="108"/>
      <c r="E259" s="108"/>
      <c r="F259" s="206"/>
      <c r="G259" s="206"/>
      <c r="H259" s="108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</row>
    <row r="260" spans="1:19" s="109" customFormat="1" ht="18" customHeight="1" x14ac:dyDescent="0.35">
      <c r="A260" s="108"/>
      <c r="B260" s="108"/>
      <c r="C260" s="108"/>
      <c r="D260" s="108"/>
      <c r="E260" s="108"/>
      <c r="F260" s="206"/>
      <c r="G260" s="206"/>
      <c r="H260" s="108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</row>
    <row r="261" spans="1:19" s="109" customFormat="1" ht="18" customHeight="1" x14ac:dyDescent="0.35">
      <c r="A261" s="108"/>
      <c r="B261" s="108"/>
      <c r="C261" s="108"/>
      <c r="D261" s="108"/>
      <c r="E261" s="108"/>
      <c r="F261" s="206"/>
      <c r="G261" s="206"/>
      <c r="H261" s="108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</row>
    <row r="262" spans="1:19" s="109" customFormat="1" ht="18" customHeight="1" x14ac:dyDescent="0.35">
      <c r="A262" s="108"/>
      <c r="B262" s="108"/>
      <c r="C262" s="108"/>
      <c r="D262" s="108"/>
      <c r="E262" s="108"/>
      <c r="F262" s="206"/>
      <c r="G262" s="206"/>
      <c r="H262" s="108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</row>
    <row r="263" spans="1:19" s="109" customFormat="1" ht="18" customHeight="1" x14ac:dyDescent="0.35">
      <c r="A263" s="108"/>
      <c r="B263" s="108"/>
      <c r="C263" s="108"/>
      <c r="D263" s="108"/>
      <c r="E263" s="108"/>
      <c r="F263" s="206"/>
      <c r="G263" s="206"/>
      <c r="H263" s="108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</row>
    <row r="264" spans="1:19" s="109" customFormat="1" ht="18" customHeight="1" x14ac:dyDescent="0.35">
      <c r="A264" s="108"/>
      <c r="B264" s="108"/>
      <c r="C264" s="108"/>
      <c r="D264" s="108"/>
      <c r="E264" s="108"/>
      <c r="F264" s="206"/>
      <c r="G264" s="206"/>
      <c r="H264" s="108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</row>
    <row r="265" spans="1:19" s="109" customFormat="1" ht="18" customHeight="1" x14ac:dyDescent="0.35">
      <c r="A265" s="108"/>
      <c r="B265" s="108"/>
      <c r="C265" s="108"/>
      <c r="D265" s="108"/>
      <c r="E265" s="108"/>
      <c r="F265" s="206"/>
      <c r="G265" s="206"/>
      <c r="H265" s="108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</row>
    <row r="266" spans="1:19" s="109" customFormat="1" ht="18" customHeight="1" x14ac:dyDescent="0.35">
      <c r="A266" s="108"/>
      <c r="B266" s="108"/>
      <c r="C266" s="108"/>
      <c r="D266" s="108"/>
      <c r="E266" s="108"/>
      <c r="F266" s="206"/>
      <c r="G266" s="206"/>
      <c r="H266" s="108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</row>
    <row r="267" spans="1:19" s="109" customFormat="1" ht="18" customHeight="1" x14ac:dyDescent="0.35">
      <c r="A267" s="108"/>
      <c r="B267" s="108"/>
      <c r="C267" s="108"/>
      <c r="D267" s="108"/>
      <c r="E267" s="108"/>
      <c r="F267" s="206"/>
      <c r="G267" s="206"/>
      <c r="H267" s="108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</row>
    <row r="268" spans="1:19" s="109" customFormat="1" ht="18" customHeight="1" x14ac:dyDescent="0.35">
      <c r="A268" s="108"/>
      <c r="B268" s="108"/>
      <c r="C268" s="108"/>
      <c r="D268" s="108"/>
      <c r="E268" s="108"/>
      <c r="F268" s="206"/>
      <c r="G268" s="206"/>
      <c r="H268" s="10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</row>
    <row r="269" spans="1:19" s="109" customFormat="1" ht="18" customHeight="1" x14ac:dyDescent="0.35">
      <c r="A269" s="108"/>
      <c r="B269" s="108"/>
      <c r="C269" s="108"/>
      <c r="D269" s="108"/>
      <c r="E269" s="108"/>
      <c r="F269" s="206"/>
      <c r="G269" s="206"/>
      <c r="H269" s="108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</row>
    <row r="270" spans="1:19" s="109" customFormat="1" ht="18" customHeight="1" x14ac:dyDescent="0.35">
      <c r="A270" s="108"/>
      <c r="B270" s="108"/>
      <c r="C270" s="108"/>
      <c r="D270" s="108"/>
      <c r="E270" s="108"/>
      <c r="F270" s="206"/>
      <c r="G270" s="206"/>
      <c r="H270" s="108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</row>
    <row r="271" spans="1:19" s="109" customFormat="1" ht="18" customHeight="1" x14ac:dyDescent="0.35">
      <c r="A271" s="108"/>
      <c r="B271" s="108"/>
      <c r="C271" s="108"/>
      <c r="D271" s="108"/>
      <c r="E271" s="108"/>
      <c r="F271" s="206"/>
      <c r="G271" s="206"/>
      <c r="H271" s="108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</row>
    <row r="272" spans="1:19" s="109" customFormat="1" ht="18" customHeight="1" x14ac:dyDescent="0.35">
      <c r="A272" s="108"/>
      <c r="B272" s="108"/>
      <c r="C272" s="108"/>
      <c r="D272" s="108"/>
      <c r="E272" s="108"/>
      <c r="F272" s="206"/>
      <c r="G272" s="206"/>
      <c r="H272" s="108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</row>
    <row r="273" spans="1:19" s="109" customFormat="1" ht="18" customHeight="1" x14ac:dyDescent="0.35">
      <c r="A273" s="108"/>
      <c r="B273" s="108"/>
      <c r="C273" s="108"/>
      <c r="D273" s="108"/>
      <c r="E273" s="108"/>
      <c r="F273" s="206"/>
      <c r="G273" s="206"/>
      <c r="H273" s="108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</row>
    <row r="274" spans="1:19" s="109" customFormat="1" ht="18" customHeight="1" x14ac:dyDescent="0.35">
      <c r="A274" s="108"/>
      <c r="B274" s="108"/>
      <c r="C274" s="108"/>
      <c r="D274" s="108"/>
      <c r="E274" s="108"/>
      <c r="F274" s="206"/>
      <c r="G274" s="206"/>
      <c r="H274" s="108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</row>
    <row r="275" spans="1:19" s="109" customFormat="1" ht="18" customHeight="1" x14ac:dyDescent="0.35">
      <c r="A275" s="108"/>
      <c r="B275" s="108"/>
      <c r="C275" s="108"/>
      <c r="D275" s="108"/>
      <c r="E275" s="108"/>
      <c r="F275" s="206"/>
      <c r="G275" s="206"/>
      <c r="H275" s="108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</row>
    <row r="276" spans="1:19" s="109" customFormat="1" ht="18" customHeight="1" x14ac:dyDescent="0.35">
      <c r="A276" s="108"/>
      <c r="B276" s="108"/>
      <c r="C276" s="108"/>
      <c r="D276" s="108"/>
      <c r="E276" s="108"/>
      <c r="F276" s="206"/>
      <c r="G276" s="206"/>
      <c r="H276" s="108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</row>
    <row r="277" spans="1:19" s="109" customFormat="1" ht="18" customHeight="1" x14ac:dyDescent="0.35">
      <c r="A277" s="108"/>
      <c r="B277" s="108"/>
      <c r="C277" s="108"/>
      <c r="D277" s="108"/>
      <c r="E277" s="108"/>
      <c r="F277" s="206"/>
      <c r="G277" s="206"/>
      <c r="H277" s="108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</row>
    <row r="278" spans="1:19" s="109" customFormat="1" ht="18" customHeight="1" x14ac:dyDescent="0.35">
      <c r="A278" s="108"/>
      <c r="B278" s="108"/>
      <c r="C278" s="108"/>
      <c r="D278" s="108"/>
      <c r="E278" s="108"/>
      <c r="F278" s="206"/>
      <c r="G278" s="206"/>
      <c r="H278" s="10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</row>
    <row r="279" spans="1:19" s="109" customFormat="1" ht="18" customHeight="1" x14ac:dyDescent="0.35">
      <c r="A279" s="108"/>
      <c r="B279" s="108"/>
      <c r="C279" s="108"/>
      <c r="D279" s="108"/>
      <c r="E279" s="108"/>
      <c r="F279" s="206"/>
      <c r="G279" s="206"/>
      <c r="H279" s="108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</row>
    <row r="280" spans="1:19" s="109" customFormat="1" ht="18" customHeight="1" x14ac:dyDescent="0.35">
      <c r="A280" s="108"/>
      <c r="B280" s="108"/>
      <c r="C280" s="108"/>
      <c r="D280" s="108"/>
      <c r="E280" s="108"/>
      <c r="F280" s="206"/>
      <c r="G280" s="206"/>
      <c r="H280" s="108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</row>
    <row r="281" spans="1:19" s="109" customFormat="1" ht="18" customHeight="1" x14ac:dyDescent="0.35">
      <c r="A281" s="108"/>
      <c r="B281" s="108"/>
      <c r="C281" s="108"/>
      <c r="D281" s="108"/>
      <c r="E281" s="108"/>
      <c r="F281" s="206"/>
      <c r="G281" s="206"/>
      <c r="H281" s="108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</row>
    <row r="282" spans="1:19" s="109" customFormat="1" ht="18" customHeight="1" x14ac:dyDescent="0.35">
      <c r="A282" s="108"/>
      <c r="B282" s="108"/>
      <c r="C282" s="108"/>
      <c r="D282" s="108"/>
      <c r="E282" s="108"/>
      <c r="F282" s="206"/>
      <c r="G282" s="206"/>
      <c r="H282" s="108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</row>
    <row r="283" spans="1:19" s="109" customFormat="1" ht="18" customHeight="1" x14ac:dyDescent="0.35">
      <c r="A283" s="108"/>
      <c r="B283" s="108"/>
      <c r="C283" s="108"/>
      <c r="D283" s="108"/>
      <c r="E283" s="108"/>
      <c r="F283" s="206"/>
      <c r="G283" s="206"/>
      <c r="H283" s="108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</row>
    <row r="284" spans="1:19" s="109" customFormat="1" ht="18" customHeight="1" x14ac:dyDescent="0.35">
      <c r="A284" s="108"/>
      <c r="B284" s="108"/>
      <c r="C284" s="108"/>
      <c r="D284" s="108"/>
      <c r="E284" s="108"/>
      <c r="F284" s="206"/>
      <c r="G284" s="206"/>
      <c r="H284" s="108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</row>
    <row r="285" spans="1:19" s="109" customFormat="1" ht="18" customHeight="1" x14ac:dyDescent="0.35">
      <c r="A285" s="108"/>
      <c r="B285" s="108"/>
      <c r="C285" s="108"/>
      <c r="D285" s="108"/>
      <c r="E285" s="108"/>
      <c r="F285" s="206"/>
      <c r="G285" s="206"/>
      <c r="H285" s="108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</row>
    <row r="286" spans="1:19" s="109" customFormat="1" ht="18" customHeight="1" x14ac:dyDescent="0.35">
      <c r="A286" s="108"/>
      <c r="B286" s="108"/>
      <c r="C286" s="108"/>
      <c r="D286" s="108"/>
      <c r="E286" s="108"/>
      <c r="F286" s="206"/>
      <c r="G286" s="206"/>
      <c r="H286" s="108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</row>
    <row r="287" spans="1:19" s="109" customFormat="1" ht="18" customHeight="1" x14ac:dyDescent="0.35">
      <c r="A287" s="108"/>
      <c r="B287" s="108"/>
      <c r="C287" s="108"/>
      <c r="D287" s="108"/>
      <c r="E287" s="108"/>
      <c r="F287" s="206"/>
      <c r="G287" s="206"/>
      <c r="H287" s="108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</row>
    <row r="288" spans="1:19" s="109" customFormat="1" ht="18" customHeight="1" x14ac:dyDescent="0.35">
      <c r="A288" s="108"/>
      <c r="B288" s="108"/>
      <c r="C288" s="108"/>
      <c r="D288" s="108"/>
      <c r="E288" s="108"/>
      <c r="F288" s="206"/>
      <c r="G288" s="206"/>
      <c r="H288" s="10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</row>
    <row r="289" spans="1:19" s="109" customFormat="1" ht="18" customHeight="1" x14ac:dyDescent="0.35">
      <c r="A289" s="108"/>
      <c r="B289" s="108"/>
      <c r="C289" s="108"/>
      <c r="D289" s="108"/>
      <c r="E289" s="108"/>
      <c r="F289" s="206"/>
      <c r="G289" s="206"/>
      <c r="H289" s="108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</row>
    <row r="290" spans="1:19" s="109" customFormat="1" ht="18" customHeight="1" x14ac:dyDescent="0.35">
      <c r="A290" s="108"/>
      <c r="B290" s="108"/>
      <c r="C290" s="108"/>
      <c r="D290" s="108"/>
      <c r="E290" s="108"/>
      <c r="F290" s="206"/>
      <c r="G290" s="206"/>
      <c r="H290" s="108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</row>
    <row r="291" spans="1:19" s="109" customFormat="1" ht="18" customHeight="1" x14ac:dyDescent="0.35">
      <c r="A291" s="108"/>
      <c r="B291" s="108"/>
      <c r="C291" s="108"/>
      <c r="D291" s="108"/>
      <c r="E291" s="108"/>
      <c r="F291" s="206"/>
      <c r="G291" s="206"/>
      <c r="H291" s="108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</row>
    <row r="292" spans="1:19" s="109" customFormat="1" ht="18" customHeight="1" x14ac:dyDescent="0.35">
      <c r="A292" s="108"/>
      <c r="B292" s="108"/>
      <c r="C292" s="108"/>
      <c r="D292" s="108"/>
      <c r="E292" s="108"/>
      <c r="F292" s="206"/>
      <c r="G292" s="206"/>
      <c r="H292" s="108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</row>
    <row r="293" spans="1:19" s="109" customFormat="1" ht="18" customHeight="1" x14ac:dyDescent="0.35">
      <c r="A293" s="108"/>
      <c r="B293" s="108"/>
      <c r="C293" s="108"/>
      <c r="D293" s="108"/>
      <c r="E293" s="108"/>
      <c r="F293" s="206"/>
      <c r="G293" s="206"/>
      <c r="H293" s="108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</row>
    <row r="294" spans="1:19" s="109" customFormat="1" ht="18" customHeight="1" x14ac:dyDescent="0.35">
      <c r="A294" s="108"/>
      <c r="B294" s="108"/>
      <c r="C294" s="108"/>
      <c r="D294" s="108"/>
      <c r="E294" s="108"/>
      <c r="F294" s="206"/>
      <c r="G294" s="206"/>
      <c r="H294" s="108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</row>
    <row r="295" spans="1:19" s="109" customFormat="1" ht="18" customHeight="1" x14ac:dyDescent="0.35">
      <c r="A295" s="108"/>
      <c r="B295" s="108"/>
      <c r="C295" s="108"/>
      <c r="D295" s="108"/>
      <c r="E295" s="108"/>
      <c r="F295" s="206"/>
      <c r="G295" s="206"/>
      <c r="H295" s="108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</row>
    <row r="296" spans="1:19" s="109" customFormat="1" ht="18" customHeight="1" x14ac:dyDescent="0.35">
      <c r="A296" s="108"/>
      <c r="B296" s="108"/>
      <c r="C296" s="108"/>
      <c r="D296" s="108"/>
      <c r="E296" s="108"/>
      <c r="F296" s="206"/>
      <c r="G296" s="206"/>
      <c r="H296" s="108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</row>
    <row r="297" spans="1:19" s="109" customFormat="1" ht="18" customHeight="1" x14ac:dyDescent="0.35">
      <c r="A297" s="108"/>
      <c r="B297" s="108"/>
      <c r="C297" s="108"/>
      <c r="D297" s="108"/>
      <c r="E297" s="108"/>
      <c r="F297" s="206"/>
      <c r="G297" s="206"/>
      <c r="H297" s="108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</row>
    <row r="298" spans="1:19" s="109" customFormat="1" ht="18" customHeight="1" x14ac:dyDescent="0.35">
      <c r="A298" s="108"/>
      <c r="B298" s="108"/>
      <c r="C298" s="108"/>
      <c r="D298" s="108"/>
      <c r="E298" s="108"/>
      <c r="F298" s="206"/>
      <c r="G298" s="206"/>
      <c r="H298" s="10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</row>
    <row r="299" spans="1:19" s="109" customFormat="1" ht="18" customHeight="1" x14ac:dyDescent="0.35">
      <c r="A299" s="108"/>
      <c r="B299" s="108"/>
      <c r="C299" s="108"/>
      <c r="D299" s="108"/>
      <c r="E299" s="108"/>
      <c r="F299" s="206"/>
      <c r="G299" s="206"/>
      <c r="H299" s="108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</row>
  </sheetData>
  <mergeCells count="30">
    <mergeCell ref="C36:E36"/>
    <mergeCell ref="K36:M36"/>
    <mergeCell ref="A8:F8"/>
    <mergeCell ref="G8:M8"/>
    <mergeCell ref="A36:B36"/>
    <mergeCell ref="A24:B24"/>
    <mergeCell ref="M11:M12"/>
    <mergeCell ref="M9:M10"/>
    <mergeCell ref="M13:M14"/>
    <mergeCell ref="M15:M16"/>
    <mergeCell ref="M17:M18"/>
    <mergeCell ref="M19:M20"/>
    <mergeCell ref="M21:M22"/>
    <mergeCell ref="K24:M24"/>
    <mergeCell ref="G24:J24"/>
    <mergeCell ref="G36:J36"/>
    <mergeCell ref="C24:E24"/>
    <mergeCell ref="A19:A20"/>
    <mergeCell ref="A21:A22"/>
    <mergeCell ref="A7:E7"/>
    <mergeCell ref="B19:E19"/>
    <mergeCell ref="B20:E20"/>
    <mergeCell ref="B21:E21"/>
    <mergeCell ref="B22:E22"/>
    <mergeCell ref="E2:F4"/>
    <mergeCell ref="G7:M7"/>
    <mergeCell ref="G23:M23"/>
    <mergeCell ref="B17:D17"/>
    <mergeCell ref="B18:D18"/>
    <mergeCell ref="A23:E23"/>
  </mergeCells>
  <phoneticPr fontId="4" type="noConversion"/>
  <conditionalFormatting sqref="L17:L18">
    <cfRule type="dataBar" priority="2">
      <dataBar>
        <cfvo type="min"/>
        <cfvo type="num" val="100"/>
        <color rgb="FFFF555A"/>
      </dataBar>
      <extLst>
        <ext xmlns:x14="http://schemas.microsoft.com/office/spreadsheetml/2009/9/main" uri="{B025F937-C7B1-47D3-B67F-A62EFF666E3E}">
          <x14:id>{E5CF8EE2-E163-4336-9BF4-90ADB81E5922}</x14:id>
        </ext>
      </extLst>
    </cfRule>
  </conditionalFormatting>
  <conditionalFormatting sqref="J15:J16 L16 H15:H16 L14">
    <cfRule type="dataBar" priority="1">
      <dataBar>
        <cfvo type="min"/>
        <cfvo type="num" val="100"/>
        <color theme="5" tint="0.39997558519241921"/>
      </dataBar>
      <extLst>
        <ext xmlns:x14="http://schemas.microsoft.com/office/spreadsheetml/2009/9/main" uri="{B025F937-C7B1-47D3-B67F-A62EFF666E3E}">
          <x14:id>{8B91FDFD-19AD-4F58-9DD8-22D754D83DCF}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banalysi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1</xdr:col>
                    <xdr:colOff>658586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longupdate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658586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CF8EE2-E163-4336-9BF4-90ADB81E5922}">
            <x14:dataBar minLength="0" maxLength="100" gradient="0">
              <x14:cfvo type="autoMin"/>
              <x14:cfvo type="num">
                <xm:f>100</xm:f>
              </x14:cfvo>
              <x14:negativeFillColor rgb="FFFF0000"/>
              <x14:axisColor rgb="FF000000"/>
            </x14:dataBar>
          </x14:cfRule>
          <xm:sqref>L17:L18</xm:sqref>
        </x14:conditionalFormatting>
        <x14:conditionalFormatting xmlns:xm="http://schemas.microsoft.com/office/excel/2006/main">
          <x14:cfRule type="dataBar" id="{8B91FDFD-19AD-4F58-9DD8-22D754D83DCF}">
            <x14:dataBar minLength="0" maxLength="100" gradient="0">
              <x14:cfvo type="autoMin"/>
              <x14:cfvo type="num">
                <xm:f>100</xm:f>
              </x14:cfvo>
              <x14:negativeFillColor rgb="FFFF0000"/>
              <x14:axisColor rgb="FF000000"/>
            </x14:dataBar>
          </x14:cfRule>
          <xm:sqref>J15:J16 L16 H15:H16 L14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353E5BB-8AF7-4B87-A8F2-8BA311651B78}">
          <x14:formula1>
            <xm:f>Monitor!$C$7:$C$1048576</xm:f>
          </x14:formula1>
          <xm:sqref>E2:F4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210"/>
  <sheetViews>
    <sheetView topLeftCell="G1" workbookViewId="0">
      <selection activeCell="Z39" sqref="Z39"/>
    </sheetView>
  </sheetViews>
  <sheetFormatPr defaultColWidth="9.140625" defaultRowHeight="14.15" x14ac:dyDescent="0.35"/>
  <cols>
    <col min="1" max="1" width="15" style="220" bestFit="1" customWidth="1"/>
    <col min="2" max="2" width="14" style="223" bestFit="1" customWidth="1"/>
    <col min="3" max="3" width="12.7109375" style="99" customWidth="1"/>
    <col min="4" max="4" width="15" style="220" bestFit="1" customWidth="1"/>
    <col min="5" max="5" width="14" style="224" bestFit="1" customWidth="1"/>
    <col min="6" max="6" width="8.5" style="224" bestFit="1" customWidth="1"/>
    <col min="7" max="7" width="9.5" style="224" bestFit="1" customWidth="1"/>
    <col min="8" max="8" width="9.5" style="114" customWidth="1"/>
    <col min="9" max="9" width="15" style="220" bestFit="1" customWidth="1"/>
    <col min="10" max="10" width="8.5" style="224" bestFit="1" customWidth="1"/>
    <col min="11" max="11" width="11" style="224" bestFit="1" customWidth="1"/>
    <col min="12" max="14" width="11" style="114" customWidth="1"/>
    <col min="15" max="15" width="15" style="220" bestFit="1" customWidth="1"/>
    <col min="16" max="17" width="11" style="224" bestFit="1" customWidth="1"/>
    <col min="18" max="18" width="9.5" style="114" bestFit="1" customWidth="1"/>
    <col min="19" max="19" width="11" style="114" bestFit="1" customWidth="1"/>
    <col min="21" max="16384" width="9.140625" style="100"/>
  </cols>
  <sheetData>
    <row r="1" spans="1:28" x14ac:dyDescent="0.35">
      <c r="A1" s="221">
        <v>44446</v>
      </c>
      <c r="B1" s="222">
        <v>39.35217526535164</v>
      </c>
      <c r="C1"/>
      <c r="D1" s="221">
        <v>44446</v>
      </c>
      <c r="E1" s="222">
        <v>114.9585</v>
      </c>
      <c r="F1" s="222">
        <v>77.265799999999999</v>
      </c>
      <c r="G1" s="222">
        <v>91.8386</v>
      </c>
      <c r="H1"/>
      <c r="I1" s="221">
        <v>44446</v>
      </c>
      <c r="J1" s="222">
        <v>77.265799999999999</v>
      </c>
      <c r="K1" s="222">
        <v>48.849800000000002</v>
      </c>
      <c r="L1"/>
      <c r="M1"/>
      <c r="N1"/>
      <c r="O1" s="221">
        <v>44446</v>
      </c>
      <c r="P1" s="411">
        <v>25.230599999999999</v>
      </c>
      <c r="Q1" s="411">
        <v>48.849800000000002</v>
      </c>
      <c r="R1" s="196"/>
      <c r="S1" s="196"/>
      <c r="U1" s="197" t="s">
        <v>914</v>
      </c>
      <c r="V1" s="196" t="s">
        <v>910</v>
      </c>
      <c r="W1" s="196" t="s">
        <v>809</v>
      </c>
      <c r="X1" s="196" t="s">
        <v>911</v>
      </c>
      <c r="Y1" s="196" t="s">
        <v>808</v>
      </c>
      <c r="Z1" s="196" t="s">
        <v>912</v>
      </c>
      <c r="AA1" s="196" t="s">
        <v>913</v>
      </c>
      <c r="AB1" s="196" t="s">
        <v>827</v>
      </c>
    </row>
    <row r="2" spans="1:28" x14ac:dyDescent="0.35">
      <c r="A2" s="221">
        <v>44446</v>
      </c>
      <c r="B2" s="222">
        <v>46.651429009195311</v>
      </c>
      <c r="C2"/>
      <c r="D2" s="221">
        <v>44446</v>
      </c>
      <c r="E2" s="222">
        <v>120.377</v>
      </c>
      <c r="F2" s="222">
        <v>86.223500000000001</v>
      </c>
      <c r="G2" s="222">
        <v>99.805199999999999</v>
      </c>
      <c r="H2"/>
      <c r="I2" s="221">
        <v>44446</v>
      </c>
      <c r="J2" s="222">
        <v>86.223500000000001</v>
      </c>
      <c r="K2" s="222">
        <v>40.154400000000003</v>
      </c>
      <c r="L2"/>
      <c r="M2"/>
      <c r="N2"/>
      <c r="O2" s="221">
        <v>44446</v>
      </c>
      <c r="P2" s="412">
        <v>21.081900000000001</v>
      </c>
      <c r="Q2" s="412">
        <v>40.154400000000003</v>
      </c>
      <c r="R2"/>
      <c r="S2"/>
      <c r="V2" s="223">
        <v>120.377</v>
      </c>
      <c r="W2" s="223">
        <v>-4.8201000000000001</v>
      </c>
      <c r="X2" s="223">
        <v>86.223500000000001</v>
      </c>
      <c r="Y2" s="223">
        <v>40.154400000000003</v>
      </c>
      <c r="Z2" s="223">
        <v>99.805199999999999</v>
      </c>
      <c r="AA2" s="223">
        <v>21.081900000000001</v>
      </c>
      <c r="AB2" s="223">
        <v>46.651429009195311</v>
      </c>
    </row>
    <row r="3" spans="1:28" x14ac:dyDescent="0.35">
      <c r="A3" s="221">
        <v>44445</v>
      </c>
      <c r="B3" s="222">
        <v>48.215588290737266</v>
      </c>
      <c r="C3"/>
      <c r="D3" s="221">
        <v>44445</v>
      </c>
      <c r="E3" s="222">
        <v>119.78319999999999</v>
      </c>
      <c r="F3" s="222">
        <v>83.737899999999996</v>
      </c>
      <c r="G3" s="222">
        <v>99.808899999999994</v>
      </c>
      <c r="H3"/>
      <c r="I3" s="221">
        <v>44445</v>
      </c>
      <c r="J3" s="222">
        <v>83.737899999999996</v>
      </c>
      <c r="K3" s="222">
        <v>43.602800000000002</v>
      </c>
      <c r="L3"/>
      <c r="M3"/>
      <c r="N3"/>
      <c r="O3" s="221">
        <v>44445</v>
      </c>
      <c r="P3" s="223">
        <v>20.4802</v>
      </c>
      <c r="Q3" s="223">
        <v>43.602800000000002</v>
      </c>
      <c r="R3"/>
      <c r="S3"/>
    </row>
    <row r="4" spans="1:28" x14ac:dyDescent="0.35">
      <c r="A4" s="221">
        <v>44442</v>
      </c>
      <c r="B4" s="222">
        <v>46.660852143395267</v>
      </c>
      <c r="C4"/>
      <c r="D4" s="221">
        <v>44442</v>
      </c>
      <c r="E4" s="222">
        <v>119.0397</v>
      </c>
      <c r="F4" s="222">
        <v>83.795699999999997</v>
      </c>
      <c r="G4" s="222">
        <v>99.784000000000006</v>
      </c>
      <c r="H4"/>
      <c r="I4" s="221">
        <v>44442</v>
      </c>
      <c r="J4" s="222">
        <v>83.795699999999997</v>
      </c>
      <c r="K4" s="222">
        <v>42.608699999999999</v>
      </c>
      <c r="L4"/>
      <c r="M4"/>
      <c r="N4"/>
      <c r="O4" s="221">
        <v>44442</v>
      </c>
      <c r="P4" s="223">
        <v>19.758700000000001</v>
      </c>
      <c r="Q4" s="223">
        <v>42.608699999999999</v>
      </c>
      <c r="R4"/>
      <c r="S4"/>
    </row>
    <row r="5" spans="1:28" x14ac:dyDescent="0.35">
      <c r="A5" s="221">
        <v>44441</v>
      </c>
      <c r="B5" s="222">
        <v>48.015958281963449</v>
      </c>
      <c r="C5"/>
      <c r="D5" s="221">
        <v>44441</v>
      </c>
      <c r="E5" s="222">
        <v>119.64190000000001</v>
      </c>
      <c r="F5" s="222">
        <v>83.641599999999997</v>
      </c>
      <c r="G5" s="222">
        <v>99.770200000000003</v>
      </c>
      <c r="H5"/>
      <c r="I5" s="221">
        <v>44441</v>
      </c>
      <c r="J5" s="222">
        <v>83.641599999999997</v>
      </c>
      <c r="K5" s="222">
        <v>43.588799999999999</v>
      </c>
      <c r="L5"/>
      <c r="M5"/>
      <c r="N5"/>
      <c r="O5" s="221">
        <v>44441</v>
      </c>
      <c r="P5" s="223">
        <v>20.3766</v>
      </c>
      <c r="Q5" s="223">
        <v>43.588799999999999</v>
      </c>
      <c r="R5"/>
      <c r="S5"/>
    </row>
    <row r="6" spans="1:28" x14ac:dyDescent="0.35">
      <c r="A6" s="221">
        <v>44440</v>
      </c>
      <c r="B6" s="222">
        <v>49.133743543878708</v>
      </c>
      <c r="C6"/>
      <c r="D6" s="221">
        <v>44440</v>
      </c>
      <c r="E6" s="222">
        <v>119.7551</v>
      </c>
      <c r="F6" s="222">
        <v>82.832400000000007</v>
      </c>
      <c r="G6" s="222">
        <v>99.768799999999999</v>
      </c>
      <c r="H6"/>
      <c r="I6" s="221">
        <v>44440</v>
      </c>
      <c r="J6" s="222">
        <v>82.832400000000007</v>
      </c>
      <c r="K6" s="222">
        <v>45.125599999999999</v>
      </c>
      <c r="L6"/>
      <c r="M6"/>
      <c r="N6"/>
      <c r="O6" s="221">
        <v>44440</v>
      </c>
      <c r="P6" s="223">
        <v>20.489599999999999</v>
      </c>
      <c r="Q6" s="223">
        <v>45.125599999999999</v>
      </c>
      <c r="R6"/>
      <c r="S6"/>
    </row>
    <row r="7" spans="1:28" x14ac:dyDescent="0.35">
      <c r="A7" s="221">
        <v>44439</v>
      </c>
      <c r="B7" s="222">
        <v>47.988951398266934</v>
      </c>
      <c r="C7"/>
      <c r="D7" s="221">
        <v>44439</v>
      </c>
      <c r="E7" s="222">
        <v>121.2563</v>
      </c>
      <c r="F7" s="222">
        <v>86.435400000000001</v>
      </c>
      <c r="G7" s="222">
        <v>99.7333</v>
      </c>
      <c r="H7"/>
      <c r="I7" s="221">
        <v>44439</v>
      </c>
      <c r="J7" s="222">
        <v>86.435400000000001</v>
      </c>
      <c r="K7" s="222">
        <v>40.810400000000001</v>
      </c>
      <c r="L7"/>
      <c r="M7"/>
      <c r="N7"/>
      <c r="O7" s="221">
        <v>44439</v>
      </c>
      <c r="P7" s="223">
        <v>22.035499999999999</v>
      </c>
      <c r="Q7" s="223">
        <v>40.810400000000001</v>
      </c>
      <c r="R7"/>
      <c r="S7"/>
    </row>
    <row r="8" spans="1:28" x14ac:dyDescent="0.35">
      <c r="A8" s="221">
        <v>44438</v>
      </c>
      <c r="B8" s="222">
        <v>45.611048016411694</v>
      </c>
      <c r="C8"/>
      <c r="D8" s="221">
        <v>44438</v>
      </c>
      <c r="E8" s="222">
        <v>121.8895</v>
      </c>
      <c r="F8" s="222">
        <v>89.653199999999998</v>
      </c>
      <c r="G8" s="222">
        <v>99.7042</v>
      </c>
      <c r="H8"/>
      <c r="I8" s="221">
        <v>44438</v>
      </c>
      <c r="J8" s="222">
        <v>89.653199999999998</v>
      </c>
      <c r="K8" s="222">
        <v>36.460299999999997</v>
      </c>
      <c r="L8"/>
      <c r="M8"/>
      <c r="N8"/>
      <c r="O8" s="221">
        <v>44438</v>
      </c>
      <c r="P8" s="223">
        <v>22.704000000000001</v>
      </c>
      <c r="Q8" s="223">
        <v>36.460299999999997</v>
      </c>
      <c r="R8"/>
      <c r="S8"/>
    </row>
    <row r="9" spans="1:28" x14ac:dyDescent="0.35">
      <c r="A9" s="221">
        <v>44435</v>
      </c>
      <c r="B9" s="222">
        <v>46.026247376555169</v>
      </c>
      <c r="C9"/>
      <c r="D9" s="221">
        <v>44435</v>
      </c>
      <c r="E9" s="222">
        <v>119.4551</v>
      </c>
      <c r="F9" s="222">
        <v>85.086699999999993</v>
      </c>
      <c r="G9" s="222">
        <v>99.68</v>
      </c>
      <c r="H9"/>
      <c r="I9" s="221">
        <v>44435</v>
      </c>
      <c r="J9" s="222">
        <v>85.086699999999993</v>
      </c>
      <c r="K9" s="222">
        <v>40.915100000000002</v>
      </c>
      <c r="L9"/>
      <c r="M9"/>
      <c r="N9"/>
      <c r="O9" s="221">
        <v>44435</v>
      </c>
      <c r="P9" s="223">
        <v>20.2849</v>
      </c>
      <c r="Q9" s="223">
        <v>40.915100000000002</v>
      </c>
      <c r="R9"/>
      <c r="S9"/>
    </row>
    <row r="10" spans="1:28" x14ac:dyDescent="0.35">
      <c r="A10" s="221">
        <v>44434</v>
      </c>
      <c r="B10" s="222">
        <v>44.590147445567546</v>
      </c>
      <c r="C10"/>
      <c r="D10" s="221">
        <v>44434</v>
      </c>
      <c r="E10" s="222">
        <v>118.5553</v>
      </c>
      <c r="F10" s="222">
        <v>84.701300000000003</v>
      </c>
      <c r="G10" s="222">
        <v>99.719200000000001</v>
      </c>
      <c r="H10"/>
      <c r="I10" s="221">
        <v>44434</v>
      </c>
      <c r="J10" s="222">
        <v>84.701300000000003</v>
      </c>
      <c r="K10" s="222">
        <v>40.491399999999999</v>
      </c>
      <c r="L10"/>
      <c r="M10"/>
      <c r="N10"/>
      <c r="O10" s="221">
        <v>44434</v>
      </c>
      <c r="P10" s="223">
        <v>19.333100000000002</v>
      </c>
      <c r="Q10" s="223">
        <v>40.491399999999999</v>
      </c>
      <c r="R10"/>
      <c r="S10"/>
    </row>
    <row r="11" spans="1:28" x14ac:dyDescent="0.35">
      <c r="A11" s="221">
        <v>44433</v>
      </c>
      <c r="B11" s="222">
        <v>47.307890183003657</v>
      </c>
      <c r="C11"/>
      <c r="D11" s="221">
        <v>44433</v>
      </c>
      <c r="E11" s="222">
        <v>120.1395</v>
      </c>
      <c r="F11" s="222">
        <v>84.971100000000007</v>
      </c>
      <c r="G11" s="222">
        <v>99.729299999999995</v>
      </c>
      <c r="H11"/>
      <c r="I11" s="221">
        <v>44433</v>
      </c>
      <c r="J11" s="222">
        <v>84.971100000000007</v>
      </c>
      <c r="K11" s="222">
        <v>41.9071</v>
      </c>
      <c r="L11"/>
      <c r="M11"/>
      <c r="N11"/>
      <c r="O11" s="221">
        <v>44433</v>
      </c>
      <c r="P11" s="223">
        <v>20.907299999999999</v>
      </c>
      <c r="Q11" s="223">
        <v>41.9071</v>
      </c>
      <c r="R11"/>
      <c r="S11"/>
    </row>
    <row r="12" spans="1:28" x14ac:dyDescent="0.35">
      <c r="A12" s="221">
        <v>44432</v>
      </c>
      <c r="B12" s="222">
        <v>45.226100490351172</v>
      </c>
      <c r="C12"/>
      <c r="D12" s="221">
        <v>44432</v>
      </c>
      <c r="E12" s="222">
        <v>118.77160000000001</v>
      </c>
      <c r="F12" s="222">
        <v>84.431600000000003</v>
      </c>
      <c r="G12" s="222">
        <v>99.729900000000001</v>
      </c>
      <c r="H12"/>
      <c r="I12" s="221">
        <v>44432</v>
      </c>
      <c r="J12" s="222">
        <v>84.431600000000003</v>
      </c>
      <c r="K12" s="222">
        <v>41.191200000000002</v>
      </c>
      <c r="L12"/>
      <c r="M12"/>
      <c r="N12"/>
      <c r="O12" s="221">
        <v>44432</v>
      </c>
      <c r="P12" s="222">
        <v>19.532900000000001</v>
      </c>
      <c r="Q12" s="222">
        <v>41.191200000000002</v>
      </c>
      <c r="R12"/>
      <c r="S12"/>
    </row>
    <row r="13" spans="1:28" x14ac:dyDescent="0.35">
      <c r="A13" s="221">
        <v>44431</v>
      </c>
      <c r="B13" s="222">
        <v>44.967814836347905</v>
      </c>
      <c r="C13"/>
      <c r="D13" s="221">
        <v>44431</v>
      </c>
      <c r="E13" s="222">
        <v>118.5848</v>
      </c>
      <c r="F13" s="222">
        <v>84.296700000000001</v>
      </c>
      <c r="G13" s="222">
        <v>99.740300000000005</v>
      </c>
      <c r="H13"/>
      <c r="I13" s="221">
        <v>44431</v>
      </c>
      <c r="J13" s="222">
        <v>84.296700000000001</v>
      </c>
      <c r="K13" s="222">
        <v>41.192999999999998</v>
      </c>
      <c r="L13"/>
      <c r="M13"/>
      <c r="N13"/>
      <c r="O13" s="221">
        <v>44431</v>
      </c>
      <c r="P13" s="222">
        <v>19.3309</v>
      </c>
      <c r="Q13" s="222">
        <v>41.192999999999998</v>
      </c>
      <c r="R13"/>
      <c r="S13"/>
    </row>
    <row r="14" spans="1:28" x14ac:dyDescent="0.35">
      <c r="A14" s="221">
        <v>44428</v>
      </c>
      <c r="B14" s="222">
        <v>43.940523325263605</v>
      </c>
      <c r="C14"/>
      <c r="D14" s="221">
        <v>44428</v>
      </c>
      <c r="E14" s="222">
        <v>115.3574</v>
      </c>
      <c r="F14" s="222">
        <v>79.344899999999996</v>
      </c>
      <c r="G14" s="222">
        <v>99.691699999999997</v>
      </c>
      <c r="H14"/>
      <c r="I14" s="221">
        <v>44428</v>
      </c>
      <c r="J14" s="222">
        <v>79.344899999999996</v>
      </c>
      <c r="K14" s="222">
        <v>45.928699999999999</v>
      </c>
      <c r="L14"/>
      <c r="M14"/>
      <c r="N14"/>
      <c r="O14" s="221">
        <v>44428</v>
      </c>
      <c r="P14" s="222">
        <v>16.145099999999999</v>
      </c>
      <c r="Q14" s="222">
        <v>45.928699999999999</v>
      </c>
      <c r="R14"/>
      <c r="S14"/>
    </row>
    <row r="15" spans="1:28" x14ac:dyDescent="0.35">
      <c r="A15" s="221">
        <v>44427</v>
      </c>
      <c r="B15" s="222">
        <v>45.384000670467664</v>
      </c>
      <c r="C15"/>
      <c r="D15" s="221">
        <v>44427</v>
      </c>
      <c r="E15" s="222">
        <v>114.7826</v>
      </c>
      <c r="F15" s="222">
        <v>76.936400000000006</v>
      </c>
      <c r="G15" s="222">
        <v>99.662499999999994</v>
      </c>
      <c r="H15"/>
      <c r="I15" s="221">
        <v>44427</v>
      </c>
      <c r="J15" s="222">
        <v>76.936400000000006</v>
      </c>
      <c r="K15" s="222">
        <v>49.747100000000003</v>
      </c>
      <c r="L15"/>
      <c r="M15"/>
      <c r="N15"/>
      <c r="O15" s="221">
        <v>44427</v>
      </c>
      <c r="P15" s="222">
        <v>15.600199999999999</v>
      </c>
      <c r="Q15" s="222">
        <v>49.747100000000003</v>
      </c>
      <c r="R15"/>
      <c r="S15"/>
    </row>
    <row r="16" spans="1:28" x14ac:dyDescent="0.35">
      <c r="A16" s="221">
        <v>44426</v>
      </c>
      <c r="B16" s="222">
        <v>44.791652086662218</v>
      </c>
      <c r="C16"/>
      <c r="D16" s="221">
        <v>44426</v>
      </c>
      <c r="E16" s="222">
        <v>114.0558</v>
      </c>
      <c r="F16" s="222">
        <v>76.127200000000002</v>
      </c>
      <c r="G16" s="222">
        <v>99.606700000000004</v>
      </c>
      <c r="H16"/>
      <c r="I16" s="221">
        <v>44426</v>
      </c>
      <c r="J16" s="222">
        <v>76.127200000000002</v>
      </c>
      <c r="K16" s="222">
        <v>50.3812</v>
      </c>
      <c r="L16"/>
      <c r="M16"/>
      <c r="N16"/>
      <c r="O16" s="221">
        <v>44426</v>
      </c>
      <c r="P16" s="222">
        <v>14.933</v>
      </c>
      <c r="Q16" s="222">
        <v>50.3812</v>
      </c>
      <c r="R16"/>
      <c r="S16"/>
    </row>
    <row r="17" spans="1:19" x14ac:dyDescent="0.35">
      <c r="A17" s="221">
        <v>44425</v>
      </c>
      <c r="B17" s="222">
        <v>45.330890373321289</v>
      </c>
      <c r="C17"/>
      <c r="D17" s="221">
        <v>44425</v>
      </c>
      <c r="E17" s="222">
        <v>114.41500000000001</v>
      </c>
      <c r="F17" s="222">
        <v>76.319800000000001</v>
      </c>
      <c r="G17" s="222">
        <v>99.594700000000003</v>
      </c>
      <c r="H17"/>
      <c r="I17" s="221">
        <v>44425</v>
      </c>
      <c r="J17" s="222">
        <v>76.319800000000001</v>
      </c>
      <c r="K17" s="222">
        <v>50.469499999999996</v>
      </c>
      <c r="L17"/>
      <c r="M17"/>
      <c r="N17"/>
      <c r="O17" s="221">
        <v>44425</v>
      </c>
      <c r="P17" s="222">
        <v>15.305300000000001</v>
      </c>
      <c r="Q17" s="222">
        <v>50.469499999999996</v>
      </c>
      <c r="R17"/>
      <c r="S17"/>
    </row>
    <row r="18" spans="1:19" x14ac:dyDescent="0.35">
      <c r="A18" s="221">
        <v>44424</v>
      </c>
      <c r="B18" s="222">
        <v>45.180408865234625</v>
      </c>
      <c r="C18"/>
      <c r="D18" s="221">
        <v>44424</v>
      </c>
      <c r="E18" s="222">
        <v>116.3792</v>
      </c>
      <c r="F18" s="222">
        <v>80.115600000000001</v>
      </c>
      <c r="G18" s="222">
        <v>99.623000000000005</v>
      </c>
      <c r="H18"/>
      <c r="I18" s="221">
        <v>44424</v>
      </c>
      <c r="J18" s="222">
        <v>80.115600000000001</v>
      </c>
      <c r="K18" s="222">
        <v>45.789299999999997</v>
      </c>
      <c r="L18"/>
      <c r="M18"/>
      <c r="N18"/>
      <c r="O18" s="221">
        <v>44424</v>
      </c>
      <c r="P18" s="222">
        <v>17.242000000000001</v>
      </c>
      <c r="Q18" s="222">
        <v>45.789299999999997</v>
      </c>
      <c r="R18"/>
      <c r="S18"/>
    </row>
    <row r="19" spans="1:19" x14ac:dyDescent="0.35">
      <c r="A19" s="221">
        <v>44421</v>
      </c>
      <c r="B19" s="222">
        <v>44.44783233827728</v>
      </c>
      <c r="C19"/>
      <c r="D19" s="221">
        <v>44421</v>
      </c>
      <c r="E19" s="222">
        <v>116.64579999999999</v>
      </c>
      <c r="F19" s="222">
        <v>81.117500000000007</v>
      </c>
      <c r="G19" s="222">
        <v>99.668499999999995</v>
      </c>
      <c r="H19"/>
      <c r="I19" s="221">
        <v>44421</v>
      </c>
      <c r="J19" s="222">
        <v>81.117500000000007</v>
      </c>
      <c r="K19" s="222">
        <v>44.309199999999997</v>
      </c>
      <c r="L19"/>
      <c r="M19"/>
      <c r="N19"/>
      <c r="O19" s="221">
        <v>44421</v>
      </c>
      <c r="P19" s="222">
        <v>17.449300000000001</v>
      </c>
      <c r="Q19" s="222">
        <v>44.309199999999997</v>
      </c>
      <c r="R19"/>
      <c r="S19"/>
    </row>
    <row r="20" spans="1:19" x14ac:dyDescent="0.35">
      <c r="A20" s="221">
        <v>44420</v>
      </c>
      <c r="B20" s="222">
        <v>43.678082666746562</v>
      </c>
      <c r="C20"/>
      <c r="D20" s="221">
        <v>44420</v>
      </c>
      <c r="E20" s="222">
        <v>112.4179</v>
      </c>
      <c r="F20" s="222">
        <v>73.737899999999996</v>
      </c>
      <c r="G20" s="222">
        <v>99.586100000000002</v>
      </c>
      <c r="H20"/>
      <c r="I20" s="221">
        <v>44420</v>
      </c>
      <c r="J20" s="222">
        <v>73.737899999999996</v>
      </c>
      <c r="K20" s="222">
        <v>53.014899999999997</v>
      </c>
      <c r="L20"/>
      <c r="M20"/>
      <c r="N20"/>
      <c r="O20" s="221">
        <v>44420</v>
      </c>
      <c r="P20" s="222">
        <v>13.2989</v>
      </c>
      <c r="Q20" s="222">
        <v>53.014899999999997</v>
      </c>
      <c r="R20"/>
      <c r="S20"/>
    </row>
    <row r="21" spans="1:19" x14ac:dyDescent="0.35">
      <c r="A21" s="221">
        <v>44419</v>
      </c>
      <c r="B21" s="222">
        <v>46.787281322112143</v>
      </c>
      <c r="C21"/>
      <c r="D21" s="221">
        <v>44419</v>
      </c>
      <c r="E21" s="222">
        <v>112.0561</v>
      </c>
      <c r="F21" s="222">
        <v>69.961500000000001</v>
      </c>
      <c r="G21" s="222">
        <v>99.613500000000002</v>
      </c>
      <c r="H21"/>
      <c r="I21" s="221">
        <v>44419</v>
      </c>
      <c r="J21" s="222">
        <v>69.961500000000001</v>
      </c>
      <c r="K21" s="222">
        <v>60.754100000000001</v>
      </c>
      <c r="L21"/>
      <c r="M21"/>
      <c r="N21"/>
      <c r="O21" s="221">
        <v>44419</v>
      </c>
      <c r="P21" s="222">
        <v>12.9024</v>
      </c>
      <c r="Q21" s="222">
        <v>60.754100000000001</v>
      </c>
      <c r="R21"/>
      <c r="S21"/>
    </row>
    <row r="22" spans="1:19" x14ac:dyDescent="0.35">
      <c r="A22" s="221">
        <v>44418</v>
      </c>
      <c r="B22" s="222">
        <v>47.302593387835302</v>
      </c>
      <c r="C22"/>
      <c r="D22" s="221">
        <v>44418</v>
      </c>
      <c r="E22" s="222">
        <v>112.59229999999999</v>
      </c>
      <c r="F22" s="222">
        <v>70.578000000000003</v>
      </c>
      <c r="G22" s="222">
        <v>99.617400000000004</v>
      </c>
      <c r="H22"/>
      <c r="I22" s="221">
        <v>44418</v>
      </c>
      <c r="J22" s="222">
        <v>70.578000000000003</v>
      </c>
      <c r="K22" s="222">
        <v>60.106499999999997</v>
      </c>
      <c r="L22"/>
      <c r="M22"/>
      <c r="N22"/>
      <c r="O22" s="221">
        <v>44418</v>
      </c>
      <c r="P22" s="222">
        <v>13.433999999999999</v>
      </c>
      <c r="Q22" s="222">
        <v>60.106499999999997</v>
      </c>
      <c r="R22"/>
      <c r="S22"/>
    </row>
    <row r="23" spans="1:19" x14ac:dyDescent="0.35">
      <c r="A23" s="221">
        <v>44417</v>
      </c>
      <c r="B23" s="222">
        <v>46.791795047508785</v>
      </c>
      <c r="C23"/>
      <c r="D23" s="221">
        <v>44417</v>
      </c>
      <c r="E23" s="222">
        <v>111.99550000000001</v>
      </c>
      <c r="F23" s="222">
        <v>69.903700000000001</v>
      </c>
      <c r="G23" s="222">
        <v>99.549800000000005</v>
      </c>
      <c r="H23"/>
      <c r="I23" s="221">
        <v>44417</v>
      </c>
      <c r="J23" s="222">
        <v>69.903700000000001</v>
      </c>
      <c r="K23" s="222">
        <v>60.7941</v>
      </c>
      <c r="L23"/>
      <c r="M23"/>
      <c r="N23"/>
      <c r="O23" s="221">
        <v>44417</v>
      </c>
      <c r="P23" s="222">
        <v>12.9093</v>
      </c>
      <c r="Q23" s="222">
        <v>60.7941</v>
      </c>
      <c r="R23"/>
      <c r="S23"/>
    </row>
    <row r="24" spans="1:19" x14ac:dyDescent="0.35">
      <c r="A24" s="221">
        <v>44414</v>
      </c>
      <c r="B24" s="222">
        <v>44.681066795746169</v>
      </c>
      <c r="C24"/>
      <c r="D24" s="221">
        <v>44414</v>
      </c>
      <c r="E24" s="222">
        <v>111.1011</v>
      </c>
      <c r="F24" s="222">
        <v>69.787999999999997</v>
      </c>
      <c r="G24" s="222">
        <v>99.593699999999998</v>
      </c>
      <c r="H24"/>
      <c r="I24" s="221">
        <v>44414</v>
      </c>
      <c r="J24" s="222">
        <v>69.787999999999997</v>
      </c>
      <c r="K24" s="222">
        <v>59.769599999999997</v>
      </c>
      <c r="L24"/>
      <c r="M24"/>
      <c r="N24"/>
      <c r="O24" s="221">
        <v>44414</v>
      </c>
      <c r="P24" s="222">
        <v>11.9549</v>
      </c>
      <c r="Q24" s="222">
        <v>59.769599999999997</v>
      </c>
      <c r="R24"/>
      <c r="S24"/>
    </row>
    <row r="25" spans="1:19" x14ac:dyDescent="0.35">
      <c r="A25" s="221">
        <v>44413</v>
      </c>
      <c r="B25" s="222">
        <v>43.629177055624275</v>
      </c>
      <c r="C25"/>
      <c r="D25" s="221">
        <v>44413</v>
      </c>
      <c r="E25" s="222">
        <v>110.2533</v>
      </c>
      <c r="F25" s="222">
        <v>69.017300000000006</v>
      </c>
      <c r="G25" s="222">
        <v>99.547200000000004</v>
      </c>
      <c r="H25"/>
      <c r="I25" s="221">
        <v>44413</v>
      </c>
      <c r="J25" s="222">
        <v>69.017300000000006</v>
      </c>
      <c r="K25" s="222">
        <v>60.322099999999999</v>
      </c>
      <c r="L25"/>
      <c r="M25"/>
      <c r="N25"/>
      <c r="O25" s="221">
        <v>44413</v>
      </c>
      <c r="P25" s="222">
        <v>11.1533</v>
      </c>
      <c r="Q25" s="222">
        <v>60.322099999999999</v>
      </c>
      <c r="R25"/>
      <c r="S25"/>
    </row>
    <row r="26" spans="1:19" x14ac:dyDescent="0.35">
      <c r="A26" s="221">
        <v>44412</v>
      </c>
      <c r="B26" s="222">
        <v>40.483354518689815</v>
      </c>
      <c r="C26"/>
      <c r="D26" s="221">
        <v>44412</v>
      </c>
      <c r="E26" s="222">
        <v>110.4555</v>
      </c>
      <c r="F26" s="222">
        <v>72.427700000000002</v>
      </c>
      <c r="G26" s="222">
        <v>99.603499999999997</v>
      </c>
      <c r="H26"/>
      <c r="I26" s="221">
        <v>44412</v>
      </c>
      <c r="J26" s="222">
        <v>72.427700000000002</v>
      </c>
      <c r="K26" s="222">
        <v>53.049199999999999</v>
      </c>
      <c r="L26"/>
      <c r="M26"/>
      <c r="N26"/>
      <c r="O26" s="221">
        <v>44412</v>
      </c>
      <c r="P26" s="222">
        <v>11.2913</v>
      </c>
      <c r="Q26" s="222">
        <v>53.049199999999999</v>
      </c>
      <c r="R26"/>
      <c r="S26"/>
    </row>
    <row r="27" spans="1:19" x14ac:dyDescent="0.35">
      <c r="A27" s="221">
        <v>44411</v>
      </c>
      <c r="B27" s="222">
        <v>40.960404643521144</v>
      </c>
      <c r="C27"/>
      <c r="D27" s="221">
        <v>44411</v>
      </c>
      <c r="E27" s="222">
        <v>110.2407</v>
      </c>
      <c r="F27" s="222">
        <v>71.560699999999997</v>
      </c>
      <c r="G27" s="222">
        <v>99.550399999999996</v>
      </c>
      <c r="H27"/>
      <c r="I27" s="221">
        <v>44411</v>
      </c>
      <c r="J27" s="222">
        <v>71.560699999999997</v>
      </c>
      <c r="K27" s="222">
        <v>54.600200000000001</v>
      </c>
      <c r="L27"/>
      <c r="M27"/>
      <c r="N27"/>
      <c r="O27" s="221">
        <v>44411</v>
      </c>
      <c r="P27" s="222">
        <v>11.1327</v>
      </c>
      <c r="Q27" s="222">
        <v>54.600200000000001</v>
      </c>
      <c r="R27"/>
      <c r="S27"/>
    </row>
    <row r="28" spans="1:19" x14ac:dyDescent="0.35">
      <c r="A28" s="221">
        <v>44410</v>
      </c>
      <c r="B28" s="222">
        <v>39.72128604455424</v>
      </c>
      <c r="C28"/>
      <c r="D28" s="221">
        <v>44410</v>
      </c>
      <c r="E28" s="222">
        <v>110.2199</v>
      </c>
      <c r="F28" s="222">
        <v>72.678200000000004</v>
      </c>
      <c r="G28" s="222">
        <v>99.566999999999993</v>
      </c>
      <c r="H28"/>
      <c r="I28" s="221">
        <v>44410</v>
      </c>
      <c r="J28" s="222">
        <v>72.678200000000004</v>
      </c>
      <c r="K28" s="222">
        <v>52.191400000000002</v>
      </c>
      <c r="L28"/>
      <c r="M28"/>
      <c r="N28"/>
      <c r="O28" s="221">
        <v>44410</v>
      </c>
      <c r="P28" s="222">
        <v>11.090999999999999</v>
      </c>
      <c r="Q28" s="222">
        <v>52.191400000000002</v>
      </c>
      <c r="R28"/>
      <c r="S28"/>
    </row>
    <row r="29" spans="1:19" x14ac:dyDescent="0.35">
      <c r="A29" s="221">
        <v>44407</v>
      </c>
      <c r="B29" s="222">
        <v>40.655332696254661</v>
      </c>
      <c r="C29"/>
      <c r="D29" s="221">
        <v>44407</v>
      </c>
      <c r="E29" s="222">
        <v>109.8164</v>
      </c>
      <c r="F29" s="222">
        <v>70.963399999999993</v>
      </c>
      <c r="G29" s="222">
        <v>99.470200000000006</v>
      </c>
      <c r="H29"/>
      <c r="I29" s="221">
        <v>44407</v>
      </c>
      <c r="J29" s="222">
        <v>70.963399999999993</v>
      </c>
      <c r="K29" s="222">
        <v>55.2913</v>
      </c>
      <c r="L29"/>
      <c r="M29"/>
      <c r="N29"/>
      <c r="O29" s="221">
        <v>44407</v>
      </c>
      <c r="P29" s="222">
        <v>10.786899999999999</v>
      </c>
      <c r="Q29" s="222">
        <v>55.2913</v>
      </c>
      <c r="R29"/>
      <c r="S29"/>
    </row>
    <row r="30" spans="1:19" x14ac:dyDescent="0.35">
      <c r="A30" s="221">
        <v>44406</v>
      </c>
      <c r="B30" s="222">
        <v>41.355210068672491</v>
      </c>
      <c r="C30"/>
      <c r="D30" s="221">
        <v>44406</v>
      </c>
      <c r="E30" s="222">
        <v>110.31359999999999</v>
      </c>
      <c r="F30" s="222">
        <v>71.367999999999995</v>
      </c>
      <c r="G30" s="222">
        <v>99.462299999999999</v>
      </c>
      <c r="H30"/>
      <c r="I30" s="221">
        <v>44406</v>
      </c>
      <c r="J30" s="222">
        <v>71.367999999999995</v>
      </c>
      <c r="K30" s="222">
        <v>55.104500000000002</v>
      </c>
      <c r="L30"/>
      <c r="M30"/>
      <c r="N30"/>
      <c r="O30" s="221">
        <v>44406</v>
      </c>
      <c r="P30" s="222">
        <v>11.2934</v>
      </c>
      <c r="Q30" s="222">
        <v>55.104500000000002</v>
      </c>
      <c r="R30"/>
      <c r="S30"/>
    </row>
    <row r="31" spans="1:19" x14ac:dyDescent="0.35">
      <c r="A31" s="221">
        <v>44405</v>
      </c>
      <c r="B31" s="222">
        <v>42.603306894466073</v>
      </c>
      <c r="C31"/>
      <c r="D31" s="221">
        <v>44405</v>
      </c>
      <c r="E31" s="222">
        <v>109.32080000000001</v>
      </c>
      <c r="F31" s="222">
        <v>67.707099999999997</v>
      </c>
      <c r="G31" s="222">
        <v>99.508099999999999</v>
      </c>
      <c r="H31"/>
      <c r="I31" s="221">
        <v>44405</v>
      </c>
      <c r="J31" s="222">
        <v>67.707099999999997</v>
      </c>
      <c r="K31" s="222">
        <v>62.0214</v>
      </c>
      <c r="L31"/>
      <c r="M31"/>
      <c r="N31"/>
      <c r="O31" s="221">
        <v>44405</v>
      </c>
      <c r="P31" s="222">
        <v>10.2423</v>
      </c>
      <c r="Q31" s="222">
        <v>62.0214</v>
      </c>
      <c r="R31"/>
      <c r="S31"/>
    </row>
    <row r="32" spans="1:19" x14ac:dyDescent="0.35">
      <c r="A32" s="221">
        <v>44404</v>
      </c>
      <c r="B32" s="222">
        <v>42.973944805791106</v>
      </c>
      <c r="C32"/>
      <c r="D32" s="221">
        <v>44404</v>
      </c>
      <c r="E32" s="222">
        <v>110.312</v>
      </c>
      <c r="F32" s="222">
        <v>69.749499999999998</v>
      </c>
      <c r="G32" s="222">
        <v>99.435900000000004</v>
      </c>
      <c r="H32"/>
      <c r="I32" s="221">
        <v>44404</v>
      </c>
      <c r="J32" s="222">
        <v>69.749499999999998</v>
      </c>
      <c r="K32" s="222">
        <v>58.695</v>
      </c>
      <c r="L32"/>
      <c r="M32"/>
      <c r="N32"/>
      <c r="O32" s="221">
        <v>44404</v>
      </c>
      <c r="P32" s="222">
        <v>11.3169</v>
      </c>
      <c r="Q32" s="222">
        <v>58.695</v>
      </c>
      <c r="R32"/>
      <c r="S32"/>
    </row>
    <row r="33" spans="1:19" x14ac:dyDescent="0.35">
      <c r="A33" s="221">
        <v>44403</v>
      </c>
      <c r="B33" s="222">
        <v>41.502571520508809</v>
      </c>
      <c r="C33"/>
      <c r="D33" s="221">
        <v>44403</v>
      </c>
      <c r="E33" s="222">
        <v>108.9252</v>
      </c>
      <c r="F33" s="222">
        <v>68.131</v>
      </c>
      <c r="G33" s="222">
        <v>99.389499999999998</v>
      </c>
      <c r="H33"/>
      <c r="I33" s="221">
        <v>44403</v>
      </c>
      <c r="J33" s="222">
        <v>68.131</v>
      </c>
      <c r="K33" s="222">
        <v>60.426200000000001</v>
      </c>
      <c r="L33"/>
      <c r="M33"/>
      <c r="N33"/>
      <c r="O33" s="221">
        <v>44403</v>
      </c>
      <c r="P33" s="222">
        <v>9.9713999999999992</v>
      </c>
      <c r="Q33" s="222">
        <v>60.426200000000001</v>
      </c>
      <c r="R33"/>
      <c r="S33"/>
    </row>
    <row r="34" spans="1:19" x14ac:dyDescent="0.35">
      <c r="A34" s="221">
        <v>44400</v>
      </c>
      <c r="B34" s="222">
        <v>41.804806430401101</v>
      </c>
      <c r="C34"/>
      <c r="D34" s="221">
        <v>44400</v>
      </c>
      <c r="E34" s="222">
        <v>109.86879999999999</v>
      </c>
      <c r="F34" s="222">
        <v>70</v>
      </c>
      <c r="G34" s="222">
        <v>99.340100000000007</v>
      </c>
      <c r="H34"/>
      <c r="I34" s="221">
        <v>44400</v>
      </c>
      <c r="J34" s="222">
        <v>70</v>
      </c>
      <c r="K34" s="222">
        <v>57.481400000000001</v>
      </c>
      <c r="L34"/>
      <c r="M34"/>
      <c r="N34"/>
      <c r="O34" s="221">
        <v>44400</v>
      </c>
      <c r="P34" s="222">
        <v>10.9693</v>
      </c>
      <c r="Q34" s="222">
        <v>57.481400000000001</v>
      </c>
      <c r="R34"/>
      <c r="S34"/>
    </row>
    <row r="35" spans="1:19" x14ac:dyDescent="0.35">
      <c r="A35" s="221">
        <v>44399</v>
      </c>
      <c r="B35" s="222">
        <v>39.822969019412994</v>
      </c>
      <c r="C35"/>
      <c r="D35" s="221">
        <v>44399</v>
      </c>
      <c r="E35" s="222">
        <v>110.214</v>
      </c>
      <c r="F35" s="222">
        <v>72.620400000000004</v>
      </c>
      <c r="G35" s="222">
        <v>99.407399999999996</v>
      </c>
      <c r="H35"/>
      <c r="I35" s="221">
        <v>44399</v>
      </c>
      <c r="J35" s="222">
        <v>72.620400000000004</v>
      </c>
      <c r="K35" s="222">
        <v>52.271299999999997</v>
      </c>
      <c r="L35"/>
      <c r="M35"/>
      <c r="N35"/>
      <c r="O35" s="221">
        <v>44399</v>
      </c>
      <c r="P35" s="222">
        <v>11.2392</v>
      </c>
      <c r="Q35" s="222">
        <v>52.271299999999997</v>
      </c>
      <c r="R35"/>
      <c r="S35"/>
    </row>
    <row r="36" spans="1:19" x14ac:dyDescent="0.35">
      <c r="A36" s="221">
        <v>44398</v>
      </c>
      <c r="B36" s="222">
        <v>40.202808155972093</v>
      </c>
      <c r="C36"/>
      <c r="D36" s="221">
        <v>44398</v>
      </c>
      <c r="E36" s="222">
        <v>110.58620000000001</v>
      </c>
      <c r="F36" s="222">
        <v>73.256299999999996</v>
      </c>
      <c r="G36" s="222">
        <v>99.293499999999995</v>
      </c>
      <c r="H36"/>
      <c r="I36" s="221">
        <v>44398</v>
      </c>
      <c r="J36" s="222">
        <v>73.256299999999996</v>
      </c>
      <c r="K36" s="222">
        <v>51.454599999999999</v>
      </c>
      <c r="L36"/>
      <c r="M36"/>
      <c r="N36"/>
      <c r="O36" s="221">
        <v>44398</v>
      </c>
      <c r="P36" s="222">
        <v>11.7394</v>
      </c>
      <c r="Q36" s="222">
        <v>51.454599999999999</v>
      </c>
      <c r="R36"/>
      <c r="S36"/>
    </row>
    <row r="37" spans="1:19" x14ac:dyDescent="0.35">
      <c r="A37" s="221">
        <v>44397</v>
      </c>
      <c r="B37" s="222">
        <v>40.96684991978335</v>
      </c>
      <c r="C37"/>
      <c r="D37" s="221">
        <v>44397</v>
      </c>
      <c r="E37" s="222">
        <v>110.4984</v>
      </c>
      <c r="F37" s="222">
        <v>72.620400000000004</v>
      </c>
      <c r="G37" s="222">
        <v>99.127799999999993</v>
      </c>
      <c r="H37"/>
      <c r="I37" s="221">
        <v>44397</v>
      </c>
      <c r="J37" s="222">
        <v>72.620400000000004</v>
      </c>
      <c r="K37" s="222">
        <v>52.656799999999997</v>
      </c>
      <c r="L37"/>
      <c r="M37"/>
      <c r="N37"/>
      <c r="O37" s="221">
        <v>44397</v>
      </c>
      <c r="P37" s="222">
        <v>11.8354</v>
      </c>
      <c r="Q37" s="222">
        <v>52.656799999999997</v>
      </c>
      <c r="R37"/>
      <c r="S37"/>
    </row>
    <row r="38" spans="1:19" x14ac:dyDescent="0.35">
      <c r="A38" s="221">
        <v>44396</v>
      </c>
      <c r="B38" s="222">
        <v>41.204319952015013</v>
      </c>
      <c r="C38"/>
      <c r="D38" s="221">
        <v>44396</v>
      </c>
      <c r="E38" s="222">
        <v>110.3105</v>
      </c>
      <c r="F38" s="222">
        <v>72.100200000000001</v>
      </c>
      <c r="G38" s="222">
        <v>99.060500000000005</v>
      </c>
      <c r="H38"/>
      <c r="I38" s="221">
        <v>44396</v>
      </c>
      <c r="J38" s="222">
        <v>72.100200000000001</v>
      </c>
      <c r="K38" s="222">
        <v>53.494700000000002</v>
      </c>
      <c r="L38"/>
      <c r="M38"/>
      <c r="N38"/>
      <c r="O38" s="221">
        <v>44396</v>
      </c>
      <c r="P38" s="222">
        <v>11.7196</v>
      </c>
      <c r="Q38" s="222">
        <v>53.494700000000002</v>
      </c>
      <c r="R38"/>
      <c r="S38"/>
    </row>
    <row r="39" spans="1:19" x14ac:dyDescent="0.35">
      <c r="A39" s="221">
        <v>44393</v>
      </c>
      <c r="B39" s="222">
        <v>41.333721188943755</v>
      </c>
      <c r="C39"/>
      <c r="D39" s="221">
        <v>44393</v>
      </c>
      <c r="E39" s="222">
        <v>110.94710000000001</v>
      </c>
      <c r="F39" s="222">
        <v>73.217699999999994</v>
      </c>
      <c r="G39" s="222">
        <v>99.075500000000005</v>
      </c>
      <c r="H39"/>
      <c r="I39" s="221">
        <v>44393</v>
      </c>
      <c r="J39" s="222">
        <v>73.217699999999994</v>
      </c>
      <c r="K39" s="222">
        <v>52.0124</v>
      </c>
      <c r="L39"/>
      <c r="M39"/>
      <c r="N39"/>
      <c r="O39" s="221">
        <v>44393</v>
      </c>
      <c r="P39" s="222">
        <v>12.3386</v>
      </c>
      <c r="Q39" s="222">
        <v>52.0124</v>
      </c>
      <c r="R39"/>
      <c r="S39"/>
    </row>
    <row r="40" spans="1:19" x14ac:dyDescent="0.35">
      <c r="A40" s="221">
        <v>44392</v>
      </c>
      <c r="B40" s="222">
        <v>40.26381155619638</v>
      </c>
      <c r="C40"/>
      <c r="D40" s="221">
        <v>44392</v>
      </c>
      <c r="E40" s="222">
        <v>110.6373</v>
      </c>
      <c r="F40" s="222">
        <v>73.814999999999998</v>
      </c>
      <c r="G40" s="222">
        <v>98.978800000000007</v>
      </c>
      <c r="H40"/>
      <c r="I40" s="221">
        <v>44392</v>
      </c>
      <c r="J40" s="222">
        <v>73.814999999999998</v>
      </c>
      <c r="K40" s="222">
        <v>50.359699999999997</v>
      </c>
      <c r="L40"/>
      <c r="M40"/>
      <c r="N40"/>
      <c r="O40" s="221">
        <v>44392</v>
      </c>
      <c r="P40" s="222">
        <v>12.133100000000001</v>
      </c>
      <c r="Q40" s="222">
        <v>50.359699999999997</v>
      </c>
      <c r="R40"/>
      <c r="S40"/>
    </row>
    <row r="41" spans="1:19" x14ac:dyDescent="0.35">
      <c r="A41" s="221">
        <v>44391</v>
      </c>
      <c r="B41" s="222">
        <v>39.252280047737813</v>
      </c>
      <c r="C41"/>
      <c r="D41" s="221">
        <v>44391</v>
      </c>
      <c r="E41" s="222">
        <v>110.3545</v>
      </c>
      <c r="F41" s="222">
        <v>74.412300000000002</v>
      </c>
      <c r="G41" s="222">
        <v>98.880499999999998</v>
      </c>
      <c r="H41"/>
      <c r="I41" s="221">
        <v>44391</v>
      </c>
      <c r="J41" s="222">
        <v>74.412300000000002</v>
      </c>
      <c r="K41" s="222">
        <v>48.769799999999996</v>
      </c>
      <c r="L41"/>
      <c r="M41"/>
      <c r="N41"/>
      <c r="O41" s="221">
        <v>44391</v>
      </c>
      <c r="P41" s="222">
        <v>11.9564</v>
      </c>
      <c r="Q41" s="222">
        <v>48.769799999999996</v>
      </c>
      <c r="R41"/>
      <c r="S41"/>
    </row>
    <row r="42" spans="1:19" x14ac:dyDescent="0.35">
      <c r="A42" s="221">
        <v>44390</v>
      </c>
      <c r="B42" s="222">
        <v>40.921814075390458</v>
      </c>
      <c r="C42"/>
      <c r="D42" s="221">
        <v>44390</v>
      </c>
      <c r="E42" s="222">
        <v>111.87869999999999</v>
      </c>
      <c r="F42" s="222">
        <v>75.953699999999998</v>
      </c>
      <c r="G42" s="222">
        <v>98.859700000000004</v>
      </c>
      <c r="H42"/>
      <c r="I42" s="221">
        <v>44390</v>
      </c>
      <c r="J42" s="222">
        <v>75.953699999999998</v>
      </c>
      <c r="K42" s="222">
        <v>47.7545</v>
      </c>
      <c r="L42"/>
      <c r="M42"/>
      <c r="N42"/>
      <c r="O42" s="221">
        <v>44390</v>
      </c>
      <c r="P42" s="222">
        <v>13.519500000000001</v>
      </c>
      <c r="Q42" s="222">
        <v>47.7545</v>
      </c>
      <c r="R42"/>
      <c r="S42"/>
    </row>
    <row r="43" spans="1:19" x14ac:dyDescent="0.35">
      <c r="A43" s="221">
        <v>44389</v>
      </c>
      <c r="B43" s="222">
        <v>40.652934138524977</v>
      </c>
      <c r="C43"/>
      <c r="D43" s="221">
        <v>44389</v>
      </c>
      <c r="E43" s="222">
        <v>111.25490000000001</v>
      </c>
      <c r="F43" s="222">
        <v>75.067400000000006</v>
      </c>
      <c r="G43" s="222">
        <v>98.778400000000005</v>
      </c>
      <c r="H43"/>
      <c r="I43" s="221">
        <v>44389</v>
      </c>
      <c r="J43" s="222">
        <v>75.067400000000006</v>
      </c>
      <c r="K43" s="222">
        <v>48.665100000000002</v>
      </c>
      <c r="L43"/>
      <c r="M43"/>
      <c r="N43"/>
      <c r="O43" s="221">
        <v>44389</v>
      </c>
      <c r="P43" s="222">
        <v>12.979200000000001</v>
      </c>
      <c r="Q43" s="222">
        <v>48.665100000000002</v>
      </c>
      <c r="R43"/>
      <c r="S43"/>
    </row>
    <row r="44" spans="1:19" x14ac:dyDescent="0.35">
      <c r="A44" s="221">
        <v>44386</v>
      </c>
      <c r="B44" s="222">
        <v>39.388557411093295</v>
      </c>
      <c r="C44"/>
      <c r="D44" s="221">
        <v>44386</v>
      </c>
      <c r="E44" s="222">
        <v>110.6705</v>
      </c>
      <c r="F44" s="222">
        <v>75.183000000000007</v>
      </c>
      <c r="G44" s="222">
        <v>98.7102</v>
      </c>
      <c r="H44"/>
      <c r="I44" s="221">
        <v>44386</v>
      </c>
      <c r="J44" s="222">
        <v>75.183000000000007</v>
      </c>
      <c r="K44" s="222">
        <v>47.650399999999998</v>
      </c>
      <c r="L44"/>
      <c r="M44"/>
      <c r="N44"/>
      <c r="O44" s="221">
        <v>44386</v>
      </c>
      <c r="P44" s="222">
        <v>12.458500000000001</v>
      </c>
      <c r="Q44" s="222">
        <v>47.650399999999998</v>
      </c>
      <c r="R44"/>
      <c r="S44"/>
    </row>
    <row r="45" spans="1:19" x14ac:dyDescent="0.35">
      <c r="A45" s="221">
        <v>44385</v>
      </c>
      <c r="B45" s="222">
        <v>39.31652732962975</v>
      </c>
      <c r="C45"/>
      <c r="D45" s="221">
        <v>44385</v>
      </c>
      <c r="E45" s="222">
        <v>110.8947</v>
      </c>
      <c r="F45" s="222">
        <v>75.915199999999999</v>
      </c>
      <c r="G45" s="222">
        <v>98.607399999999998</v>
      </c>
      <c r="H45"/>
      <c r="I45" s="221">
        <v>44385</v>
      </c>
      <c r="J45" s="222">
        <v>75.915199999999999</v>
      </c>
      <c r="K45" s="222">
        <v>46.518700000000003</v>
      </c>
      <c r="L45"/>
      <c r="M45"/>
      <c r="N45"/>
      <c r="O45" s="221">
        <v>44385</v>
      </c>
      <c r="P45" s="222">
        <v>12.8009</v>
      </c>
      <c r="Q45" s="222">
        <v>46.518700000000003</v>
      </c>
      <c r="R45"/>
      <c r="S45"/>
    </row>
    <row r="46" spans="1:19" x14ac:dyDescent="0.35">
      <c r="A46" s="221">
        <v>44384</v>
      </c>
      <c r="B46" s="222">
        <v>38.323763144376606</v>
      </c>
      <c r="C46"/>
      <c r="D46" s="221">
        <v>44384</v>
      </c>
      <c r="E46" s="222">
        <v>108.71680000000001</v>
      </c>
      <c r="F46" s="222">
        <v>72.447000000000003</v>
      </c>
      <c r="G46" s="222">
        <v>98.4739</v>
      </c>
      <c r="H46"/>
      <c r="I46" s="221">
        <v>44384</v>
      </c>
      <c r="J46" s="222">
        <v>72.447000000000003</v>
      </c>
      <c r="K46" s="222">
        <v>50.523800000000001</v>
      </c>
      <c r="L46"/>
      <c r="M46"/>
      <c r="N46"/>
      <c r="O46" s="221">
        <v>44384</v>
      </c>
      <c r="P46" s="222">
        <v>10.74</v>
      </c>
      <c r="Q46" s="222">
        <v>50.523800000000001</v>
      </c>
      <c r="R46"/>
      <c r="S46"/>
    </row>
    <row r="47" spans="1:19" x14ac:dyDescent="0.35">
      <c r="A47" s="221">
        <v>44383</v>
      </c>
      <c r="B47" s="222">
        <v>36.328229314382376</v>
      </c>
      <c r="C47"/>
      <c r="D47" s="221">
        <v>44383</v>
      </c>
      <c r="E47" s="222">
        <v>108.71899999999999</v>
      </c>
      <c r="F47" s="222">
        <v>74.566500000000005</v>
      </c>
      <c r="G47" s="222">
        <v>98.45</v>
      </c>
      <c r="H47"/>
      <c r="I47" s="221">
        <v>44383</v>
      </c>
      <c r="J47" s="222">
        <v>74.566500000000005</v>
      </c>
      <c r="K47" s="222">
        <v>46.2453</v>
      </c>
      <c r="L47"/>
      <c r="M47"/>
      <c r="N47"/>
      <c r="O47" s="221">
        <v>44383</v>
      </c>
      <c r="P47" s="222">
        <v>10.7669</v>
      </c>
      <c r="Q47" s="222">
        <v>46.2453</v>
      </c>
      <c r="R47"/>
      <c r="S47"/>
    </row>
    <row r="48" spans="1:19" x14ac:dyDescent="0.35">
      <c r="A48" s="221">
        <v>44382</v>
      </c>
      <c r="B48" s="222">
        <v>37.531816109707854</v>
      </c>
      <c r="C48"/>
      <c r="D48" s="221">
        <v>44382</v>
      </c>
      <c r="E48" s="222">
        <v>109.13120000000001</v>
      </c>
      <c r="F48" s="222">
        <v>74.296700000000001</v>
      </c>
      <c r="G48" s="222">
        <v>98.399100000000004</v>
      </c>
      <c r="H48"/>
      <c r="I48" s="221">
        <v>44382</v>
      </c>
      <c r="J48" s="222">
        <v>74.296700000000001</v>
      </c>
      <c r="K48" s="222">
        <v>47.328200000000002</v>
      </c>
      <c r="L48"/>
      <c r="M48"/>
      <c r="N48"/>
      <c r="O48" s="221">
        <v>44382</v>
      </c>
      <c r="P48" s="222">
        <v>11.2409</v>
      </c>
      <c r="Q48" s="222">
        <v>47.328200000000002</v>
      </c>
      <c r="R48"/>
      <c r="S48"/>
    </row>
    <row r="49" spans="1:19" x14ac:dyDescent="0.35">
      <c r="A49" s="221">
        <v>44379</v>
      </c>
      <c r="B49" s="222">
        <v>37.184677284731329</v>
      </c>
      <c r="C49"/>
      <c r="D49" s="221">
        <v>44379</v>
      </c>
      <c r="E49" s="222">
        <v>109.2778</v>
      </c>
      <c r="F49" s="222">
        <v>74.990399999999994</v>
      </c>
      <c r="G49" s="222">
        <v>98.363299999999995</v>
      </c>
      <c r="H49"/>
      <c r="I49" s="221">
        <v>44379</v>
      </c>
      <c r="J49" s="222">
        <v>74.990399999999994</v>
      </c>
      <c r="K49" s="222">
        <v>46.152000000000001</v>
      </c>
      <c r="L49"/>
      <c r="M49"/>
      <c r="N49"/>
      <c r="O49" s="221">
        <v>44379</v>
      </c>
      <c r="P49" s="222">
        <v>11.4237</v>
      </c>
      <c r="Q49" s="222">
        <v>46.152000000000001</v>
      </c>
      <c r="R49"/>
      <c r="S49"/>
    </row>
    <row r="50" spans="1:19" x14ac:dyDescent="0.35">
      <c r="A50" s="221">
        <v>44378</v>
      </c>
      <c r="B50" s="222">
        <v>37.85092081279798</v>
      </c>
      <c r="C50"/>
      <c r="D50" s="221">
        <v>44378</v>
      </c>
      <c r="E50" s="222">
        <v>109.42100000000001</v>
      </c>
      <c r="F50" s="222">
        <v>74.701300000000003</v>
      </c>
      <c r="G50" s="222">
        <v>98.315200000000004</v>
      </c>
      <c r="H50"/>
      <c r="I50" s="221">
        <v>44378</v>
      </c>
      <c r="J50" s="222">
        <v>74.701300000000003</v>
      </c>
      <c r="K50" s="222">
        <v>46.906399999999998</v>
      </c>
      <c r="L50"/>
      <c r="M50"/>
      <c r="N50"/>
      <c r="O50" s="221">
        <v>44378</v>
      </c>
      <c r="P50" s="222">
        <v>11.621600000000001</v>
      </c>
      <c r="Q50" s="222">
        <v>46.906399999999998</v>
      </c>
      <c r="R50"/>
      <c r="S50"/>
    </row>
    <row r="51" spans="1:19" x14ac:dyDescent="0.35">
      <c r="A51" s="221">
        <v>44377</v>
      </c>
      <c r="B51" s="222">
        <v>37.260077702628912</v>
      </c>
      <c r="C51"/>
      <c r="D51" s="221">
        <v>44377</v>
      </c>
      <c r="E51" s="222">
        <v>110.5322</v>
      </c>
      <c r="F51" s="222">
        <v>77.822699999999998</v>
      </c>
      <c r="G51" s="222">
        <v>98.240200000000002</v>
      </c>
      <c r="H51"/>
      <c r="I51" s="221">
        <v>44377</v>
      </c>
      <c r="J51" s="222">
        <v>77.822699999999998</v>
      </c>
      <c r="K51" s="222">
        <v>42.4392</v>
      </c>
      <c r="L51"/>
      <c r="M51"/>
      <c r="N51"/>
      <c r="O51" s="221">
        <v>44377</v>
      </c>
      <c r="P51" s="222">
        <v>12.835699999999999</v>
      </c>
      <c r="Q51" s="222">
        <v>42.4392</v>
      </c>
      <c r="R51"/>
      <c r="S51"/>
    </row>
    <row r="52" spans="1:19" x14ac:dyDescent="0.35">
      <c r="A52" s="221">
        <v>44376</v>
      </c>
      <c r="B52" s="222">
        <v>37.792128697958759</v>
      </c>
      <c r="C52"/>
      <c r="D52" s="221">
        <v>44376</v>
      </c>
      <c r="E52" s="222">
        <v>110.3494</v>
      </c>
      <c r="F52" s="222">
        <v>76.840100000000007</v>
      </c>
      <c r="G52" s="222">
        <v>98.242400000000004</v>
      </c>
      <c r="H52"/>
      <c r="I52" s="221">
        <v>44376</v>
      </c>
      <c r="J52" s="222">
        <v>76.840100000000007</v>
      </c>
      <c r="K52" s="222">
        <v>44.0199</v>
      </c>
      <c r="L52"/>
      <c r="M52"/>
      <c r="N52"/>
      <c r="O52" s="221">
        <v>44376</v>
      </c>
      <c r="P52" s="222">
        <v>12.6448</v>
      </c>
      <c r="Q52" s="222">
        <v>44.0199</v>
      </c>
      <c r="R52"/>
      <c r="S52"/>
    </row>
    <row r="53" spans="1:19" x14ac:dyDescent="0.35">
      <c r="A53" s="221">
        <v>44375</v>
      </c>
      <c r="B53" s="222">
        <v>40.983210656759191</v>
      </c>
      <c r="C53"/>
      <c r="D53" s="221">
        <v>44375</v>
      </c>
      <c r="E53" s="222">
        <v>111.16759999999999</v>
      </c>
      <c r="F53" s="222">
        <v>75.433499999999995</v>
      </c>
      <c r="G53" s="222">
        <v>98.166799999999995</v>
      </c>
      <c r="H53"/>
      <c r="I53" s="221">
        <v>44375</v>
      </c>
      <c r="J53" s="222">
        <v>75.433499999999995</v>
      </c>
      <c r="K53" s="222">
        <v>47.787100000000002</v>
      </c>
      <c r="L53"/>
      <c r="M53"/>
      <c r="N53"/>
      <c r="O53" s="221">
        <v>44375</v>
      </c>
      <c r="P53" s="222">
        <v>13.562799999999999</v>
      </c>
      <c r="Q53" s="222">
        <v>47.787100000000002</v>
      </c>
      <c r="R53"/>
      <c r="S53"/>
    </row>
    <row r="54" spans="1:19" x14ac:dyDescent="0.35">
      <c r="A54" s="221">
        <v>44372</v>
      </c>
      <c r="B54" s="222">
        <v>41.167020270544221</v>
      </c>
      <c r="C54"/>
      <c r="D54" s="221">
        <v>44372</v>
      </c>
      <c r="E54" s="222">
        <v>110.9922</v>
      </c>
      <c r="F54" s="222">
        <v>74.643500000000003</v>
      </c>
      <c r="G54" s="222">
        <v>98.239500000000007</v>
      </c>
      <c r="H54"/>
      <c r="I54" s="221">
        <v>44372</v>
      </c>
      <c r="J54" s="222">
        <v>74.643500000000003</v>
      </c>
      <c r="K54" s="222">
        <v>49.107399999999998</v>
      </c>
      <c r="L54"/>
      <c r="M54"/>
      <c r="N54"/>
      <c r="O54" s="221">
        <v>44372</v>
      </c>
      <c r="P54" s="222">
        <v>13.2935</v>
      </c>
      <c r="Q54" s="222">
        <v>49.107399999999998</v>
      </c>
      <c r="R54"/>
      <c r="S54"/>
    </row>
    <row r="55" spans="1:19" x14ac:dyDescent="0.35">
      <c r="A55" s="221">
        <v>44371</v>
      </c>
      <c r="B55" s="222">
        <v>41.703856435196023</v>
      </c>
      <c r="C55"/>
      <c r="D55" s="221">
        <v>44371</v>
      </c>
      <c r="E55" s="222">
        <v>110.8083</v>
      </c>
      <c r="F55" s="222">
        <v>73.8536</v>
      </c>
      <c r="G55" s="222">
        <v>98.183499999999995</v>
      </c>
      <c r="H55"/>
      <c r="I55" s="221">
        <v>44371</v>
      </c>
      <c r="J55" s="222">
        <v>73.8536</v>
      </c>
      <c r="K55" s="222">
        <v>50.450400000000002</v>
      </c>
      <c r="L55"/>
      <c r="M55"/>
      <c r="N55"/>
      <c r="O55" s="221">
        <v>44371</v>
      </c>
      <c r="P55" s="222">
        <v>13.168699999999999</v>
      </c>
      <c r="Q55" s="222">
        <v>50.450400000000002</v>
      </c>
      <c r="R55"/>
      <c r="S55"/>
    </row>
    <row r="56" spans="1:19" x14ac:dyDescent="0.35">
      <c r="A56" s="221">
        <v>44370</v>
      </c>
      <c r="B56" s="222">
        <v>40.19033108947356</v>
      </c>
      <c r="C56"/>
      <c r="D56" s="221">
        <v>44370</v>
      </c>
      <c r="E56" s="222">
        <v>110.3185</v>
      </c>
      <c r="F56" s="222">
        <v>74.585700000000003</v>
      </c>
      <c r="G56" s="222">
        <v>98.0441</v>
      </c>
      <c r="H56"/>
      <c r="I56" s="221">
        <v>44370</v>
      </c>
      <c r="J56" s="222">
        <v>74.585700000000003</v>
      </c>
      <c r="K56" s="222">
        <v>48.314</v>
      </c>
      <c r="L56"/>
      <c r="M56"/>
      <c r="N56"/>
      <c r="O56" s="221">
        <v>44370</v>
      </c>
      <c r="P56" s="222">
        <v>12.8278</v>
      </c>
      <c r="Q56" s="222">
        <v>48.314</v>
      </c>
      <c r="R56"/>
      <c r="S56"/>
    </row>
    <row r="57" spans="1:19" x14ac:dyDescent="0.35">
      <c r="A57" s="221">
        <v>44369</v>
      </c>
      <c r="B57" s="222">
        <v>40.566530511726413</v>
      </c>
      <c r="C57"/>
      <c r="D57" s="221">
        <v>44369</v>
      </c>
      <c r="E57" s="222">
        <v>109.8207</v>
      </c>
      <c r="F57" s="222">
        <v>73.236999999999995</v>
      </c>
      <c r="G57" s="222">
        <v>97.989400000000003</v>
      </c>
      <c r="H57"/>
      <c r="I57" s="221">
        <v>44369</v>
      </c>
      <c r="J57" s="222">
        <v>73.236999999999995</v>
      </c>
      <c r="K57" s="222">
        <v>50.362499999999997</v>
      </c>
      <c r="L57"/>
      <c r="M57"/>
      <c r="N57"/>
      <c r="O57" s="221">
        <v>44369</v>
      </c>
      <c r="P57" s="222">
        <v>12.3805</v>
      </c>
      <c r="Q57" s="222">
        <v>50.362499999999997</v>
      </c>
      <c r="R57"/>
      <c r="S57"/>
    </row>
    <row r="58" spans="1:19" x14ac:dyDescent="0.35">
      <c r="A58" s="221">
        <v>44368</v>
      </c>
      <c r="B58" s="222">
        <v>39.121010955246113</v>
      </c>
      <c r="C58"/>
      <c r="D58" s="221">
        <v>44368</v>
      </c>
      <c r="E58" s="222">
        <v>109.5829</v>
      </c>
      <c r="F58" s="222">
        <v>74.027000000000001</v>
      </c>
      <c r="G58" s="222">
        <v>98.054299999999998</v>
      </c>
      <c r="H58"/>
      <c r="I58" s="221">
        <v>44368</v>
      </c>
      <c r="J58" s="222">
        <v>74.027000000000001</v>
      </c>
      <c r="K58" s="222">
        <v>48.433700000000002</v>
      </c>
      <c r="L58"/>
      <c r="M58"/>
      <c r="N58"/>
      <c r="O58" s="221">
        <v>44368</v>
      </c>
      <c r="P58" s="222">
        <v>12.061400000000001</v>
      </c>
      <c r="Q58" s="222">
        <v>48.433700000000002</v>
      </c>
      <c r="R58"/>
      <c r="S58"/>
    </row>
    <row r="59" spans="1:19" x14ac:dyDescent="0.35">
      <c r="A59" s="221">
        <v>44365</v>
      </c>
      <c r="B59" s="222">
        <v>39.731619252191749</v>
      </c>
      <c r="C59"/>
      <c r="D59" s="221">
        <v>44365</v>
      </c>
      <c r="E59" s="222">
        <v>110.0615</v>
      </c>
      <c r="F59" s="222">
        <v>74.373800000000003</v>
      </c>
      <c r="G59" s="222">
        <v>98.04</v>
      </c>
      <c r="H59"/>
      <c r="I59" s="221">
        <v>44365</v>
      </c>
      <c r="J59" s="222">
        <v>74.373800000000003</v>
      </c>
      <c r="K59" s="222">
        <v>48.376199999999997</v>
      </c>
      <c r="L59"/>
      <c r="M59"/>
      <c r="N59"/>
      <c r="O59" s="221">
        <v>44365</v>
      </c>
      <c r="P59" s="222">
        <v>12.559200000000001</v>
      </c>
      <c r="Q59" s="222">
        <v>48.376199999999997</v>
      </c>
      <c r="R59"/>
      <c r="S59"/>
    </row>
    <row r="60" spans="1:19" x14ac:dyDescent="0.35">
      <c r="A60" s="221">
        <v>44364</v>
      </c>
      <c r="B60" s="222">
        <v>40.563525738160614</v>
      </c>
      <c r="C60"/>
      <c r="D60" s="221">
        <v>44364</v>
      </c>
      <c r="E60" s="222">
        <v>109.36069999999999</v>
      </c>
      <c r="F60" s="222">
        <v>71.965299999999999</v>
      </c>
      <c r="G60" s="222">
        <v>98.053899999999999</v>
      </c>
      <c r="H60"/>
      <c r="I60" s="221">
        <v>44364</v>
      </c>
      <c r="J60" s="222">
        <v>71.965299999999999</v>
      </c>
      <c r="K60" s="222">
        <v>52.365099999999998</v>
      </c>
      <c r="L60"/>
      <c r="M60"/>
      <c r="N60"/>
      <c r="O60" s="221">
        <v>44364</v>
      </c>
      <c r="P60" s="222">
        <v>11.8263</v>
      </c>
      <c r="Q60" s="222">
        <v>52.365099999999998</v>
      </c>
      <c r="R60"/>
      <c r="S60"/>
    </row>
    <row r="61" spans="1:19" x14ac:dyDescent="0.35">
      <c r="A61" s="221">
        <v>44363</v>
      </c>
      <c r="B61" s="222">
        <v>43.813308751420699</v>
      </c>
      <c r="C61"/>
      <c r="D61" s="221">
        <v>44363</v>
      </c>
      <c r="E61" s="222">
        <v>109.6129</v>
      </c>
      <c r="F61" s="222">
        <v>69.132900000000006</v>
      </c>
      <c r="G61" s="222">
        <v>98.1126</v>
      </c>
      <c r="H61"/>
      <c r="I61" s="221">
        <v>44363</v>
      </c>
      <c r="J61" s="222">
        <v>69.132900000000006</v>
      </c>
      <c r="K61" s="222">
        <v>58.969200000000001</v>
      </c>
      <c r="L61"/>
      <c r="M61"/>
      <c r="N61"/>
      <c r="O61" s="221">
        <v>44363</v>
      </c>
      <c r="P61" s="222">
        <v>12.014200000000001</v>
      </c>
      <c r="Q61" s="222">
        <v>58.969200000000001</v>
      </c>
      <c r="R61"/>
      <c r="S61"/>
    </row>
    <row r="62" spans="1:19" x14ac:dyDescent="0.35">
      <c r="A62" s="221">
        <v>44362</v>
      </c>
      <c r="B62" s="222">
        <v>41.957243438509224</v>
      </c>
      <c r="C62"/>
      <c r="D62" s="221">
        <v>44362</v>
      </c>
      <c r="E62" s="222">
        <v>109.9151</v>
      </c>
      <c r="F62" s="222">
        <v>71.522099999999995</v>
      </c>
      <c r="G62" s="222">
        <v>98.138999999999996</v>
      </c>
      <c r="H62"/>
      <c r="I62" s="221">
        <v>44362</v>
      </c>
      <c r="J62" s="222">
        <v>71.522099999999995</v>
      </c>
      <c r="K62" s="222">
        <v>54.078200000000002</v>
      </c>
      <c r="L62"/>
      <c r="M62"/>
      <c r="N62"/>
      <c r="O62" s="221">
        <v>44362</v>
      </c>
      <c r="P62" s="222">
        <v>12.2897</v>
      </c>
      <c r="Q62" s="222">
        <v>54.078200000000002</v>
      </c>
      <c r="R62"/>
      <c r="S62"/>
    </row>
    <row r="63" spans="1:19" x14ac:dyDescent="0.35">
      <c r="A63" s="221">
        <v>44358</v>
      </c>
      <c r="B63" s="222">
        <v>45.641606133208796</v>
      </c>
      <c r="C63"/>
      <c r="D63" s="221">
        <v>44358</v>
      </c>
      <c r="E63" s="222">
        <v>112.1768</v>
      </c>
      <c r="F63" s="222">
        <v>72.716800000000006</v>
      </c>
      <c r="G63" s="222">
        <v>98.044300000000007</v>
      </c>
      <c r="H63"/>
      <c r="I63" s="221">
        <v>44358</v>
      </c>
      <c r="J63" s="222">
        <v>72.716800000000006</v>
      </c>
      <c r="K63" s="222">
        <v>54.645099999999999</v>
      </c>
      <c r="L63"/>
      <c r="M63"/>
      <c r="N63"/>
      <c r="O63" s="221">
        <v>44358</v>
      </c>
      <c r="P63" s="222">
        <v>14.696099999999999</v>
      </c>
      <c r="Q63" s="222">
        <v>54.645099999999999</v>
      </c>
      <c r="R63"/>
      <c r="S63"/>
    </row>
    <row r="64" spans="1:19" x14ac:dyDescent="0.35">
      <c r="A64" s="221">
        <v>44357</v>
      </c>
      <c r="B64" s="222">
        <v>45.83807319567633</v>
      </c>
      <c r="C64"/>
      <c r="D64" s="221">
        <v>44357</v>
      </c>
      <c r="E64" s="222">
        <v>112.926</v>
      </c>
      <c r="F64" s="222">
        <v>74.0077</v>
      </c>
      <c r="G64" s="222">
        <v>98.020700000000005</v>
      </c>
      <c r="H64"/>
      <c r="I64" s="221">
        <v>44357</v>
      </c>
      <c r="J64" s="222">
        <v>74.0077</v>
      </c>
      <c r="K64" s="222">
        <v>52.957099999999997</v>
      </c>
      <c r="L64"/>
      <c r="M64"/>
      <c r="N64"/>
      <c r="O64" s="221">
        <v>44357</v>
      </c>
      <c r="P64" s="222">
        <v>15.485799999999999</v>
      </c>
      <c r="Q64" s="222">
        <v>52.957099999999997</v>
      </c>
      <c r="R64"/>
      <c r="S64"/>
    </row>
    <row r="65" spans="1:19" x14ac:dyDescent="0.35">
      <c r="A65" s="221">
        <v>44356</v>
      </c>
      <c r="B65" s="222">
        <v>46.940525287260826</v>
      </c>
      <c r="C65"/>
      <c r="D65" s="221">
        <v>44356</v>
      </c>
      <c r="E65" s="222">
        <v>113.0402</v>
      </c>
      <c r="F65" s="222">
        <v>73.236999999999995</v>
      </c>
      <c r="G65" s="222">
        <v>98.011099999999999</v>
      </c>
      <c r="H65"/>
      <c r="I65" s="221">
        <v>44356</v>
      </c>
      <c r="J65" s="222">
        <v>73.236999999999995</v>
      </c>
      <c r="K65" s="222">
        <v>54.7196</v>
      </c>
      <c r="L65"/>
      <c r="M65"/>
      <c r="N65"/>
      <c r="O65" s="221">
        <v>44356</v>
      </c>
      <c r="P65" s="222">
        <v>15.6114</v>
      </c>
      <c r="Q65" s="222">
        <v>54.7196</v>
      </c>
      <c r="R65"/>
      <c r="S65"/>
    </row>
    <row r="66" spans="1:19" x14ac:dyDescent="0.35">
      <c r="A66" s="221">
        <v>44355</v>
      </c>
      <c r="B66" s="222">
        <v>47.472185562734126</v>
      </c>
      <c r="C66"/>
      <c r="D66" s="221">
        <v>44355</v>
      </c>
      <c r="E66" s="222">
        <v>113.6674</v>
      </c>
      <c r="F66" s="222">
        <v>73.8536</v>
      </c>
      <c r="G66" s="222">
        <v>98.039299999999997</v>
      </c>
      <c r="H66"/>
      <c r="I66" s="221">
        <v>44355</v>
      </c>
      <c r="J66" s="222">
        <v>73.8536</v>
      </c>
      <c r="K66" s="222">
        <v>54.274099999999997</v>
      </c>
      <c r="L66"/>
      <c r="M66"/>
      <c r="N66"/>
      <c r="O66" s="221">
        <v>44355</v>
      </c>
      <c r="P66" s="222">
        <v>16.215599999999998</v>
      </c>
      <c r="Q66" s="222">
        <v>54.274099999999997</v>
      </c>
      <c r="R66"/>
      <c r="S66"/>
    </row>
    <row r="67" spans="1:19" x14ac:dyDescent="0.35">
      <c r="A67" s="221">
        <v>44354</v>
      </c>
      <c r="B67" s="222">
        <v>45.84710047168825</v>
      </c>
      <c r="C67"/>
      <c r="D67" s="221">
        <v>44354</v>
      </c>
      <c r="E67" s="222">
        <v>113.73260000000001</v>
      </c>
      <c r="F67" s="222">
        <v>75.279399999999995</v>
      </c>
      <c r="G67" s="222">
        <v>98.129499999999993</v>
      </c>
      <c r="H67"/>
      <c r="I67" s="221">
        <v>44354</v>
      </c>
      <c r="J67" s="222">
        <v>75.279399999999995</v>
      </c>
      <c r="K67" s="222">
        <v>51.435899999999997</v>
      </c>
      <c r="L67"/>
      <c r="M67"/>
      <c r="N67"/>
      <c r="O67" s="221">
        <v>44354</v>
      </c>
      <c r="P67" s="222">
        <v>16.172999999999998</v>
      </c>
      <c r="Q67" s="222">
        <v>51.435899999999997</v>
      </c>
      <c r="R67"/>
      <c r="S67"/>
    </row>
    <row r="68" spans="1:19" x14ac:dyDescent="0.35">
      <c r="A68" s="221">
        <v>44351</v>
      </c>
      <c r="B68" s="222">
        <v>44.932367106037589</v>
      </c>
      <c r="C68"/>
      <c r="D68" s="221">
        <v>44351</v>
      </c>
      <c r="E68" s="222">
        <v>112.9122</v>
      </c>
      <c r="F68" s="222">
        <v>74.393100000000004</v>
      </c>
      <c r="G68" s="222">
        <v>98.163200000000003</v>
      </c>
      <c r="H68"/>
      <c r="I68" s="221">
        <v>44351</v>
      </c>
      <c r="J68" s="222">
        <v>74.393100000000004</v>
      </c>
      <c r="K68" s="222">
        <v>52.128399999999999</v>
      </c>
      <c r="L68"/>
      <c r="M68"/>
      <c r="N68"/>
      <c r="O68" s="221">
        <v>44351</v>
      </c>
      <c r="P68" s="222">
        <v>15.290699999999999</v>
      </c>
      <c r="Q68" s="222">
        <v>52.128399999999999</v>
      </c>
      <c r="R68"/>
      <c r="S68"/>
    </row>
    <row r="69" spans="1:19" x14ac:dyDescent="0.35">
      <c r="A69" s="221">
        <v>44350</v>
      </c>
      <c r="B69" s="222">
        <v>45.576404576121874</v>
      </c>
      <c r="C69"/>
      <c r="D69" s="221">
        <v>44350</v>
      </c>
      <c r="E69" s="222">
        <v>112.7414</v>
      </c>
      <c r="F69" s="222">
        <v>73.448899999999995</v>
      </c>
      <c r="G69" s="222">
        <v>98.166399999999996</v>
      </c>
      <c r="H69"/>
      <c r="I69" s="221">
        <v>44350</v>
      </c>
      <c r="J69" s="222">
        <v>73.448899999999995</v>
      </c>
      <c r="K69" s="222">
        <v>53.848500000000001</v>
      </c>
      <c r="L69"/>
      <c r="M69"/>
      <c r="N69"/>
      <c r="O69" s="221">
        <v>44350</v>
      </c>
      <c r="P69" s="222">
        <v>15.1107</v>
      </c>
      <c r="Q69" s="222">
        <v>53.848500000000001</v>
      </c>
      <c r="R69"/>
      <c r="S69"/>
    </row>
    <row r="70" spans="1:19" x14ac:dyDescent="0.35">
      <c r="A70" s="221">
        <v>44349</v>
      </c>
      <c r="B70" s="222">
        <v>43.177580921227623</v>
      </c>
      <c r="C70"/>
      <c r="D70" s="221">
        <v>44349</v>
      </c>
      <c r="E70" s="222">
        <v>110.8466</v>
      </c>
      <c r="F70" s="222">
        <v>71.965299999999999</v>
      </c>
      <c r="G70" s="222">
        <v>98.118499999999997</v>
      </c>
      <c r="H70"/>
      <c r="I70" s="221">
        <v>44349</v>
      </c>
      <c r="J70" s="222">
        <v>71.965299999999999</v>
      </c>
      <c r="K70" s="222">
        <v>54.384099999999997</v>
      </c>
      <c r="L70"/>
      <c r="M70"/>
      <c r="N70"/>
      <c r="O70" s="221">
        <v>44349</v>
      </c>
      <c r="P70" s="222">
        <v>13.233499999999999</v>
      </c>
      <c r="Q70" s="222">
        <v>54.384099999999997</v>
      </c>
      <c r="R70"/>
      <c r="S70"/>
    </row>
    <row r="71" spans="1:19" x14ac:dyDescent="0.35">
      <c r="A71" s="221">
        <v>44348</v>
      </c>
      <c r="B71" s="222">
        <v>43.674241550276179</v>
      </c>
      <c r="C71"/>
      <c r="D71" s="221">
        <v>44348</v>
      </c>
      <c r="E71" s="222">
        <v>110.94580000000001</v>
      </c>
      <c r="F71" s="222">
        <v>71.772599999999997</v>
      </c>
      <c r="G71" s="222">
        <v>98.078199999999995</v>
      </c>
      <c r="H71"/>
      <c r="I71" s="221">
        <v>44348</v>
      </c>
      <c r="J71" s="222">
        <v>71.772599999999997</v>
      </c>
      <c r="K71" s="222">
        <v>54.933799999999998</v>
      </c>
      <c r="L71"/>
      <c r="M71"/>
      <c r="N71"/>
      <c r="O71" s="221">
        <v>44348</v>
      </c>
      <c r="P71" s="222">
        <v>13.3789</v>
      </c>
      <c r="Q71" s="222">
        <v>54.933799999999998</v>
      </c>
      <c r="R71"/>
      <c r="S71"/>
    </row>
    <row r="72" spans="1:19" x14ac:dyDescent="0.35">
      <c r="A72" s="221">
        <v>44347</v>
      </c>
      <c r="B72" s="222">
        <v>43.030311590162555</v>
      </c>
      <c r="C72"/>
      <c r="D72" s="221">
        <v>44347</v>
      </c>
      <c r="E72" s="222">
        <v>110.9479</v>
      </c>
      <c r="F72" s="222">
        <v>72.254300000000001</v>
      </c>
      <c r="G72" s="222">
        <v>98.123599999999996</v>
      </c>
      <c r="H72"/>
      <c r="I72" s="221">
        <v>44347</v>
      </c>
      <c r="J72" s="222">
        <v>72.254300000000001</v>
      </c>
      <c r="K72" s="222">
        <v>53.9009</v>
      </c>
      <c r="L72"/>
      <c r="M72"/>
      <c r="N72"/>
      <c r="O72" s="221">
        <v>44347</v>
      </c>
      <c r="P72" s="222">
        <v>13.326499999999999</v>
      </c>
      <c r="Q72" s="222">
        <v>53.9009</v>
      </c>
      <c r="R72"/>
      <c r="S72"/>
    </row>
    <row r="73" spans="1:19" x14ac:dyDescent="0.35">
      <c r="A73" s="221">
        <v>44344</v>
      </c>
      <c r="B73" s="222">
        <v>43.900492438188905</v>
      </c>
      <c r="C73"/>
      <c r="D73" s="221">
        <v>44344</v>
      </c>
      <c r="E73" s="222">
        <v>111.2145</v>
      </c>
      <c r="F73" s="222">
        <v>71.869</v>
      </c>
      <c r="G73" s="222">
        <v>98.106700000000004</v>
      </c>
      <c r="H73"/>
      <c r="I73" s="221">
        <v>44344</v>
      </c>
      <c r="J73" s="222">
        <v>71.869</v>
      </c>
      <c r="K73" s="222">
        <v>55.087699999999998</v>
      </c>
      <c r="L73"/>
      <c r="M73"/>
      <c r="N73"/>
      <c r="O73" s="221">
        <v>44344</v>
      </c>
      <c r="P73" s="224">
        <v>13.611000000000001</v>
      </c>
      <c r="Q73" s="224">
        <v>55.087699999999998</v>
      </c>
      <c r="R73"/>
      <c r="S73"/>
    </row>
    <row r="74" spans="1:19" x14ac:dyDescent="0.35">
      <c r="A74" s="221">
        <v>44343</v>
      </c>
      <c r="B74" s="222">
        <v>44.038391389790846</v>
      </c>
      <c r="C74"/>
      <c r="D74" s="221">
        <v>44343</v>
      </c>
      <c r="E74" s="222">
        <v>110.9577</v>
      </c>
      <c r="F74" s="222">
        <v>71.271699999999996</v>
      </c>
      <c r="G74" s="222">
        <v>98.065299999999993</v>
      </c>
      <c r="H74"/>
      <c r="I74" s="221">
        <v>44343</v>
      </c>
      <c r="J74" s="222">
        <v>71.271699999999996</v>
      </c>
      <c r="K74" s="222">
        <v>56.024099999999997</v>
      </c>
      <c r="L74"/>
      <c r="M74"/>
      <c r="N74"/>
      <c r="O74" s="221">
        <v>44343</v>
      </c>
      <c r="P74" s="224">
        <v>13.3949</v>
      </c>
      <c r="Q74" s="224">
        <v>56.024099999999997</v>
      </c>
      <c r="R74"/>
      <c r="S74"/>
    </row>
    <row r="75" spans="1:19" x14ac:dyDescent="0.35">
      <c r="A75" s="221">
        <v>44342</v>
      </c>
      <c r="B75" s="222">
        <v>44.08585745450889</v>
      </c>
      <c r="C75"/>
      <c r="D75" s="221">
        <v>44342</v>
      </c>
      <c r="E75" s="222">
        <v>109.8939</v>
      </c>
      <c r="F75" s="222">
        <v>69.113699999999994</v>
      </c>
      <c r="G75" s="222">
        <v>98</v>
      </c>
      <c r="H75"/>
      <c r="I75" s="221">
        <v>44342</v>
      </c>
      <c r="J75" s="222">
        <v>69.113699999999994</v>
      </c>
      <c r="K75" s="222">
        <v>59.353400000000001</v>
      </c>
      <c r="L75"/>
      <c r="M75"/>
      <c r="N75"/>
      <c r="O75" s="221">
        <v>44342</v>
      </c>
      <c r="P75" s="224">
        <v>12.3827</v>
      </c>
      <c r="Q75" s="224">
        <v>59.353400000000001</v>
      </c>
      <c r="R75"/>
      <c r="S75"/>
    </row>
    <row r="76" spans="1:19" x14ac:dyDescent="0.35">
      <c r="A76" s="221">
        <v>44341</v>
      </c>
      <c r="B76" s="222">
        <v>42.320047076314424</v>
      </c>
      <c r="C76"/>
      <c r="D76" s="221">
        <v>44341</v>
      </c>
      <c r="E76" s="222">
        <v>109.59610000000001</v>
      </c>
      <c r="F76" s="222">
        <v>70.2119</v>
      </c>
      <c r="G76" s="222">
        <v>97.991</v>
      </c>
      <c r="H76"/>
      <c r="I76" s="221">
        <v>44341</v>
      </c>
      <c r="J76" s="222">
        <v>70.2119</v>
      </c>
      <c r="K76" s="222">
        <v>56.433599999999998</v>
      </c>
      <c r="L76"/>
      <c r="M76"/>
      <c r="N76"/>
      <c r="O76" s="221">
        <v>44341</v>
      </c>
      <c r="P76" s="224">
        <v>12.0868</v>
      </c>
      <c r="Q76" s="224">
        <v>56.433599999999998</v>
      </c>
      <c r="R76"/>
      <c r="S76"/>
    </row>
    <row r="77" spans="1:19" x14ac:dyDescent="0.35">
      <c r="A77" s="221">
        <v>44340</v>
      </c>
      <c r="B77" s="222">
        <v>42.471924232891531</v>
      </c>
      <c r="C77"/>
      <c r="D77" s="221">
        <v>44340</v>
      </c>
      <c r="E77" s="222">
        <v>108.89830000000001</v>
      </c>
      <c r="F77" s="222">
        <v>68.632000000000005</v>
      </c>
      <c r="G77" s="222">
        <v>97.923900000000003</v>
      </c>
      <c r="H77"/>
      <c r="I77" s="221">
        <v>44340</v>
      </c>
      <c r="J77" s="222">
        <v>68.632000000000005</v>
      </c>
      <c r="K77" s="222">
        <v>59.014699999999998</v>
      </c>
      <c r="L77"/>
      <c r="M77"/>
      <c r="N77"/>
      <c r="O77" s="221">
        <v>44340</v>
      </c>
      <c r="P77" s="224">
        <v>11.4488</v>
      </c>
      <c r="Q77" s="224">
        <v>59.014699999999998</v>
      </c>
      <c r="R77"/>
      <c r="S77"/>
    </row>
    <row r="78" spans="1:19" x14ac:dyDescent="0.35">
      <c r="A78" s="221">
        <v>44337</v>
      </c>
      <c r="B78" s="222">
        <v>42.882477505722875</v>
      </c>
      <c r="C78"/>
      <c r="D78" s="221">
        <v>44337</v>
      </c>
      <c r="E78" s="222">
        <v>108.7899</v>
      </c>
      <c r="F78" s="222">
        <v>67.938299999999998</v>
      </c>
      <c r="G78" s="222">
        <v>97.912199999999999</v>
      </c>
      <c r="H78"/>
      <c r="I78" s="221">
        <v>44337</v>
      </c>
      <c r="J78" s="222">
        <v>67.938299999999998</v>
      </c>
      <c r="K78" s="222">
        <v>60.469099999999997</v>
      </c>
      <c r="L78"/>
      <c r="M78"/>
      <c r="N78"/>
      <c r="O78" s="221">
        <v>44337</v>
      </c>
      <c r="P78" s="224">
        <v>11.3447</v>
      </c>
      <c r="Q78" s="224">
        <v>60.469099999999997</v>
      </c>
      <c r="R78"/>
      <c r="S78"/>
    </row>
    <row r="79" spans="1:19" x14ac:dyDescent="0.35">
      <c r="A79" s="221">
        <v>44336</v>
      </c>
      <c r="B79" s="222">
        <v>43.442999911365419</v>
      </c>
      <c r="C79"/>
      <c r="D79" s="221">
        <v>44336</v>
      </c>
      <c r="E79" s="222">
        <v>109.4551</v>
      </c>
      <c r="F79" s="222">
        <v>69.075100000000006</v>
      </c>
      <c r="G79" s="222">
        <v>97.777199999999993</v>
      </c>
      <c r="H79"/>
      <c r="I79" s="221">
        <v>44336</v>
      </c>
      <c r="J79" s="222">
        <v>69.075100000000006</v>
      </c>
      <c r="K79" s="222">
        <v>58.787999999999997</v>
      </c>
      <c r="L79"/>
      <c r="M79"/>
      <c r="N79"/>
      <c r="O79" s="221">
        <v>44336</v>
      </c>
      <c r="P79" s="224">
        <v>12.176500000000001</v>
      </c>
      <c r="Q79" s="224">
        <v>58.787999999999997</v>
      </c>
      <c r="R79"/>
      <c r="S79"/>
    </row>
    <row r="80" spans="1:19" x14ac:dyDescent="0.35">
      <c r="A80" s="221">
        <v>44335</v>
      </c>
      <c r="B80" s="222">
        <v>42.586497960697692</v>
      </c>
      <c r="C80"/>
      <c r="D80" s="221">
        <v>44335</v>
      </c>
      <c r="E80" s="222">
        <v>109.4532</v>
      </c>
      <c r="F80" s="222">
        <v>69.9422</v>
      </c>
      <c r="G80" s="222">
        <v>97.761399999999995</v>
      </c>
      <c r="H80"/>
      <c r="I80" s="221">
        <v>44335</v>
      </c>
      <c r="J80" s="222">
        <v>69.9422</v>
      </c>
      <c r="K80" s="222">
        <v>56.813800000000001</v>
      </c>
      <c r="L80"/>
      <c r="M80"/>
      <c r="N80"/>
      <c r="O80" s="221">
        <v>44335</v>
      </c>
      <c r="P80" s="224">
        <v>12.1905</v>
      </c>
      <c r="Q80" s="224">
        <v>56.813800000000001</v>
      </c>
      <c r="R80"/>
      <c r="S80"/>
    </row>
    <row r="81" spans="1:19" x14ac:dyDescent="0.35">
      <c r="A81" s="221">
        <v>44334</v>
      </c>
      <c r="B81" s="222">
        <v>43.513458507101852</v>
      </c>
      <c r="C81"/>
      <c r="D81" s="221">
        <v>44334</v>
      </c>
      <c r="E81" s="222">
        <v>109.0454</v>
      </c>
      <c r="F81" s="222">
        <v>68.246600000000001</v>
      </c>
      <c r="G81" s="222">
        <v>97.712100000000007</v>
      </c>
      <c r="H81"/>
      <c r="I81" s="221">
        <v>44334</v>
      </c>
      <c r="J81" s="222">
        <v>68.246600000000001</v>
      </c>
      <c r="K81" s="222">
        <v>60.109099999999998</v>
      </c>
      <c r="L81"/>
      <c r="M81"/>
      <c r="N81"/>
      <c r="O81" s="221">
        <v>44334</v>
      </c>
      <c r="P81" s="224">
        <v>11.827500000000001</v>
      </c>
      <c r="Q81" s="224">
        <v>60.109099999999998</v>
      </c>
      <c r="R81"/>
      <c r="S81"/>
    </row>
    <row r="82" spans="1:19" x14ac:dyDescent="0.35">
      <c r="A82" s="221">
        <v>44333</v>
      </c>
      <c r="B82" s="222">
        <v>42.971596249796868</v>
      </c>
      <c r="C82"/>
      <c r="D82" s="221">
        <v>44333</v>
      </c>
      <c r="E82" s="222">
        <v>109.0556</v>
      </c>
      <c r="F82" s="222">
        <v>68.882499999999993</v>
      </c>
      <c r="G82" s="222">
        <v>97.656899999999993</v>
      </c>
      <c r="H82"/>
      <c r="I82" s="221">
        <v>44333</v>
      </c>
      <c r="J82" s="222">
        <v>68.882499999999993</v>
      </c>
      <c r="K82" s="222">
        <v>58.642600000000002</v>
      </c>
      <c r="L82"/>
      <c r="M82"/>
      <c r="N82"/>
      <c r="O82" s="221">
        <v>44333</v>
      </c>
      <c r="P82" s="224">
        <v>11.898899999999999</v>
      </c>
      <c r="Q82" s="224">
        <v>58.642600000000002</v>
      </c>
      <c r="R82"/>
      <c r="S82"/>
    </row>
    <row r="83" spans="1:19" x14ac:dyDescent="0.35">
      <c r="A83" s="221">
        <v>44330</v>
      </c>
      <c r="B83" s="222">
        <v>41.902449124525795</v>
      </c>
      <c r="C83"/>
      <c r="D83" s="221">
        <v>44330</v>
      </c>
      <c r="E83" s="222">
        <v>108.3682</v>
      </c>
      <c r="F83" s="222">
        <v>68.458600000000004</v>
      </c>
      <c r="G83" s="222">
        <v>97.601600000000005</v>
      </c>
      <c r="H83"/>
      <c r="I83" s="221">
        <v>44330</v>
      </c>
      <c r="J83" s="222">
        <v>68.458600000000004</v>
      </c>
      <c r="K83" s="222">
        <v>58.611199999999997</v>
      </c>
      <c r="L83"/>
      <c r="M83"/>
      <c r="N83"/>
      <c r="O83" s="221">
        <v>44330</v>
      </c>
      <c r="P83" s="224">
        <v>11.251200000000001</v>
      </c>
      <c r="Q83" s="224">
        <v>58.611199999999997</v>
      </c>
      <c r="R83"/>
      <c r="S83"/>
    </row>
    <row r="84" spans="1:19" x14ac:dyDescent="0.35">
      <c r="A84" s="221">
        <v>44329</v>
      </c>
      <c r="B84" s="222">
        <v>43.848183171559782</v>
      </c>
      <c r="C84"/>
      <c r="D84" s="221">
        <v>44329</v>
      </c>
      <c r="E84" s="222">
        <v>108.1884</v>
      </c>
      <c r="F84" s="222">
        <v>66.127200000000002</v>
      </c>
      <c r="G84" s="222">
        <v>97.582899999999995</v>
      </c>
      <c r="H84"/>
      <c r="I84" s="221">
        <v>44329</v>
      </c>
      <c r="J84" s="222">
        <v>66.127200000000002</v>
      </c>
      <c r="K84" s="222">
        <v>63.927999999999997</v>
      </c>
      <c r="L84"/>
      <c r="M84"/>
      <c r="N84"/>
      <c r="O84" s="221">
        <v>44329</v>
      </c>
      <c r="P84" s="224">
        <v>11.0861</v>
      </c>
      <c r="Q84" s="224">
        <v>63.927999999999997</v>
      </c>
      <c r="R84"/>
      <c r="S84"/>
    </row>
    <row r="85" spans="1:19" x14ac:dyDescent="0.35">
      <c r="A85" s="221">
        <v>44328</v>
      </c>
      <c r="B85" s="222">
        <v>45.012489560717128</v>
      </c>
      <c r="C85"/>
      <c r="D85" s="221">
        <v>44328</v>
      </c>
      <c r="E85" s="222">
        <v>108.87860000000001</v>
      </c>
      <c r="F85" s="222">
        <v>66.756200000000007</v>
      </c>
      <c r="G85" s="222">
        <v>97.470500000000001</v>
      </c>
      <c r="H85"/>
      <c r="I85" s="221">
        <v>44328</v>
      </c>
      <c r="J85" s="222">
        <v>66.756200000000007</v>
      </c>
      <c r="K85" s="222">
        <v>63.414000000000001</v>
      </c>
      <c r="L85"/>
      <c r="M85"/>
      <c r="N85"/>
      <c r="O85" s="221">
        <v>44328</v>
      </c>
      <c r="P85" s="224">
        <v>11.92</v>
      </c>
      <c r="Q85" s="224">
        <v>63.414000000000001</v>
      </c>
      <c r="R85"/>
      <c r="S85"/>
    </row>
    <row r="86" spans="1:19" x14ac:dyDescent="0.35">
      <c r="A86" s="221">
        <v>44327</v>
      </c>
      <c r="B86" s="222">
        <v>45.038832825319986</v>
      </c>
      <c r="C86"/>
      <c r="D86" s="221">
        <v>44327</v>
      </c>
      <c r="E86" s="222">
        <v>108.8818</v>
      </c>
      <c r="F86" s="222">
        <v>67.082499999999996</v>
      </c>
      <c r="G86" s="222">
        <v>97.310100000000006</v>
      </c>
      <c r="H86"/>
      <c r="I86" s="221">
        <v>44327</v>
      </c>
      <c r="J86" s="222">
        <v>67.082499999999996</v>
      </c>
      <c r="K86" s="222">
        <v>62.620699999999999</v>
      </c>
      <c r="L86"/>
      <c r="M86"/>
      <c r="N86"/>
      <c r="O86" s="221">
        <v>44327</v>
      </c>
      <c r="P86" s="224">
        <v>12.105499999999999</v>
      </c>
      <c r="Q86" s="224">
        <v>62.620699999999999</v>
      </c>
      <c r="R86"/>
      <c r="S86"/>
    </row>
    <row r="87" spans="1:19" x14ac:dyDescent="0.35">
      <c r="A87" s="221">
        <v>44326</v>
      </c>
      <c r="B87" s="222">
        <v>44.409233983123478</v>
      </c>
      <c r="C87"/>
      <c r="D87" s="221">
        <v>44326</v>
      </c>
      <c r="E87" s="222">
        <v>108.395</v>
      </c>
      <c r="F87" s="222">
        <v>66.641099999999994</v>
      </c>
      <c r="G87" s="222">
        <v>97.292400000000001</v>
      </c>
      <c r="H87"/>
      <c r="I87" s="221">
        <v>44326</v>
      </c>
      <c r="J87" s="222">
        <v>66.641099999999994</v>
      </c>
      <c r="K87" s="222">
        <v>62.963999999999999</v>
      </c>
      <c r="L87"/>
      <c r="M87"/>
      <c r="N87"/>
      <c r="O87" s="221">
        <v>44326</v>
      </c>
      <c r="P87" s="224">
        <v>11.6233</v>
      </c>
      <c r="Q87" s="224">
        <v>62.963999999999999</v>
      </c>
      <c r="R87"/>
      <c r="S87"/>
    </row>
    <row r="88" spans="1:19" x14ac:dyDescent="0.35">
      <c r="A88" s="221">
        <v>44323</v>
      </c>
      <c r="B88" s="222">
        <v>43.453025328329851</v>
      </c>
      <c r="C88"/>
      <c r="D88" s="221">
        <v>44323</v>
      </c>
      <c r="E88" s="222">
        <v>109.0265</v>
      </c>
      <c r="F88" s="222">
        <v>69.136300000000006</v>
      </c>
      <c r="G88" s="222">
        <v>97.168700000000001</v>
      </c>
      <c r="H88"/>
      <c r="I88" s="221">
        <v>44323</v>
      </c>
      <c r="J88" s="222">
        <v>69.136300000000006</v>
      </c>
      <c r="K88" s="222">
        <v>57.986499999999999</v>
      </c>
      <c r="L88"/>
      <c r="M88"/>
      <c r="N88"/>
      <c r="O88" s="221">
        <v>44323</v>
      </c>
      <c r="P88" s="224">
        <v>12.4086</v>
      </c>
      <c r="Q88" s="224">
        <v>57.986499999999999</v>
      </c>
      <c r="R88"/>
      <c r="S88"/>
    </row>
    <row r="89" spans="1:19" x14ac:dyDescent="0.35">
      <c r="A89" s="221">
        <v>44322</v>
      </c>
      <c r="B89" s="222">
        <v>42.79366550033906</v>
      </c>
      <c r="C89"/>
      <c r="D89" s="221">
        <v>44322</v>
      </c>
      <c r="E89" s="222">
        <v>109.8047</v>
      </c>
      <c r="F89" s="222">
        <v>71.420400000000001</v>
      </c>
      <c r="G89" s="222">
        <v>97.169700000000006</v>
      </c>
      <c r="H89"/>
      <c r="I89" s="221">
        <v>44322</v>
      </c>
      <c r="J89" s="222">
        <v>71.420400000000001</v>
      </c>
      <c r="K89" s="222">
        <v>54.020400000000002</v>
      </c>
      <c r="L89"/>
      <c r="M89"/>
      <c r="N89"/>
      <c r="O89" s="221">
        <v>44322</v>
      </c>
      <c r="P89" s="224">
        <v>13.206099999999999</v>
      </c>
      <c r="Q89" s="224">
        <v>54.020400000000002</v>
      </c>
      <c r="R89"/>
      <c r="S89"/>
    </row>
    <row r="90" spans="1:19" x14ac:dyDescent="0.35">
      <c r="A90" s="221">
        <v>44316</v>
      </c>
      <c r="B90" s="222">
        <v>39.918065733167396</v>
      </c>
      <c r="C90"/>
      <c r="D90" s="221">
        <v>44316</v>
      </c>
      <c r="E90" s="222">
        <v>111.2559</v>
      </c>
      <c r="F90" s="222">
        <v>77.101699999999994</v>
      </c>
      <c r="G90" s="222">
        <v>97.174300000000002</v>
      </c>
      <c r="H90"/>
      <c r="I90" s="221">
        <v>44316</v>
      </c>
      <c r="J90" s="222">
        <v>77.101699999999994</v>
      </c>
      <c r="K90" s="222">
        <v>44.5364</v>
      </c>
      <c r="L90"/>
      <c r="M90"/>
      <c r="N90"/>
      <c r="O90" s="221">
        <v>44316</v>
      </c>
      <c r="P90" s="224">
        <v>14.6805</v>
      </c>
      <c r="Q90" s="224">
        <v>44.5364</v>
      </c>
      <c r="R90"/>
      <c r="S90"/>
    </row>
    <row r="91" spans="1:19" x14ac:dyDescent="0.35">
      <c r="A91" s="221">
        <v>44315</v>
      </c>
      <c r="B91" s="222">
        <v>40.238280509984278</v>
      </c>
      <c r="C91"/>
      <c r="D91" s="221">
        <v>44315</v>
      </c>
      <c r="E91" s="222">
        <v>111.98609999999999</v>
      </c>
      <c r="F91" s="222">
        <v>78.119</v>
      </c>
      <c r="G91" s="222">
        <v>97.207700000000003</v>
      </c>
      <c r="H91"/>
      <c r="I91" s="221">
        <v>44315</v>
      </c>
      <c r="J91" s="222">
        <v>78.119</v>
      </c>
      <c r="K91" s="222">
        <v>43.586100000000002</v>
      </c>
      <c r="L91"/>
      <c r="M91"/>
      <c r="N91"/>
      <c r="O91" s="221">
        <v>44315</v>
      </c>
      <c r="P91" s="224">
        <v>15.39</v>
      </c>
      <c r="Q91" s="224">
        <v>43.586100000000002</v>
      </c>
      <c r="R91"/>
      <c r="S91"/>
    </row>
    <row r="92" spans="1:19" x14ac:dyDescent="0.35">
      <c r="A92" s="221">
        <v>44314</v>
      </c>
      <c r="B92" s="222">
        <v>39.488510528885897</v>
      </c>
      <c r="C92"/>
      <c r="D92" s="221">
        <v>44314</v>
      </c>
      <c r="E92" s="222">
        <v>111.6203</v>
      </c>
      <c r="F92" s="222">
        <v>78.080600000000004</v>
      </c>
      <c r="G92" s="222">
        <v>97.237300000000005</v>
      </c>
      <c r="H92"/>
      <c r="I92" s="221">
        <v>44314</v>
      </c>
      <c r="J92" s="222">
        <v>78.080600000000004</v>
      </c>
      <c r="K92" s="222">
        <v>43.185400000000001</v>
      </c>
      <c r="L92"/>
      <c r="M92"/>
      <c r="N92"/>
      <c r="O92" s="221">
        <v>44314</v>
      </c>
      <c r="P92" s="224">
        <v>14.9765</v>
      </c>
      <c r="Q92" s="224">
        <v>43.185400000000001</v>
      </c>
      <c r="R92"/>
      <c r="S92"/>
    </row>
    <row r="93" spans="1:19" x14ac:dyDescent="0.35">
      <c r="A93" s="221">
        <v>44313</v>
      </c>
      <c r="B93" s="222">
        <v>40.543879467801943</v>
      </c>
      <c r="C93"/>
      <c r="D93" s="221">
        <v>44313</v>
      </c>
      <c r="E93" s="222">
        <v>111.5205</v>
      </c>
      <c r="F93" s="222">
        <v>76.967399999999998</v>
      </c>
      <c r="G93" s="222">
        <v>97.143900000000002</v>
      </c>
      <c r="H93"/>
      <c r="I93" s="221">
        <v>44313</v>
      </c>
      <c r="J93" s="222">
        <v>76.967399999999998</v>
      </c>
      <c r="K93" s="222">
        <v>45.123800000000003</v>
      </c>
      <c r="L93"/>
      <c r="M93"/>
      <c r="N93"/>
      <c r="O93" s="221">
        <v>44313</v>
      </c>
      <c r="P93" s="224">
        <v>14.981999999999999</v>
      </c>
      <c r="Q93" s="224">
        <v>45.123800000000003</v>
      </c>
      <c r="R93"/>
      <c r="S93"/>
    </row>
    <row r="94" spans="1:19" x14ac:dyDescent="0.35">
      <c r="A94" s="221">
        <v>44312</v>
      </c>
      <c r="B94" s="222">
        <v>39.84009313739201</v>
      </c>
      <c r="C94"/>
      <c r="D94" s="221">
        <v>44312</v>
      </c>
      <c r="E94" s="222">
        <v>112.8237</v>
      </c>
      <c r="F94" s="222">
        <v>80.057599999999994</v>
      </c>
      <c r="G94" s="222">
        <v>97.201400000000007</v>
      </c>
      <c r="H94"/>
      <c r="I94" s="221">
        <v>44312</v>
      </c>
      <c r="J94" s="222">
        <v>80.057599999999994</v>
      </c>
      <c r="K94" s="222">
        <v>41.147100000000002</v>
      </c>
      <c r="L94"/>
      <c r="M94"/>
      <c r="N94"/>
      <c r="O94" s="221">
        <v>44312</v>
      </c>
      <c r="P94" s="224">
        <v>16.252400000000002</v>
      </c>
      <c r="Q94" s="224">
        <v>41.147100000000002</v>
      </c>
      <c r="R94"/>
      <c r="S94"/>
    </row>
    <row r="95" spans="1:19" x14ac:dyDescent="0.35">
      <c r="A95" s="221">
        <v>44309</v>
      </c>
      <c r="B95" s="222">
        <v>38.91921161756165</v>
      </c>
      <c r="C95"/>
      <c r="D95" s="221">
        <v>44309</v>
      </c>
      <c r="E95" s="222">
        <v>113.13120000000001</v>
      </c>
      <c r="F95" s="222">
        <v>81.765799999999999</v>
      </c>
      <c r="G95" s="222">
        <v>97.061300000000003</v>
      </c>
      <c r="H95"/>
      <c r="I95" s="221">
        <v>44309</v>
      </c>
      <c r="J95" s="222">
        <v>81.765799999999999</v>
      </c>
      <c r="K95" s="222">
        <v>38.566499999999998</v>
      </c>
      <c r="L95"/>
      <c r="M95"/>
      <c r="N95"/>
      <c r="O95" s="221">
        <v>44309</v>
      </c>
      <c r="P95" s="224">
        <v>16.730399999999999</v>
      </c>
      <c r="Q95" s="224">
        <v>38.566499999999998</v>
      </c>
      <c r="R95"/>
      <c r="S95"/>
    </row>
    <row r="96" spans="1:19" x14ac:dyDescent="0.35">
      <c r="A96" s="221">
        <v>44308</v>
      </c>
      <c r="B96" s="222">
        <v>39.929619743510877</v>
      </c>
      <c r="C96"/>
      <c r="D96" s="221">
        <v>44308</v>
      </c>
      <c r="E96" s="222">
        <v>113.29340000000001</v>
      </c>
      <c r="F96" s="222">
        <v>80.998099999999994</v>
      </c>
      <c r="G96" s="222">
        <v>97.080500000000001</v>
      </c>
      <c r="H96"/>
      <c r="I96" s="221">
        <v>44308</v>
      </c>
      <c r="J96" s="222">
        <v>80.998099999999994</v>
      </c>
      <c r="K96" s="222">
        <v>40.077399999999997</v>
      </c>
      <c r="L96"/>
      <c r="M96"/>
      <c r="N96"/>
      <c r="O96" s="221">
        <v>44308</v>
      </c>
      <c r="P96" s="224">
        <v>16.8721</v>
      </c>
      <c r="Q96" s="224">
        <v>40.077399999999997</v>
      </c>
      <c r="R96"/>
      <c r="S96"/>
    </row>
    <row r="97" spans="1:19" x14ac:dyDescent="0.35">
      <c r="A97" s="221">
        <v>44307</v>
      </c>
      <c r="B97" s="222">
        <v>42.404006223627214</v>
      </c>
      <c r="C97"/>
      <c r="D97" s="221">
        <v>44307</v>
      </c>
      <c r="E97" s="222">
        <v>115.0496</v>
      </c>
      <c r="F97" s="222">
        <v>81.765799999999999</v>
      </c>
      <c r="G97" s="222">
        <v>97.072599999999994</v>
      </c>
      <c r="H97"/>
      <c r="I97" s="221">
        <v>44307</v>
      </c>
      <c r="J97" s="222">
        <v>81.765799999999999</v>
      </c>
      <c r="K97" s="222">
        <v>40.907299999999999</v>
      </c>
      <c r="L97"/>
      <c r="M97"/>
      <c r="N97"/>
      <c r="O97" s="221">
        <v>44307</v>
      </c>
      <c r="P97" s="224">
        <v>18.688500000000001</v>
      </c>
      <c r="Q97" s="224">
        <v>40.907299999999999</v>
      </c>
      <c r="R97"/>
      <c r="S97"/>
    </row>
    <row r="98" spans="1:19" x14ac:dyDescent="0.35">
      <c r="A98" s="221">
        <v>44306</v>
      </c>
      <c r="B98" s="222">
        <v>43.367245799922529</v>
      </c>
      <c r="C98"/>
      <c r="D98" s="221">
        <v>44306</v>
      </c>
      <c r="E98" s="222">
        <v>115.9178</v>
      </c>
      <c r="F98" s="222">
        <v>82.303299999999993</v>
      </c>
      <c r="G98" s="222">
        <v>97.102599999999995</v>
      </c>
      <c r="H98"/>
      <c r="I98" s="221">
        <v>44306</v>
      </c>
      <c r="J98" s="222">
        <v>82.303299999999993</v>
      </c>
      <c r="K98" s="222">
        <v>41.039299999999997</v>
      </c>
      <c r="L98"/>
      <c r="M98"/>
      <c r="N98"/>
      <c r="O98" s="221">
        <v>44306</v>
      </c>
      <c r="P98" s="224">
        <v>19.543700000000001</v>
      </c>
      <c r="Q98" s="224">
        <v>41.039299999999997</v>
      </c>
      <c r="R98"/>
      <c r="S98"/>
    </row>
    <row r="99" spans="1:19" x14ac:dyDescent="0.35">
      <c r="A99" s="221">
        <v>44305</v>
      </c>
      <c r="B99" s="222">
        <v>40.66221432298444</v>
      </c>
      <c r="C99"/>
      <c r="D99" s="221">
        <v>44305</v>
      </c>
      <c r="E99" s="222">
        <v>114.798</v>
      </c>
      <c r="F99" s="222">
        <v>82.917500000000004</v>
      </c>
      <c r="G99" s="222">
        <v>97.105999999999995</v>
      </c>
      <c r="H99"/>
      <c r="I99" s="221">
        <v>44305</v>
      </c>
      <c r="J99" s="222">
        <v>82.917500000000004</v>
      </c>
      <c r="K99" s="222">
        <v>38.641399999999997</v>
      </c>
      <c r="L99"/>
      <c r="M99"/>
      <c r="N99"/>
      <c r="O99" s="221">
        <v>44305</v>
      </c>
      <c r="P99" s="224">
        <v>18.384</v>
      </c>
      <c r="Q99" s="224">
        <v>38.641399999999997</v>
      </c>
      <c r="R99"/>
      <c r="S99"/>
    </row>
    <row r="100" spans="1:19" x14ac:dyDescent="0.35">
      <c r="A100" s="221">
        <v>44302</v>
      </c>
      <c r="B100" s="222">
        <v>39.311641274988858</v>
      </c>
      <c r="C100"/>
      <c r="D100" s="221">
        <v>44302</v>
      </c>
      <c r="E100" s="222">
        <v>112.3566</v>
      </c>
      <c r="F100" s="222">
        <v>79.712100000000007</v>
      </c>
      <c r="G100" s="222">
        <v>97.061700000000002</v>
      </c>
      <c r="H100"/>
      <c r="I100" s="221">
        <v>44302</v>
      </c>
      <c r="J100" s="222">
        <v>79.712100000000007</v>
      </c>
      <c r="K100" s="222">
        <v>41.145400000000002</v>
      </c>
      <c r="L100"/>
      <c r="M100"/>
      <c r="N100"/>
      <c r="O100" s="221">
        <v>44302</v>
      </c>
      <c r="P100" s="224">
        <v>15.916</v>
      </c>
      <c r="Q100" s="224">
        <v>41.145400000000002</v>
      </c>
      <c r="R100"/>
      <c r="S100"/>
    </row>
    <row r="101" spans="1:19" x14ac:dyDescent="0.35">
      <c r="A101" s="221">
        <v>44301</v>
      </c>
      <c r="B101" s="222">
        <v>38.718456193731789</v>
      </c>
      <c r="C101"/>
      <c r="D101" s="221">
        <v>44301</v>
      </c>
      <c r="E101" s="222">
        <v>111.9988</v>
      </c>
      <c r="F101" s="222">
        <v>79.635300000000001</v>
      </c>
      <c r="G101" s="222">
        <v>97.055800000000005</v>
      </c>
      <c r="H101"/>
      <c r="I101" s="221">
        <v>44301</v>
      </c>
      <c r="J101" s="222">
        <v>79.635300000000001</v>
      </c>
      <c r="K101" s="222">
        <v>40.829500000000003</v>
      </c>
      <c r="L101"/>
      <c r="M101"/>
      <c r="N101"/>
      <c r="O101" s="221">
        <v>44301</v>
      </c>
      <c r="P101" s="224">
        <v>15.552099999999999</v>
      </c>
      <c r="Q101" s="224">
        <v>40.829500000000003</v>
      </c>
      <c r="R101"/>
      <c r="S101"/>
    </row>
    <row r="102" spans="1:19" x14ac:dyDescent="0.35">
      <c r="A102" s="221">
        <v>44300</v>
      </c>
      <c r="B102" s="222">
        <v>39.857832636486137</v>
      </c>
      <c r="C102"/>
      <c r="D102" s="221">
        <v>44300</v>
      </c>
      <c r="E102" s="222">
        <v>111.551</v>
      </c>
      <c r="F102" s="222">
        <v>77.62</v>
      </c>
      <c r="G102" s="222">
        <v>97.025499999999994</v>
      </c>
      <c r="H102"/>
      <c r="I102" s="221">
        <v>44300</v>
      </c>
      <c r="J102" s="222">
        <v>77.62</v>
      </c>
      <c r="K102" s="222">
        <v>43.906199999999998</v>
      </c>
      <c r="L102"/>
      <c r="M102"/>
      <c r="N102"/>
      <c r="O102" s="221">
        <v>44300</v>
      </c>
      <c r="P102" s="224">
        <v>15.1244</v>
      </c>
      <c r="Q102" s="224">
        <v>43.906199999999998</v>
      </c>
      <c r="R102"/>
      <c r="S102"/>
    </row>
    <row r="103" spans="1:19" x14ac:dyDescent="0.35">
      <c r="A103" s="221">
        <v>44299</v>
      </c>
      <c r="B103" s="222">
        <v>41.375104843503266</v>
      </c>
      <c r="C103"/>
      <c r="D103" s="221">
        <v>44299</v>
      </c>
      <c r="E103" s="222">
        <v>111.83620000000001</v>
      </c>
      <c r="F103" s="222">
        <v>76.7179</v>
      </c>
      <c r="G103" s="222">
        <v>96.971800000000002</v>
      </c>
      <c r="H103"/>
      <c r="I103" s="221">
        <v>44299</v>
      </c>
      <c r="J103" s="222">
        <v>76.7179</v>
      </c>
      <c r="K103" s="222">
        <v>45.967199999999998</v>
      </c>
      <c r="L103"/>
      <c r="M103"/>
      <c r="N103"/>
      <c r="O103" s="221">
        <v>44299</v>
      </c>
      <c r="P103" s="224">
        <v>15.48</v>
      </c>
      <c r="Q103" s="224">
        <v>45.967199999999998</v>
      </c>
      <c r="R103"/>
      <c r="S103"/>
    </row>
    <row r="104" spans="1:19" x14ac:dyDescent="0.35">
      <c r="A104" s="221">
        <v>44298</v>
      </c>
      <c r="B104" s="222">
        <v>41.071775019168854</v>
      </c>
      <c r="C104"/>
      <c r="D104" s="221">
        <v>44298</v>
      </c>
      <c r="E104" s="222">
        <v>111.25530000000001</v>
      </c>
      <c r="F104" s="222">
        <v>76.046099999999996</v>
      </c>
      <c r="G104" s="222">
        <v>96.870400000000004</v>
      </c>
      <c r="H104"/>
      <c r="I104" s="221">
        <v>44298</v>
      </c>
      <c r="J104" s="222">
        <v>76.046099999999996</v>
      </c>
      <c r="K104" s="222">
        <v>46.490099999999998</v>
      </c>
      <c r="L104"/>
      <c r="M104"/>
      <c r="N104"/>
      <c r="O104" s="221">
        <v>44298</v>
      </c>
      <c r="P104" s="224">
        <v>14.999000000000001</v>
      </c>
      <c r="Q104" s="224">
        <v>46.490099999999998</v>
      </c>
      <c r="R104"/>
      <c r="S104"/>
    </row>
    <row r="105" spans="1:19" x14ac:dyDescent="0.35">
      <c r="A105" s="221">
        <v>44295</v>
      </c>
      <c r="B105" s="222">
        <v>40.922052887918497</v>
      </c>
      <c r="C105"/>
      <c r="D105" s="221">
        <v>44295</v>
      </c>
      <c r="E105" s="222">
        <v>112.5519</v>
      </c>
      <c r="F105" s="222">
        <v>78.694800000000001</v>
      </c>
      <c r="G105" s="222">
        <v>96.845699999999994</v>
      </c>
      <c r="H105"/>
      <c r="I105" s="221">
        <v>44295</v>
      </c>
      <c r="J105" s="222">
        <v>78.694800000000001</v>
      </c>
      <c r="K105" s="222">
        <v>43.198799999999999</v>
      </c>
      <c r="L105"/>
      <c r="M105"/>
      <c r="N105"/>
      <c r="O105" s="221">
        <v>44295</v>
      </c>
      <c r="P105" s="224">
        <v>16.360399999999998</v>
      </c>
      <c r="Q105" s="224">
        <v>43.198799999999999</v>
      </c>
      <c r="R105"/>
      <c r="S105"/>
    </row>
    <row r="106" spans="1:19" x14ac:dyDescent="0.35">
      <c r="A106" s="221">
        <v>44294</v>
      </c>
      <c r="B106" s="222">
        <v>40.103327388528868</v>
      </c>
      <c r="C106"/>
      <c r="D106" s="221">
        <v>44294</v>
      </c>
      <c r="E106" s="222">
        <v>112.4661</v>
      </c>
      <c r="F106" s="222">
        <v>79.424199999999999</v>
      </c>
      <c r="G106" s="222">
        <v>96.803100000000001</v>
      </c>
      <c r="H106"/>
      <c r="I106" s="221">
        <v>44294</v>
      </c>
      <c r="J106" s="222">
        <v>79.424199999999999</v>
      </c>
      <c r="K106" s="222">
        <v>41.7729</v>
      </c>
      <c r="L106"/>
      <c r="M106"/>
      <c r="N106"/>
      <c r="O106" s="221">
        <v>44294</v>
      </c>
      <c r="P106" s="224">
        <v>16.320699999999999</v>
      </c>
      <c r="Q106" s="224">
        <v>41.7729</v>
      </c>
      <c r="R106"/>
      <c r="S106"/>
    </row>
    <row r="107" spans="1:19" x14ac:dyDescent="0.35">
      <c r="A107" s="221">
        <v>44293</v>
      </c>
      <c r="B107" s="222">
        <v>38.746230920377336</v>
      </c>
      <c r="C107"/>
      <c r="D107" s="221">
        <v>44293</v>
      </c>
      <c r="E107" s="222">
        <v>112.6733</v>
      </c>
      <c r="F107" s="222">
        <v>81.305199999999999</v>
      </c>
      <c r="G107" s="222">
        <v>96.7273</v>
      </c>
      <c r="H107"/>
      <c r="I107" s="221">
        <v>44293</v>
      </c>
      <c r="J107" s="222">
        <v>81.305199999999999</v>
      </c>
      <c r="K107" s="222">
        <v>38.745100000000001</v>
      </c>
      <c r="L107"/>
      <c r="M107"/>
      <c r="N107"/>
      <c r="O107" s="221">
        <v>44293</v>
      </c>
      <c r="P107" s="224">
        <v>16.623699999999999</v>
      </c>
      <c r="Q107" s="224">
        <v>38.745100000000001</v>
      </c>
      <c r="R107"/>
      <c r="S107"/>
    </row>
    <row r="108" spans="1:19" x14ac:dyDescent="0.35">
      <c r="A108" s="221">
        <v>44292</v>
      </c>
      <c r="B108" s="222">
        <v>40.166531448567802</v>
      </c>
      <c r="C108"/>
      <c r="D108" s="221">
        <v>44292</v>
      </c>
      <c r="E108" s="222">
        <v>112.5685</v>
      </c>
      <c r="F108" s="222">
        <v>79.635300000000001</v>
      </c>
      <c r="G108" s="222">
        <v>96.728200000000001</v>
      </c>
      <c r="H108"/>
      <c r="I108" s="221">
        <v>44292</v>
      </c>
      <c r="J108" s="222">
        <v>79.635300000000001</v>
      </c>
      <c r="K108" s="222">
        <v>41.520200000000003</v>
      </c>
      <c r="L108"/>
      <c r="M108"/>
      <c r="N108"/>
      <c r="O108" s="221">
        <v>44292</v>
      </c>
      <c r="P108" s="224">
        <v>16.512</v>
      </c>
      <c r="Q108" s="224">
        <v>41.520200000000003</v>
      </c>
      <c r="R108"/>
      <c r="S108"/>
    </row>
    <row r="109" spans="1:19" x14ac:dyDescent="0.35">
      <c r="A109" s="221">
        <v>44288</v>
      </c>
      <c r="B109" s="222">
        <v>38.591003204420318</v>
      </c>
      <c r="C109"/>
      <c r="D109" s="221">
        <v>44288</v>
      </c>
      <c r="E109" s="222">
        <v>112.3873</v>
      </c>
      <c r="F109" s="222">
        <v>80.844499999999996</v>
      </c>
      <c r="G109" s="222">
        <v>96.711799999999997</v>
      </c>
      <c r="H109"/>
      <c r="I109" s="221">
        <v>44288</v>
      </c>
      <c r="J109" s="222">
        <v>80.844499999999996</v>
      </c>
      <c r="K109" s="222">
        <v>39.168399999999998</v>
      </c>
      <c r="L109"/>
      <c r="M109"/>
      <c r="N109"/>
      <c r="O109" s="221">
        <v>44288</v>
      </c>
      <c r="P109" s="224">
        <v>16.3353</v>
      </c>
      <c r="Q109" s="224">
        <v>39.168399999999998</v>
      </c>
      <c r="R109"/>
      <c r="S109"/>
    </row>
    <row r="110" spans="1:19" x14ac:dyDescent="0.35">
      <c r="A110" s="221">
        <v>44287</v>
      </c>
      <c r="B110" s="222">
        <v>40.170185747111603</v>
      </c>
      <c r="C110"/>
      <c r="D110" s="221">
        <v>44287</v>
      </c>
      <c r="E110" s="222">
        <v>113.3775</v>
      </c>
      <c r="F110" s="222">
        <v>81.209199999999996</v>
      </c>
      <c r="G110" s="222">
        <v>96.632900000000006</v>
      </c>
      <c r="H110"/>
      <c r="I110" s="221">
        <v>44287</v>
      </c>
      <c r="J110" s="222">
        <v>81.209199999999996</v>
      </c>
      <c r="K110" s="222">
        <v>39.76</v>
      </c>
      <c r="L110"/>
      <c r="M110"/>
      <c r="N110"/>
      <c r="O110" s="221">
        <v>44287</v>
      </c>
      <c r="P110" s="223">
        <v>17.4528</v>
      </c>
      <c r="Q110" s="223">
        <v>39.76</v>
      </c>
      <c r="R110"/>
      <c r="S110"/>
    </row>
    <row r="111" spans="1:19" x14ac:dyDescent="0.35">
      <c r="A111" s="221">
        <v>44286</v>
      </c>
      <c r="B111" s="222">
        <v>38.980939621636153</v>
      </c>
      <c r="C111"/>
      <c r="D111" s="221">
        <v>44286</v>
      </c>
      <c r="E111" s="222">
        <v>112.7816</v>
      </c>
      <c r="F111" s="222">
        <v>81.305199999999999</v>
      </c>
      <c r="G111" s="222">
        <v>96.623500000000007</v>
      </c>
      <c r="H111"/>
      <c r="I111" s="221">
        <v>44286</v>
      </c>
      <c r="J111" s="222">
        <v>81.305199999999999</v>
      </c>
      <c r="K111" s="222">
        <v>38.859499999999997</v>
      </c>
      <c r="L111"/>
      <c r="M111"/>
      <c r="N111"/>
      <c r="O111" s="221">
        <v>44286</v>
      </c>
      <c r="P111" s="223">
        <v>16.845300000000002</v>
      </c>
      <c r="Q111" s="223">
        <v>38.859499999999997</v>
      </c>
      <c r="R111"/>
      <c r="S111"/>
    </row>
    <row r="112" spans="1:19" x14ac:dyDescent="0.35">
      <c r="A112" s="221">
        <v>44285</v>
      </c>
      <c r="B112" s="222">
        <v>38.113447149638326</v>
      </c>
      <c r="C112"/>
      <c r="D112" s="221">
        <v>44285</v>
      </c>
      <c r="E112" s="222">
        <v>111.7368</v>
      </c>
      <c r="F112" s="222">
        <v>80.115200000000002</v>
      </c>
      <c r="G112" s="222">
        <v>96.653700000000001</v>
      </c>
      <c r="H112"/>
      <c r="I112" s="221">
        <v>44285</v>
      </c>
      <c r="J112" s="222">
        <v>80.115200000000002</v>
      </c>
      <c r="K112" s="222">
        <v>39.615200000000002</v>
      </c>
      <c r="L112"/>
      <c r="M112"/>
      <c r="N112"/>
      <c r="O112" s="221">
        <v>44285</v>
      </c>
      <c r="P112" s="223">
        <v>15.7255</v>
      </c>
      <c r="Q112" s="223">
        <v>39.615200000000002</v>
      </c>
      <c r="R112"/>
      <c r="S112"/>
    </row>
    <row r="113" spans="1:19" x14ac:dyDescent="0.35">
      <c r="A113" s="221">
        <v>44284</v>
      </c>
      <c r="B113" s="222">
        <v>37.675628723592638</v>
      </c>
      <c r="C113"/>
      <c r="D113" s="221">
        <v>44284</v>
      </c>
      <c r="E113" s="222">
        <v>111.33</v>
      </c>
      <c r="F113" s="222">
        <v>79.731300000000005</v>
      </c>
      <c r="G113" s="222">
        <v>96.662499999999994</v>
      </c>
      <c r="H113"/>
      <c r="I113" s="221">
        <v>44284</v>
      </c>
      <c r="J113" s="222">
        <v>79.731300000000005</v>
      </c>
      <c r="K113" s="222">
        <v>39.774500000000003</v>
      </c>
      <c r="L113"/>
      <c r="M113"/>
      <c r="N113"/>
      <c r="O113" s="221">
        <v>44284</v>
      </c>
      <c r="P113" s="223">
        <v>15.2919</v>
      </c>
      <c r="Q113" s="223">
        <v>39.774500000000003</v>
      </c>
      <c r="R113"/>
      <c r="S113"/>
    </row>
    <row r="114" spans="1:19" x14ac:dyDescent="0.35">
      <c r="A114" s="221">
        <v>44281</v>
      </c>
      <c r="B114" s="222">
        <v>37.188009230882116</v>
      </c>
      <c r="C114"/>
      <c r="D114" s="221">
        <v>44281</v>
      </c>
      <c r="E114" s="222">
        <v>110.8926</v>
      </c>
      <c r="F114" s="222">
        <v>79.328199999999995</v>
      </c>
      <c r="G114" s="222">
        <v>96.645300000000006</v>
      </c>
      <c r="H114"/>
      <c r="I114" s="221">
        <v>44281</v>
      </c>
      <c r="J114" s="222">
        <v>79.328199999999995</v>
      </c>
      <c r="K114" s="222">
        <v>39.924999999999997</v>
      </c>
      <c r="L114"/>
      <c r="M114"/>
      <c r="N114"/>
      <c r="O114" s="221">
        <v>44281</v>
      </c>
      <c r="P114" s="223">
        <v>14.853</v>
      </c>
      <c r="Q114" s="223">
        <v>39.924999999999997</v>
      </c>
      <c r="R114"/>
      <c r="S114"/>
    </row>
    <row r="115" spans="1:19" x14ac:dyDescent="0.35">
      <c r="A115" s="221">
        <v>44280</v>
      </c>
      <c r="B115" s="222">
        <v>35.994538157331242</v>
      </c>
      <c r="C115"/>
      <c r="D115" s="221">
        <v>44280</v>
      </c>
      <c r="E115" s="222">
        <v>109.1948</v>
      </c>
      <c r="F115" s="222">
        <v>77.216899999999995</v>
      </c>
      <c r="G115" s="222">
        <v>96.636600000000001</v>
      </c>
      <c r="H115"/>
      <c r="I115" s="221">
        <v>44280</v>
      </c>
      <c r="J115" s="222">
        <v>77.216899999999995</v>
      </c>
      <c r="K115" s="222">
        <v>41.549300000000002</v>
      </c>
      <c r="L115"/>
      <c r="M115"/>
      <c r="N115"/>
      <c r="O115" s="221">
        <v>44280</v>
      </c>
      <c r="P115" s="223">
        <v>13.104100000000001</v>
      </c>
      <c r="Q115" s="223">
        <v>41.549300000000002</v>
      </c>
      <c r="R115"/>
      <c r="S115"/>
    </row>
    <row r="116" spans="1:19" x14ac:dyDescent="0.35">
      <c r="A116" s="221">
        <v>44279</v>
      </c>
      <c r="B116" s="222">
        <v>38.487018670811118</v>
      </c>
      <c r="C116"/>
      <c r="D116" s="221">
        <v>44279</v>
      </c>
      <c r="E116" s="222">
        <v>109.747</v>
      </c>
      <c r="F116" s="222">
        <v>75.719800000000006</v>
      </c>
      <c r="G116" s="222">
        <v>96.592299999999994</v>
      </c>
      <c r="H116"/>
      <c r="I116" s="221">
        <v>44279</v>
      </c>
      <c r="J116" s="222">
        <v>75.719800000000006</v>
      </c>
      <c r="K116" s="222">
        <v>45.074300000000001</v>
      </c>
      <c r="L116"/>
      <c r="M116"/>
      <c r="N116"/>
      <c r="O116" s="221">
        <v>44279</v>
      </c>
      <c r="P116" s="223">
        <v>13.7254</v>
      </c>
      <c r="Q116" s="223">
        <v>45.074300000000001</v>
      </c>
      <c r="R116"/>
      <c r="S116"/>
    </row>
    <row r="117" spans="1:19" x14ac:dyDescent="0.35">
      <c r="A117" s="221">
        <v>44278</v>
      </c>
      <c r="B117" s="222">
        <v>40.121630192140636</v>
      </c>
      <c r="C117"/>
      <c r="D117" s="221">
        <v>44278</v>
      </c>
      <c r="E117" s="222">
        <v>111.1992</v>
      </c>
      <c r="F117" s="222">
        <v>77.063299999999998</v>
      </c>
      <c r="G117" s="222">
        <v>96.527900000000002</v>
      </c>
      <c r="H117"/>
      <c r="I117" s="221">
        <v>44278</v>
      </c>
      <c r="J117" s="222">
        <v>77.063299999999998</v>
      </c>
      <c r="K117" s="222">
        <v>44.426699999999997</v>
      </c>
      <c r="L117"/>
      <c r="M117"/>
      <c r="N117"/>
      <c r="O117" s="221">
        <v>44278</v>
      </c>
      <c r="P117" s="223">
        <v>15.3035</v>
      </c>
      <c r="Q117" s="223">
        <v>44.426699999999997</v>
      </c>
      <c r="R117"/>
      <c r="S117"/>
    </row>
    <row r="118" spans="1:19" x14ac:dyDescent="0.35">
      <c r="A118" s="221">
        <v>44277</v>
      </c>
      <c r="B118" s="222">
        <v>41.100181002379188</v>
      </c>
      <c r="C118"/>
      <c r="D118" s="221">
        <v>44277</v>
      </c>
      <c r="E118" s="222">
        <v>111.3514</v>
      </c>
      <c r="F118" s="222">
        <v>76.506699999999995</v>
      </c>
      <c r="G118" s="222">
        <v>96.439099999999996</v>
      </c>
      <c r="H118"/>
      <c r="I118" s="221">
        <v>44277</v>
      </c>
      <c r="J118" s="222">
        <v>76.506699999999995</v>
      </c>
      <c r="K118" s="222">
        <v>45.673499999999997</v>
      </c>
      <c r="L118"/>
      <c r="M118"/>
      <c r="N118"/>
      <c r="O118" s="221">
        <v>44277</v>
      </c>
      <c r="P118" s="223">
        <v>15.565200000000001</v>
      </c>
      <c r="Q118" s="223">
        <v>45.673499999999997</v>
      </c>
      <c r="R118"/>
      <c r="S118"/>
    </row>
    <row r="119" spans="1:19" x14ac:dyDescent="0.35">
      <c r="A119" s="221">
        <v>44274</v>
      </c>
      <c r="B119" s="222">
        <v>41.272491624175288</v>
      </c>
      <c r="C119"/>
      <c r="D119" s="221">
        <v>44274</v>
      </c>
      <c r="E119" s="222">
        <v>110.9079</v>
      </c>
      <c r="F119" s="222">
        <v>75.527799999999999</v>
      </c>
      <c r="G119" s="222">
        <v>96.365099999999998</v>
      </c>
      <c r="H119"/>
      <c r="I119" s="221">
        <v>44274</v>
      </c>
      <c r="J119" s="222">
        <v>75.527799999999999</v>
      </c>
      <c r="K119" s="222">
        <v>46.965800000000002</v>
      </c>
      <c r="L119"/>
      <c r="M119"/>
      <c r="N119"/>
      <c r="O119" s="221">
        <v>44274</v>
      </c>
      <c r="P119" s="223">
        <v>15.1869</v>
      </c>
      <c r="Q119" s="223">
        <v>46.965800000000002</v>
      </c>
      <c r="R119"/>
      <c r="S119"/>
    </row>
    <row r="120" spans="1:19" x14ac:dyDescent="0.35">
      <c r="A120" s="221">
        <v>44273</v>
      </c>
      <c r="B120" s="222">
        <v>40.972295873247944</v>
      </c>
      <c r="C120"/>
      <c r="D120" s="221">
        <v>44273</v>
      </c>
      <c r="E120" s="222">
        <v>111.74509999999999</v>
      </c>
      <c r="F120" s="222">
        <v>77.389600000000002</v>
      </c>
      <c r="G120" s="222">
        <v>96.392099999999999</v>
      </c>
      <c r="H120"/>
      <c r="I120" s="221">
        <v>44273</v>
      </c>
      <c r="J120" s="222">
        <v>77.389600000000002</v>
      </c>
      <c r="K120" s="222">
        <v>44.509099999999997</v>
      </c>
      <c r="L120"/>
      <c r="M120"/>
      <c r="N120"/>
      <c r="O120" s="221">
        <v>44273</v>
      </c>
      <c r="P120" s="223">
        <v>16.020900000000001</v>
      </c>
      <c r="Q120" s="223">
        <v>44.509099999999997</v>
      </c>
      <c r="R120"/>
      <c r="S120"/>
    </row>
    <row r="121" spans="1:19" x14ac:dyDescent="0.35">
      <c r="A121" s="221">
        <v>44272</v>
      </c>
      <c r="B121" s="222">
        <v>39.869426351421019</v>
      </c>
      <c r="C121"/>
      <c r="D121" s="221">
        <v>44272</v>
      </c>
      <c r="E121" s="222">
        <v>110.50230000000001</v>
      </c>
      <c r="F121" s="222">
        <v>76.103700000000003</v>
      </c>
      <c r="G121" s="222">
        <v>96.361199999999997</v>
      </c>
      <c r="H121"/>
      <c r="I121" s="221">
        <v>44272</v>
      </c>
      <c r="J121" s="222">
        <v>76.103700000000003</v>
      </c>
      <c r="K121" s="222">
        <v>45.314900000000002</v>
      </c>
      <c r="L121"/>
      <c r="M121"/>
      <c r="N121"/>
      <c r="O121" s="221">
        <v>44272</v>
      </c>
      <c r="P121" s="223">
        <v>14.7661</v>
      </c>
      <c r="Q121" s="223">
        <v>45.314900000000002</v>
      </c>
      <c r="R121"/>
      <c r="S121"/>
    </row>
    <row r="122" spans="1:19" x14ac:dyDescent="0.35">
      <c r="A122" s="221">
        <v>44271</v>
      </c>
      <c r="B122" s="222">
        <v>38.131913769747854</v>
      </c>
      <c r="C122"/>
      <c r="D122" s="221">
        <v>44271</v>
      </c>
      <c r="E122" s="222">
        <v>109.4115</v>
      </c>
      <c r="F122" s="222">
        <v>75.815700000000007</v>
      </c>
      <c r="G122" s="222">
        <v>96.289599999999993</v>
      </c>
      <c r="H122"/>
      <c r="I122" s="221">
        <v>44271</v>
      </c>
      <c r="J122" s="222">
        <v>75.815700000000007</v>
      </c>
      <c r="K122" s="222">
        <v>44.425199999999997</v>
      </c>
      <c r="L122"/>
      <c r="M122"/>
      <c r="N122"/>
      <c r="O122" s="221">
        <v>44271</v>
      </c>
      <c r="P122" s="223">
        <v>13.7163</v>
      </c>
      <c r="Q122" s="223">
        <v>44.425199999999997</v>
      </c>
      <c r="R122"/>
      <c r="S122"/>
    </row>
    <row r="123" spans="1:19" x14ac:dyDescent="0.35">
      <c r="A123" s="221">
        <v>44270</v>
      </c>
      <c r="B123" s="222">
        <v>38.508092801588383</v>
      </c>
      <c r="C123"/>
      <c r="D123" s="221">
        <v>44270</v>
      </c>
      <c r="E123" s="222">
        <v>109.1347</v>
      </c>
      <c r="F123" s="222">
        <v>74.913600000000002</v>
      </c>
      <c r="G123" s="222">
        <v>96.2517</v>
      </c>
      <c r="H123"/>
      <c r="I123" s="221">
        <v>44270</v>
      </c>
      <c r="J123" s="222">
        <v>74.913600000000002</v>
      </c>
      <c r="K123" s="222">
        <v>45.792000000000002</v>
      </c>
      <c r="L123"/>
      <c r="M123"/>
      <c r="N123"/>
      <c r="O123" s="221">
        <v>44270</v>
      </c>
      <c r="P123" s="223">
        <v>13.4712</v>
      </c>
      <c r="Q123" s="223">
        <v>45.792000000000002</v>
      </c>
      <c r="R123"/>
      <c r="S123"/>
    </row>
    <row r="124" spans="1:19" x14ac:dyDescent="0.35">
      <c r="A124" s="221">
        <v>44267</v>
      </c>
      <c r="B124" s="222">
        <v>41.621816789579938</v>
      </c>
      <c r="C124"/>
      <c r="D124" s="221">
        <v>44267</v>
      </c>
      <c r="E124" s="222">
        <v>113.0733</v>
      </c>
      <c r="F124" s="222">
        <v>79.328199999999995</v>
      </c>
      <c r="G124" s="222">
        <v>96.273899999999998</v>
      </c>
      <c r="H124"/>
      <c r="I124" s="221">
        <v>44267</v>
      </c>
      <c r="J124" s="222">
        <v>79.328199999999995</v>
      </c>
      <c r="K124" s="222">
        <v>42.635300000000001</v>
      </c>
      <c r="L124"/>
      <c r="M124"/>
      <c r="N124"/>
      <c r="O124" s="221">
        <v>44267</v>
      </c>
      <c r="P124" s="223">
        <v>17.529299999999999</v>
      </c>
      <c r="Q124" s="223">
        <v>42.635300000000001</v>
      </c>
      <c r="R124"/>
      <c r="S124"/>
    </row>
    <row r="125" spans="1:19" x14ac:dyDescent="0.35">
      <c r="A125" s="221">
        <v>44266</v>
      </c>
      <c r="B125" s="222">
        <v>39.333323801251311</v>
      </c>
      <c r="C125"/>
      <c r="D125" s="221">
        <v>44266</v>
      </c>
      <c r="E125" s="222">
        <v>113.82550000000001</v>
      </c>
      <c r="F125" s="222">
        <v>83.070999999999998</v>
      </c>
      <c r="G125" s="222">
        <v>96.243600000000001</v>
      </c>
      <c r="H125"/>
      <c r="I125" s="221">
        <v>44266</v>
      </c>
      <c r="J125" s="222">
        <v>83.070999999999998</v>
      </c>
      <c r="K125" s="222">
        <v>37.111600000000003</v>
      </c>
      <c r="L125"/>
      <c r="M125"/>
      <c r="N125"/>
      <c r="O125" s="221">
        <v>44266</v>
      </c>
      <c r="P125" s="223">
        <v>18.345500000000001</v>
      </c>
      <c r="Q125" s="223">
        <v>37.111600000000003</v>
      </c>
      <c r="R125"/>
      <c r="S125"/>
    </row>
    <row r="126" spans="1:19" x14ac:dyDescent="0.35">
      <c r="A126" s="221">
        <v>44265</v>
      </c>
      <c r="B126" s="222">
        <v>40.557710811120906</v>
      </c>
      <c r="C126"/>
      <c r="D126" s="221">
        <v>44265</v>
      </c>
      <c r="E126" s="222">
        <v>113.9277</v>
      </c>
      <c r="F126" s="222">
        <v>82.0154</v>
      </c>
      <c r="G126" s="222">
        <v>96.225099999999998</v>
      </c>
      <c r="H126"/>
      <c r="I126" s="221">
        <v>44265</v>
      </c>
      <c r="J126" s="222">
        <v>82.0154</v>
      </c>
      <c r="K126" s="222">
        <v>38.9983</v>
      </c>
      <c r="L126"/>
      <c r="M126"/>
      <c r="N126"/>
      <c r="O126" s="221">
        <v>44265</v>
      </c>
      <c r="P126" s="223">
        <v>18.472200000000001</v>
      </c>
      <c r="Q126" s="223">
        <v>38.9983</v>
      </c>
      <c r="R126"/>
      <c r="S126"/>
    </row>
    <row r="127" spans="1:19" x14ac:dyDescent="0.35">
      <c r="A127" s="221">
        <v>44264</v>
      </c>
      <c r="B127" s="222">
        <v>41.055194268165593</v>
      </c>
      <c r="C127"/>
      <c r="D127" s="221">
        <v>44264</v>
      </c>
      <c r="E127" s="222">
        <v>113.2349</v>
      </c>
      <c r="F127" s="222">
        <v>80.115200000000002</v>
      </c>
      <c r="G127" s="222">
        <v>96.277299999999997</v>
      </c>
      <c r="H127"/>
      <c r="I127" s="221">
        <v>44264</v>
      </c>
      <c r="J127" s="222">
        <v>80.115200000000002</v>
      </c>
      <c r="K127" s="222">
        <v>41.427599999999998</v>
      </c>
      <c r="L127"/>
      <c r="M127"/>
      <c r="N127"/>
      <c r="O127" s="221">
        <v>44264</v>
      </c>
      <c r="P127" s="223">
        <v>17.6861</v>
      </c>
      <c r="Q127" s="223">
        <v>41.427599999999998</v>
      </c>
      <c r="R127"/>
      <c r="S127"/>
    </row>
    <row r="128" spans="1:19" x14ac:dyDescent="0.35">
      <c r="A128" s="221">
        <v>44263</v>
      </c>
      <c r="B128" s="222">
        <v>41.515190144114641</v>
      </c>
      <c r="C128"/>
      <c r="D128" s="221">
        <v>44263</v>
      </c>
      <c r="E128" s="222">
        <v>113.43210000000001</v>
      </c>
      <c r="F128" s="222">
        <v>79.846500000000006</v>
      </c>
      <c r="G128" s="222">
        <v>96.356399999999994</v>
      </c>
      <c r="H128"/>
      <c r="I128" s="221">
        <v>44263</v>
      </c>
      <c r="J128" s="222">
        <v>79.846500000000006</v>
      </c>
      <c r="K128" s="222">
        <v>42.1477</v>
      </c>
      <c r="L128"/>
      <c r="M128"/>
      <c r="N128"/>
      <c r="O128" s="221">
        <v>44263</v>
      </c>
      <c r="P128" s="223">
        <v>17.791899999999998</v>
      </c>
      <c r="Q128" s="223">
        <v>42.1477</v>
      </c>
      <c r="R128"/>
      <c r="S128"/>
    </row>
    <row r="129" spans="1:19" x14ac:dyDescent="0.35">
      <c r="A129" s="221">
        <v>44260</v>
      </c>
      <c r="B129" s="222">
        <v>42.162540851768412</v>
      </c>
      <c r="C129"/>
      <c r="D129" s="221">
        <v>44260</v>
      </c>
      <c r="E129" s="222">
        <v>115.3976</v>
      </c>
      <c r="F129" s="222">
        <v>83.090199999999996</v>
      </c>
      <c r="G129" s="222">
        <v>96.134</v>
      </c>
      <c r="H129"/>
      <c r="I129" s="221">
        <v>44260</v>
      </c>
      <c r="J129" s="222">
        <v>83.090199999999996</v>
      </c>
      <c r="K129" s="222">
        <v>38.956200000000003</v>
      </c>
      <c r="L129"/>
      <c r="M129"/>
      <c r="N129"/>
      <c r="O129" s="221">
        <v>44260</v>
      </c>
      <c r="P129" s="223">
        <v>20.1021</v>
      </c>
      <c r="Q129" s="223">
        <v>38.956200000000003</v>
      </c>
      <c r="R129"/>
      <c r="S129"/>
    </row>
    <row r="130" spans="1:19" x14ac:dyDescent="0.35">
      <c r="A130" s="221">
        <v>44259</v>
      </c>
      <c r="B130" s="222">
        <v>42.418597558629905</v>
      </c>
      <c r="C130"/>
      <c r="D130" s="221">
        <v>44259</v>
      </c>
      <c r="E130" s="222">
        <v>114.7398</v>
      </c>
      <c r="F130" s="222">
        <v>81.631500000000003</v>
      </c>
      <c r="G130" s="222">
        <v>96.143699999999995</v>
      </c>
      <c r="H130"/>
      <c r="I130" s="221">
        <v>44259</v>
      </c>
      <c r="J130" s="222">
        <v>81.631500000000003</v>
      </c>
      <c r="K130" s="222">
        <v>40.630800000000001</v>
      </c>
      <c r="L130"/>
      <c r="M130"/>
      <c r="N130"/>
      <c r="O130" s="221">
        <v>44259</v>
      </c>
      <c r="P130" s="223">
        <v>19.403600000000001</v>
      </c>
      <c r="Q130" s="223">
        <v>40.630800000000001</v>
      </c>
      <c r="R130"/>
      <c r="S130"/>
    </row>
    <row r="131" spans="1:19" x14ac:dyDescent="0.35">
      <c r="A131" s="221">
        <v>44258</v>
      </c>
      <c r="B131" s="222">
        <v>42.851566379165675</v>
      </c>
      <c r="C131"/>
      <c r="D131" s="221">
        <v>44258</v>
      </c>
      <c r="E131" s="222">
        <v>117.343</v>
      </c>
      <c r="F131" s="222">
        <v>85.643000000000001</v>
      </c>
      <c r="G131" s="222">
        <v>96.185900000000004</v>
      </c>
      <c r="H131"/>
      <c r="I131" s="221">
        <v>44258</v>
      </c>
      <c r="J131" s="222">
        <v>85.643000000000001</v>
      </c>
      <c r="K131" s="222">
        <v>37.0807</v>
      </c>
      <c r="L131"/>
      <c r="M131"/>
      <c r="N131"/>
      <c r="O131" s="221">
        <v>44258</v>
      </c>
      <c r="P131" s="223">
        <v>22.055299999999999</v>
      </c>
      <c r="Q131" s="223">
        <v>37.0807</v>
      </c>
      <c r="R131"/>
      <c r="S131"/>
    </row>
    <row r="132" spans="1:19" x14ac:dyDescent="0.35">
      <c r="A132" s="221">
        <v>44257</v>
      </c>
      <c r="B132" s="222">
        <v>41.527545641634532</v>
      </c>
      <c r="C132"/>
      <c r="D132" s="221">
        <v>44257</v>
      </c>
      <c r="E132" s="222">
        <v>115.7462</v>
      </c>
      <c r="F132" s="222">
        <v>84.184299999999993</v>
      </c>
      <c r="G132" s="222">
        <v>96.171899999999994</v>
      </c>
      <c r="H132"/>
      <c r="I132" s="221">
        <v>44257</v>
      </c>
      <c r="J132" s="222">
        <v>84.184299999999993</v>
      </c>
      <c r="K132" s="222">
        <v>37.5565</v>
      </c>
      <c r="L132"/>
      <c r="M132"/>
      <c r="N132"/>
      <c r="O132" s="221">
        <v>44257</v>
      </c>
      <c r="P132" s="223">
        <v>20.410399999999999</v>
      </c>
      <c r="Q132" s="223">
        <v>37.5565</v>
      </c>
      <c r="R132"/>
      <c r="S132"/>
    </row>
    <row r="133" spans="1:19" x14ac:dyDescent="0.35">
      <c r="A133" s="221">
        <v>44256</v>
      </c>
      <c r="B133" s="222">
        <v>41.544977456146711</v>
      </c>
      <c r="C133"/>
      <c r="D133" s="221">
        <v>44256</v>
      </c>
      <c r="E133" s="222">
        <v>116.4474</v>
      </c>
      <c r="F133" s="222">
        <v>85.623800000000003</v>
      </c>
      <c r="G133" s="222">
        <v>96.022999999999996</v>
      </c>
      <c r="H133"/>
      <c r="I133" s="221">
        <v>44256</v>
      </c>
      <c r="J133" s="222">
        <v>85.623800000000003</v>
      </c>
      <c r="K133" s="222">
        <v>36.060299999999998</v>
      </c>
      <c r="L133"/>
      <c r="M133"/>
      <c r="N133"/>
      <c r="O133" s="221">
        <v>44256</v>
      </c>
      <c r="P133" s="223">
        <v>21.325099999999999</v>
      </c>
      <c r="Q133" s="223">
        <v>36.060299999999998</v>
      </c>
      <c r="R133"/>
      <c r="S133"/>
    </row>
    <row r="134" spans="1:19" x14ac:dyDescent="0.35">
      <c r="A134" s="221">
        <v>44253</v>
      </c>
      <c r="B134" s="222">
        <v>41.802090299297014</v>
      </c>
      <c r="C134"/>
      <c r="D134" s="221">
        <v>44253</v>
      </c>
      <c r="E134" s="222">
        <v>114.85299999999999</v>
      </c>
      <c r="F134" s="222">
        <v>82.744699999999995</v>
      </c>
      <c r="G134" s="222">
        <v>95.882999999999996</v>
      </c>
      <c r="H134"/>
      <c r="I134" s="221">
        <v>44253</v>
      </c>
      <c r="J134" s="222">
        <v>82.744699999999995</v>
      </c>
      <c r="K134" s="222">
        <v>38.8596</v>
      </c>
      <c r="L134"/>
      <c r="M134"/>
      <c r="N134"/>
      <c r="O134" s="221">
        <v>44253</v>
      </c>
      <c r="P134" s="223">
        <v>19.8325</v>
      </c>
      <c r="Q134" s="223">
        <v>38.8596</v>
      </c>
      <c r="R134"/>
      <c r="S134"/>
    </row>
    <row r="135" spans="1:19" x14ac:dyDescent="0.35">
      <c r="A135" s="221">
        <v>44252</v>
      </c>
      <c r="B135" s="222">
        <v>38.360571847795534</v>
      </c>
      <c r="C135"/>
      <c r="D135" s="221">
        <v>44252</v>
      </c>
      <c r="E135" s="222">
        <v>114.7662</v>
      </c>
      <c r="F135" s="222">
        <v>85.8733</v>
      </c>
      <c r="G135" s="222">
        <v>95.980400000000003</v>
      </c>
      <c r="H135"/>
      <c r="I135" s="221">
        <v>44252</v>
      </c>
      <c r="J135" s="222">
        <v>85.8733</v>
      </c>
      <c r="K135" s="222">
        <v>33.697000000000003</v>
      </c>
      <c r="L135"/>
      <c r="M135"/>
      <c r="N135"/>
      <c r="O135" s="221">
        <v>44252</v>
      </c>
      <c r="P135" s="223">
        <v>19.618200000000002</v>
      </c>
      <c r="Q135" s="223">
        <v>33.697000000000003</v>
      </c>
      <c r="R135"/>
      <c r="S135"/>
    </row>
    <row r="136" spans="1:19" x14ac:dyDescent="0.35">
      <c r="A136" s="221">
        <v>44251</v>
      </c>
      <c r="B136" s="222">
        <v>38.136215041601261</v>
      </c>
      <c r="C136"/>
      <c r="D136" s="221">
        <v>44251</v>
      </c>
      <c r="E136" s="222">
        <v>115.9584</v>
      </c>
      <c r="F136" s="222">
        <v>88.176599999999993</v>
      </c>
      <c r="G136" s="222">
        <v>95.970399999999998</v>
      </c>
      <c r="H136"/>
      <c r="I136" s="221">
        <v>44251</v>
      </c>
      <c r="J136" s="222">
        <v>88.176599999999993</v>
      </c>
      <c r="K136" s="222">
        <v>31.554200000000002</v>
      </c>
      <c r="L136"/>
      <c r="M136"/>
      <c r="N136"/>
      <c r="O136" s="221">
        <v>44251</v>
      </c>
      <c r="P136" s="223">
        <v>20.8706</v>
      </c>
      <c r="Q136" s="223">
        <v>31.554200000000002</v>
      </c>
      <c r="R136"/>
      <c r="S136"/>
    </row>
    <row r="137" spans="1:19" x14ac:dyDescent="0.35">
      <c r="A137" s="221">
        <v>44250</v>
      </c>
      <c r="B137" s="222">
        <v>37.494239499846124</v>
      </c>
      <c r="C137"/>
      <c r="D137" s="221">
        <v>44250</v>
      </c>
      <c r="E137" s="222">
        <v>118.4265</v>
      </c>
      <c r="F137" s="222">
        <v>93.0518</v>
      </c>
      <c r="G137" s="222">
        <v>95.909099999999995</v>
      </c>
      <c r="H137"/>
      <c r="I137" s="221">
        <v>44250</v>
      </c>
      <c r="J137" s="222">
        <v>93.0518</v>
      </c>
      <c r="K137" s="222">
        <v>27.311900000000001</v>
      </c>
      <c r="L137"/>
      <c r="M137"/>
      <c r="N137"/>
      <c r="O137" s="221">
        <v>44250</v>
      </c>
      <c r="P137" s="223">
        <v>23.518999999999998</v>
      </c>
      <c r="Q137" s="223">
        <v>27.311900000000001</v>
      </c>
      <c r="R137"/>
      <c r="S137"/>
    </row>
    <row r="138" spans="1:19" x14ac:dyDescent="0.35">
      <c r="A138" s="221">
        <v>44249</v>
      </c>
      <c r="B138" s="222">
        <v>38.184247552024949</v>
      </c>
      <c r="C138"/>
      <c r="D138" s="221">
        <v>44249</v>
      </c>
      <c r="E138" s="222">
        <v>118.6357</v>
      </c>
      <c r="F138" s="222">
        <v>92.687100000000001</v>
      </c>
      <c r="G138" s="222">
        <v>95.903800000000004</v>
      </c>
      <c r="H138"/>
      <c r="I138" s="221">
        <v>44249</v>
      </c>
      <c r="J138" s="222">
        <v>92.687100000000001</v>
      </c>
      <c r="K138" s="222">
        <v>28.036200000000001</v>
      </c>
      <c r="L138"/>
      <c r="M138"/>
      <c r="N138"/>
      <c r="O138" s="221">
        <v>44249</v>
      </c>
      <c r="P138" s="223">
        <v>23.741700000000002</v>
      </c>
      <c r="Q138" s="223">
        <v>28.036200000000001</v>
      </c>
      <c r="R138"/>
      <c r="S138"/>
    </row>
    <row r="139" spans="1:19" x14ac:dyDescent="0.35">
      <c r="A139" s="221">
        <v>44246</v>
      </c>
      <c r="B139" s="222">
        <v>39.412787479124034</v>
      </c>
      <c r="C139"/>
      <c r="D139" s="221">
        <v>44246</v>
      </c>
      <c r="E139" s="222">
        <v>121.2743</v>
      </c>
      <c r="F139" s="222">
        <v>95.8733</v>
      </c>
      <c r="G139" s="222">
        <v>95.757999999999996</v>
      </c>
      <c r="H139"/>
      <c r="I139" s="221">
        <v>44246</v>
      </c>
      <c r="J139" s="222">
        <v>95.8733</v>
      </c>
      <c r="K139" s="222">
        <v>26.526399999999999</v>
      </c>
      <c r="L139"/>
      <c r="M139"/>
      <c r="N139"/>
      <c r="O139" s="221">
        <v>44246</v>
      </c>
      <c r="P139" s="223">
        <v>26.678699999999999</v>
      </c>
      <c r="Q139" s="223">
        <v>26.526399999999999</v>
      </c>
      <c r="R139"/>
      <c r="S139"/>
    </row>
    <row r="140" spans="1:19" x14ac:dyDescent="0.35">
      <c r="A140" s="221">
        <v>44245</v>
      </c>
      <c r="B140" s="222">
        <v>35.718745311665856</v>
      </c>
      <c r="C140"/>
      <c r="D140" s="221">
        <v>44245</v>
      </c>
      <c r="E140" s="222">
        <v>119.97150000000001</v>
      </c>
      <c r="F140" s="222">
        <v>97.504800000000003</v>
      </c>
      <c r="G140" s="222">
        <v>95.723200000000006</v>
      </c>
      <c r="H140"/>
      <c r="I140" s="221">
        <v>44245</v>
      </c>
      <c r="J140" s="222">
        <v>97.504800000000003</v>
      </c>
      <c r="K140" s="222">
        <v>23.070900000000002</v>
      </c>
      <c r="L140"/>
      <c r="M140"/>
      <c r="N140"/>
      <c r="O140" s="221">
        <v>44245</v>
      </c>
      <c r="P140" s="223">
        <v>25.361499999999999</v>
      </c>
      <c r="Q140" s="223">
        <v>23.070900000000002</v>
      </c>
      <c r="R140"/>
      <c r="S140"/>
    </row>
    <row r="141" spans="1:19" x14ac:dyDescent="0.35">
      <c r="A141" s="221">
        <v>44237</v>
      </c>
      <c r="B141" s="222">
        <v>40.197101302193708</v>
      </c>
      <c r="C141"/>
      <c r="D141" s="221">
        <v>44237</v>
      </c>
      <c r="E141" s="222">
        <v>123.989</v>
      </c>
      <c r="F141" s="222">
        <v>99.078699999999998</v>
      </c>
      <c r="G141" s="222">
        <v>95.779300000000006</v>
      </c>
      <c r="H141"/>
      <c r="I141" s="221">
        <v>44237</v>
      </c>
      <c r="J141" s="222">
        <v>99.078699999999998</v>
      </c>
      <c r="K141" s="222">
        <v>25.152999999999999</v>
      </c>
      <c r="L141"/>
      <c r="M141"/>
      <c r="N141"/>
      <c r="O141" s="221">
        <v>44237</v>
      </c>
      <c r="P141" s="223">
        <v>29.464300000000001</v>
      </c>
      <c r="Q141" s="223">
        <v>25.152999999999999</v>
      </c>
      <c r="R141"/>
      <c r="S141"/>
    </row>
    <row r="142" spans="1:19" x14ac:dyDescent="0.35">
      <c r="A142" s="221">
        <v>44236</v>
      </c>
      <c r="B142" s="222">
        <v>38.635103794155832</v>
      </c>
      <c r="C142"/>
      <c r="D142" s="221">
        <v>44236</v>
      </c>
      <c r="E142" s="222">
        <v>118.49120000000001</v>
      </c>
      <c r="F142" s="222">
        <v>91.842600000000004</v>
      </c>
      <c r="G142" s="222">
        <v>95.811700000000002</v>
      </c>
      <c r="H142"/>
      <c r="I142" s="221">
        <v>44236</v>
      </c>
      <c r="J142" s="222">
        <v>91.842600000000004</v>
      </c>
      <c r="K142" s="222">
        <v>29.025099999999998</v>
      </c>
      <c r="L142"/>
      <c r="M142"/>
      <c r="N142"/>
      <c r="O142" s="221">
        <v>44236</v>
      </c>
      <c r="P142" s="223">
        <v>23.680099999999999</v>
      </c>
      <c r="Q142" s="223">
        <v>29.025099999999998</v>
      </c>
      <c r="R142"/>
      <c r="S142"/>
    </row>
    <row r="143" spans="1:19" x14ac:dyDescent="0.35">
      <c r="A143" s="221">
        <v>44235</v>
      </c>
      <c r="B143" s="222">
        <v>34.515188699562415</v>
      </c>
      <c r="C143"/>
      <c r="D143" s="221">
        <v>44235</v>
      </c>
      <c r="E143" s="222">
        <v>111.2734</v>
      </c>
      <c r="F143" s="222">
        <v>83.493300000000005</v>
      </c>
      <c r="G143" s="222">
        <v>95.789699999999996</v>
      </c>
      <c r="H143"/>
      <c r="I143" s="221">
        <v>44235</v>
      </c>
      <c r="J143" s="222">
        <v>83.493300000000005</v>
      </c>
      <c r="K143" s="222">
        <v>33.280200000000001</v>
      </c>
      <c r="L143"/>
      <c r="M143"/>
      <c r="N143"/>
      <c r="O143" s="221">
        <v>44235</v>
      </c>
      <c r="P143" s="223">
        <v>16.171199999999999</v>
      </c>
      <c r="Q143" s="223">
        <v>33.280200000000001</v>
      </c>
      <c r="R143"/>
      <c r="S143"/>
    </row>
    <row r="144" spans="1:19" x14ac:dyDescent="0.35">
      <c r="A144" s="221">
        <v>44232</v>
      </c>
      <c r="B144" s="222">
        <v>32.463013436893654</v>
      </c>
      <c r="C144"/>
      <c r="D144" s="221">
        <v>44232</v>
      </c>
      <c r="E144" s="222">
        <v>108.685</v>
      </c>
      <c r="F144" s="222">
        <v>80.959699999999998</v>
      </c>
      <c r="G144" s="222">
        <v>96.227900000000005</v>
      </c>
      <c r="H144"/>
      <c r="I144" s="221">
        <v>44232</v>
      </c>
      <c r="J144" s="222">
        <v>80.959699999999998</v>
      </c>
      <c r="K144" s="222">
        <v>34.986899999999999</v>
      </c>
      <c r="L144"/>
      <c r="M144"/>
      <c r="N144"/>
      <c r="O144" s="221">
        <v>44232</v>
      </c>
      <c r="P144" s="223">
        <v>13.568899999999999</v>
      </c>
      <c r="Q144" s="223">
        <v>34.986899999999999</v>
      </c>
      <c r="R144"/>
      <c r="S144"/>
    </row>
    <row r="145" spans="1:19" x14ac:dyDescent="0.35">
      <c r="A145" s="221">
        <v>44231</v>
      </c>
      <c r="B145" s="222">
        <v>33.546424316107874</v>
      </c>
      <c r="C145"/>
      <c r="D145" s="221">
        <v>44231</v>
      </c>
      <c r="E145" s="222">
        <v>112.0016</v>
      </c>
      <c r="F145" s="222">
        <v>85.8733</v>
      </c>
      <c r="G145" s="222">
        <v>96.360600000000005</v>
      </c>
      <c r="H145"/>
      <c r="I145" s="221">
        <v>44231</v>
      </c>
      <c r="J145" s="222">
        <v>85.8733</v>
      </c>
      <c r="K145" s="222">
        <v>31.1234</v>
      </c>
      <c r="L145"/>
      <c r="M145"/>
      <c r="N145"/>
      <c r="O145" s="221">
        <v>44231</v>
      </c>
      <c r="P145" s="223">
        <v>16.852699999999999</v>
      </c>
      <c r="Q145" s="223">
        <v>31.1234</v>
      </c>
      <c r="R145"/>
      <c r="S145"/>
    </row>
    <row r="146" spans="1:19" x14ac:dyDescent="0.35">
      <c r="A146" s="221">
        <v>44230</v>
      </c>
      <c r="B146" s="222">
        <v>33.327419291228686</v>
      </c>
      <c r="C146"/>
      <c r="D146" s="221">
        <v>44230</v>
      </c>
      <c r="E146" s="222">
        <v>111.60429999999999</v>
      </c>
      <c r="F146" s="222">
        <v>85.355099999999993</v>
      </c>
      <c r="G146" s="222">
        <v>96.359800000000007</v>
      </c>
      <c r="H146"/>
      <c r="I146" s="221">
        <v>44230</v>
      </c>
      <c r="J146" s="222">
        <v>85.355099999999993</v>
      </c>
      <c r="K146" s="222">
        <v>31.452000000000002</v>
      </c>
      <c r="L146"/>
      <c r="M146"/>
      <c r="N146"/>
      <c r="O146" s="221">
        <v>44230</v>
      </c>
      <c r="P146" s="223">
        <v>16.439599999999999</v>
      </c>
      <c r="Q146" s="223">
        <v>31.452000000000002</v>
      </c>
      <c r="R146"/>
      <c r="S146"/>
    </row>
    <row r="147" spans="1:19" x14ac:dyDescent="0.35">
      <c r="A147" s="221">
        <v>44229</v>
      </c>
      <c r="B147" s="222">
        <v>31.369184757978726</v>
      </c>
      <c r="C147"/>
      <c r="D147" s="221">
        <v>44229</v>
      </c>
      <c r="E147" s="222">
        <v>111.50490000000001</v>
      </c>
      <c r="F147" s="222">
        <v>87.236099999999993</v>
      </c>
      <c r="G147" s="222">
        <v>96.397499999999994</v>
      </c>
      <c r="H147"/>
      <c r="I147" s="221">
        <v>44229</v>
      </c>
      <c r="J147" s="222">
        <v>87.236099999999993</v>
      </c>
      <c r="K147" s="222">
        <v>28.501799999999999</v>
      </c>
      <c r="L147"/>
      <c r="M147"/>
      <c r="N147"/>
      <c r="O147" s="221">
        <v>44229</v>
      </c>
      <c r="P147" s="223">
        <v>16.289300000000001</v>
      </c>
      <c r="Q147" s="223">
        <v>28.501799999999999</v>
      </c>
      <c r="R147"/>
      <c r="S147"/>
    </row>
    <row r="148" spans="1:19" x14ac:dyDescent="0.35">
      <c r="A148" s="221">
        <v>44228</v>
      </c>
      <c r="B148" s="222">
        <v>35.456076907541274</v>
      </c>
      <c r="C148"/>
      <c r="D148" s="221">
        <v>44228</v>
      </c>
      <c r="E148" s="222">
        <v>112.70659999999999</v>
      </c>
      <c r="F148" s="222">
        <v>85.201499999999996</v>
      </c>
      <c r="G148" s="222">
        <v>96.271600000000007</v>
      </c>
      <c r="H148"/>
      <c r="I148" s="221">
        <v>44228</v>
      </c>
      <c r="J148" s="222">
        <v>85.201499999999996</v>
      </c>
      <c r="K148" s="222">
        <v>32.978900000000003</v>
      </c>
      <c r="L148"/>
      <c r="M148"/>
      <c r="N148"/>
      <c r="O148" s="221">
        <v>44228</v>
      </c>
      <c r="P148" s="223">
        <v>17.687899999999999</v>
      </c>
      <c r="Q148" s="223">
        <v>32.978900000000003</v>
      </c>
      <c r="R148"/>
      <c r="S148"/>
    </row>
    <row r="149" spans="1:19" x14ac:dyDescent="0.35">
      <c r="A149" s="221">
        <v>44225</v>
      </c>
      <c r="B149" s="222">
        <v>37.45666190366574</v>
      </c>
      <c r="C149"/>
      <c r="D149" s="221">
        <v>44225</v>
      </c>
      <c r="E149" s="222">
        <v>112.41249999999999</v>
      </c>
      <c r="F149" s="222">
        <v>82.264899999999997</v>
      </c>
      <c r="G149" s="222">
        <v>96.380300000000005</v>
      </c>
      <c r="H149"/>
      <c r="I149" s="221">
        <v>44225</v>
      </c>
      <c r="J149" s="222">
        <v>82.264899999999997</v>
      </c>
      <c r="K149" s="222">
        <v>37.362400000000001</v>
      </c>
      <c r="L149"/>
      <c r="M149"/>
      <c r="N149"/>
      <c r="O149" s="221">
        <v>44225</v>
      </c>
      <c r="P149" s="223">
        <v>17.244900000000001</v>
      </c>
      <c r="Q149" s="223">
        <v>37.362400000000001</v>
      </c>
      <c r="R149"/>
      <c r="S149"/>
    </row>
    <row r="150" spans="1:19" x14ac:dyDescent="0.35">
      <c r="A150" s="221">
        <v>44224</v>
      </c>
      <c r="B150" s="222">
        <v>40.251386709022114</v>
      </c>
      <c r="C150"/>
      <c r="D150" s="221">
        <v>44224</v>
      </c>
      <c r="E150" s="222">
        <v>115.7132</v>
      </c>
      <c r="F150" s="222">
        <v>85.028800000000004</v>
      </c>
      <c r="G150" s="222">
        <v>96.510999999999996</v>
      </c>
      <c r="H150"/>
      <c r="I150" s="221">
        <v>44224</v>
      </c>
      <c r="J150" s="222">
        <v>85.028800000000004</v>
      </c>
      <c r="K150" s="222">
        <v>36.777200000000001</v>
      </c>
      <c r="L150"/>
      <c r="M150"/>
      <c r="N150"/>
      <c r="O150" s="221">
        <v>44224</v>
      </c>
      <c r="P150" s="223">
        <v>20.5044</v>
      </c>
      <c r="Q150" s="223">
        <v>36.777200000000001</v>
      </c>
      <c r="R150"/>
      <c r="S150"/>
    </row>
    <row r="151" spans="1:19" x14ac:dyDescent="0.35">
      <c r="A151" s="221">
        <v>44223</v>
      </c>
      <c r="B151" s="222">
        <v>43.364434095274277</v>
      </c>
      <c r="C151"/>
      <c r="D151" s="221">
        <v>44223</v>
      </c>
      <c r="E151" s="222">
        <v>120.6498</v>
      </c>
      <c r="F151" s="222">
        <v>90.115200000000002</v>
      </c>
      <c r="G151" s="222">
        <v>96.5792</v>
      </c>
      <c r="H151"/>
      <c r="I151" s="221">
        <v>44223</v>
      </c>
      <c r="J151" s="222">
        <v>90.115200000000002</v>
      </c>
      <c r="K151" s="222">
        <v>34.5334</v>
      </c>
      <c r="L151"/>
      <c r="M151"/>
      <c r="N151"/>
      <c r="O151" s="221">
        <v>44223</v>
      </c>
      <c r="P151" s="223">
        <v>25.5291</v>
      </c>
      <c r="Q151" s="223">
        <v>34.5334</v>
      </c>
      <c r="R151"/>
      <c r="S151"/>
    </row>
    <row r="152" spans="1:19" x14ac:dyDescent="0.35">
      <c r="A152" s="221">
        <v>44222</v>
      </c>
      <c r="B152" s="222">
        <v>41.71361501014065</v>
      </c>
      <c r="C152"/>
      <c r="D152" s="221">
        <v>44222</v>
      </c>
      <c r="E152" s="222">
        <v>120.7804</v>
      </c>
      <c r="F152" s="222">
        <v>92.072900000000004</v>
      </c>
      <c r="G152" s="222">
        <v>96.471400000000003</v>
      </c>
      <c r="H152"/>
      <c r="I152" s="221">
        <v>44222</v>
      </c>
      <c r="J152" s="222">
        <v>92.072900000000004</v>
      </c>
      <c r="K152" s="222">
        <v>31.812899999999999</v>
      </c>
      <c r="L152"/>
      <c r="M152"/>
      <c r="N152"/>
      <c r="O152" s="221">
        <v>44222</v>
      </c>
      <c r="P152" s="223">
        <v>25.803100000000001</v>
      </c>
      <c r="Q152" s="223">
        <v>31.812899999999999</v>
      </c>
      <c r="R152"/>
      <c r="S152"/>
    </row>
    <row r="153" spans="1:19" x14ac:dyDescent="0.35">
      <c r="A153" s="221">
        <v>44221</v>
      </c>
      <c r="B153" s="222">
        <v>40.290079128818704</v>
      </c>
      <c r="C153"/>
      <c r="D153" s="221">
        <v>44221</v>
      </c>
      <c r="E153" s="222">
        <v>123.0261</v>
      </c>
      <c r="F153" s="222">
        <v>96.929000000000002</v>
      </c>
      <c r="G153" s="222">
        <v>96.517300000000006</v>
      </c>
      <c r="H153"/>
      <c r="I153" s="221">
        <v>44221</v>
      </c>
      <c r="J153" s="222">
        <v>96.929000000000002</v>
      </c>
      <c r="K153" s="222">
        <v>27.5243</v>
      </c>
      <c r="L153"/>
      <c r="M153"/>
      <c r="N153"/>
      <c r="O153" s="221">
        <v>44221</v>
      </c>
      <c r="P153" s="223">
        <v>28.068200000000001</v>
      </c>
      <c r="Q153" s="223">
        <v>27.5243</v>
      </c>
      <c r="R153"/>
      <c r="S153"/>
    </row>
    <row r="154" spans="1:19" x14ac:dyDescent="0.35">
      <c r="A154" s="221">
        <v>44218</v>
      </c>
      <c r="B154" s="222">
        <v>41.045877964645392</v>
      </c>
      <c r="C154"/>
      <c r="D154" s="221">
        <v>44218</v>
      </c>
      <c r="E154" s="222">
        <v>124.82</v>
      </c>
      <c r="F154" s="222">
        <v>99.040300000000002</v>
      </c>
      <c r="G154" s="222">
        <v>96.414199999999994</v>
      </c>
      <c r="H154"/>
      <c r="I154" s="221">
        <v>44218</v>
      </c>
      <c r="J154" s="222">
        <v>99.040300000000002</v>
      </c>
      <c r="K154" s="222">
        <v>26.612100000000002</v>
      </c>
      <c r="L154"/>
      <c r="M154"/>
      <c r="N154"/>
      <c r="O154" s="221">
        <v>44218</v>
      </c>
      <c r="P154" s="223">
        <v>30.060700000000001</v>
      </c>
      <c r="Q154" s="223">
        <v>26.612100000000002</v>
      </c>
      <c r="R154"/>
      <c r="S154"/>
    </row>
    <row r="155" spans="1:19" x14ac:dyDescent="0.35">
      <c r="A155" s="221">
        <v>44217</v>
      </c>
      <c r="B155" s="222">
        <v>39.262307941423195</v>
      </c>
      <c r="C155"/>
      <c r="D155" s="221">
        <v>44217</v>
      </c>
      <c r="E155" s="222">
        <v>121.82470000000001</v>
      </c>
      <c r="F155" s="222">
        <v>96.065299999999993</v>
      </c>
      <c r="G155" s="222">
        <v>96.457999999999998</v>
      </c>
      <c r="H155"/>
      <c r="I155" s="221">
        <v>44217</v>
      </c>
      <c r="J155" s="222">
        <v>96.065299999999993</v>
      </c>
      <c r="K155" s="222">
        <v>27.4133</v>
      </c>
      <c r="L155"/>
      <c r="M155"/>
      <c r="N155"/>
      <c r="O155" s="221">
        <v>44217</v>
      </c>
      <c r="P155" s="223">
        <v>26.894600000000001</v>
      </c>
      <c r="Q155" s="223">
        <v>27.4133</v>
      </c>
      <c r="R155"/>
      <c r="S155"/>
    </row>
    <row r="156" spans="1:19" x14ac:dyDescent="0.35">
      <c r="A156" s="221">
        <v>44216</v>
      </c>
      <c r="B156" s="222">
        <v>40.970809527795581</v>
      </c>
      <c r="C156"/>
      <c r="D156" s="221">
        <v>44216</v>
      </c>
      <c r="E156" s="222">
        <v>121.8263</v>
      </c>
      <c r="F156" s="222">
        <v>94.510599999999997</v>
      </c>
      <c r="G156" s="222">
        <v>96.347700000000003</v>
      </c>
      <c r="H156"/>
      <c r="I156" s="221">
        <v>44216</v>
      </c>
      <c r="J156" s="222">
        <v>94.510599999999997</v>
      </c>
      <c r="K156" s="222">
        <v>29.5093</v>
      </c>
      <c r="L156"/>
      <c r="M156"/>
      <c r="N156"/>
      <c r="O156" s="221">
        <v>44216</v>
      </c>
      <c r="P156" s="223">
        <v>27.039899999999999</v>
      </c>
      <c r="Q156" s="223">
        <v>29.5093</v>
      </c>
      <c r="R156"/>
      <c r="S156"/>
    </row>
    <row r="157" spans="1:19" x14ac:dyDescent="0.35">
      <c r="A157" s="221">
        <v>44215</v>
      </c>
      <c r="B157" s="222">
        <v>45.926251620156542</v>
      </c>
      <c r="C157"/>
      <c r="D157" s="221">
        <v>44215</v>
      </c>
      <c r="E157" s="222">
        <v>121.5279</v>
      </c>
      <c r="F157" s="222">
        <v>89.232299999999995</v>
      </c>
      <c r="G157" s="222">
        <v>96.369399999999999</v>
      </c>
      <c r="H157"/>
      <c r="I157" s="221">
        <v>44215</v>
      </c>
      <c r="J157" s="222">
        <v>89.232299999999995</v>
      </c>
      <c r="K157" s="222">
        <v>36.8339</v>
      </c>
      <c r="L157"/>
      <c r="M157"/>
      <c r="N157"/>
      <c r="O157" s="221">
        <v>44215</v>
      </c>
      <c r="P157" s="224">
        <v>26.7</v>
      </c>
      <c r="Q157" s="224">
        <v>36.8339</v>
      </c>
      <c r="R157"/>
      <c r="S157"/>
    </row>
    <row r="158" spans="1:19" x14ac:dyDescent="0.35">
      <c r="A158" s="221">
        <v>44214</v>
      </c>
      <c r="B158" s="222">
        <v>41.627567757244783</v>
      </c>
      <c r="C158"/>
      <c r="D158" s="221">
        <v>44214</v>
      </c>
      <c r="E158" s="222">
        <v>120.6396</v>
      </c>
      <c r="F158" s="222">
        <v>92.149699999999996</v>
      </c>
      <c r="G158" s="222">
        <v>96.213999999999999</v>
      </c>
      <c r="H158"/>
      <c r="I158" s="221">
        <v>44214</v>
      </c>
      <c r="J158" s="222">
        <v>92.149699999999996</v>
      </c>
      <c r="K158" s="222">
        <v>31.536000000000001</v>
      </c>
      <c r="L158"/>
      <c r="M158"/>
      <c r="N158"/>
      <c r="O158" s="221">
        <v>44214</v>
      </c>
      <c r="P158" s="224">
        <v>25.979600000000001</v>
      </c>
      <c r="Q158" s="224">
        <v>31.536000000000001</v>
      </c>
      <c r="R158"/>
      <c r="S158"/>
    </row>
    <row r="159" spans="1:19" x14ac:dyDescent="0.35">
      <c r="A159" s="221">
        <v>44211</v>
      </c>
      <c r="B159" s="222">
        <v>42.071703058157425</v>
      </c>
      <c r="C159"/>
      <c r="D159" s="221">
        <v>44211</v>
      </c>
      <c r="E159" s="222">
        <v>119.83450000000001</v>
      </c>
      <c r="F159" s="222">
        <v>90.422300000000007</v>
      </c>
      <c r="G159" s="222">
        <v>96.164599999999993</v>
      </c>
      <c r="H159"/>
      <c r="I159" s="221">
        <v>44211</v>
      </c>
      <c r="J159" s="222">
        <v>90.422300000000007</v>
      </c>
      <c r="K159" s="222">
        <v>33.152999999999999</v>
      </c>
      <c r="L159"/>
      <c r="M159"/>
      <c r="N159"/>
      <c r="O159" s="221">
        <v>44211</v>
      </c>
      <c r="P159" s="224">
        <v>25.202000000000002</v>
      </c>
      <c r="Q159" s="224">
        <v>33.152999999999999</v>
      </c>
      <c r="R159"/>
      <c r="S159"/>
    </row>
    <row r="160" spans="1:19" x14ac:dyDescent="0.35">
      <c r="A160" s="221">
        <v>44210</v>
      </c>
      <c r="B160" s="222">
        <v>42.276186308685958</v>
      </c>
      <c r="C160"/>
      <c r="D160" s="221">
        <v>44210</v>
      </c>
      <c r="E160" s="222">
        <v>119.4362</v>
      </c>
      <c r="F160" s="222">
        <v>89.462599999999995</v>
      </c>
      <c r="G160" s="222">
        <v>96.216700000000003</v>
      </c>
      <c r="H160"/>
      <c r="I160" s="221">
        <v>44210</v>
      </c>
      <c r="J160" s="222">
        <v>89.462599999999995</v>
      </c>
      <c r="K160" s="222">
        <v>34.134300000000003</v>
      </c>
      <c r="L160"/>
      <c r="M160"/>
      <c r="N160"/>
      <c r="O160" s="221">
        <v>44210</v>
      </c>
      <c r="P160" s="224">
        <v>24.718499999999999</v>
      </c>
      <c r="Q160" s="224">
        <v>34.134300000000003</v>
      </c>
      <c r="R160"/>
      <c r="S160"/>
    </row>
    <row r="161" spans="1:19" x14ac:dyDescent="0.35">
      <c r="A161" s="221">
        <v>44209</v>
      </c>
      <c r="B161" s="222">
        <v>40.369446978981472</v>
      </c>
      <c r="C161"/>
      <c r="D161" s="221">
        <v>44209</v>
      </c>
      <c r="E161" s="222">
        <v>118.8428</v>
      </c>
      <c r="F161" s="222">
        <v>90.614199999999997</v>
      </c>
      <c r="G161" s="222">
        <v>96.067999999999998</v>
      </c>
      <c r="H161"/>
      <c r="I161" s="221">
        <v>44209</v>
      </c>
      <c r="J161" s="222">
        <v>90.614199999999997</v>
      </c>
      <c r="K161" s="222">
        <v>31.7729</v>
      </c>
      <c r="L161"/>
      <c r="M161"/>
      <c r="N161"/>
      <c r="O161" s="221">
        <v>44209</v>
      </c>
      <c r="P161" s="224">
        <v>24.292200000000001</v>
      </c>
      <c r="Q161" s="224">
        <v>31.7729</v>
      </c>
      <c r="R161"/>
      <c r="S161"/>
    </row>
    <row r="162" spans="1:19" x14ac:dyDescent="0.35">
      <c r="A162" s="221">
        <v>44208</v>
      </c>
      <c r="B162" s="222">
        <v>39.975817643583575</v>
      </c>
      <c r="C162"/>
      <c r="D162" s="221">
        <v>44208</v>
      </c>
      <c r="E162" s="222">
        <v>120.0295</v>
      </c>
      <c r="F162" s="222">
        <v>92.840699999999998</v>
      </c>
      <c r="G162" s="222">
        <v>96.111800000000002</v>
      </c>
      <c r="H162"/>
      <c r="I162" s="221">
        <v>44208</v>
      </c>
      <c r="J162" s="222">
        <v>92.840699999999998</v>
      </c>
      <c r="K162" s="222">
        <v>29.889199999999999</v>
      </c>
      <c r="L162"/>
      <c r="M162"/>
      <c r="N162"/>
      <c r="O162" s="221">
        <v>44208</v>
      </c>
      <c r="P162" s="224">
        <v>25.468499999999999</v>
      </c>
      <c r="Q162" s="224">
        <v>29.889199999999999</v>
      </c>
      <c r="R162"/>
      <c r="S162"/>
    </row>
    <row r="163" spans="1:19" x14ac:dyDescent="0.35">
      <c r="A163" s="221">
        <v>44207</v>
      </c>
      <c r="B163" s="222">
        <v>35.873096916759025</v>
      </c>
      <c r="C163"/>
      <c r="D163" s="221">
        <v>44207</v>
      </c>
      <c r="E163" s="222">
        <v>115.7911</v>
      </c>
      <c r="F163" s="222">
        <v>90.211100000000002</v>
      </c>
      <c r="G163" s="222">
        <v>95.992699999999999</v>
      </c>
      <c r="H163"/>
      <c r="I163" s="221">
        <v>44207</v>
      </c>
      <c r="J163" s="222">
        <v>90.211100000000002</v>
      </c>
      <c r="K163" s="222">
        <v>28.975300000000001</v>
      </c>
      <c r="L163"/>
      <c r="M163"/>
      <c r="N163"/>
      <c r="O163" s="221">
        <v>44207</v>
      </c>
      <c r="P163" s="224">
        <v>21.207100000000001</v>
      </c>
      <c r="Q163" s="224">
        <v>28.975300000000001</v>
      </c>
      <c r="R163"/>
      <c r="S163"/>
    </row>
    <row r="164" spans="1:19" x14ac:dyDescent="0.35">
      <c r="A164" s="221">
        <v>44204</v>
      </c>
      <c r="B164" s="222">
        <v>40.935528684624323</v>
      </c>
      <c r="C164"/>
      <c r="D164" s="221">
        <v>44204</v>
      </c>
      <c r="E164" s="222">
        <v>119.251</v>
      </c>
      <c r="F164" s="222">
        <v>90.978899999999996</v>
      </c>
      <c r="G164" s="222">
        <v>95.837599999999995</v>
      </c>
      <c r="H164"/>
      <c r="I164" s="221">
        <v>44204</v>
      </c>
      <c r="J164" s="222">
        <v>90.978899999999996</v>
      </c>
      <c r="K164" s="222">
        <v>31.6844</v>
      </c>
      <c r="L164"/>
      <c r="M164"/>
      <c r="N164"/>
      <c r="O164" s="221">
        <v>44204</v>
      </c>
      <c r="P164" s="224">
        <v>25.008299999999998</v>
      </c>
      <c r="Q164" s="224">
        <v>31.6844</v>
      </c>
      <c r="R164"/>
      <c r="S164"/>
    </row>
    <row r="165" spans="1:19" x14ac:dyDescent="0.35">
      <c r="A165" s="221">
        <v>44203</v>
      </c>
      <c r="B165" s="222">
        <v>39.040755901647664</v>
      </c>
      <c r="C165"/>
      <c r="D165" s="221">
        <v>44203</v>
      </c>
      <c r="E165" s="222">
        <v>117.54770000000001</v>
      </c>
      <c r="F165" s="222">
        <v>90.211100000000002</v>
      </c>
      <c r="G165" s="222">
        <v>95.762299999999996</v>
      </c>
      <c r="H165"/>
      <c r="I165" s="221">
        <v>44203</v>
      </c>
      <c r="J165" s="222">
        <v>90.211100000000002</v>
      </c>
      <c r="K165" s="222">
        <v>30.915199999999999</v>
      </c>
      <c r="L165"/>
      <c r="M165"/>
      <c r="N165"/>
      <c r="O165" s="221">
        <v>44203</v>
      </c>
      <c r="P165" s="224">
        <v>23.3262</v>
      </c>
      <c r="Q165" s="224">
        <v>30.915199999999999</v>
      </c>
      <c r="R165"/>
      <c r="S165"/>
    </row>
    <row r="166" spans="1:19" x14ac:dyDescent="0.35">
      <c r="A166" s="221">
        <v>44202</v>
      </c>
      <c r="B166" s="222">
        <v>36.284110274773269</v>
      </c>
      <c r="C166"/>
      <c r="D166" s="221">
        <v>44202</v>
      </c>
      <c r="E166" s="222">
        <v>113.1493</v>
      </c>
      <c r="F166" s="222">
        <v>85.604600000000005</v>
      </c>
      <c r="G166" s="222">
        <v>95.681899999999999</v>
      </c>
      <c r="H166"/>
      <c r="I166" s="221">
        <v>44202</v>
      </c>
      <c r="J166" s="222">
        <v>85.604600000000005</v>
      </c>
      <c r="K166" s="222">
        <v>32.82</v>
      </c>
      <c r="L166"/>
      <c r="M166"/>
      <c r="N166"/>
      <c r="O166" s="221">
        <v>44202</v>
      </c>
      <c r="P166" s="224">
        <v>18.831299999999999</v>
      </c>
      <c r="Q166" s="224">
        <v>32.82</v>
      </c>
      <c r="R166"/>
      <c r="S166"/>
    </row>
    <row r="167" spans="1:19" x14ac:dyDescent="0.35">
      <c r="A167" s="221">
        <v>44201</v>
      </c>
      <c r="B167" s="222">
        <v>39.73205275160538</v>
      </c>
      <c r="C167"/>
      <c r="D167" s="221">
        <v>44201</v>
      </c>
      <c r="E167" s="222">
        <v>114.932</v>
      </c>
      <c r="F167" s="222">
        <v>85.124799999999993</v>
      </c>
      <c r="G167" s="222">
        <v>95.688400000000001</v>
      </c>
      <c r="H167"/>
      <c r="I167" s="221">
        <v>44201</v>
      </c>
      <c r="J167" s="222">
        <v>85.124799999999993</v>
      </c>
      <c r="K167" s="222">
        <v>35.660800000000002</v>
      </c>
      <c r="L167"/>
      <c r="M167"/>
      <c r="N167"/>
      <c r="O167" s="221">
        <v>44201</v>
      </c>
      <c r="P167" s="224">
        <v>20.6844</v>
      </c>
      <c r="Q167" s="224">
        <v>35.660800000000002</v>
      </c>
      <c r="R167"/>
      <c r="S167"/>
    </row>
    <row r="168" spans="1:19" x14ac:dyDescent="0.35">
      <c r="A168" s="221">
        <v>44200</v>
      </c>
      <c r="B168" s="222">
        <v>36.233241826146802</v>
      </c>
      <c r="C168"/>
      <c r="D168" s="221">
        <v>44200</v>
      </c>
      <c r="E168" s="222">
        <v>112.4486</v>
      </c>
      <c r="F168" s="222">
        <v>84.222700000000003</v>
      </c>
      <c r="G168" s="222">
        <v>95.750900000000001</v>
      </c>
      <c r="H168"/>
      <c r="I168" s="221">
        <v>44200</v>
      </c>
      <c r="J168" s="222">
        <v>84.222700000000003</v>
      </c>
      <c r="K168" s="222">
        <v>34.163400000000003</v>
      </c>
      <c r="L168"/>
      <c r="M168"/>
      <c r="N168"/>
      <c r="O168" s="221">
        <v>44200</v>
      </c>
      <c r="P168" s="224">
        <v>18.010400000000001</v>
      </c>
      <c r="Q168" s="224">
        <v>34.163400000000003</v>
      </c>
      <c r="R168"/>
      <c r="S168"/>
    </row>
    <row r="169" spans="1:19" x14ac:dyDescent="0.35">
      <c r="A169" s="221">
        <v>44196</v>
      </c>
      <c r="B169" s="222">
        <v>33.210732482994629</v>
      </c>
      <c r="C169"/>
      <c r="D169" s="221">
        <v>44196</v>
      </c>
      <c r="E169" s="222">
        <v>109.50920000000001</v>
      </c>
      <c r="F169" s="222">
        <v>82.053799999999995</v>
      </c>
      <c r="G169" s="222">
        <v>95.674300000000002</v>
      </c>
      <c r="H169"/>
      <c r="I169" s="221">
        <v>44196</v>
      </c>
      <c r="J169" s="222">
        <v>82.053799999999995</v>
      </c>
      <c r="K169" s="222">
        <v>34.119300000000003</v>
      </c>
      <c r="L169"/>
      <c r="M169"/>
      <c r="N169"/>
      <c r="O169" s="221">
        <v>44196</v>
      </c>
      <c r="P169" s="224">
        <v>15.025700000000001</v>
      </c>
      <c r="Q169" s="224">
        <v>34.119300000000003</v>
      </c>
      <c r="R169"/>
      <c r="S169"/>
    </row>
    <row r="170" spans="1:19" x14ac:dyDescent="0.35">
      <c r="A170" s="221">
        <v>44195</v>
      </c>
      <c r="B170" s="222">
        <v>31.015865531569471</v>
      </c>
      <c r="C170"/>
      <c r="D170" s="221">
        <v>44195</v>
      </c>
      <c r="E170" s="222">
        <v>108.1268</v>
      </c>
      <c r="F170" s="222">
        <v>81.881</v>
      </c>
      <c r="G170" s="222">
        <v>95.632499999999993</v>
      </c>
      <c r="H170"/>
      <c r="I170" s="221">
        <v>44195</v>
      </c>
      <c r="J170" s="222">
        <v>81.881</v>
      </c>
      <c r="K170" s="222">
        <v>32.7121</v>
      </c>
      <c r="L170"/>
      <c r="M170"/>
      <c r="N170"/>
      <c r="O170" s="221">
        <v>44195</v>
      </c>
      <c r="P170" s="224">
        <v>13.6287</v>
      </c>
      <c r="Q170" s="224">
        <v>32.7121</v>
      </c>
      <c r="R170"/>
      <c r="S170"/>
    </row>
    <row r="171" spans="1:19" x14ac:dyDescent="0.35">
      <c r="A171" s="221">
        <v>44194</v>
      </c>
      <c r="B171" s="222">
        <v>30.678578813012685</v>
      </c>
      <c r="C171"/>
      <c r="D171" s="221">
        <v>44194</v>
      </c>
      <c r="E171" s="222">
        <v>104.5675</v>
      </c>
      <c r="F171" s="222">
        <v>74.433800000000005</v>
      </c>
      <c r="G171" s="222">
        <v>95.683599999999998</v>
      </c>
      <c r="H171"/>
      <c r="I171" s="221">
        <v>44194</v>
      </c>
      <c r="J171" s="222">
        <v>74.433800000000005</v>
      </c>
      <c r="K171" s="222">
        <v>41.206000000000003</v>
      </c>
      <c r="L171"/>
      <c r="M171"/>
      <c r="N171"/>
      <c r="O171" s="221">
        <v>44194</v>
      </c>
      <c r="P171" s="224">
        <v>9.8463999999999992</v>
      </c>
      <c r="Q171" s="224">
        <v>41.206000000000003</v>
      </c>
      <c r="R171"/>
      <c r="S171"/>
    </row>
    <row r="172" spans="1:19" x14ac:dyDescent="0.35">
      <c r="A172" s="221">
        <v>44193</v>
      </c>
      <c r="B172" s="222">
        <v>31.229173868093106</v>
      </c>
      <c r="C172"/>
      <c r="D172" s="221">
        <v>44193</v>
      </c>
      <c r="E172" s="222">
        <v>104.4491</v>
      </c>
      <c r="F172" s="222">
        <v>73.493300000000005</v>
      </c>
      <c r="G172" s="222">
        <v>95.654600000000002</v>
      </c>
      <c r="H172"/>
      <c r="I172" s="221">
        <v>44193</v>
      </c>
      <c r="J172" s="222">
        <v>73.493300000000005</v>
      </c>
      <c r="K172" s="222">
        <v>42.849800000000002</v>
      </c>
      <c r="L172"/>
      <c r="M172"/>
      <c r="N172"/>
      <c r="O172" s="221">
        <v>44193</v>
      </c>
      <c r="P172" s="224">
        <v>9.7543000000000006</v>
      </c>
      <c r="Q172" s="224">
        <v>42.849800000000002</v>
      </c>
      <c r="R172"/>
      <c r="S172"/>
    </row>
    <row r="173" spans="1:19" x14ac:dyDescent="0.35">
      <c r="A173" s="221">
        <v>44190</v>
      </c>
      <c r="B173" s="222">
        <v>33.107694229324778</v>
      </c>
      <c r="C173"/>
      <c r="D173" s="221">
        <v>44190</v>
      </c>
      <c r="E173" s="222">
        <v>106.089</v>
      </c>
      <c r="F173" s="222">
        <v>75.182299999999998</v>
      </c>
      <c r="G173" s="222">
        <v>95.569199999999995</v>
      </c>
      <c r="H173"/>
      <c r="I173" s="221">
        <v>44190</v>
      </c>
      <c r="J173" s="222">
        <v>75.182299999999998</v>
      </c>
      <c r="K173" s="222">
        <v>41.815300000000001</v>
      </c>
      <c r="L173"/>
      <c r="M173"/>
      <c r="N173"/>
      <c r="O173" s="221">
        <v>44190</v>
      </c>
      <c r="P173" s="224">
        <v>11.5631</v>
      </c>
      <c r="Q173" s="224">
        <v>41.815300000000001</v>
      </c>
      <c r="R173"/>
      <c r="S173"/>
    </row>
    <row r="174" spans="1:19" x14ac:dyDescent="0.35">
      <c r="A174" s="221">
        <v>44189</v>
      </c>
      <c r="B174" s="222">
        <v>34.27574820799677</v>
      </c>
      <c r="C174"/>
      <c r="D174" s="221">
        <v>44189</v>
      </c>
      <c r="E174" s="222">
        <v>107.2607</v>
      </c>
      <c r="F174" s="222">
        <v>76.238</v>
      </c>
      <c r="G174" s="222">
        <v>95.625100000000003</v>
      </c>
      <c r="H174"/>
      <c r="I174" s="221">
        <v>44189</v>
      </c>
      <c r="J174" s="222">
        <v>76.238</v>
      </c>
      <c r="K174" s="222">
        <v>41.386200000000002</v>
      </c>
      <c r="L174"/>
      <c r="M174"/>
      <c r="N174"/>
      <c r="O174" s="221">
        <v>44189</v>
      </c>
      <c r="P174" s="224">
        <v>12.721500000000001</v>
      </c>
      <c r="Q174" s="224">
        <v>41.386200000000002</v>
      </c>
      <c r="R174"/>
      <c r="S174"/>
    </row>
    <row r="175" spans="1:19" x14ac:dyDescent="0.35">
      <c r="A175" s="221">
        <v>44188</v>
      </c>
      <c r="B175" s="222">
        <v>32.746662864891924</v>
      </c>
      <c r="C175"/>
      <c r="D175" s="221">
        <v>44188</v>
      </c>
      <c r="E175" s="222">
        <v>107.6443</v>
      </c>
      <c r="F175" s="222">
        <v>78.886799999999994</v>
      </c>
      <c r="G175" s="222">
        <v>95.564599999999999</v>
      </c>
      <c r="H175"/>
      <c r="I175" s="221">
        <v>44188</v>
      </c>
      <c r="J175" s="222">
        <v>78.886799999999994</v>
      </c>
      <c r="K175" s="222">
        <v>37.123100000000001</v>
      </c>
      <c r="L175"/>
      <c r="M175"/>
      <c r="N175"/>
      <c r="O175" s="221">
        <v>44188</v>
      </c>
      <c r="P175" s="224">
        <v>13.192500000000001</v>
      </c>
      <c r="Q175" s="224">
        <v>37.123100000000001</v>
      </c>
      <c r="R175"/>
      <c r="S175"/>
    </row>
    <row r="176" spans="1:19" x14ac:dyDescent="0.35">
      <c r="A176" s="221">
        <v>44187</v>
      </c>
      <c r="B176" s="222">
        <v>32.729040029122316</v>
      </c>
      <c r="C176"/>
      <c r="D176" s="221">
        <v>44187</v>
      </c>
      <c r="E176" s="222">
        <v>106.23399999999999</v>
      </c>
      <c r="F176" s="222">
        <v>76.046099999999996</v>
      </c>
      <c r="G176" s="222">
        <v>95.494100000000003</v>
      </c>
      <c r="H176"/>
      <c r="I176" s="221">
        <v>44187</v>
      </c>
      <c r="J176" s="222">
        <v>76.046099999999996</v>
      </c>
      <c r="K176" s="222">
        <v>40.388500000000001</v>
      </c>
      <c r="L176"/>
      <c r="M176"/>
      <c r="N176"/>
      <c r="O176" s="221">
        <v>44187</v>
      </c>
      <c r="P176" s="224">
        <v>11.797499999999999</v>
      </c>
      <c r="Q176" s="224">
        <v>40.388500000000001</v>
      </c>
      <c r="R176"/>
      <c r="S176"/>
    </row>
    <row r="177" spans="1:19" x14ac:dyDescent="0.35">
      <c r="A177" s="221">
        <v>44186</v>
      </c>
      <c r="B177" s="222">
        <v>34.677110826245226</v>
      </c>
      <c r="C177"/>
      <c r="D177" s="221">
        <v>44186</v>
      </c>
      <c r="E177" s="222">
        <v>108.3556</v>
      </c>
      <c r="F177" s="222">
        <v>78.483699999999999</v>
      </c>
      <c r="G177" s="222">
        <v>95.377899999999997</v>
      </c>
      <c r="H177"/>
      <c r="I177" s="221">
        <v>44186</v>
      </c>
      <c r="J177" s="222">
        <v>78.483699999999999</v>
      </c>
      <c r="K177" s="222">
        <v>38.729399999999998</v>
      </c>
      <c r="L177"/>
      <c r="M177"/>
      <c r="N177"/>
      <c r="O177" s="221">
        <v>44186</v>
      </c>
      <c r="P177" s="224">
        <v>14.1564</v>
      </c>
      <c r="Q177" s="224">
        <v>38.729399999999998</v>
      </c>
      <c r="R177"/>
      <c r="S177"/>
    </row>
    <row r="178" spans="1:19" x14ac:dyDescent="0.35">
      <c r="A178" s="221">
        <v>44183</v>
      </c>
      <c r="B178" s="222">
        <v>37.625156176425456</v>
      </c>
      <c r="C178"/>
      <c r="D178" s="221">
        <v>44183</v>
      </c>
      <c r="E178" s="222">
        <v>108.93049999999999</v>
      </c>
      <c r="F178" s="222">
        <v>76.602699999999999</v>
      </c>
      <c r="G178" s="222">
        <v>95.245699999999999</v>
      </c>
      <c r="H178"/>
      <c r="I178" s="221">
        <v>44183</v>
      </c>
      <c r="J178" s="222">
        <v>76.602699999999999</v>
      </c>
      <c r="K178" s="222">
        <v>42.880099999999999</v>
      </c>
      <c r="L178"/>
      <c r="M178"/>
      <c r="N178"/>
      <c r="O178" s="221">
        <v>44183</v>
      </c>
      <c r="P178" s="224">
        <v>14.9133</v>
      </c>
      <c r="Q178" s="224">
        <v>42.880099999999999</v>
      </c>
      <c r="R178"/>
      <c r="S178"/>
    </row>
    <row r="179" spans="1:19" x14ac:dyDescent="0.35">
      <c r="A179" s="221">
        <v>44182</v>
      </c>
      <c r="B179" s="222">
        <v>36.913217383633615</v>
      </c>
      <c r="C179"/>
      <c r="D179" s="221">
        <v>44182</v>
      </c>
      <c r="E179" s="222">
        <v>108.48220000000001</v>
      </c>
      <c r="F179" s="222">
        <v>76.391599999999997</v>
      </c>
      <c r="G179" s="222">
        <v>95.275899999999993</v>
      </c>
      <c r="H179"/>
      <c r="I179" s="221">
        <v>44182</v>
      </c>
      <c r="J179" s="222">
        <v>76.391599999999997</v>
      </c>
      <c r="K179" s="222">
        <v>42.6858</v>
      </c>
      <c r="L179"/>
      <c r="M179"/>
      <c r="N179"/>
      <c r="O179" s="221">
        <v>44182</v>
      </c>
      <c r="P179" s="224">
        <v>14.4046</v>
      </c>
      <c r="Q179" s="224">
        <v>42.6858</v>
      </c>
      <c r="R179"/>
      <c r="S179"/>
    </row>
    <row r="180" spans="1:19" x14ac:dyDescent="0.35">
      <c r="A180" s="221">
        <v>44181</v>
      </c>
      <c r="B180" s="222">
        <v>34.42628419274152</v>
      </c>
      <c r="C180"/>
      <c r="D180" s="221">
        <v>44181</v>
      </c>
      <c r="E180" s="222">
        <v>105.63079999999999</v>
      </c>
      <c r="F180" s="222">
        <v>72.994200000000006</v>
      </c>
      <c r="G180" s="222">
        <v>95.323599999999999</v>
      </c>
      <c r="H180"/>
      <c r="I180" s="221">
        <v>44181</v>
      </c>
      <c r="J180" s="222">
        <v>72.994200000000006</v>
      </c>
      <c r="K180" s="222">
        <v>45.418399999999998</v>
      </c>
      <c r="L180"/>
      <c r="M180"/>
      <c r="N180"/>
      <c r="O180" s="221">
        <v>44181</v>
      </c>
      <c r="P180" s="224">
        <v>11.3544</v>
      </c>
      <c r="Q180" s="224">
        <v>45.418399999999998</v>
      </c>
      <c r="R180"/>
      <c r="S180"/>
    </row>
    <row r="181" spans="1:19" x14ac:dyDescent="0.35">
      <c r="A181" s="221">
        <v>44180</v>
      </c>
      <c r="B181" s="222">
        <v>35.696709617526913</v>
      </c>
      <c r="C181"/>
      <c r="D181" s="221">
        <v>44180</v>
      </c>
      <c r="E181" s="222">
        <v>106.4355</v>
      </c>
      <c r="F181" s="222">
        <v>73.512500000000003</v>
      </c>
      <c r="G181" s="222">
        <v>95.228300000000004</v>
      </c>
      <c r="H181"/>
      <c r="I181" s="221">
        <v>44180</v>
      </c>
      <c r="J181" s="222">
        <v>73.512500000000003</v>
      </c>
      <c r="K181" s="222">
        <v>45.485500000000002</v>
      </c>
      <c r="L181"/>
      <c r="M181"/>
      <c r="N181"/>
      <c r="O181" s="221">
        <v>44180</v>
      </c>
      <c r="P181" s="224">
        <v>12.309100000000001</v>
      </c>
      <c r="Q181" s="224">
        <v>45.485500000000002</v>
      </c>
      <c r="R181"/>
      <c r="S181"/>
    </row>
    <row r="182" spans="1:19" x14ac:dyDescent="0.35">
      <c r="A182" s="221">
        <v>44179</v>
      </c>
      <c r="B182" s="222">
        <v>37.664674082167842</v>
      </c>
      <c r="C182"/>
      <c r="D182" s="221">
        <v>44179</v>
      </c>
      <c r="E182" s="222">
        <v>106.5361</v>
      </c>
      <c r="F182" s="222">
        <v>71.612300000000005</v>
      </c>
      <c r="G182" s="222">
        <v>95.191599999999994</v>
      </c>
      <c r="H182"/>
      <c r="I182" s="221">
        <v>44179</v>
      </c>
      <c r="J182" s="222">
        <v>71.612300000000005</v>
      </c>
      <c r="K182" s="222">
        <v>49.484099999999998</v>
      </c>
      <c r="L182"/>
      <c r="M182"/>
      <c r="N182"/>
      <c r="O182" s="221">
        <v>44179</v>
      </c>
      <c r="P182" s="224">
        <v>12.4564</v>
      </c>
      <c r="Q182" s="224">
        <v>49.484099999999998</v>
      </c>
      <c r="R182"/>
      <c r="S182"/>
    </row>
    <row r="183" spans="1:19" x14ac:dyDescent="0.35">
      <c r="A183" s="221">
        <v>44176</v>
      </c>
      <c r="B183" s="222">
        <v>39.640986339390508</v>
      </c>
      <c r="C183"/>
      <c r="D183" s="221">
        <v>44176</v>
      </c>
      <c r="E183" s="222">
        <v>107.2921</v>
      </c>
      <c r="F183" s="222">
        <v>70.998099999999994</v>
      </c>
      <c r="G183" s="222">
        <v>95.192499999999995</v>
      </c>
      <c r="H183"/>
      <c r="I183" s="221">
        <v>44176</v>
      </c>
      <c r="J183" s="222">
        <v>70.998099999999994</v>
      </c>
      <c r="K183" s="222">
        <v>51.835000000000001</v>
      </c>
      <c r="L183"/>
      <c r="M183"/>
      <c r="N183"/>
      <c r="O183" s="221">
        <v>44176</v>
      </c>
      <c r="P183" s="224">
        <v>13.244199999999999</v>
      </c>
      <c r="Q183" s="224">
        <v>51.835000000000001</v>
      </c>
      <c r="R183"/>
      <c r="S183"/>
    </row>
    <row r="184" spans="1:19" x14ac:dyDescent="0.35">
      <c r="A184" s="221">
        <v>44175</v>
      </c>
      <c r="B184" s="222">
        <v>39.358369240112644</v>
      </c>
      <c r="C184"/>
      <c r="D184" s="221">
        <v>44175</v>
      </c>
      <c r="E184" s="222">
        <v>108.08369999999999</v>
      </c>
      <c r="F184" s="222">
        <v>72.9559</v>
      </c>
      <c r="G184" s="222">
        <v>95.1785</v>
      </c>
      <c r="H184"/>
      <c r="I184" s="221">
        <v>44175</v>
      </c>
      <c r="J184" s="222">
        <v>72.9559</v>
      </c>
      <c r="K184" s="222">
        <v>48.843299999999999</v>
      </c>
      <c r="L184"/>
      <c r="M184"/>
      <c r="N184"/>
      <c r="O184" s="221">
        <v>44175</v>
      </c>
      <c r="P184" s="224">
        <v>14.0909</v>
      </c>
      <c r="Q184" s="224">
        <v>48.843299999999999</v>
      </c>
      <c r="R184"/>
      <c r="S184"/>
    </row>
    <row r="185" spans="1:19" x14ac:dyDescent="0.35">
      <c r="A185" s="221">
        <v>44174</v>
      </c>
      <c r="B185" s="222">
        <v>40.913355251774369</v>
      </c>
      <c r="C185"/>
      <c r="D185" s="221">
        <v>44174</v>
      </c>
      <c r="E185" s="222">
        <v>108.4953</v>
      </c>
      <c r="F185" s="222">
        <v>72.149699999999996</v>
      </c>
      <c r="G185" s="222">
        <v>95.192099999999996</v>
      </c>
      <c r="H185"/>
      <c r="I185" s="221">
        <v>44174</v>
      </c>
      <c r="J185" s="222">
        <v>72.149699999999996</v>
      </c>
      <c r="K185" s="222">
        <v>51.074800000000003</v>
      </c>
      <c r="L185"/>
      <c r="M185"/>
      <c r="N185"/>
      <c r="O185" s="221">
        <v>44174</v>
      </c>
      <c r="P185" s="224">
        <v>14.5053</v>
      </c>
      <c r="Q185" s="224">
        <v>51.074800000000003</v>
      </c>
      <c r="R185"/>
      <c r="S185"/>
    </row>
    <row r="186" spans="1:19" x14ac:dyDescent="0.35">
      <c r="A186" s="221">
        <v>44173</v>
      </c>
      <c r="B186" s="222">
        <v>37.885599351032404</v>
      </c>
      <c r="C186"/>
      <c r="D186" s="221">
        <v>44173</v>
      </c>
      <c r="E186" s="222">
        <v>109.48699999999999</v>
      </c>
      <c r="F186" s="222">
        <v>77.504800000000003</v>
      </c>
      <c r="G186" s="222">
        <v>95.102800000000002</v>
      </c>
      <c r="H186"/>
      <c r="I186" s="221">
        <v>44173</v>
      </c>
      <c r="J186" s="222">
        <v>77.504800000000003</v>
      </c>
      <c r="K186" s="222">
        <v>41.913800000000002</v>
      </c>
      <c r="L186"/>
      <c r="M186"/>
      <c r="N186"/>
      <c r="O186" s="221">
        <v>44173</v>
      </c>
      <c r="P186" s="224">
        <v>15.6538</v>
      </c>
      <c r="Q186" s="224">
        <v>41.913800000000002</v>
      </c>
      <c r="R186"/>
      <c r="S186"/>
    </row>
    <row r="187" spans="1:19" x14ac:dyDescent="0.35">
      <c r="A187" s="221">
        <v>44172</v>
      </c>
      <c r="B187" s="222">
        <v>39.758942421056645</v>
      </c>
      <c r="C187"/>
      <c r="D187" s="221">
        <v>44172</v>
      </c>
      <c r="E187" s="222">
        <v>110.1596</v>
      </c>
      <c r="F187" s="222">
        <v>76.832999999999998</v>
      </c>
      <c r="G187" s="222">
        <v>95.068600000000004</v>
      </c>
      <c r="H187"/>
      <c r="I187" s="221">
        <v>44172</v>
      </c>
      <c r="J187" s="222">
        <v>76.832999999999998</v>
      </c>
      <c r="K187" s="222">
        <v>44.027999999999999</v>
      </c>
      <c r="L187"/>
      <c r="M187"/>
      <c r="N187"/>
      <c r="O187" s="221">
        <v>44172</v>
      </c>
      <c r="P187" s="224">
        <v>16.401199999999999</v>
      </c>
      <c r="Q187" s="224">
        <v>44.027999999999999</v>
      </c>
      <c r="R187"/>
      <c r="S187"/>
    </row>
    <row r="188" spans="1:19" x14ac:dyDescent="0.35">
      <c r="A188" s="221">
        <v>44169</v>
      </c>
      <c r="B188" s="222">
        <v>41.410387766972143</v>
      </c>
      <c r="C188"/>
      <c r="D188" s="221">
        <v>44169</v>
      </c>
      <c r="E188" s="222">
        <v>110.5056</v>
      </c>
      <c r="F188" s="222">
        <v>75.7774</v>
      </c>
      <c r="G188" s="222">
        <v>95.031300000000002</v>
      </c>
      <c r="H188"/>
      <c r="I188" s="221">
        <v>44169</v>
      </c>
      <c r="J188" s="222">
        <v>75.7774</v>
      </c>
      <c r="K188" s="222">
        <v>46.484299999999998</v>
      </c>
      <c r="L188"/>
      <c r="M188"/>
      <c r="N188"/>
      <c r="O188" s="221">
        <v>44169</v>
      </c>
      <c r="P188" s="224">
        <v>16.805700000000002</v>
      </c>
      <c r="Q188" s="224">
        <v>46.484299999999998</v>
      </c>
      <c r="R188"/>
      <c r="S188"/>
    </row>
    <row r="189" spans="1:19" x14ac:dyDescent="0.35">
      <c r="A189" s="221">
        <v>44168</v>
      </c>
      <c r="B189" s="222">
        <v>42.78902518231947</v>
      </c>
      <c r="C189"/>
      <c r="D189" s="221">
        <v>44168</v>
      </c>
      <c r="E189" s="222">
        <v>111.5052</v>
      </c>
      <c r="F189" s="222">
        <v>76.199600000000004</v>
      </c>
      <c r="G189" s="222">
        <v>95.040700000000001</v>
      </c>
      <c r="H189"/>
      <c r="I189" s="221">
        <v>44168</v>
      </c>
      <c r="J189" s="222">
        <v>76.199600000000004</v>
      </c>
      <c r="K189" s="222">
        <v>46.982399999999998</v>
      </c>
      <c r="L189"/>
      <c r="M189"/>
      <c r="N189"/>
      <c r="O189" s="221">
        <v>44168</v>
      </c>
      <c r="P189" s="224">
        <v>17.844200000000001</v>
      </c>
      <c r="Q189" s="224">
        <v>46.982399999999998</v>
      </c>
      <c r="R189"/>
      <c r="S189"/>
    </row>
    <row r="190" spans="1:19" x14ac:dyDescent="0.35">
      <c r="A190" s="221">
        <v>44167</v>
      </c>
      <c r="B190" s="222">
        <v>42.308136958111717</v>
      </c>
      <c r="C190"/>
      <c r="D190" s="221">
        <v>44167</v>
      </c>
      <c r="E190" s="222">
        <v>111.6168</v>
      </c>
      <c r="F190" s="222">
        <v>77.005799999999994</v>
      </c>
      <c r="G190" s="222">
        <v>94.987300000000005</v>
      </c>
      <c r="H190"/>
      <c r="I190" s="221">
        <v>44167</v>
      </c>
      <c r="J190" s="222">
        <v>77.005799999999994</v>
      </c>
      <c r="K190" s="222">
        <v>45.586399999999998</v>
      </c>
      <c r="L190"/>
      <c r="M190"/>
      <c r="N190"/>
      <c r="O190" s="221">
        <v>44167</v>
      </c>
      <c r="P190" s="224">
        <v>18.026299999999999</v>
      </c>
      <c r="Q190" s="224">
        <v>45.586399999999998</v>
      </c>
      <c r="R190"/>
      <c r="S190"/>
    </row>
    <row r="191" spans="1:19" x14ac:dyDescent="0.35">
      <c r="A191" s="221">
        <v>44166</v>
      </c>
      <c r="B191" s="222">
        <v>41.423967826855502</v>
      </c>
      <c r="C191"/>
      <c r="D191" s="221">
        <v>44166</v>
      </c>
      <c r="E191" s="222">
        <v>111.2585</v>
      </c>
      <c r="F191" s="222">
        <v>77.293700000000001</v>
      </c>
      <c r="G191" s="222">
        <v>94.924000000000007</v>
      </c>
      <c r="H191"/>
      <c r="I191" s="221">
        <v>44166</v>
      </c>
      <c r="J191" s="222">
        <v>77.293700000000001</v>
      </c>
      <c r="K191" s="222">
        <v>44.578400000000002</v>
      </c>
      <c r="L191"/>
      <c r="M191"/>
      <c r="N191"/>
      <c r="O191" s="221">
        <v>44166</v>
      </c>
      <c r="P191" s="224">
        <v>17.7258</v>
      </c>
      <c r="Q191" s="224">
        <v>44.578400000000002</v>
      </c>
      <c r="R191"/>
      <c r="S191"/>
    </row>
    <row r="192" spans="1:19" x14ac:dyDescent="0.35">
      <c r="A192" s="221">
        <v>44165</v>
      </c>
      <c r="B192" s="222">
        <v>42.418332350647674</v>
      </c>
      <c r="C192"/>
      <c r="D192" s="221">
        <v>44165</v>
      </c>
      <c r="E192" s="222">
        <v>110.9971</v>
      </c>
      <c r="F192" s="222">
        <v>75.892499999999998</v>
      </c>
      <c r="G192" s="222">
        <v>94.869399999999999</v>
      </c>
      <c r="H192"/>
      <c r="I192" s="221">
        <v>44165</v>
      </c>
      <c r="J192" s="222">
        <v>75.892499999999998</v>
      </c>
      <c r="K192" s="222">
        <v>46.901200000000003</v>
      </c>
      <c r="L192"/>
      <c r="M192"/>
      <c r="N192"/>
      <c r="O192" s="221">
        <v>44165</v>
      </c>
      <c r="P192" s="224">
        <v>17.516300000000001</v>
      </c>
      <c r="Q192" s="224">
        <v>46.901200000000003</v>
      </c>
      <c r="R192"/>
      <c r="S192"/>
    </row>
    <row r="193" spans="1:19" x14ac:dyDescent="0.35">
      <c r="A193" s="221">
        <v>44162</v>
      </c>
      <c r="B193" s="222">
        <v>41.932817198726987</v>
      </c>
      <c r="C193"/>
      <c r="D193" s="221">
        <v>44162</v>
      </c>
      <c r="E193" s="222">
        <v>110.9691</v>
      </c>
      <c r="F193" s="222">
        <v>76.257199999999997</v>
      </c>
      <c r="G193" s="222">
        <v>94.873699999999999</v>
      </c>
      <c r="H193"/>
      <c r="I193" s="221">
        <v>44162</v>
      </c>
      <c r="J193" s="222">
        <v>76.257199999999997</v>
      </c>
      <c r="K193" s="222">
        <v>46.1554</v>
      </c>
      <c r="L193"/>
      <c r="M193"/>
      <c r="N193"/>
      <c r="O193" s="221">
        <v>44162</v>
      </c>
      <c r="P193" s="224">
        <v>17.476199999999999</v>
      </c>
      <c r="Q193" s="224">
        <v>46.1554</v>
      </c>
      <c r="R193"/>
      <c r="S193"/>
    </row>
    <row r="194" spans="1:19" x14ac:dyDescent="0.35">
      <c r="A194" s="221">
        <v>44161</v>
      </c>
      <c r="B194" s="222">
        <v>41.286748059004417</v>
      </c>
      <c r="C194"/>
      <c r="D194" s="221">
        <v>44161</v>
      </c>
      <c r="E194" s="222">
        <v>110.8677</v>
      </c>
      <c r="F194" s="222">
        <v>76.756200000000007</v>
      </c>
      <c r="G194" s="222">
        <v>94.849000000000004</v>
      </c>
      <c r="H194"/>
      <c r="I194" s="221">
        <v>44161</v>
      </c>
      <c r="J194" s="222">
        <v>76.756200000000007</v>
      </c>
      <c r="K194" s="222">
        <v>45.070999999999998</v>
      </c>
      <c r="L194"/>
      <c r="M194"/>
      <c r="N194"/>
      <c r="O194" s="221">
        <v>44161</v>
      </c>
      <c r="P194" s="224">
        <v>17.398199999999999</v>
      </c>
      <c r="Q194" s="224">
        <v>45.070999999999998</v>
      </c>
      <c r="R194"/>
      <c r="S194"/>
    </row>
    <row r="195" spans="1:19" x14ac:dyDescent="0.35">
      <c r="A195" s="221">
        <v>44160</v>
      </c>
      <c r="B195" s="222">
        <v>40.96795099331856</v>
      </c>
      <c r="C195"/>
      <c r="D195" s="221">
        <v>44160</v>
      </c>
      <c r="E195" s="222">
        <v>110.2984</v>
      </c>
      <c r="F195" s="222">
        <v>76.103700000000003</v>
      </c>
      <c r="G195" s="222">
        <v>94.785200000000003</v>
      </c>
      <c r="H195"/>
      <c r="I195" s="221">
        <v>44160</v>
      </c>
      <c r="J195" s="222">
        <v>76.103700000000003</v>
      </c>
      <c r="K195" s="222">
        <v>45.564500000000002</v>
      </c>
      <c r="L195"/>
      <c r="M195"/>
      <c r="N195"/>
      <c r="O195" s="221">
        <v>44160</v>
      </c>
      <c r="P195" s="224">
        <v>16.8748</v>
      </c>
      <c r="Q195" s="224">
        <v>45.564500000000002</v>
      </c>
      <c r="R195"/>
      <c r="S195"/>
    </row>
    <row r="196" spans="1:19" x14ac:dyDescent="0.35">
      <c r="A196" s="221">
        <v>44159</v>
      </c>
      <c r="B196" s="222">
        <v>40.569864860810199</v>
      </c>
      <c r="C196"/>
      <c r="D196" s="221">
        <v>44159</v>
      </c>
      <c r="E196" s="222">
        <v>110.92</v>
      </c>
      <c r="F196" s="222">
        <v>77.6584</v>
      </c>
      <c r="G196" s="222">
        <v>94.792400000000001</v>
      </c>
      <c r="H196"/>
      <c r="I196" s="221">
        <v>44159</v>
      </c>
      <c r="J196" s="222">
        <v>77.6584</v>
      </c>
      <c r="K196" s="222">
        <v>43.448700000000002</v>
      </c>
      <c r="L196"/>
      <c r="M196"/>
      <c r="N196"/>
      <c r="O196" s="221">
        <v>44159</v>
      </c>
      <c r="P196" s="224">
        <v>17.52</v>
      </c>
      <c r="Q196" s="224">
        <v>43.448700000000002</v>
      </c>
      <c r="R196"/>
      <c r="S196"/>
    </row>
    <row r="197" spans="1:19" x14ac:dyDescent="0.35">
      <c r="A197" s="221">
        <v>44158</v>
      </c>
      <c r="B197" s="222">
        <v>40.212758388813867</v>
      </c>
      <c r="C197"/>
      <c r="D197" s="221">
        <v>44158</v>
      </c>
      <c r="E197" s="222">
        <v>111.0706</v>
      </c>
      <c r="F197" s="222">
        <v>78.215000000000003</v>
      </c>
      <c r="G197" s="222">
        <v>94.831000000000003</v>
      </c>
      <c r="H197"/>
      <c r="I197" s="221">
        <v>44158</v>
      </c>
      <c r="J197" s="222">
        <v>78.215000000000003</v>
      </c>
      <c r="K197" s="222">
        <v>42.618400000000001</v>
      </c>
      <c r="L197"/>
      <c r="M197"/>
      <c r="N197"/>
      <c r="O197" s="221">
        <v>44158</v>
      </c>
      <c r="P197" s="224">
        <v>17.629300000000001</v>
      </c>
      <c r="Q197" s="224">
        <v>42.618400000000001</v>
      </c>
      <c r="R197"/>
      <c r="S197"/>
    </row>
    <row r="198" spans="1:19" x14ac:dyDescent="0.35">
      <c r="A198" s="221">
        <v>44155</v>
      </c>
      <c r="B198" s="222">
        <v>38.165030486024484</v>
      </c>
      <c r="C198"/>
      <c r="D198" s="221">
        <v>44155</v>
      </c>
      <c r="E198" s="222">
        <v>111.2376</v>
      </c>
      <c r="F198" s="222">
        <v>80.422300000000007</v>
      </c>
      <c r="G198" s="222">
        <v>94.924199999999999</v>
      </c>
      <c r="H198"/>
      <c r="I198" s="221">
        <v>44155</v>
      </c>
      <c r="J198" s="222">
        <v>80.422300000000007</v>
      </c>
      <c r="K198" s="222">
        <v>38.905500000000004</v>
      </c>
      <c r="L198"/>
      <c r="M198"/>
      <c r="N198"/>
      <c r="O198" s="221">
        <v>44155</v>
      </c>
      <c r="P198" s="224">
        <v>17.6844</v>
      </c>
      <c r="Q198" s="224">
        <v>38.905500000000004</v>
      </c>
      <c r="R198"/>
      <c r="S198"/>
    </row>
    <row r="199" spans="1:19" x14ac:dyDescent="0.35">
      <c r="A199" s="221">
        <v>44154</v>
      </c>
      <c r="B199" s="222">
        <v>37.405220642233857</v>
      </c>
      <c r="C199"/>
      <c r="D199" s="221">
        <v>44154</v>
      </c>
      <c r="E199" s="222">
        <v>110.83620000000001</v>
      </c>
      <c r="F199" s="222">
        <v>80.2303</v>
      </c>
      <c r="G199" s="222">
        <v>95.060199999999995</v>
      </c>
      <c r="H199"/>
      <c r="I199" s="221">
        <v>44154</v>
      </c>
      <c r="J199" s="222">
        <v>80.2303</v>
      </c>
      <c r="K199" s="222">
        <v>38.735599999999998</v>
      </c>
      <c r="L199"/>
      <c r="M199"/>
      <c r="N199"/>
      <c r="O199" s="221">
        <v>44154</v>
      </c>
      <c r="P199" s="224">
        <v>17.092099999999999</v>
      </c>
      <c r="Q199" s="224">
        <v>38.735599999999998</v>
      </c>
      <c r="R199"/>
      <c r="S199"/>
    </row>
    <row r="200" spans="1:19" x14ac:dyDescent="0.35">
      <c r="A200" s="221">
        <v>44153</v>
      </c>
      <c r="B200" s="222">
        <v>36.656126605418763</v>
      </c>
      <c r="C200"/>
      <c r="D200" s="221">
        <v>44153</v>
      </c>
      <c r="E200" s="222">
        <v>110.6439</v>
      </c>
      <c r="F200" s="222">
        <v>80.268699999999995</v>
      </c>
      <c r="G200" s="222">
        <v>95.264499999999998</v>
      </c>
      <c r="H200"/>
      <c r="I200" s="221">
        <v>44153</v>
      </c>
      <c r="J200" s="222">
        <v>80.268699999999995</v>
      </c>
      <c r="K200" s="222">
        <v>38.427599999999998</v>
      </c>
      <c r="L200"/>
      <c r="M200"/>
      <c r="N200"/>
      <c r="O200" s="221">
        <v>44153</v>
      </c>
      <c r="P200" s="224">
        <v>16.6374</v>
      </c>
      <c r="Q200" s="224">
        <v>38.427599999999998</v>
      </c>
      <c r="R200"/>
      <c r="S200"/>
    </row>
    <row r="201" spans="1:19" x14ac:dyDescent="0.35">
      <c r="A201" s="221">
        <v>44152</v>
      </c>
      <c r="B201" s="222">
        <v>35.600652389723635</v>
      </c>
      <c r="C201"/>
      <c r="D201" s="221">
        <v>44152</v>
      </c>
      <c r="E201" s="222">
        <v>111.53149999999999</v>
      </c>
      <c r="F201" s="222">
        <v>82.975099999999998</v>
      </c>
      <c r="G201" s="222">
        <v>95.309700000000007</v>
      </c>
      <c r="H201"/>
      <c r="I201" s="221">
        <v>44152</v>
      </c>
      <c r="J201" s="222">
        <v>82.975099999999998</v>
      </c>
      <c r="K201" s="222">
        <v>34.9803</v>
      </c>
      <c r="L201"/>
      <c r="M201"/>
      <c r="N201"/>
      <c r="O201" s="221">
        <v>44152</v>
      </c>
      <c r="P201" s="224">
        <v>17.511600000000001</v>
      </c>
      <c r="Q201" s="224">
        <v>34.9803</v>
      </c>
      <c r="R201"/>
      <c r="S201"/>
    </row>
    <row r="202" spans="1:19" x14ac:dyDescent="0.35">
      <c r="A202" s="221">
        <v>44151</v>
      </c>
      <c r="B202" s="222">
        <v>37.516851903856427</v>
      </c>
      <c r="C202"/>
      <c r="D202" s="221">
        <v>44151</v>
      </c>
      <c r="E202" s="222">
        <v>113.1632</v>
      </c>
      <c r="F202" s="222">
        <v>83.570099999999996</v>
      </c>
      <c r="G202" s="222">
        <v>95.479600000000005</v>
      </c>
      <c r="H202"/>
      <c r="I202" s="221">
        <v>44151</v>
      </c>
      <c r="J202" s="222">
        <v>83.570099999999996</v>
      </c>
      <c r="K202" s="222">
        <v>35.969700000000003</v>
      </c>
      <c r="L202"/>
      <c r="M202"/>
      <c r="N202"/>
      <c r="O202" s="221">
        <v>44151</v>
      </c>
      <c r="P202" s="224">
        <v>19.009699999999999</v>
      </c>
      <c r="Q202" s="224">
        <v>35.969700000000003</v>
      </c>
      <c r="R202"/>
      <c r="S202"/>
    </row>
    <row r="203" spans="1:19" x14ac:dyDescent="0.35">
      <c r="A203" s="221">
        <v>44148</v>
      </c>
      <c r="B203" s="222">
        <v>38.295596062679216</v>
      </c>
      <c r="C203"/>
      <c r="D203" s="221">
        <v>44148</v>
      </c>
      <c r="E203" s="222">
        <v>113.3481</v>
      </c>
      <c r="F203" s="222">
        <v>82.783100000000005</v>
      </c>
      <c r="G203" s="222">
        <v>95.593800000000002</v>
      </c>
      <c r="H203"/>
      <c r="I203" s="221">
        <v>44148</v>
      </c>
      <c r="J203" s="222">
        <v>82.783100000000005</v>
      </c>
      <c r="K203" s="222">
        <v>37.479799999999997</v>
      </c>
      <c r="L203"/>
      <c r="M203"/>
      <c r="N203"/>
      <c r="O203" s="221">
        <v>44148</v>
      </c>
      <c r="P203" s="224">
        <v>19.055800000000001</v>
      </c>
      <c r="Q203" s="224">
        <v>37.479799999999997</v>
      </c>
      <c r="R203"/>
      <c r="S203"/>
    </row>
    <row r="204" spans="1:19" x14ac:dyDescent="0.35">
      <c r="A204" s="221">
        <v>44147</v>
      </c>
      <c r="B204" s="222">
        <v>39.488619389699899</v>
      </c>
      <c r="C204"/>
      <c r="D204" s="221">
        <v>44147</v>
      </c>
      <c r="E204" s="222">
        <v>112.83969999999999</v>
      </c>
      <c r="F204" s="222">
        <v>80.326300000000003</v>
      </c>
      <c r="G204" s="222">
        <v>95.734999999999999</v>
      </c>
      <c r="H204"/>
      <c r="I204" s="221">
        <v>44147</v>
      </c>
      <c r="J204" s="222">
        <v>80.326300000000003</v>
      </c>
      <c r="K204" s="222">
        <v>41.049700000000001</v>
      </c>
      <c r="L204"/>
      <c r="M204"/>
      <c r="N204"/>
      <c r="O204" s="221">
        <v>44147</v>
      </c>
      <c r="P204" s="224">
        <v>18.3475</v>
      </c>
      <c r="Q204" s="224">
        <v>41.049700000000001</v>
      </c>
      <c r="R204"/>
      <c r="S204"/>
    </row>
    <row r="205" spans="1:19" x14ac:dyDescent="0.35">
      <c r="A205" s="221">
        <v>44146</v>
      </c>
      <c r="B205" s="222">
        <v>40.250878425167542</v>
      </c>
      <c r="C205"/>
      <c r="D205" s="221">
        <v>44146</v>
      </c>
      <c r="E205" s="222">
        <v>112.2414</v>
      </c>
      <c r="F205" s="222">
        <v>78.349299999999999</v>
      </c>
      <c r="G205" s="222">
        <v>95.762200000000007</v>
      </c>
      <c r="H205"/>
      <c r="I205" s="221">
        <v>44146</v>
      </c>
      <c r="J205" s="222">
        <v>78.349299999999999</v>
      </c>
      <c r="K205" s="222">
        <v>43.843000000000004</v>
      </c>
      <c r="L205"/>
      <c r="M205"/>
      <c r="N205"/>
      <c r="O205" s="221">
        <v>44146</v>
      </c>
      <c r="P205" s="224">
        <v>17.6874</v>
      </c>
      <c r="Q205" s="224">
        <v>43.843000000000004</v>
      </c>
      <c r="R205"/>
      <c r="S205"/>
    </row>
    <row r="206" spans="1:19" x14ac:dyDescent="0.35">
      <c r="A206" s="221">
        <v>44145</v>
      </c>
      <c r="B206" s="222">
        <v>39.895013636796072</v>
      </c>
      <c r="C206"/>
      <c r="D206" s="221">
        <v>44145</v>
      </c>
      <c r="E206" s="222">
        <v>114.04300000000001</v>
      </c>
      <c r="F206" s="222">
        <v>81.823400000000007</v>
      </c>
      <c r="G206" s="222">
        <v>95.85</v>
      </c>
      <c r="H206"/>
      <c r="I206" s="221">
        <v>44145</v>
      </c>
      <c r="J206" s="222">
        <v>81.823400000000007</v>
      </c>
      <c r="K206" s="222">
        <v>39.935499999999998</v>
      </c>
      <c r="L206"/>
      <c r="M206"/>
      <c r="N206"/>
      <c r="O206" s="221">
        <v>44145</v>
      </c>
      <c r="P206" s="224">
        <v>19.4575</v>
      </c>
      <c r="Q206" s="224">
        <v>39.935499999999998</v>
      </c>
      <c r="R206"/>
      <c r="S206"/>
    </row>
    <row r="207" spans="1:19" x14ac:dyDescent="0.35">
      <c r="A207" s="221">
        <v>44144</v>
      </c>
      <c r="B207" s="222">
        <v>36.823852732279214</v>
      </c>
      <c r="C207"/>
      <c r="D207" s="221">
        <v>44144</v>
      </c>
      <c r="E207" s="222">
        <v>114.8437</v>
      </c>
      <c r="F207" s="222">
        <v>86.545100000000005</v>
      </c>
      <c r="G207" s="222">
        <v>95.798299999999998</v>
      </c>
      <c r="H207"/>
      <c r="I207" s="221">
        <v>44144</v>
      </c>
      <c r="J207" s="222">
        <v>86.545100000000005</v>
      </c>
      <c r="K207" s="222">
        <v>33.224200000000003</v>
      </c>
      <c r="L207"/>
      <c r="M207"/>
      <c r="N207"/>
      <c r="O207" s="221">
        <v>44144</v>
      </c>
      <c r="P207" s="224">
        <v>20.356000000000002</v>
      </c>
      <c r="Q207" s="224">
        <v>33.224200000000003</v>
      </c>
      <c r="R207"/>
      <c r="S207"/>
    </row>
    <row r="208" spans="1:19" x14ac:dyDescent="0.35">
      <c r="A208" s="221">
        <v>44141</v>
      </c>
      <c r="B208" s="222">
        <v>38.016138858067592</v>
      </c>
      <c r="C208"/>
      <c r="D208" s="221">
        <v>44141</v>
      </c>
      <c r="E208" s="222">
        <v>113.2296</v>
      </c>
      <c r="F208" s="222">
        <v>82.514399999999995</v>
      </c>
      <c r="G208" s="222">
        <v>95.703100000000006</v>
      </c>
      <c r="H208"/>
      <c r="I208" s="221">
        <v>44141</v>
      </c>
      <c r="J208" s="222">
        <v>82.514399999999995</v>
      </c>
      <c r="K208" s="222">
        <v>37.7699</v>
      </c>
      <c r="L208"/>
      <c r="M208"/>
      <c r="N208"/>
      <c r="O208" s="221">
        <v>44141</v>
      </c>
      <c r="P208" s="224">
        <v>18.783999999999999</v>
      </c>
      <c r="Q208" s="224">
        <v>37.7699</v>
      </c>
      <c r="R208"/>
      <c r="S208"/>
    </row>
    <row r="209" spans="1:19" x14ac:dyDescent="0.35">
      <c r="A209" s="221">
        <v>44140</v>
      </c>
      <c r="B209" s="222">
        <v>39.928126659262006</v>
      </c>
      <c r="C209"/>
      <c r="D209" s="221">
        <v>44140</v>
      </c>
      <c r="E209" s="222">
        <v>113.1512</v>
      </c>
      <c r="F209" s="222">
        <v>80.345500000000001</v>
      </c>
      <c r="G209" s="222">
        <v>95.697299999999998</v>
      </c>
      <c r="H209"/>
      <c r="I209" s="221">
        <v>44140</v>
      </c>
      <c r="J209" s="222">
        <v>80.345500000000001</v>
      </c>
      <c r="K209" s="222">
        <v>41.389400000000002</v>
      </c>
      <c r="L209"/>
      <c r="M209"/>
      <c r="N209"/>
      <c r="O209" s="221">
        <v>44140</v>
      </c>
      <c r="P209" s="224">
        <v>18.707599999999999</v>
      </c>
      <c r="Q209" s="224">
        <v>41.389400000000002</v>
      </c>
      <c r="R209"/>
      <c r="S209"/>
    </row>
    <row r="210" spans="1:19" x14ac:dyDescent="0.35">
      <c r="A210" s="221">
        <v>44139</v>
      </c>
      <c r="B210" s="222">
        <v>37.213650552760306</v>
      </c>
      <c r="C210"/>
      <c r="D210" s="221">
        <v>44139</v>
      </c>
      <c r="E210" s="222">
        <v>111.5539</v>
      </c>
      <c r="F210" s="222">
        <v>80.383899999999997</v>
      </c>
      <c r="G210" s="222">
        <v>95.629000000000005</v>
      </c>
      <c r="H210"/>
      <c r="I210" s="221">
        <v>44139</v>
      </c>
      <c r="J210" s="222">
        <v>80.383899999999997</v>
      </c>
      <c r="K210" s="222">
        <v>39.332599999999999</v>
      </c>
      <c r="L210"/>
      <c r="M210"/>
      <c r="N210"/>
      <c r="O210" s="221">
        <v>44139</v>
      </c>
      <c r="P210" s="224">
        <v>17.1203</v>
      </c>
      <c r="Q210" s="224">
        <v>39.332599999999999</v>
      </c>
      <c r="R210"/>
      <c r="S210"/>
    </row>
    <row r="211" spans="1:19" x14ac:dyDescent="0.35">
      <c r="A211" s="221">
        <v>44138</v>
      </c>
      <c r="B211" s="222">
        <v>38.605402616879623</v>
      </c>
      <c r="C211"/>
      <c r="D211" s="221">
        <v>44138</v>
      </c>
      <c r="E211" s="222">
        <v>111.40649999999999</v>
      </c>
      <c r="F211" s="222">
        <v>78.656400000000005</v>
      </c>
      <c r="G211" s="222">
        <v>95.577799999999996</v>
      </c>
      <c r="H211"/>
      <c r="I211" s="221">
        <v>44138</v>
      </c>
      <c r="J211" s="222">
        <v>78.656400000000005</v>
      </c>
      <c r="K211" s="222">
        <v>42.203299999999999</v>
      </c>
      <c r="L211"/>
      <c r="M211"/>
      <c r="N211"/>
      <c r="O211" s="221">
        <v>44138</v>
      </c>
      <c r="P211" s="224">
        <v>17.027200000000001</v>
      </c>
      <c r="Q211" s="224">
        <v>42.203299999999999</v>
      </c>
      <c r="R211"/>
      <c r="S211"/>
    </row>
    <row r="212" spans="1:19" x14ac:dyDescent="0.35">
      <c r="A212" s="221">
        <v>44137</v>
      </c>
      <c r="B212" s="222">
        <v>36.761953742782119</v>
      </c>
      <c r="C212"/>
      <c r="D212" s="221">
        <v>44137</v>
      </c>
      <c r="E212" s="222">
        <v>110.79519999999999</v>
      </c>
      <c r="F212" s="222">
        <v>79.577699999999993</v>
      </c>
      <c r="G212" s="222">
        <v>95.5334</v>
      </c>
      <c r="H212"/>
      <c r="I212" s="221">
        <v>44137</v>
      </c>
      <c r="J212" s="222">
        <v>79.577699999999993</v>
      </c>
      <c r="K212" s="222">
        <v>39.7866</v>
      </c>
      <c r="L212"/>
      <c r="M212"/>
      <c r="N212"/>
      <c r="O212" s="221">
        <v>44137</v>
      </c>
      <c r="P212" s="224">
        <v>16.439900000000002</v>
      </c>
      <c r="Q212" s="224">
        <v>39.7866</v>
      </c>
      <c r="R212"/>
      <c r="S212"/>
    </row>
    <row r="213" spans="1:19" x14ac:dyDescent="0.35">
      <c r="A213" s="221">
        <v>44134</v>
      </c>
      <c r="B213" s="222">
        <v>37.578610069309214</v>
      </c>
      <c r="C213"/>
      <c r="D213" s="221">
        <v>44134</v>
      </c>
      <c r="E213" s="222">
        <v>110.0391</v>
      </c>
      <c r="F213" s="222">
        <v>77.159300000000002</v>
      </c>
      <c r="G213" s="222">
        <v>95.525899999999993</v>
      </c>
      <c r="H213"/>
      <c r="I213" s="221">
        <v>44134</v>
      </c>
      <c r="J213" s="222">
        <v>77.159300000000002</v>
      </c>
      <c r="K213" s="222">
        <v>43.181699999999999</v>
      </c>
      <c r="L213"/>
      <c r="M213"/>
      <c r="N213"/>
      <c r="O213" s="221">
        <v>44134</v>
      </c>
      <c r="P213" s="224">
        <v>15.6524</v>
      </c>
      <c r="Q213" s="224">
        <v>43.181699999999999</v>
      </c>
      <c r="R213"/>
      <c r="S213"/>
    </row>
    <row r="214" spans="1:19" x14ac:dyDescent="0.35">
      <c r="A214" s="221">
        <v>44133</v>
      </c>
      <c r="B214" s="222">
        <v>37.021166585485162</v>
      </c>
      <c r="C214"/>
      <c r="D214" s="221">
        <v>44133</v>
      </c>
      <c r="E214" s="222">
        <v>110.6627</v>
      </c>
      <c r="F214" s="222">
        <v>79.001900000000006</v>
      </c>
      <c r="G214" s="222">
        <v>95.507900000000006</v>
      </c>
      <c r="H214"/>
      <c r="I214" s="221">
        <v>44133</v>
      </c>
      <c r="J214" s="222">
        <v>79.001900000000006</v>
      </c>
      <c r="K214" s="222">
        <v>40.6295</v>
      </c>
      <c r="L214"/>
      <c r="M214"/>
      <c r="N214"/>
      <c r="O214" s="221">
        <v>44133</v>
      </c>
      <c r="P214" s="224">
        <v>16.325500000000002</v>
      </c>
      <c r="Q214" s="224">
        <v>40.6295</v>
      </c>
      <c r="R214"/>
      <c r="S214"/>
    </row>
    <row r="215" spans="1:19" x14ac:dyDescent="0.35">
      <c r="A215" s="221">
        <v>44132</v>
      </c>
      <c r="B215" s="222">
        <v>40.13692352992723</v>
      </c>
      <c r="C215"/>
      <c r="D215" s="221">
        <v>44132</v>
      </c>
      <c r="E215" s="222">
        <v>111.5654</v>
      </c>
      <c r="F215" s="222">
        <v>77.485600000000005</v>
      </c>
      <c r="G215" s="222">
        <v>95.432199999999995</v>
      </c>
      <c r="H215"/>
      <c r="I215" s="221">
        <v>44132</v>
      </c>
      <c r="J215" s="222">
        <v>77.485600000000005</v>
      </c>
      <c r="K215" s="222">
        <v>44.5443</v>
      </c>
      <c r="L215"/>
      <c r="M215"/>
      <c r="N215"/>
      <c r="O215" s="221">
        <v>44132</v>
      </c>
      <c r="P215" s="224">
        <v>17.361899999999999</v>
      </c>
      <c r="Q215" s="224">
        <v>44.5443</v>
      </c>
      <c r="R215"/>
      <c r="S215"/>
    </row>
    <row r="216" spans="1:19" x14ac:dyDescent="0.35">
      <c r="A216" s="221">
        <v>44131</v>
      </c>
      <c r="B216" s="222">
        <v>41.717258348897602</v>
      </c>
      <c r="C216"/>
      <c r="D216" s="221">
        <v>44131</v>
      </c>
      <c r="E216" s="222">
        <v>110.515</v>
      </c>
      <c r="F216" s="222">
        <v>73.877200000000002</v>
      </c>
      <c r="G216" s="222">
        <v>95.409599999999998</v>
      </c>
      <c r="H216"/>
      <c r="I216" s="221">
        <v>44131</v>
      </c>
      <c r="J216" s="222">
        <v>73.877200000000002</v>
      </c>
      <c r="K216" s="222">
        <v>50.180300000000003</v>
      </c>
      <c r="L216"/>
      <c r="M216"/>
      <c r="N216"/>
      <c r="O216" s="221">
        <v>44131</v>
      </c>
      <c r="P216" s="224">
        <v>16.286999999999999</v>
      </c>
      <c r="Q216" s="224">
        <v>50.180300000000003</v>
      </c>
      <c r="R216"/>
      <c r="S216"/>
    </row>
    <row r="217" spans="1:19" x14ac:dyDescent="0.35">
      <c r="A217" s="221">
        <v>44130</v>
      </c>
      <c r="B217" s="222">
        <v>42.253445396708656</v>
      </c>
      <c r="C217"/>
      <c r="D217" s="221">
        <v>44130</v>
      </c>
      <c r="E217" s="222">
        <v>109.9717</v>
      </c>
      <c r="F217" s="222">
        <v>72.130499999999998</v>
      </c>
      <c r="G217" s="222">
        <v>95.4602</v>
      </c>
      <c r="H217"/>
      <c r="I217" s="221">
        <v>44130</v>
      </c>
      <c r="J217" s="222">
        <v>72.130499999999998</v>
      </c>
      <c r="K217" s="222">
        <v>53.061500000000002</v>
      </c>
      <c r="L217"/>
      <c r="M217"/>
      <c r="N217"/>
      <c r="O217" s="221">
        <v>44130</v>
      </c>
      <c r="P217" s="224">
        <v>15.654500000000001</v>
      </c>
      <c r="Q217" s="224">
        <v>53.061500000000002</v>
      </c>
      <c r="R217"/>
      <c r="S217"/>
    </row>
    <row r="218" spans="1:19" x14ac:dyDescent="0.35">
      <c r="A218" s="221">
        <v>44127</v>
      </c>
      <c r="B218" s="222">
        <v>43.440640087399416</v>
      </c>
      <c r="C218"/>
      <c r="D218" s="221">
        <v>44127</v>
      </c>
      <c r="E218" s="222">
        <v>108.2526</v>
      </c>
      <c r="F218" s="222">
        <v>67.562399999999997</v>
      </c>
      <c r="G218" s="222">
        <v>95.362799999999993</v>
      </c>
      <c r="H218"/>
      <c r="I218" s="221">
        <v>44127</v>
      </c>
      <c r="J218" s="222">
        <v>67.562399999999997</v>
      </c>
      <c r="K218" s="222">
        <v>60.858699999999999</v>
      </c>
      <c r="L218"/>
      <c r="M218"/>
      <c r="N218"/>
      <c r="O218" s="221">
        <v>44127</v>
      </c>
      <c r="P218" s="224">
        <v>13.9648</v>
      </c>
      <c r="Q218" s="224">
        <v>60.858699999999999</v>
      </c>
      <c r="R218"/>
      <c r="S218"/>
    </row>
    <row r="219" spans="1:19" x14ac:dyDescent="0.35">
      <c r="A219" s="221">
        <v>44126</v>
      </c>
      <c r="B219" s="222">
        <v>43.749654993892818</v>
      </c>
      <c r="C219"/>
      <c r="D219" s="221">
        <v>44126</v>
      </c>
      <c r="E219" s="222">
        <v>108.74420000000001</v>
      </c>
      <c r="F219" s="222">
        <v>68.310900000000004</v>
      </c>
      <c r="G219" s="222">
        <v>95.352699999999999</v>
      </c>
      <c r="H219"/>
      <c r="I219" s="221">
        <v>44126</v>
      </c>
      <c r="J219" s="222">
        <v>68.310900000000004</v>
      </c>
      <c r="K219" s="222">
        <v>59.813400000000001</v>
      </c>
      <c r="L219"/>
      <c r="M219"/>
      <c r="N219"/>
      <c r="O219" s="221">
        <v>44126</v>
      </c>
      <c r="P219" s="224">
        <v>14.4907</v>
      </c>
      <c r="Q219" s="224">
        <v>59.813400000000001</v>
      </c>
      <c r="R219"/>
      <c r="S219"/>
    </row>
    <row r="220" spans="1:19" x14ac:dyDescent="0.35">
      <c r="A220" s="221">
        <v>44125</v>
      </c>
      <c r="B220" s="222">
        <v>44.549353480899782</v>
      </c>
      <c r="C220"/>
      <c r="D220" s="221">
        <v>44125</v>
      </c>
      <c r="E220" s="222">
        <v>108.1559</v>
      </c>
      <c r="F220" s="222">
        <v>66.353200000000001</v>
      </c>
      <c r="G220" s="222">
        <v>95.308300000000003</v>
      </c>
      <c r="H220"/>
      <c r="I220" s="221">
        <v>44125</v>
      </c>
      <c r="J220" s="222">
        <v>66.353200000000001</v>
      </c>
      <c r="K220" s="222">
        <v>63.639400000000002</v>
      </c>
      <c r="L220"/>
      <c r="M220"/>
      <c r="N220"/>
      <c r="O220" s="221">
        <v>44125</v>
      </c>
      <c r="P220" s="224">
        <v>13.925000000000001</v>
      </c>
      <c r="Q220" s="224">
        <v>63.639400000000002</v>
      </c>
      <c r="R220"/>
      <c r="S220"/>
    </row>
    <row r="221" spans="1:19" x14ac:dyDescent="0.35">
      <c r="A221" s="221">
        <v>44124</v>
      </c>
      <c r="B221" s="222">
        <v>44.410726577078975</v>
      </c>
      <c r="C221"/>
      <c r="D221" s="221">
        <v>44124</v>
      </c>
      <c r="E221" s="222">
        <v>108.4605</v>
      </c>
      <c r="F221" s="222">
        <v>67.332099999999997</v>
      </c>
      <c r="G221" s="222">
        <v>95.189700000000002</v>
      </c>
      <c r="H221"/>
      <c r="I221" s="221">
        <v>44124</v>
      </c>
      <c r="J221" s="222">
        <v>67.332099999999997</v>
      </c>
      <c r="K221" s="222">
        <v>61.7104</v>
      </c>
      <c r="L221"/>
      <c r="M221"/>
      <c r="N221"/>
      <c r="O221" s="221">
        <v>44124</v>
      </c>
      <c r="P221" s="224">
        <v>14.385300000000001</v>
      </c>
      <c r="Q221" s="224">
        <v>61.7104</v>
      </c>
      <c r="R221"/>
      <c r="S221"/>
    </row>
    <row r="222" spans="1:19" x14ac:dyDescent="0.35">
      <c r="A222" s="221">
        <v>44123</v>
      </c>
      <c r="B222" s="222">
        <v>45.842682927993287</v>
      </c>
      <c r="C222"/>
      <c r="D222" s="221">
        <v>44123</v>
      </c>
      <c r="E222" s="222">
        <v>108.4872</v>
      </c>
      <c r="F222" s="222">
        <v>66.161199999999994</v>
      </c>
      <c r="G222" s="222">
        <v>95.0886</v>
      </c>
      <c r="H222"/>
      <c r="I222" s="221">
        <v>44123</v>
      </c>
      <c r="J222" s="222">
        <v>66.161199999999994</v>
      </c>
      <c r="K222" s="222">
        <v>64.610100000000003</v>
      </c>
      <c r="L222"/>
      <c r="M222"/>
      <c r="N222"/>
      <c r="O222" s="221">
        <v>44123</v>
      </c>
      <c r="P222" s="224">
        <v>14.533200000000001</v>
      </c>
      <c r="Q222" s="224">
        <v>64.610100000000003</v>
      </c>
      <c r="R222"/>
      <c r="S222"/>
    </row>
    <row r="223" spans="1:19" x14ac:dyDescent="0.35">
      <c r="A223" s="221">
        <v>44120</v>
      </c>
      <c r="B223" s="222">
        <v>44.527738264377184</v>
      </c>
      <c r="C223"/>
      <c r="D223" s="221">
        <v>44120</v>
      </c>
      <c r="E223" s="222">
        <v>108.2861</v>
      </c>
      <c r="F223" s="222">
        <v>66.852199999999996</v>
      </c>
      <c r="G223" s="222">
        <v>95.152000000000001</v>
      </c>
      <c r="H223"/>
      <c r="I223" s="221">
        <v>44120</v>
      </c>
      <c r="J223" s="222">
        <v>66.852199999999996</v>
      </c>
      <c r="K223" s="222">
        <v>62.600499999999997</v>
      </c>
      <c r="L223"/>
      <c r="M223"/>
      <c r="N223"/>
      <c r="O223" s="221">
        <v>44120</v>
      </c>
      <c r="P223" s="224">
        <v>14.240399999999999</v>
      </c>
      <c r="Q223" s="224">
        <v>62.600499999999997</v>
      </c>
      <c r="R223"/>
      <c r="S223"/>
    </row>
    <row r="224" spans="1:19" x14ac:dyDescent="0.35">
      <c r="A224" s="221">
        <v>44119</v>
      </c>
      <c r="B224" s="222">
        <v>43.315096159203762</v>
      </c>
      <c r="C224"/>
      <c r="D224" s="221">
        <v>44119</v>
      </c>
      <c r="E224" s="222">
        <v>108.2958</v>
      </c>
      <c r="F224" s="222">
        <v>68.349299999999999</v>
      </c>
      <c r="G224" s="222">
        <v>95.000100000000003</v>
      </c>
      <c r="H224"/>
      <c r="I224" s="221">
        <v>44119</v>
      </c>
      <c r="J224" s="222">
        <v>68.349299999999999</v>
      </c>
      <c r="K224" s="222">
        <v>59.050600000000003</v>
      </c>
      <c r="L224"/>
      <c r="M224"/>
      <c r="N224"/>
      <c r="O224" s="221">
        <v>44119</v>
      </c>
      <c r="P224" s="224">
        <v>14.4315</v>
      </c>
      <c r="Q224" s="224">
        <v>59.050600000000003</v>
      </c>
      <c r="R224"/>
      <c r="S224"/>
    </row>
    <row r="225" spans="1:19" x14ac:dyDescent="0.35">
      <c r="A225" s="221">
        <v>44118</v>
      </c>
      <c r="B225" s="222">
        <v>45.139872870875294</v>
      </c>
      <c r="C225"/>
      <c r="D225" s="221">
        <v>44118</v>
      </c>
      <c r="E225" s="222">
        <v>108.28740000000001</v>
      </c>
      <c r="F225" s="222">
        <v>66.641099999999994</v>
      </c>
      <c r="G225" s="222">
        <v>94.935699999999997</v>
      </c>
      <c r="H225"/>
      <c r="I225" s="221">
        <v>44118</v>
      </c>
      <c r="J225" s="222">
        <v>66.641099999999994</v>
      </c>
      <c r="K225" s="222">
        <v>63.1126</v>
      </c>
      <c r="L225"/>
      <c r="M225"/>
      <c r="N225"/>
      <c r="O225" s="221">
        <v>44118</v>
      </c>
      <c r="P225" s="224">
        <v>14.4986</v>
      </c>
      <c r="Q225" s="224">
        <v>63.1126</v>
      </c>
      <c r="R225"/>
      <c r="S225"/>
    </row>
    <row r="226" spans="1:19" x14ac:dyDescent="0.35">
      <c r="A226" s="221">
        <v>44117</v>
      </c>
      <c r="B226" s="222">
        <v>43.532644235196685</v>
      </c>
      <c r="C226"/>
      <c r="D226" s="221">
        <v>44117</v>
      </c>
      <c r="E226" s="222">
        <v>108.188</v>
      </c>
      <c r="F226" s="222">
        <v>68.042199999999994</v>
      </c>
      <c r="G226" s="222">
        <v>94.921400000000006</v>
      </c>
      <c r="H226"/>
      <c r="I226" s="221">
        <v>44117</v>
      </c>
      <c r="J226" s="222">
        <v>68.042199999999994</v>
      </c>
      <c r="K226" s="222">
        <v>59.605400000000003</v>
      </c>
      <c r="L226"/>
      <c r="M226"/>
      <c r="N226"/>
      <c r="O226" s="221">
        <v>44117</v>
      </c>
      <c r="P226" s="224">
        <v>14.4094</v>
      </c>
      <c r="Q226" s="224">
        <v>59.605400000000003</v>
      </c>
      <c r="R226"/>
      <c r="S226"/>
    </row>
    <row r="227" spans="1:19" x14ac:dyDescent="0.35">
      <c r="A227" s="221">
        <v>44116</v>
      </c>
      <c r="B227" s="222">
        <v>43.624459869336654</v>
      </c>
      <c r="C227"/>
      <c r="D227" s="221">
        <v>44116</v>
      </c>
      <c r="E227" s="222">
        <v>107.9687</v>
      </c>
      <c r="F227" s="222">
        <v>67.581599999999995</v>
      </c>
      <c r="G227" s="222">
        <v>94.885400000000004</v>
      </c>
      <c r="H227"/>
      <c r="I227" s="221">
        <v>44116</v>
      </c>
      <c r="J227" s="222">
        <v>67.581599999999995</v>
      </c>
      <c r="K227" s="222">
        <v>60.366100000000003</v>
      </c>
      <c r="L227"/>
      <c r="M227"/>
      <c r="N227"/>
      <c r="O227" s="221">
        <v>44116</v>
      </c>
      <c r="P227" s="224">
        <v>14.219900000000001</v>
      </c>
      <c r="Q227" s="224">
        <v>60.366100000000003</v>
      </c>
      <c r="R227"/>
      <c r="S227"/>
    </row>
    <row r="228" spans="1:19" x14ac:dyDescent="0.35">
      <c r="A228" s="221">
        <v>44113</v>
      </c>
      <c r="B228" s="222">
        <v>44.502352678522243</v>
      </c>
      <c r="C228"/>
      <c r="D228" s="221">
        <v>44113</v>
      </c>
      <c r="E228" s="222">
        <v>107.77460000000001</v>
      </c>
      <c r="F228" s="222">
        <v>66.046099999999996</v>
      </c>
      <c r="G228" s="222">
        <v>94.956999999999994</v>
      </c>
      <c r="H228"/>
      <c r="I228" s="221">
        <v>44113</v>
      </c>
      <c r="J228" s="222">
        <v>66.046099999999996</v>
      </c>
      <c r="K228" s="222">
        <v>63.793199999999999</v>
      </c>
      <c r="L228"/>
      <c r="M228"/>
      <c r="N228"/>
      <c r="O228" s="221">
        <v>44113</v>
      </c>
      <c r="P228" s="224">
        <v>13.924200000000001</v>
      </c>
      <c r="Q228" s="224">
        <v>63.793199999999999</v>
      </c>
      <c r="R228"/>
      <c r="S228"/>
    </row>
    <row r="229" spans="1:19" x14ac:dyDescent="0.35">
      <c r="A229" s="221">
        <v>44104</v>
      </c>
      <c r="B229" s="222">
        <v>46.159932289627086</v>
      </c>
      <c r="C229"/>
      <c r="D229" s="221">
        <v>44104</v>
      </c>
      <c r="E229" s="222">
        <v>107.1104</v>
      </c>
      <c r="F229" s="222">
        <v>63.147799999999997</v>
      </c>
      <c r="G229" s="222">
        <v>94.8035</v>
      </c>
      <c r="H229"/>
      <c r="I229" s="221">
        <v>44104</v>
      </c>
      <c r="J229" s="222">
        <v>63.147799999999997</v>
      </c>
      <c r="K229" s="222">
        <v>70.235500000000002</v>
      </c>
      <c r="L229"/>
      <c r="M229"/>
      <c r="N229"/>
      <c r="O229" s="221">
        <v>44104</v>
      </c>
      <c r="P229" s="224">
        <v>13.3924</v>
      </c>
      <c r="Q229" s="224">
        <v>70.235500000000002</v>
      </c>
      <c r="R229"/>
      <c r="S229"/>
    </row>
    <row r="230" spans="1:19" x14ac:dyDescent="0.35">
      <c r="A230" s="221">
        <v>44103</v>
      </c>
      <c r="B230" s="222">
        <v>44.563866291023729</v>
      </c>
      <c r="C230"/>
      <c r="D230" s="221">
        <v>44103</v>
      </c>
      <c r="E230" s="222">
        <v>106.6011</v>
      </c>
      <c r="F230" s="222">
        <v>63.608499999999999</v>
      </c>
      <c r="G230" s="222">
        <v>94.808700000000002</v>
      </c>
      <c r="H230"/>
      <c r="I230" s="221">
        <v>44103</v>
      </c>
      <c r="J230" s="222">
        <v>63.608499999999999</v>
      </c>
      <c r="K230" s="222">
        <v>68.199200000000005</v>
      </c>
      <c r="L230"/>
      <c r="M230"/>
      <c r="N230"/>
      <c r="O230" s="221">
        <v>44103</v>
      </c>
      <c r="P230" s="224">
        <v>12.847200000000001</v>
      </c>
      <c r="Q230" s="224">
        <v>68.199200000000005</v>
      </c>
      <c r="R230"/>
      <c r="S230"/>
    </row>
    <row r="231" spans="1:19" x14ac:dyDescent="0.35">
      <c r="A231" s="221">
        <v>44102</v>
      </c>
      <c r="B231" s="222">
        <v>42.058091229717114</v>
      </c>
      <c r="C231"/>
      <c r="D231" s="221">
        <v>44102</v>
      </c>
      <c r="E231" s="222">
        <v>105.41370000000001</v>
      </c>
      <c r="F231" s="222">
        <v>63.339700000000001</v>
      </c>
      <c r="G231" s="222">
        <v>94.887299999999996</v>
      </c>
      <c r="H231"/>
      <c r="I231" s="221">
        <v>44102</v>
      </c>
      <c r="J231" s="222">
        <v>63.339700000000001</v>
      </c>
      <c r="K231" s="222">
        <v>67.035799999999995</v>
      </c>
      <c r="L231"/>
      <c r="M231"/>
      <c r="N231"/>
      <c r="O231" s="221">
        <v>44102</v>
      </c>
      <c r="P231" s="224">
        <v>11.5007</v>
      </c>
      <c r="Q231" s="224">
        <v>67.035799999999995</v>
      </c>
      <c r="R231"/>
      <c r="S231"/>
    </row>
    <row r="232" spans="1:19" x14ac:dyDescent="0.35">
      <c r="A232" s="221">
        <v>44099</v>
      </c>
      <c r="B232" s="222">
        <v>44.338252089385612</v>
      </c>
      <c r="C232"/>
      <c r="D232" s="221">
        <v>44099</v>
      </c>
      <c r="E232" s="222">
        <v>106.42959999999999</v>
      </c>
      <c r="F232" s="222">
        <v>63.320500000000003</v>
      </c>
      <c r="G232" s="222">
        <v>94.831500000000005</v>
      </c>
      <c r="H232"/>
      <c r="I232" s="221">
        <v>44099</v>
      </c>
      <c r="J232" s="222">
        <v>63.320500000000003</v>
      </c>
      <c r="K232" s="222">
        <v>68.683099999999996</v>
      </c>
      <c r="L232"/>
      <c r="M232"/>
      <c r="N232"/>
      <c r="O232" s="221">
        <v>44099</v>
      </c>
      <c r="P232" s="224">
        <v>12.632400000000001</v>
      </c>
      <c r="Q232" s="224">
        <v>68.683099999999996</v>
      </c>
      <c r="R232"/>
      <c r="S232"/>
    </row>
    <row r="233" spans="1:19" x14ac:dyDescent="0.35">
      <c r="A233" s="221">
        <v>44098</v>
      </c>
      <c r="B233" s="222">
        <v>45.412195543307391</v>
      </c>
      <c r="C233"/>
      <c r="D233" s="221">
        <v>44098</v>
      </c>
      <c r="E233" s="222">
        <v>106.6203</v>
      </c>
      <c r="F233" s="222">
        <v>62.648800000000001</v>
      </c>
      <c r="G233" s="222">
        <v>94.828900000000004</v>
      </c>
      <c r="H233"/>
      <c r="I233" s="221">
        <v>44098</v>
      </c>
      <c r="J233" s="222">
        <v>62.648800000000001</v>
      </c>
      <c r="K233" s="222">
        <v>70.793400000000005</v>
      </c>
      <c r="L233"/>
      <c r="M233"/>
      <c r="N233"/>
      <c r="O233" s="221">
        <v>44098</v>
      </c>
      <c r="P233" s="224">
        <v>12.8348</v>
      </c>
      <c r="Q233" s="224">
        <v>70.793400000000005</v>
      </c>
      <c r="R233"/>
      <c r="S233"/>
    </row>
    <row r="234" spans="1:19" x14ac:dyDescent="0.35">
      <c r="A234" s="221">
        <v>44097</v>
      </c>
      <c r="B234" s="222">
        <v>45.613235210015347</v>
      </c>
      <c r="C234"/>
      <c r="D234" s="221">
        <v>44097</v>
      </c>
      <c r="E234" s="222">
        <v>107.62390000000001</v>
      </c>
      <c r="F234" s="222">
        <v>64.625699999999995</v>
      </c>
      <c r="G234" s="222">
        <v>94.787099999999995</v>
      </c>
      <c r="H234"/>
      <c r="I234" s="221">
        <v>44097</v>
      </c>
      <c r="J234" s="222">
        <v>64.625699999999995</v>
      </c>
      <c r="K234" s="222">
        <v>67.119299999999996</v>
      </c>
      <c r="L234"/>
      <c r="M234"/>
      <c r="N234"/>
      <c r="O234" s="221">
        <v>44097</v>
      </c>
      <c r="P234" s="224">
        <v>13.941700000000001</v>
      </c>
      <c r="Q234" s="224">
        <v>67.119299999999996</v>
      </c>
      <c r="R234"/>
      <c r="S234"/>
    </row>
    <row r="235" spans="1:19" x14ac:dyDescent="0.35">
      <c r="A235" s="221">
        <v>44096</v>
      </c>
      <c r="B235" s="222">
        <v>46.969803420086365</v>
      </c>
      <c r="C235"/>
      <c r="D235" s="221">
        <v>44096</v>
      </c>
      <c r="E235" s="222">
        <v>107.9746</v>
      </c>
      <c r="F235" s="222">
        <v>64.088300000000004</v>
      </c>
      <c r="G235" s="222">
        <v>94.748999999999995</v>
      </c>
      <c r="H235"/>
      <c r="I235" s="221">
        <v>44096</v>
      </c>
      <c r="J235" s="222">
        <v>64.088300000000004</v>
      </c>
      <c r="K235" s="222">
        <v>69.065200000000004</v>
      </c>
      <c r="L235"/>
      <c r="M235"/>
      <c r="N235"/>
      <c r="O235" s="221">
        <v>44096</v>
      </c>
      <c r="P235" s="224">
        <v>14.3558</v>
      </c>
      <c r="Q235" s="224">
        <v>69.065200000000004</v>
      </c>
      <c r="R235"/>
      <c r="S235"/>
    </row>
    <row r="236" spans="1:19" x14ac:dyDescent="0.35">
      <c r="A236" s="221">
        <v>44095</v>
      </c>
      <c r="B236" s="222">
        <v>45.453654250552376</v>
      </c>
      <c r="C236"/>
      <c r="D236" s="221">
        <v>44095</v>
      </c>
      <c r="E236" s="222">
        <v>108.2252</v>
      </c>
      <c r="F236" s="222">
        <v>66.103700000000003</v>
      </c>
      <c r="G236" s="222">
        <v>94.721299999999999</v>
      </c>
      <c r="H236"/>
      <c r="I236" s="221">
        <v>44095</v>
      </c>
      <c r="J236" s="222">
        <v>66.103700000000003</v>
      </c>
      <c r="K236" s="222">
        <v>64.287300000000002</v>
      </c>
      <c r="L236"/>
      <c r="M236"/>
      <c r="N236"/>
      <c r="O236" s="221">
        <v>44095</v>
      </c>
      <c r="P236" s="224">
        <v>14.652100000000001</v>
      </c>
      <c r="Q236" s="224">
        <v>64.287300000000002</v>
      </c>
      <c r="R236"/>
      <c r="S236"/>
    </row>
    <row r="237" spans="1:19" x14ac:dyDescent="0.35">
      <c r="A237" s="221">
        <v>44092</v>
      </c>
      <c r="B237" s="222">
        <v>42.348386264649932</v>
      </c>
      <c r="C237"/>
      <c r="D237" s="221">
        <v>44092</v>
      </c>
      <c r="E237" s="222">
        <v>107.8301</v>
      </c>
      <c r="F237" s="222">
        <v>68.291799999999995</v>
      </c>
      <c r="G237" s="222">
        <v>94.756100000000004</v>
      </c>
      <c r="H237"/>
      <c r="I237" s="221">
        <v>44092</v>
      </c>
      <c r="J237" s="222">
        <v>68.291799999999995</v>
      </c>
      <c r="K237" s="222">
        <v>58.437800000000003</v>
      </c>
      <c r="L237"/>
      <c r="M237"/>
      <c r="N237"/>
      <c r="O237" s="221">
        <v>44092</v>
      </c>
      <c r="P237" s="224">
        <v>14.187900000000001</v>
      </c>
      <c r="Q237" s="224">
        <v>58.437800000000003</v>
      </c>
      <c r="R237"/>
      <c r="S237"/>
    </row>
    <row r="238" spans="1:19" x14ac:dyDescent="0.35">
      <c r="A238" s="221">
        <v>44091</v>
      </c>
      <c r="B238" s="222">
        <v>42.416880148859441</v>
      </c>
      <c r="C238"/>
      <c r="D238" s="221">
        <v>44091</v>
      </c>
      <c r="E238" s="222">
        <v>107.6018</v>
      </c>
      <c r="F238" s="222">
        <v>67.773499999999999</v>
      </c>
      <c r="G238" s="222">
        <v>94.726500000000001</v>
      </c>
      <c r="H238"/>
      <c r="I238" s="221">
        <v>44091</v>
      </c>
      <c r="J238" s="222">
        <v>67.773499999999999</v>
      </c>
      <c r="K238" s="222">
        <v>59.310099999999998</v>
      </c>
      <c r="L238"/>
      <c r="M238"/>
      <c r="N238"/>
      <c r="O238" s="221">
        <v>44091</v>
      </c>
      <c r="P238" s="224">
        <v>13.9808</v>
      </c>
      <c r="Q238" s="224">
        <v>59.310099999999998</v>
      </c>
      <c r="R238"/>
      <c r="S238"/>
    </row>
    <row r="239" spans="1:19" x14ac:dyDescent="0.35">
      <c r="A239" s="221">
        <v>44090</v>
      </c>
      <c r="B239" s="222">
        <v>44.213562667617992</v>
      </c>
      <c r="C239"/>
      <c r="D239" s="221">
        <v>44090</v>
      </c>
      <c r="E239" s="222">
        <v>108.0724</v>
      </c>
      <c r="F239" s="222">
        <v>66.929000000000002</v>
      </c>
      <c r="G239" s="222">
        <v>94.7119</v>
      </c>
      <c r="H239"/>
      <c r="I239" s="221">
        <v>44090</v>
      </c>
      <c r="J239" s="222">
        <v>66.929000000000002</v>
      </c>
      <c r="K239" s="222">
        <v>62.020899999999997</v>
      </c>
      <c r="L239"/>
      <c r="M239"/>
      <c r="N239"/>
      <c r="O239" s="221">
        <v>44090</v>
      </c>
      <c r="P239" s="224">
        <v>14.493499999999999</v>
      </c>
      <c r="Q239" s="224">
        <v>62.020899999999997</v>
      </c>
      <c r="R239"/>
      <c r="S239"/>
    </row>
    <row r="240" spans="1:19" x14ac:dyDescent="0.35">
      <c r="A240" s="221">
        <v>44089</v>
      </c>
      <c r="B240" s="222">
        <v>44.5851054030271</v>
      </c>
      <c r="C240"/>
      <c r="D240" s="221">
        <v>44089</v>
      </c>
      <c r="E240" s="222">
        <v>108.0851</v>
      </c>
      <c r="F240" s="222">
        <v>66.641099999999994</v>
      </c>
      <c r="G240" s="222">
        <v>94.661299999999997</v>
      </c>
      <c r="H240"/>
      <c r="I240" s="221">
        <v>44089</v>
      </c>
      <c r="J240" s="222">
        <v>66.641099999999994</v>
      </c>
      <c r="K240" s="222">
        <v>62.737400000000001</v>
      </c>
      <c r="L240"/>
      <c r="M240"/>
      <c r="N240"/>
      <c r="O240" s="221">
        <v>44089</v>
      </c>
      <c r="P240" s="224">
        <v>14.5664</v>
      </c>
      <c r="Q240" s="224">
        <v>62.737400000000001</v>
      </c>
      <c r="R240"/>
      <c r="S240"/>
    </row>
    <row r="241" spans="1:19" x14ac:dyDescent="0.35">
      <c r="A241" s="221">
        <v>44088</v>
      </c>
      <c r="B241" s="222">
        <v>44.805707514128827</v>
      </c>
      <c r="C241"/>
      <c r="D241" s="221">
        <v>44088</v>
      </c>
      <c r="E241" s="222">
        <v>108.4367</v>
      </c>
      <c r="F241" s="222">
        <v>67.159300000000002</v>
      </c>
      <c r="G241" s="222">
        <v>94.650400000000005</v>
      </c>
      <c r="H241"/>
      <c r="I241" s="221">
        <v>44088</v>
      </c>
      <c r="J241" s="222">
        <v>67.159300000000002</v>
      </c>
      <c r="K241" s="222">
        <v>62.002899999999997</v>
      </c>
      <c r="L241"/>
      <c r="M241"/>
      <c r="N241"/>
      <c r="O241" s="221">
        <v>44088</v>
      </c>
      <c r="P241" s="224">
        <v>14.949299999999999</v>
      </c>
      <c r="Q241" s="224">
        <v>62.002899999999997</v>
      </c>
      <c r="R241"/>
      <c r="S241"/>
    </row>
    <row r="242" spans="1:19" x14ac:dyDescent="0.35">
      <c r="A242" s="221">
        <v>44085</v>
      </c>
      <c r="B242" s="222">
        <v>44.676157675870634</v>
      </c>
      <c r="C242"/>
      <c r="D242" s="221">
        <v>44085</v>
      </c>
      <c r="E242" s="222">
        <v>107.74160000000001</v>
      </c>
      <c r="F242" s="222">
        <v>65.911699999999996</v>
      </c>
      <c r="G242" s="222">
        <v>94.592500000000001</v>
      </c>
      <c r="H242"/>
      <c r="I242" s="221">
        <v>44085</v>
      </c>
      <c r="J242" s="222">
        <v>65.911699999999996</v>
      </c>
      <c r="K242" s="222">
        <v>64.007300000000001</v>
      </c>
      <c r="L242"/>
      <c r="M242"/>
      <c r="N242"/>
      <c r="O242" s="221">
        <v>44085</v>
      </c>
      <c r="P242" s="224">
        <v>14.2797</v>
      </c>
      <c r="Q242" s="224">
        <v>64.007300000000001</v>
      </c>
      <c r="R242"/>
      <c r="S242"/>
    </row>
    <row r="243" spans="1:19" x14ac:dyDescent="0.35">
      <c r="A243" s="221">
        <v>44084</v>
      </c>
      <c r="B243" s="222">
        <v>46.859065046423062</v>
      </c>
      <c r="C243"/>
      <c r="D243" s="221">
        <v>44084</v>
      </c>
      <c r="E243" s="222">
        <v>108.1403</v>
      </c>
      <c r="F243" s="222">
        <v>64.683300000000003</v>
      </c>
      <c r="G243" s="222">
        <v>94.540700000000001</v>
      </c>
      <c r="H243"/>
      <c r="I243" s="221">
        <v>44084</v>
      </c>
      <c r="J243" s="222">
        <v>64.683300000000003</v>
      </c>
      <c r="K243" s="222">
        <v>67.735699999999994</v>
      </c>
      <c r="L243"/>
      <c r="M243"/>
      <c r="N243"/>
      <c r="O243" s="221">
        <v>44084</v>
      </c>
      <c r="P243" s="224">
        <v>14.7622</v>
      </c>
      <c r="Q243" s="224">
        <v>67.735699999999994</v>
      </c>
      <c r="R243"/>
      <c r="S243"/>
    </row>
    <row r="244" spans="1:19" x14ac:dyDescent="0.35">
      <c r="A244" s="221">
        <v>44083</v>
      </c>
      <c r="B244" s="222">
        <v>46.708489592380602</v>
      </c>
      <c r="C244"/>
      <c r="D244" s="221">
        <v>44083</v>
      </c>
      <c r="E244" s="222">
        <v>108.4449</v>
      </c>
      <c r="F244" s="222">
        <v>65.355099999999993</v>
      </c>
      <c r="G244" s="222">
        <v>94.570899999999995</v>
      </c>
      <c r="H244"/>
      <c r="I244" s="221">
        <v>44083</v>
      </c>
      <c r="J244" s="222">
        <v>65.355099999999993</v>
      </c>
      <c r="K244" s="222">
        <v>66.475099999999998</v>
      </c>
      <c r="L244"/>
      <c r="M244"/>
      <c r="N244"/>
      <c r="O244" s="221">
        <v>44083</v>
      </c>
      <c r="P244" s="224">
        <v>15.045999999999999</v>
      </c>
      <c r="Q244" s="224">
        <v>66.475099999999998</v>
      </c>
      <c r="R244"/>
      <c r="S244"/>
    </row>
    <row r="245" spans="1:19" x14ac:dyDescent="0.35">
      <c r="A245" s="221">
        <v>44082</v>
      </c>
      <c r="B245" s="222">
        <v>47.143610567031629</v>
      </c>
      <c r="C245"/>
      <c r="D245" s="221">
        <v>44082</v>
      </c>
      <c r="E245" s="222">
        <v>109.6866</v>
      </c>
      <c r="F245" s="222">
        <v>67.427999999999997</v>
      </c>
      <c r="G245" s="222">
        <v>94.538399999999996</v>
      </c>
      <c r="H245"/>
      <c r="I245" s="221">
        <v>44082</v>
      </c>
      <c r="J245" s="222">
        <v>67.427999999999997</v>
      </c>
      <c r="K245" s="222">
        <v>63.196300000000001</v>
      </c>
      <c r="L245"/>
      <c r="M245"/>
      <c r="N245"/>
      <c r="O245" s="221">
        <v>44082</v>
      </c>
      <c r="P245" s="224">
        <v>16.397099999999998</v>
      </c>
      <c r="Q245" s="224">
        <v>63.196300000000001</v>
      </c>
      <c r="R245"/>
      <c r="S245"/>
    </row>
    <row r="246" spans="1:19" x14ac:dyDescent="0.35">
      <c r="A246" s="221">
        <v>44081</v>
      </c>
      <c r="B246" s="222">
        <v>46.082455341481172</v>
      </c>
      <c r="C246"/>
      <c r="D246" s="221">
        <v>44081</v>
      </c>
      <c r="E246" s="222">
        <v>109.4982</v>
      </c>
      <c r="F246" s="222">
        <v>68.022999999999996</v>
      </c>
      <c r="G246" s="222">
        <v>94.557000000000002</v>
      </c>
      <c r="H246"/>
      <c r="I246" s="221">
        <v>44081</v>
      </c>
      <c r="J246" s="222">
        <v>68.022999999999996</v>
      </c>
      <c r="K246" s="222">
        <v>61.4895</v>
      </c>
      <c r="L246"/>
      <c r="M246"/>
      <c r="N246"/>
      <c r="O246" s="221">
        <v>44081</v>
      </c>
      <c r="P246" s="224">
        <v>16.173300000000001</v>
      </c>
      <c r="Q246" s="224">
        <v>61.4895</v>
      </c>
      <c r="R246"/>
      <c r="S246"/>
    </row>
    <row r="247" spans="1:19" x14ac:dyDescent="0.35">
      <c r="A247" s="221">
        <v>44078</v>
      </c>
      <c r="B247" s="222">
        <v>47.871641998096251</v>
      </c>
      <c r="C247"/>
      <c r="D247" s="221">
        <v>44078</v>
      </c>
      <c r="E247" s="222">
        <v>111.0532</v>
      </c>
      <c r="F247" s="222">
        <v>69.136300000000006</v>
      </c>
      <c r="G247" s="222">
        <v>94.578999999999994</v>
      </c>
      <c r="H247"/>
      <c r="I247" s="221">
        <v>44078</v>
      </c>
      <c r="J247" s="222">
        <v>69.136300000000006</v>
      </c>
      <c r="K247" s="222">
        <v>61.131</v>
      </c>
      <c r="L247"/>
      <c r="M247"/>
      <c r="N247"/>
      <c r="O247" s="221">
        <v>44078</v>
      </c>
      <c r="P247" s="224">
        <v>17.7851</v>
      </c>
      <c r="Q247" s="224">
        <v>61.131</v>
      </c>
      <c r="R247"/>
      <c r="S247"/>
    </row>
    <row r="248" spans="1:19" x14ac:dyDescent="0.35">
      <c r="A248" s="221">
        <v>44077</v>
      </c>
      <c r="B248" s="222">
        <v>47.429049700186972</v>
      </c>
      <c r="C248"/>
      <c r="D248" s="221">
        <v>44077</v>
      </c>
      <c r="E248" s="222">
        <v>110.4678</v>
      </c>
      <c r="F248" s="222">
        <v>68.272599999999997</v>
      </c>
      <c r="G248" s="222">
        <v>94.670299999999997</v>
      </c>
      <c r="H248"/>
      <c r="I248" s="221">
        <v>44077</v>
      </c>
      <c r="J248" s="222">
        <v>68.272599999999997</v>
      </c>
      <c r="K248" s="222">
        <v>62.309600000000003</v>
      </c>
      <c r="L248"/>
      <c r="M248"/>
      <c r="N248"/>
      <c r="O248" s="221">
        <v>44077</v>
      </c>
      <c r="P248" s="224">
        <v>17.051500000000001</v>
      </c>
      <c r="Q248" s="224">
        <v>62.309600000000003</v>
      </c>
      <c r="R248"/>
      <c r="S248"/>
    </row>
    <row r="249" spans="1:19" x14ac:dyDescent="0.35">
      <c r="A249" s="221">
        <v>44076</v>
      </c>
      <c r="B249" s="222">
        <v>46.175305501253163</v>
      </c>
      <c r="C249"/>
      <c r="D249" s="221">
        <v>44076</v>
      </c>
      <c r="E249" s="222">
        <v>111.32640000000001</v>
      </c>
      <c r="F249" s="222">
        <v>71.113299999999995</v>
      </c>
      <c r="G249" s="222">
        <v>94.657700000000006</v>
      </c>
      <c r="H249"/>
      <c r="I249" s="221">
        <v>44076</v>
      </c>
      <c r="J249" s="222">
        <v>71.113299999999995</v>
      </c>
      <c r="K249" s="222">
        <v>57.031100000000002</v>
      </c>
      <c r="L249"/>
      <c r="M249"/>
      <c r="N249"/>
      <c r="O249" s="221">
        <v>44076</v>
      </c>
      <c r="P249" s="224">
        <v>17.9724</v>
      </c>
      <c r="Q249" s="224">
        <v>57.031100000000002</v>
      </c>
      <c r="R249"/>
      <c r="S249"/>
    </row>
    <row r="250" spans="1:19" x14ac:dyDescent="0.35">
      <c r="A250" s="221">
        <v>44075</v>
      </c>
      <c r="B250" s="222">
        <v>47.195327677733211</v>
      </c>
      <c r="C250"/>
      <c r="D250" s="221">
        <v>44075</v>
      </c>
      <c r="E250" s="222">
        <v>111.9581</v>
      </c>
      <c r="F250" s="222">
        <v>70.959699999999998</v>
      </c>
      <c r="G250" s="222">
        <v>94.820499999999996</v>
      </c>
      <c r="H250"/>
      <c r="I250" s="221">
        <v>44075</v>
      </c>
      <c r="J250" s="222">
        <v>70.959699999999998</v>
      </c>
      <c r="K250" s="222">
        <v>58.258800000000001</v>
      </c>
      <c r="L250"/>
      <c r="M250"/>
      <c r="N250"/>
      <c r="O250" s="221">
        <v>44075</v>
      </c>
      <c r="P250" s="224">
        <v>18.4343</v>
      </c>
      <c r="Q250" s="224">
        <v>58.258800000000001</v>
      </c>
      <c r="R250"/>
      <c r="S250"/>
    </row>
    <row r="251" spans="1:19" x14ac:dyDescent="0.35">
      <c r="A251" s="221">
        <v>44074</v>
      </c>
      <c r="B251" s="222">
        <v>46.760669048864806</v>
      </c>
      <c r="C251"/>
      <c r="D251" s="221">
        <v>44074</v>
      </c>
      <c r="E251" s="222">
        <v>111.8107</v>
      </c>
      <c r="F251" s="222">
        <v>71.324399999999997</v>
      </c>
      <c r="G251" s="222">
        <v>94.696200000000005</v>
      </c>
      <c r="H251"/>
      <c r="I251" s="221">
        <v>44074</v>
      </c>
      <c r="J251" s="222">
        <v>71.324399999999997</v>
      </c>
      <c r="K251" s="222">
        <v>57.240699999999997</v>
      </c>
      <c r="L251"/>
      <c r="M251"/>
      <c r="N251"/>
      <c r="O251" s="221">
        <v>44074</v>
      </c>
      <c r="P251" s="224">
        <v>18.432400000000001</v>
      </c>
      <c r="Q251" s="224">
        <v>57.240699999999997</v>
      </c>
      <c r="R251"/>
      <c r="S251"/>
    </row>
    <row r="252" spans="1:19" x14ac:dyDescent="0.35">
      <c r="A252" s="221">
        <v>44071</v>
      </c>
      <c r="B252" s="222">
        <v>46.387850483938578</v>
      </c>
      <c r="C252"/>
      <c r="D252" s="221">
        <v>44071</v>
      </c>
      <c r="E252" s="222">
        <v>111.9847</v>
      </c>
      <c r="F252" s="222">
        <v>71.881</v>
      </c>
      <c r="G252" s="222">
        <v>94.729399999999998</v>
      </c>
      <c r="H252"/>
      <c r="I252" s="221">
        <v>44071</v>
      </c>
      <c r="J252" s="222">
        <v>71.881</v>
      </c>
      <c r="K252" s="222">
        <v>56.258299999999998</v>
      </c>
      <c r="L252"/>
      <c r="M252"/>
      <c r="N252"/>
      <c r="O252" s="221">
        <v>44071</v>
      </c>
      <c r="P252" s="224">
        <v>18.569299999999998</v>
      </c>
      <c r="Q252" s="224">
        <v>56.258299999999998</v>
      </c>
      <c r="R252"/>
      <c r="S252"/>
    </row>
    <row r="253" spans="1:19" x14ac:dyDescent="0.35">
      <c r="A253" s="221">
        <v>44070</v>
      </c>
      <c r="B253" s="222">
        <v>45.245318684039951</v>
      </c>
      <c r="C253"/>
      <c r="D253" s="221">
        <v>44070</v>
      </c>
      <c r="E253" s="222">
        <v>111.16630000000001</v>
      </c>
      <c r="F253" s="222">
        <v>71.209199999999996</v>
      </c>
      <c r="G253" s="222">
        <v>94.855999999999995</v>
      </c>
      <c r="H253"/>
      <c r="I253" s="221">
        <v>44070</v>
      </c>
      <c r="J253" s="222">
        <v>71.209199999999996</v>
      </c>
      <c r="K253" s="222">
        <v>56.5809</v>
      </c>
      <c r="L253"/>
      <c r="M253"/>
      <c r="N253"/>
      <c r="O253" s="221">
        <v>44070</v>
      </c>
      <c r="P253" s="224">
        <v>17.546600000000002</v>
      </c>
      <c r="Q253" s="224">
        <v>56.5809</v>
      </c>
      <c r="R253"/>
      <c r="S253"/>
    </row>
    <row r="254" spans="1:19" x14ac:dyDescent="0.35">
      <c r="A254" s="221">
        <v>44069</v>
      </c>
      <c r="B254" s="222">
        <v>44.095063723927609</v>
      </c>
      <c r="C254"/>
      <c r="D254" s="221">
        <v>44069</v>
      </c>
      <c r="E254" s="222">
        <v>110.7079</v>
      </c>
      <c r="F254" s="222">
        <v>71.343599999999995</v>
      </c>
      <c r="G254" s="222">
        <v>94.929599999999994</v>
      </c>
      <c r="H254"/>
      <c r="I254" s="221">
        <v>44069</v>
      </c>
      <c r="J254" s="222">
        <v>71.343599999999995</v>
      </c>
      <c r="K254" s="222">
        <v>55.641199999999998</v>
      </c>
      <c r="L254"/>
      <c r="M254"/>
      <c r="N254"/>
      <c r="O254" s="221">
        <v>44069</v>
      </c>
      <c r="P254" s="224">
        <v>16.9709</v>
      </c>
      <c r="Q254" s="224">
        <v>55.641199999999998</v>
      </c>
      <c r="R254"/>
      <c r="S254"/>
    </row>
    <row r="255" spans="1:19" x14ac:dyDescent="0.35">
      <c r="A255" s="221">
        <v>44068</v>
      </c>
      <c r="B255" s="222">
        <v>42.314795848881104</v>
      </c>
      <c r="C255"/>
      <c r="D255" s="221">
        <v>44068</v>
      </c>
      <c r="E255" s="222">
        <v>110.8596</v>
      </c>
      <c r="F255" s="222">
        <v>73.320499999999996</v>
      </c>
      <c r="G255" s="222">
        <v>94.980199999999996</v>
      </c>
      <c r="H255"/>
      <c r="I255" s="221">
        <v>44068</v>
      </c>
      <c r="J255" s="222">
        <v>73.320499999999996</v>
      </c>
      <c r="K255" s="222">
        <v>51.649299999999997</v>
      </c>
      <c r="L255"/>
      <c r="M255"/>
      <c r="N255"/>
      <c r="O255" s="221">
        <v>44068</v>
      </c>
      <c r="P255" s="224">
        <v>17.066500000000001</v>
      </c>
      <c r="Q255" s="224">
        <v>51.649299999999997</v>
      </c>
      <c r="R255"/>
      <c r="S255"/>
    </row>
    <row r="256" spans="1:19" x14ac:dyDescent="0.35">
      <c r="A256" s="221">
        <v>44067</v>
      </c>
      <c r="B256" s="222">
        <v>42.353231904506259</v>
      </c>
      <c r="C256"/>
      <c r="D256" s="221">
        <v>44067</v>
      </c>
      <c r="E256" s="222">
        <v>111.3212</v>
      </c>
      <c r="F256" s="222">
        <v>73.953900000000004</v>
      </c>
      <c r="G256" s="222">
        <v>95.058700000000002</v>
      </c>
      <c r="H256"/>
      <c r="I256" s="221">
        <v>44067</v>
      </c>
      <c r="J256" s="222">
        <v>73.953900000000004</v>
      </c>
      <c r="K256" s="222">
        <v>50.9724</v>
      </c>
      <c r="L256"/>
      <c r="M256"/>
      <c r="N256"/>
      <c r="O256" s="221">
        <v>44067</v>
      </c>
      <c r="P256" s="224">
        <v>17.453700000000001</v>
      </c>
      <c r="Q256" s="224">
        <v>50.9724</v>
      </c>
      <c r="R256"/>
      <c r="S256"/>
    </row>
    <row r="257" spans="1:19" x14ac:dyDescent="0.35">
      <c r="A257" s="221">
        <v>44064</v>
      </c>
      <c r="B257" s="222">
        <v>43.201182086540463</v>
      </c>
      <c r="C257"/>
      <c r="D257" s="221">
        <v>44064</v>
      </c>
      <c r="E257" s="222">
        <v>110.67619999999999</v>
      </c>
      <c r="F257" s="222">
        <v>71.804199999999994</v>
      </c>
      <c r="G257" s="222">
        <v>95.052899999999994</v>
      </c>
      <c r="H257"/>
      <c r="I257" s="221">
        <v>44064</v>
      </c>
      <c r="J257" s="222">
        <v>71.804199999999994</v>
      </c>
      <c r="K257" s="222">
        <v>54.5871</v>
      </c>
      <c r="L257"/>
      <c r="M257"/>
      <c r="N257"/>
      <c r="O257" s="221">
        <v>44064</v>
      </c>
      <c r="P257" s="224">
        <v>16.777100000000001</v>
      </c>
      <c r="Q257" s="224">
        <v>54.5871</v>
      </c>
      <c r="R257"/>
      <c r="S257"/>
    </row>
    <row r="258" spans="1:19" x14ac:dyDescent="0.35">
      <c r="A258" s="221">
        <v>44063</v>
      </c>
      <c r="B258" s="222">
        <v>43.355556084089571</v>
      </c>
      <c r="C258"/>
      <c r="D258" s="221">
        <v>44063</v>
      </c>
      <c r="E258" s="222">
        <v>110.6888</v>
      </c>
      <c r="F258" s="222">
        <v>71.458699999999993</v>
      </c>
      <c r="G258" s="222">
        <v>95.167699999999996</v>
      </c>
      <c r="H258"/>
      <c r="I258" s="221">
        <v>44063</v>
      </c>
      <c r="J258" s="222">
        <v>71.458699999999993</v>
      </c>
      <c r="K258" s="222">
        <v>55.349899999999998</v>
      </c>
      <c r="L258"/>
      <c r="M258"/>
      <c r="N258"/>
      <c r="O258" s="221">
        <v>44063</v>
      </c>
      <c r="P258" s="224">
        <v>16.6478</v>
      </c>
      <c r="Q258" s="224">
        <v>55.349899999999998</v>
      </c>
      <c r="R258"/>
      <c r="S258"/>
    </row>
    <row r="259" spans="1:19" x14ac:dyDescent="0.35">
      <c r="A259" s="221">
        <v>44062</v>
      </c>
      <c r="B259" s="222">
        <v>43.844844848898276</v>
      </c>
      <c r="C259"/>
      <c r="D259" s="221">
        <v>44062</v>
      </c>
      <c r="E259" s="222">
        <v>111.7795</v>
      </c>
      <c r="F259" s="222">
        <v>72.859899999999996</v>
      </c>
      <c r="G259" s="222">
        <v>95.247</v>
      </c>
      <c r="H259"/>
      <c r="I259" s="221">
        <v>44062</v>
      </c>
      <c r="J259" s="222">
        <v>72.859899999999996</v>
      </c>
      <c r="K259" s="222">
        <v>53.856900000000003</v>
      </c>
      <c r="L259"/>
      <c r="M259"/>
      <c r="N259"/>
      <c r="O259" s="221">
        <v>44062</v>
      </c>
      <c r="P259" s="224">
        <v>17.693999999999999</v>
      </c>
      <c r="Q259" s="224">
        <v>53.856900000000003</v>
      </c>
      <c r="R259"/>
      <c r="S259"/>
    </row>
    <row r="260" spans="1:19" x14ac:dyDescent="0.35">
      <c r="A260" s="221">
        <v>44061</v>
      </c>
      <c r="B260" s="222">
        <v>44.140046021216847</v>
      </c>
      <c r="C260"/>
      <c r="D260" s="221">
        <v>44061</v>
      </c>
      <c r="E260" s="222">
        <v>113.5801</v>
      </c>
      <c r="F260" s="222">
        <v>76.103700000000003</v>
      </c>
      <c r="G260" s="222">
        <v>95.105900000000005</v>
      </c>
      <c r="H260"/>
      <c r="I260" s="221">
        <v>44061</v>
      </c>
      <c r="J260" s="222">
        <v>76.103700000000003</v>
      </c>
      <c r="K260" s="222">
        <v>49.6629</v>
      </c>
      <c r="L260"/>
      <c r="M260"/>
      <c r="N260"/>
      <c r="O260" s="221">
        <v>44061</v>
      </c>
      <c r="P260" s="224">
        <v>19.760200000000001</v>
      </c>
      <c r="Q260" s="224">
        <v>49.6629</v>
      </c>
      <c r="R260"/>
      <c r="S260"/>
    </row>
    <row r="261" spans="1:19" x14ac:dyDescent="0.35">
      <c r="A261" s="221">
        <v>44060</v>
      </c>
      <c r="B261" s="222">
        <v>43.139516746754275</v>
      </c>
      <c r="C261"/>
      <c r="D261" s="221">
        <v>44060</v>
      </c>
      <c r="E261" s="222">
        <v>113.5827</v>
      </c>
      <c r="F261" s="222">
        <v>77.140100000000004</v>
      </c>
      <c r="G261" s="222">
        <v>95.0886</v>
      </c>
      <c r="H261"/>
      <c r="I261" s="221">
        <v>44060</v>
      </c>
      <c r="J261" s="222">
        <v>77.140100000000004</v>
      </c>
      <c r="K261" s="222">
        <v>47.653399999999998</v>
      </c>
      <c r="L261"/>
      <c r="M261"/>
      <c r="N261"/>
      <c r="O261" s="221">
        <v>44060</v>
      </c>
      <c r="P261" s="224">
        <v>19.783000000000001</v>
      </c>
      <c r="Q261" s="224">
        <v>47.653399999999998</v>
      </c>
      <c r="R261"/>
      <c r="S261"/>
    </row>
    <row r="262" spans="1:19" x14ac:dyDescent="0.35">
      <c r="A262" s="221">
        <v>44057</v>
      </c>
      <c r="B262" s="222">
        <v>43.291981054864792</v>
      </c>
      <c r="C262"/>
      <c r="D262" s="221">
        <v>44057</v>
      </c>
      <c r="E262" s="222">
        <v>113.18770000000001</v>
      </c>
      <c r="F262" s="222">
        <v>76.353200000000001</v>
      </c>
      <c r="G262" s="222">
        <v>94.998199999999997</v>
      </c>
      <c r="H262"/>
      <c r="I262" s="221">
        <v>44057</v>
      </c>
      <c r="J262" s="222">
        <v>76.353200000000001</v>
      </c>
      <c r="K262" s="222">
        <v>48.651299999999999</v>
      </c>
      <c r="L262"/>
      <c r="M262"/>
      <c r="N262"/>
      <c r="O262" s="221">
        <v>44057</v>
      </c>
      <c r="P262" s="224">
        <v>19.475899999999999</v>
      </c>
      <c r="Q262" s="224">
        <v>48.651299999999999</v>
      </c>
      <c r="R262"/>
      <c r="S262"/>
    </row>
    <row r="263" spans="1:19" x14ac:dyDescent="0.35">
      <c r="A263" s="221">
        <v>44056</v>
      </c>
      <c r="B263" s="222">
        <v>43.308000550128192</v>
      </c>
      <c r="C263"/>
      <c r="D263" s="221">
        <v>44056</v>
      </c>
      <c r="E263" s="222">
        <v>112.8173</v>
      </c>
      <c r="F263" s="222">
        <v>75.662199999999999</v>
      </c>
      <c r="G263" s="222">
        <v>94.987499999999997</v>
      </c>
      <c r="H263"/>
      <c r="I263" s="221">
        <v>44056</v>
      </c>
      <c r="J263" s="222">
        <v>75.662199999999999</v>
      </c>
      <c r="K263" s="222">
        <v>49.517200000000003</v>
      </c>
      <c r="L263"/>
      <c r="M263"/>
      <c r="N263"/>
      <c r="O263" s="221">
        <v>44056</v>
      </c>
      <c r="P263" s="224">
        <v>19.097799999999999</v>
      </c>
      <c r="Q263" s="224">
        <v>49.517200000000003</v>
      </c>
      <c r="R263"/>
      <c r="S263"/>
    </row>
    <row r="264" spans="1:19" x14ac:dyDescent="0.35">
      <c r="A264" s="221">
        <v>44055</v>
      </c>
      <c r="B264" s="222">
        <v>42.525398388404135</v>
      </c>
      <c r="C264"/>
      <c r="D264" s="221">
        <v>44055</v>
      </c>
      <c r="E264" s="222">
        <v>112.499</v>
      </c>
      <c r="F264" s="222">
        <v>75.911699999999996</v>
      </c>
      <c r="G264" s="222">
        <v>94.955500000000001</v>
      </c>
      <c r="H264"/>
      <c r="I264" s="221">
        <v>44055</v>
      </c>
      <c r="J264" s="222">
        <v>75.911699999999996</v>
      </c>
      <c r="K264" s="222">
        <v>48.604199999999999</v>
      </c>
      <c r="L264"/>
      <c r="M264"/>
      <c r="N264"/>
      <c r="O264" s="221">
        <v>44055</v>
      </c>
      <c r="P264" s="224">
        <v>18.800899999999999</v>
      </c>
      <c r="Q264" s="224">
        <v>48.604199999999999</v>
      </c>
      <c r="R264"/>
      <c r="S264"/>
    </row>
    <row r="265" spans="1:19" x14ac:dyDescent="0.35">
      <c r="A265" s="221">
        <v>44054</v>
      </c>
      <c r="B265" s="222">
        <v>43.627629126593675</v>
      </c>
      <c r="C265"/>
      <c r="D265" s="221">
        <v>44054</v>
      </c>
      <c r="E265" s="222">
        <v>112.62260000000001</v>
      </c>
      <c r="F265" s="222">
        <v>74.990399999999994</v>
      </c>
      <c r="G265" s="222">
        <v>94.951300000000003</v>
      </c>
      <c r="H265"/>
      <c r="I265" s="221">
        <v>44054</v>
      </c>
      <c r="J265" s="222">
        <v>74.990399999999994</v>
      </c>
      <c r="K265" s="222">
        <v>50.592599999999997</v>
      </c>
      <c r="L265"/>
      <c r="M265"/>
      <c r="N265"/>
      <c r="O265" s="221">
        <v>44054</v>
      </c>
      <c r="P265" s="224">
        <v>18.934699999999999</v>
      </c>
      <c r="Q265" s="224">
        <v>50.592599999999997</v>
      </c>
      <c r="R265"/>
      <c r="S265"/>
    </row>
    <row r="266" spans="1:19" x14ac:dyDescent="0.35">
      <c r="A266" s="221">
        <v>44053</v>
      </c>
      <c r="B266" s="222">
        <v>42.895818709816211</v>
      </c>
      <c r="C266"/>
      <c r="D266" s="221">
        <v>44053</v>
      </c>
      <c r="E266" s="222">
        <v>113.5492</v>
      </c>
      <c r="F266" s="222">
        <v>77.543199999999999</v>
      </c>
      <c r="G266" s="222">
        <v>94.881900000000002</v>
      </c>
      <c r="H266"/>
      <c r="I266" s="221">
        <v>44053</v>
      </c>
      <c r="J266" s="222">
        <v>77.543199999999999</v>
      </c>
      <c r="K266" s="222">
        <v>46.827800000000003</v>
      </c>
      <c r="L266"/>
      <c r="M266"/>
      <c r="N266"/>
      <c r="O266" s="221">
        <v>44053</v>
      </c>
      <c r="P266" s="224">
        <v>19.996500000000001</v>
      </c>
      <c r="Q266" s="224">
        <v>46.827800000000003</v>
      </c>
      <c r="R266"/>
      <c r="S266"/>
    </row>
    <row r="267" spans="1:19" x14ac:dyDescent="0.35">
      <c r="A267" s="221">
        <v>44050</v>
      </c>
      <c r="B267" s="222">
        <v>43.275136331026495</v>
      </c>
      <c r="C267"/>
      <c r="D267" s="221">
        <v>44050</v>
      </c>
      <c r="E267" s="222">
        <v>114.2992</v>
      </c>
      <c r="F267" s="222">
        <v>78.445300000000003</v>
      </c>
      <c r="G267" s="222">
        <v>94.853300000000004</v>
      </c>
      <c r="H267"/>
      <c r="I267" s="221">
        <v>44050</v>
      </c>
      <c r="J267" s="222">
        <v>78.445300000000003</v>
      </c>
      <c r="K267" s="222">
        <v>46.089100000000002</v>
      </c>
      <c r="L267"/>
      <c r="M267"/>
      <c r="N267"/>
      <c r="O267" s="221">
        <v>44050</v>
      </c>
      <c r="P267" s="224">
        <v>20.818100000000001</v>
      </c>
      <c r="Q267" s="224">
        <v>46.089100000000002</v>
      </c>
      <c r="R267"/>
      <c r="S267"/>
    </row>
    <row r="268" spans="1:19" x14ac:dyDescent="0.35">
      <c r="A268" s="221">
        <v>44049</v>
      </c>
      <c r="B268" s="222">
        <v>42.921097185744379</v>
      </c>
      <c r="C268"/>
      <c r="D268" s="221">
        <v>44049</v>
      </c>
      <c r="E268" s="222">
        <v>115.60080000000001</v>
      </c>
      <c r="F268" s="222">
        <v>81.094099999999997</v>
      </c>
      <c r="G268" s="222">
        <v>94.822199999999995</v>
      </c>
      <c r="H268"/>
      <c r="I268" s="221">
        <v>44049</v>
      </c>
      <c r="J268" s="222">
        <v>81.094099999999997</v>
      </c>
      <c r="K268" s="222">
        <v>42.920400000000001</v>
      </c>
      <c r="L268"/>
      <c r="M268"/>
      <c r="N268"/>
      <c r="O268" s="221">
        <v>44049</v>
      </c>
      <c r="P268" s="224">
        <v>22.2288</v>
      </c>
      <c r="Q268" s="224">
        <v>42.920400000000001</v>
      </c>
      <c r="R268"/>
      <c r="S268"/>
    </row>
    <row r="269" spans="1:19" x14ac:dyDescent="0.35">
      <c r="A269" s="221">
        <v>44048</v>
      </c>
      <c r="B269" s="222">
        <v>41.510599642316478</v>
      </c>
      <c r="C269"/>
      <c r="D269" s="221">
        <v>44048</v>
      </c>
      <c r="E269" s="222">
        <v>115.19450000000001</v>
      </c>
      <c r="F269" s="222">
        <v>81.938599999999994</v>
      </c>
      <c r="G269" s="222">
        <v>94.769099999999995</v>
      </c>
      <c r="H269"/>
      <c r="I269" s="221">
        <v>44048</v>
      </c>
      <c r="J269" s="222">
        <v>81.938599999999994</v>
      </c>
      <c r="K269" s="222">
        <v>40.949399999999997</v>
      </c>
      <c r="L269"/>
      <c r="M269"/>
      <c r="N269"/>
      <c r="O269" s="221">
        <v>44048</v>
      </c>
      <c r="P269" s="224">
        <v>21.866700000000002</v>
      </c>
      <c r="Q269" s="224">
        <v>40.949399999999997</v>
      </c>
      <c r="R269"/>
      <c r="S269"/>
    </row>
    <row r="270" spans="1:19" x14ac:dyDescent="0.35">
      <c r="A270" s="221">
        <v>44047</v>
      </c>
      <c r="B270" s="222">
        <v>40.044027884460618</v>
      </c>
      <c r="C270"/>
      <c r="D270" s="221">
        <v>44047</v>
      </c>
      <c r="E270" s="222">
        <v>114.8511</v>
      </c>
      <c r="F270" s="222">
        <v>82.994299999999996</v>
      </c>
      <c r="G270" s="222">
        <v>94.688999999999993</v>
      </c>
      <c r="H270"/>
      <c r="I270" s="221">
        <v>44047</v>
      </c>
      <c r="J270" s="222">
        <v>82.994299999999996</v>
      </c>
      <c r="K270" s="222">
        <v>38.740900000000003</v>
      </c>
      <c r="L270"/>
      <c r="M270"/>
      <c r="N270"/>
      <c r="O270" s="221">
        <v>44047</v>
      </c>
      <c r="P270" s="224">
        <v>21.605499999999999</v>
      </c>
      <c r="Q270" s="224">
        <v>38.740900000000003</v>
      </c>
      <c r="R270"/>
      <c r="S270"/>
    </row>
    <row r="271" spans="1:19" x14ac:dyDescent="0.35">
      <c r="A271" s="221">
        <v>44046</v>
      </c>
      <c r="B271" s="222">
        <v>42.928171665931764</v>
      </c>
      <c r="C271"/>
      <c r="D271" s="221">
        <v>44046</v>
      </c>
      <c r="E271" s="222">
        <v>114.2058</v>
      </c>
      <c r="F271" s="222">
        <v>79.0595</v>
      </c>
      <c r="G271" s="222">
        <v>94.564599999999999</v>
      </c>
      <c r="H271"/>
      <c r="I271" s="221">
        <v>44046</v>
      </c>
      <c r="J271" s="222">
        <v>79.0595</v>
      </c>
      <c r="K271" s="222">
        <v>44.827599999999997</v>
      </c>
      <c r="L271"/>
      <c r="M271"/>
      <c r="N271"/>
      <c r="O271" s="221">
        <v>44046</v>
      </c>
      <c r="P271" s="224">
        <v>21.081299999999999</v>
      </c>
      <c r="Q271" s="224">
        <v>44.827599999999997</v>
      </c>
      <c r="R271"/>
      <c r="S271"/>
    </row>
    <row r="272" spans="1:19" x14ac:dyDescent="0.35">
      <c r="A272" s="221">
        <v>44043</v>
      </c>
      <c r="B272" s="222">
        <v>45.90868643660577</v>
      </c>
      <c r="C272"/>
      <c r="D272" s="221">
        <v>44043</v>
      </c>
      <c r="E272" s="222">
        <v>114.72369999999999</v>
      </c>
      <c r="F272" s="222">
        <v>76.698700000000002</v>
      </c>
      <c r="G272" s="222">
        <v>94.691599999999994</v>
      </c>
      <c r="H272"/>
      <c r="I272" s="221">
        <v>44043</v>
      </c>
      <c r="J272" s="222">
        <v>76.698700000000002</v>
      </c>
      <c r="K272" s="222">
        <v>49.954300000000003</v>
      </c>
      <c r="L272"/>
      <c r="M272"/>
      <c r="N272"/>
      <c r="O272" s="221">
        <v>44043</v>
      </c>
      <c r="P272" s="224">
        <v>21.460599999999999</v>
      </c>
      <c r="Q272" s="224">
        <v>49.954300000000003</v>
      </c>
      <c r="R272"/>
      <c r="S272"/>
    </row>
    <row r="273" spans="1:19" x14ac:dyDescent="0.35">
      <c r="A273" s="221">
        <v>44042</v>
      </c>
      <c r="B273" s="222">
        <v>42.395842595291178</v>
      </c>
      <c r="C273"/>
      <c r="D273" s="221">
        <v>44042</v>
      </c>
      <c r="E273" s="222">
        <v>111.2003</v>
      </c>
      <c r="F273" s="222">
        <v>73.858000000000004</v>
      </c>
      <c r="G273" s="222">
        <v>94.697900000000004</v>
      </c>
      <c r="H273"/>
      <c r="I273" s="221">
        <v>44042</v>
      </c>
      <c r="J273" s="222">
        <v>73.858000000000004</v>
      </c>
      <c r="K273" s="222">
        <v>50.949100000000001</v>
      </c>
      <c r="L273"/>
      <c r="M273"/>
      <c r="N273"/>
      <c r="O273" s="221">
        <v>44042</v>
      </c>
      <c r="P273" s="224">
        <v>17.7302</v>
      </c>
      <c r="Q273" s="224">
        <v>50.949100000000001</v>
      </c>
      <c r="R273"/>
      <c r="S273"/>
    </row>
    <row r="274" spans="1:19" x14ac:dyDescent="0.35">
      <c r="A274" s="221">
        <v>44041</v>
      </c>
      <c r="B274" s="222">
        <v>43.604888545098639</v>
      </c>
      <c r="C274"/>
      <c r="D274" s="221">
        <v>44041</v>
      </c>
      <c r="E274" s="222">
        <v>112.75</v>
      </c>
      <c r="F274" s="222">
        <v>75.200800000000001</v>
      </c>
      <c r="G274" s="222">
        <v>94.812799999999996</v>
      </c>
      <c r="H274"/>
      <c r="I274" s="221">
        <v>44041</v>
      </c>
      <c r="J274" s="222">
        <v>75.200800000000001</v>
      </c>
      <c r="K274" s="222">
        <v>50.312199999999997</v>
      </c>
      <c r="L274"/>
      <c r="M274"/>
      <c r="N274"/>
      <c r="O274" s="221">
        <v>44041</v>
      </c>
      <c r="P274" s="224">
        <v>19.220199999999998</v>
      </c>
      <c r="Q274" s="224">
        <v>50.312199999999997</v>
      </c>
      <c r="R274"/>
      <c r="S274"/>
    </row>
    <row r="275" spans="1:19" x14ac:dyDescent="0.35">
      <c r="A275" s="221">
        <v>44040</v>
      </c>
      <c r="B275" s="222">
        <v>42.589032666687011</v>
      </c>
      <c r="C275"/>
      <c r="D275" s="221">
        <v>44040</v>
      </c>
      <c r="E275" s="222">
        <v>111.5166</v>
      </c>
      <c r="F275" s="222">
        <v>73.7667</v>
      </c>
      <c r="G275" s="222">
        <v>94.931700000000006</v>
      </c>
      <c r="H275"/>
      <c r="I275" s="221">
        <v>44040</v>
      </c>
      <c r="J275" s="222">
        <v>73.7667</v>
      </c>
      <c r="K275" s="222">
        <v>51.560299999999998</v>
      </c>
      <c r="L275"/>
      <c r="M275"/>
      <c r="N275"/>
      <c r="O275" s="221">
        <v>44040</v>
      </c>
      <c r="P275" s="224">
        <v>17.7699</v>
      </c>
      <c r="Q275" s="224">
        <v>51.560299999999998</v>
      </c>
      <c r="R275"/>
      <c r="S275"/>
    </row>
    <row r="276" spans="1:19" x14ac:dyDescent="0.35">
      <c r="A276" s="221">
        <v>44039</v>
      </c>
      <c r="B276" s="222">
        <v>45.21416617307554</v>
      </c>
      <c r="C276"/>
      <c r="D276" s="221">
        <v>44039</v>
      </c>
      <c r="E276" s="222">
        <v>111.7123</v>
      </c>
      <c r="F276" s="222">
        <v>71.453199999999995</v>
      </c>
      <c r="G276" s="222">
        <v>94.926400000000001</v>
      </c>
      <c r="H276"/>
      <c r="I276" s="221">
        <v>44039</v>
      </c>
      <c r="J276" s="222">
        <v>71.453199999999995</v>
      </c>
      <c r="K276" s="222">
        <v>56.738999999999997</v>
      </c>
      <c r="L276"/>
      <c r="M276"/>
      <c r="N276"/>
      <c r="O276" s="221">
        <v>44039</v>
      </c>
      <c r="P276" s="224">
        <v>17.980899999999998</v>
      </c>
      <c r="Q276" s="224">
        <v>56.738999999999997</v>
      </c>
      <c r="R276"/>
      <c r="S276"/>
    </row>
    <row r="277" spans="1:19" x14ac:dyDescent="0.35">
      <c r="A277" s="221">
        <v>44036</v>
      </c>
      <c r="B277" s="222">
        <v>44.733728927545734</v>
      </c>
      <c r="C277"/>
      <c r="D277" s="221">
        <v>44036</v>
      </c>
      <c r="E277" s="222">
        <v>112.0442</v>
      </c>
      <c r="F277" s="222">
        <v>72.695999999999998</v>
      </c>
      <c r="G277" s="222">
        <v>94.805999999999997</v>
      </c>
      <c r="H277"/>
      <c r="I277" s="221">
        <v>44036</v>
      </c>
      <c r="J277" s="222">
        <v>72.695999999999998</v>
      </c>
      <c r="K277" s="222">
        <v>54.5092</v>
      </c>
      <c r="L277"/>
      <c r="M277"/>
      <c r="N277"/>
      <c r="O277" s="221">
        <v>44036</v>
      </c>
      <c r="P277" s="224">
        <v>18.4756</v>
      </c>
      <c r="Q277" s="224">
        <v>54.5092</v>
      </c>
      <c r="R277"/>
      <c r="S277"/>
    </row>
    <row r="278" spans="1:19" x14ac:dyDescent="0.35">
      <c r="A278" s="221">
        <v>44035</v>
      </c>
      <c r="B278" s="222">
        <v>42.651290197873138</v>
      </c>
      <c r="C278"/>
      <c r="D278" s="221">
        <v>44035</v>
      </c>
      <c r="E278" s="222">
        <v>114.8038</v>
      </c>
      <c r="F278" s="222">
        <v>80.038200000000003</v>
      </c>
      <c r="G278" s="222">
        <v>94.621499999999997</v>
      </c>
      <c r="H278"/>
      <c r="I278" s="221">
        <v>44035</v>
      </c>
      <c r="J278" s="222">
        <v>80.038200000000003</v>
      </c>
      <c r="K278" s="222">
        <v>43.781300000000002</v>
      </c>
      <c r="L278"/>
      <c r="M278"/>
      <c r="N278"/>
      <c r="O278" s="221">
        <v>44035</v>
      </c>
      <c r="P278" s="224">
        <v>21.621400000000001</v>
      </c>
      <c r="Q278" s="224">
        <v>43.781300000000002</v>
      </c>
      <c r="R278"/>
      <c r="S278"/>
    </row>
    <row r="279" spans="1:19" x14ac:dyDescent="0.35">
      <c r="A279" s="221">
        <v>44034</v>
      </c>
      <c r="B279" s="222">
        <v>39.535979563807061</v>
      </c>
      <c r="C279"/>
      <c r="D279" s="221">
        <v>44034</v>
      </c>
      <c r="E279" s="222">
        <v>113.8355</v>
      </c>
      <c r="F279" s="222">
        <v>81.663499999999999</v>
      </c>
      <c r="G279" s="222">
        <v>94.585899999999995</v>
      </c>
      <c r="H279"/>
      <c r="I279" s="221">
        <v>44034</v>
      </c>
      <c r="J279" s="222">
        <v>81.663499999999999</v>
      </c>
      <c r="K279" s="222">
        <v>39.731900000000003</v>
      </c>
      <c r="L279"/>
      <c r="M279"/>
      <c r="N279"/>
      <c r="O279" s="221">
        <v>44034</v>
      </c>
      <c r="P279" s="223">
        <v>20.6417</v>
      </c>
      <c r="Q279" s="223">
        <v>39.731900000000003</v>
      </c>
      <c r="R279"/>
      <c r="S279"/>
    </row>
    <row r="280" spans="1:19" x14ac:dyDescent="0.35">
      <c r="A280" s="221">
        <v>44033</v>
      </c>
      <c r="B280" s="222">
        <v>43.039537043040916</v>
      </c>
      <c r="C280"/>
      <c r="D280" s="221">
        <v>44033</v>
      </c>
      <c r="E280" s="222">
        <v>111.97709999999999</v>
      </c>
      <c r="F280" s="222">
        <v>74.837500000000006</v>
      </c>
      <c r="G280" s="222">
        <v>94.475399999999993</v>
      </c>
      <c r="H280"/>
      <c r="I280" s="221">
        <v>44033</v>
      </c>
      <c r="J280" s="222">
        <v>74.837500000000006</v>
      </c>
      <c r="K280" s="222">
        <v>49.991599999999998</v>
      </c>
      <c r="L280"/>
      <c r="M280"/>
      <c r="N280"/>
      <c r="O280" s="221">
        <v>44033</v>
      </c>
      <c r="P280" s="223">
        <v>18.814</v>
      </c>
      <c r="Q280" s="223">
        <v>49.991599999999998</v>
      </c>
      <c r="R280"/>
      <c r="S280"/>
    </row>
    <row r="281" spans="1:19" x14ac:dyDescent="0.35">
      <c r="A281" s="221">
        <v>44032</v>
      </c>
      <c r="B281" s="222">
        <v>44.138811069787174</v>
      </c>
      <c r="C281"/>
      <c r="D281" s="221">
        <v>44032</v>
      </c>
      <c r="E281" s="222">
        <v>112.5348</v>
      </c>
      <c r="F281" s="222">
        <v>75.506699999999995</v>
      </c>
      <c r="G281" s="222">
        <v>94.036100000000005</v>
      </c>
      <c r="H281"/>
      <c r="I281" s="221">
        <v>44032</v>
      </c>
      <c r="J281" s="222">
        <v>75.506699999999995</v>
      </c>
      <c r="K281" s="222">
        <v>49.398699999999998</v>
      </c>
      <c r="L281"/>
      <c r="M281"/>
      <c r="N281"/>
      <c r="O281" s="221">
        <v>44032</v>
      </c>
      <c r="P281" s="223">
        <v>19.9603</v>
      </c>
      <c r="Q281" s="223">
        <v>49.398699999999998</v>
      </c>
      <c r="R281"/>
      <c r="S281"/>
    </row>
    <row r="282" spans="1:19" x14ac:dyDescent="0.35">
      <c r="A282" s="221">
        <v>44029</v>
      </c>
      <c r="B282" s="222">
        <v>41.795026871623968</v>
      </c>
      <c r="C282"/>
      <c r="D282" s="221">
        <v>44029</v>
      </c>
      <c r="E282" s="222">
        <v>112.7047</v>
      </c>
      <c r="F282" s="222">
        <v>78.011499999999998</v>
      </c>
      <c r="G282" s="222">
        <v>94.099299999999999</v>
      </c>
      <c r="H282"/>
      <c r="I282" s="221">
        <v>44029</v>
      </c>
      <c r="J282" s="222">
        <v>78.011499999999998</v>
      </c>
      <c r="K282" s="222">
        <v>44.813299999999998</v>
      </c>
      <c r="L282"/>
      <c r="M282"/>
      <c r="N282"/>
      <c r="O282" s="221">
        <v>44029</v>
      </c>
      <c r="P282" s="223">
        <v>20.055099999999999</v>
      </c>
      <c r="Q282" s="223">
        <v>44.813299999999998</v>
      </c>
      <c r="R282"/>
      <c r="S282"/>
    </row>
    <row r="283" spans="1:19" x14ac:dyDescent="0.35">
      <c r="A283" s="221">
        <v>44028</v>
      </c>
      <c r="B283" s="222">
        <v>42.942622254460439</v>
      </c>
      <c r="C283"/>
      <c r="D283" s="221">
        <v>44028</v>
      </c>
      <c r="E283" s="222">
        <v>111.3353</v>
      </c>
      <c r="F283" s="222">
        <v>74.5124</v>
      </c>
      <c r="G283" s="222">
        <v>94.008300000000006</v>
      </c>
      <c r="H283"/>
      <c r="I283" s="221">
        <v>44028</v>
      </c>
      <c r="J283" s="222">
        <v>74.5124</v>
      </c>
      <c r="K283" s="222">
        <v>49.773699999999998</v>
      </c>
      <c r="L283"/>
      <c r="M283"/>
      <c r="N283"/>
      <c r="O283" s="221">
        <v>44028</v>
      </c>
      <c r="P283" s="223">
        <v>18.712900000000001</v>
      </c>
      <c r="Q283" s="223">
        <v>49.773699999999998</v>
      </c>
      <c r="R283"/>
      <c r="S283"/>
    </row>
    <row r="284" spans="1:19" x14ac:dyDescent="0.35">
      <c r="A284" s="221">
        <v>44027</v>
      </c>
      <c r="B284" s="222">
        <v>45.629654909791348</v>
      </c>
      <c r="C284"/>
      <c r="D284" s="221">
        <v>44027</v>
      </c>
      <c r="E284" s="222">
        <v>113.29600000000001</v>
      </c>
      <c r="F284" s="222">
        <v>75.4876</v>
      </c>
      <c r="G284" s="222">
        <v>93.909899999999993</v>
      </c>
      <c r="H284"/>
      <c r="I284" s="221">
        <v>44027</v>
      </c>
      <c r="J284" s="222">
        <v>75.4876</v>
      </c>
      <c r="K284" s="222">
        <v>50.433999999999997</v>
      </c>
      <c r="L284"/>
      <c r="M284"/>
      <c r="N284"/>
      <c r="O284" s="221">
        <v>44027</v>
      </c>
      <c r="P284" s="223">
        <v>20.923400000000001</v>
      </c>
      <c r="Q284" s="223">
        <v>50.433999999999997</v>
      </c>
      <c r="R284"/>
      <c r="S284"/>
    </row>
    <row r="285" spans="1:19" x14ac:dyDescent="0.35">
      <c r="A285" s="221">
        <v>44026</v>
      </c>
      <c r="B285" s="222">
        <v>41.683859738419315</v>
      </c>
      <c r="C285"/>
      <c r="D285" s="221">
        <v>44026</v>
      </c>
      <c r="E285" s="222">
        <v>111.1876</v>
      </c>
      <c r="F285" s="222">
        <v>75.755300000000005</v>
      </c>
      <c r="G285" s="222">
        <v>93.854299999999995</v>
      </c>
      <c r="H285"/>
      <c r="I285" s="221">
        <v>44026</v>
      </c>
      <c r="J285" s="222">
        <v>75.755300000000005</v>
      </c>
      <c r="K285" s="222">
        <v>47.117100000000001</v>
      </c>
      <c r="L285"/>
      <c r="M285"/>
      <c r="N285"/>
      <c r="O285" s="221">
        <v>44026</v>
      </c>
      <c r="P285" s="223">
        <v>18.7468</v>
      </c>
      <c r="Q285" s="223">
        <v>47.117100000000001</v>
      </c>
      <c r="R285"/>
      <c r="S285"/>
    </row>
    <row r="286" spans="1:19" x14ac:dyDescent="0.35">
      <c r="A286" s="221">
        <v>44025</v>
      </c>
      <c r="B286" s="222">
        <v>38.22347583188899</v>
      </c>
      <c r="C286"/>
      <c r="D286" s="221">
        <v>44025</v>
      </c>
      <c r="E286" s="222">
        <v>111.2403</v>
      </c>
      <c r="F286" s="222">
        <v>79.196899999999999</v>
      </c>
      <c r="G286" s="222">
        <v>94.044399999999996</v>
      </c>
      <c r="H286"/>
      <c r="I286" s="221">
        <v>44025</v>
      </c>
      <c r="J286" s="222">
        <v>79.196899999999999</v>
      </c>
      <c r="K286" s="222">
        <v>40.7883</v>
      </c>
      <c r="L286"/>
      <c r="M286"/>
      <c r="N286"/>
      <c r="O286" s="221">
        <v>44025</v>
      </c>
      <c r="P286" s="223">
        <v>18.561</v>
      </c>
      <c r="Q286" s="223">
        <v>40.7883</v>
      </c>
      <c r="R286"/>
      <c r="S286"/>
    </row>
    <row r="287" spans="1:19" x14ac:dyDescent="0.35">
      <c r="A287" s="221">
        <v>44022</v>
      </c>
      <c r="B287" s="222">
        <v>39.502758349946774</v>
      </c>
      <c r="C287"/>
      <c r="D287" s="221">
        <v>44022</v>
      </c>
      <c r="E287" s="222">
        <v>111.3462</v>
      </c>
      <c r="F287" s="222">
        <v>77.590800000000002</v>
      </c>
      <c r="G287" s="222">
        <v>94.232200000000006</v>
      </c>
      <c r="H287"/>
      <c r="I287" s="221">
        <v>44022</v>
      </c>
      <c r="J287" s="222">
        <v>77.590800000000002</v>
      </c>
      <c r="K287" s="222">
        <v>43.832799999999999</v>
      </c>
      <c r="L287"/>
      <c r="M287"/>
      <c r="N287"/>
      <c r="O287" s="221">
        <v>44022</v>
      </c>
      <c r="P287" s="223">
        <v>18.431899999999999</v>
      </c>
      <c r="Q287" s="223">
        <v>43.832799999999999</v>
      </c>
      <c r="R287"/>
      <c r="S287"/>
    </row>
    <row r="288" spans="1:19" x14ac:dyDescent="0.35">
      <c r="A288" s="221">
        <v>44021</v>
      </c>
      <c r="B288" s="222">
        <v>42.125118637190383</v>
      </c>
      <c r="C288"/>
      <c r="D288" s="221">
        <v>44021</v>
      </c>
      <c r="E288" s="222">
        <v>113.2968</v>
      </c>
      <c r="F288" s="222">
        <v>78.164400000000001</v>
      </c>
      <c r="G288" s="222">
        <v>94.317499999999995</v>
      </c>
      <c r="H288"/>
      <c r="I288" s="221">
        <v>44021</v>
      </c>
      <c r="J288" s="222">
        <v>78.164400000000001</v>
      </c>
      <c r="K288" s="222">
        <v>45.270699999999998</v>
      </c>
      <c r="L288"/>
      <c r="M288"/>
      <c r="N288"/>
      <c r="O288" s="221">
        <v>44021</v>
      </c>
      <c r="P288" s="223">
        <v>20.391200000000001</v>
      </c>
      <c r="Q288" s="223">
        <v>45.270699999999998</v>
      </c>
      <c r="R288"/>
      <c r="S288"/>
    </row>
    <row r="289" spans="1:19" x14ac:dyDescent="0.35">
      <c r="A289" s="221">
        <v>44020</v>
      </c>
      <c r="B289" s="222">
        <v>42.315921341963659</v>
      </c>
      <c r="C289"/>
      <c r="D289" s="221">
        <v>44020</v>
      </c>
      <c r="E289" s="222">
        <v>111.9485</v>
      </c>
      <c r="F289" s="222">
        <v>74.722800000000007</v>
      </c>
      <c r="G289" s="222">
        <v>94.761499999999998</v>
      </c>
      <c r="H289"/>
      <c r="I289" s="221">
        <v>44020</v>
      </c>
      <c r="J289" s="222">
        <v>74.722800000000007</v>
      </c>
      <c r="K289" s="222">
        <v>50.155000000000001</v>
      </c>
      <c r="L289"/>
      <c r="M289"/>
      <c r="N289"/>
      <c r="O289" s="221">
        <v>44020</v>
      </c>
      <c r="P289" s="223">
        <v>18.4025</v>
      </c>
      <c r="Q289" s="223">
        <v>50.155000000000001</v>
      </c>
      <c r="R289"/>
      <c r="S289"/>
    </row>
    <row r="290" spans="1:19" x14ac:dyDescent="0.35">
      <c r="A290" s="221">
        <v>44019</v>
      </c>
      <c r="B290" s="222">
        <v>44.371776567470143</v>
      </c>
      <c r="C290"/>
      <c r="D290" s="221">
        <v>44019</v>
      </c>
      <c r="E290" s="222">
        <v>112.0301</v>
      </c>
      <c r="F290" s="222">
        <v>72.619500000000002</v>
      </c>
      <c r="G290" s="222">
        <v>94.824399999999997</v>
      </c>
      <c r="H290"/>
      <c r="I290" s="221">
        <v>44019</v>
      </c>
      <c r="J290" s="222">
        <v>72.619500000000002</v>
      </c>
      <c r="K290" s="222">
        <v>54.614100000000001</v>
      </c>
      <c r="L290"/>
      <c r="M290"/>
      <c r="N290"/>
      <c r="O290" s="221">
        <v>44019</v>
      </c>
      <c r="P290" s="223">
        <v>18.408300000000001</v>
      </c>
      <c r="Q290" s="223">
        <v>54.614100000000001</v>
      </c>
      <c r="R290"/>
      <c r="S290"/>
    </row>
    <row r="291" spans="1:19" x14ac:dyDescent="0.35">
      <c r="A291" s="221">
        <v>44018</v>
      </c>
      <c r="B291" s="222">
        <v>41.58606155386353</v>
      </c>
      <c r="C291"/>
      <c r="D291" s="221">
        <v>44018</v>
      </c>
      <c r="E291" s="222">
        <v>110.7518</v>
      </c>
      <c r="F291" s="222">
        <v>72.619500000000002</v>
      </c>
      <c r="G291" s="222">
        <v>95.062700000000007</v>
      </c>
      <c r="H291"/>
      <c r="I291" s="221">
        <v>44018</v>
      </c>
      <c r="J291" s="222">
        <v>72.619500000000002</v>
      </c>
      <c r="K291" s="222">
        <v>52.851500000000001</v>
      </c>
      <c r="L291"/>
      <c r="M291"/>
      <c r="N291"/>
      <c r="O291" s="221">
        <v>44018</v>
      </c>
      <c r="P291" s="223">
        <v>16.765000000000001</v>
      </c>
      <c r="Q291" s="223">
        <v>52.851500000000001</v>
      </c>
      <c r="R291"/>
      <c r="S291"/>
    </row>
    <row r="292" spans="1:19" x14ac:dyDescent="0.35">
      <c r="A292" s="221">
        <v>44015</v>
      </c>
      <c r="B292" s="222">
        <v>41.950801102839137</v>
      </c>
      <c r="C292"/>
      <c r="D292" s="221">
        <v>44015</v>
      </c>
      <c r="E292" s="222">
        <v>109.5767</v>
      </c>
      <c r="F292" s="222">
        <v>69.445499999999996</v>
      </c>
      <c r="G292" s="222">
        <v>95.288600000000002</v>
      </c>
      <c r="H292"/>
      <c r="I292" s="221">
        <v>44015</v>
      </c>
      <c r="J292" s="222">
        <v>69.445499999999996</v>
      </c>
      <c r="K292" s="222">
        <v>58.138399999999997</v>
      </c>
      <c r="L292"/>
      <c r="M292"/>
      <c r="N292"/>
      <c r="O292" s="221">
        <v>44015</v>
      </c>
      <c r="P292" s="223">
        <v>15.2499</v>
      </c>
      <c r="Q292" s="223">
        <v>58.138399999999997</v>
      </c>
      <c r="R292"/>
      <c r="S292"/>
    </row>
    <row r="293" spans="1:19" x14ac:dyDescent="0.35">
      <c r="A293" s="221">
        <v>44014</v>
      </c>
      <c r="B293" s="222">
        <v>40.890454948911717</v>
      </c>
      <c r="C293"/>
      <c r="D293" s="221">
        <v>44014</v>
      </c>
      <c r="E293" s="222">
        <v>109.4284</v>
      </c>
      <c r="F293" s="222">
        <v>70.267700000000005</v>
      </c>
      <c r="G293" s="222">
        <v>95.265600000000006</v>
      </c>
      <c r="H293"/>
      <c r="I293" s="221">
        <v>44014</v>
      </c>
      <c r="J293" s="222">
        <v>70.267700000000005</v>
      </c>
      <c r="K293" s="222">
        <v>56.074599999999997</v>
      </c>
      <c r="L293"/>
      <c r="M293"/>
      <c r="N293"/>
      <c r="O293" s="221">
        <v>44014</v>
      </c>
      <c r="P293" s="223">
        <v>15.1203</v>
      </c>
      <c r="Q293" s="223">
        <v>56.074599999999997</v>
      </c>
      <c r="R293"/>
      <c r="S293"/>
    </row>
    <row r="294" spans="1:19" x14ac:dyDescent="0.35">
      <c r="A294" s="221">
        <v>44013</v>
      </c>
      <c r="B294" s="222">
        <v>37.52944062662624</v>
      </c>
      <c r="C294"/>
      <c r="D294" s="221">
        <v>44013</v>
      </c>
      <c r="E294" s="222">
        <v>107.57</v>
      </c>
      <c r="F294" s="222">
        <v>70.1721</v>
      </c>
      <c r="G294" s="222">
        <v>95.240899999999996</v>
      </c>
      <c r="H294"/>
      <c r="I294" s="221">
        <v>44013</v>
      </c>
      <c r="J294" s="222">
        <v>70.1721</v>
      </c>
      <c r="K294" s="222">
        <v>53.636600000000001</v>
      </c>
      <c r="L294"/>
      <c r="M294"/>
      <c r="N294"/>
      <c r="O294" s="221">
        <v>44013</v>
      </c>
      <c r="P294" s="224">
        <v>13.1972</v>
      </c>
      <c r="Q294" s="224">
        <v>53.636600000000001</v>
      </c>
      <c r="R294"/>
      <c r="S294"/>
    </row>
    <row r="295" spans="1:19" x14ac:dyDescent="0.35">
      <c r="A295" s="221">
        <v>44012</v>
      </c>
      <c r="B295" s="222">
        <v>37.914079707480461</v>
      </c>
      <c r="C295"/>
      <c r="D295" s="221">
        <v>44012</v>
      </c>
      <c r="E295" s="222">
        <v>107.01560000000001</v>
      </c>
      <c r="F295" s="222">
        <v>68.738100000000003</v>
      </c>
      <c r="G295" s="222">
        <v>95.144300000000001</v>
      </c>
      <c r="H295"/>
      <c r="I295" s="221">
        <v>44012</v>
      </c>
      <c r="J295" s="222">
        <v>68.738100000000003</v>
      </c>
      <c r="K295" s="222">
        <v>56.032800000000002</v>
      </c>
      <c r="L295"/>
      <c r="M295"/>
      <c r="N295"/>
      <c r="O295" s="221">
        <v>44012</v>
      </c>
      <c r="P295" s="224">
        <v>12.7277</v>
      </c>
      <c r="Q295" s="224">
        <v>56.032800000000002</v>
      </c>
      <c r="R295"/>
      <c r="S295"/>
    </row>
    <row r="296" spans="1:19" x14ac:dyDescent="0.35">
      <c r="A296" s="221">
        <v>44011</v>
      </c>
      <c r="B296" s="222">
        <v>37.337308788944071</v>
      </c>
      <c r="C296"/>
      <c r="D296" s="221">
        <v>44011</v>
      </c>
      <c r="E296" s="222">
        <v>105.9933</v>
      </c>
      <c r="F296" s="222">
        <v>66.998099999999994</v>
      </c>
      <c r="G296" s="222">
        <v>95.205399999999997</v>
      </c>
      <c r="H296"/>
      <c r="I296" s="221">
        <v>44011</v>
      </c>
      <c r="J296" s="222">
        <v>66.998099999999994</v>
      </c>
      <c r="K296" s="222">
        <v>58.556699999999999</v>
      </c>
      <c r="L296"/>
      <c r="M296"/>
      <c r="N296"/>
      <c r="O296" s="221">
        <v>44011</v>
      </c>
      <c r="P296" s="224">
        <v>11.579800000000001</v>
      </c>
      <c r="Q296" s="224">
        <v>58.556699999999999</v>
      </c>
      <c r="R296"/>
      <c r="S296"/>
    </row>
    <row r="297" spans="1:19" x14ac:dyDescent="0.35">
      <c r="A297" s="221">
        <v>44006</v>
      </c>
      <c r="B297" s="222">
        <v>39.797905116598486</v>
      </c>
      <c r="C297"/>
      <c r="D297" s="221">
        <v>44006</v>
      </c>
      <c r="E297" s="222">
        <v>106.7805</v>
      </c>
      <c r="F297" s="222">
        <v>66.214200000000005</v>
      </c>
      <c r="G297" s="222">
        <v>95.058000000000007</v>
      </c>
      <c r="H297"/>
      <c r="I297" s="221">
        <v>44006</v>
      </c>
      <c r="J297" s="222">
        <v>66.214200000000005</v>
      </c>
      <c r="K297" s="222">
        <v>61.610300000000002</v>
      </c>
      <c r="L297"/>
      <c r="M297"/>
      <c r="N297"/>
      <c r="O297" s="221">
        <v>44006</v>
      </c>
      <c r="P297" s="224">
        <v>12.5723</v>
      </c>
      <c r="Q297" s="224">
        <v>61.610300000000002</v>
      </c>
      <c r="R297"/>
      <c r="S297"/>
    </row>
    <row r="298" spans="1:19" x14ac:dyDescent="0.35">
      <c r="A298" s="221">
        <v>44005</v>
      </c>
      <c r="B298" s="222">
        <v>42.126677349013285</v>
      </c>
      <c r="C298"/>
      <c r="D298" s="221">
        <v>44005</v>
      </c>
      <c r="E298" s="222">
        <v>106.3832</v>
      </c>
      <c r="F298" s="222">
        <v>62.581299999999999</v>
      </c>
      <c r="G298" s="222">
        <v>95.200400000000002</v>
      </c>
      <c r="H298"/>
      <c r="I298" s="221">
        <v>44005</v>
      </c>
      <c r="J298" s="222">
        <v>62.581299999999999</v>
      </c>
      <c r="K298" s="222">
        <v>70.354399999999998</v>
      </c>
      <c r="L298"/>
      <c r="M298"/>
      <c r="N298"/>
      <c r="O298" s="221">
        <v>44005</v>
      </c>
      <c r="P298" s="224">
        <v>11.9848</v>
      </c>
      <c r="Q298" s="224">
        <v>70.354399999999998</v>
      </c>
      <c r="R298"/>
      <c r="S298"/>
    </row>
    <row r="299" spans="1:19" x14ac:dyDescent="0.35">
      <c r="A299" s="221">
        <v>44004</v>
      </c>
      <c r="B299" s="222">
        <v>42.108546239900797</v>
      </c>
      <c r="C299"/>
      <c r="D299" s="221">
        <v>44004</v>
      </c>
      <c r="E299" s="222">
        <v>107.27979999999999</v>
      </c>
      <c r="F299" s="222">
        <v>63.996200000000002</v>
      </c>
      <c r="G299" s="222">
        <v>95.432500000000005</v>
      </c>
      <c r="H299"/>
      <c r="I299" s="221">
        <v>44004</v>
      </c>
      <c r="J299" s="222">
        <v>63.996200000000002</v>
      </c>
      <c r="K299" s="222">
        <v>67.986500000000007</v>
      </c>
      <c r="L299"/>
      <c r="M299"/>
      <c r="N299"/>
      <c r="O299" s="221">
        <v>44004</v>
      </c>
      <c r="P299" s="223">
        <v>12.6503</v>
      </c>
      <c r="Q299" s="223">
        <v>67.986500000000007</v>
      </c>
      <c r="R299"/>
      <c r="S299"/>
    </row>
    <row r="300" spans="1:19" x14ac:dyDescent="0.35">
      <c r="A300" s="221">
        <v>44001</v>
      </c>
      <c r="B300" s="222">
        <v>41.490412822035758</v>
      </c>
      <c r="C300"/>
      <c r="D300" s="221">
        <v>44001</v>
      </c>
      <c r="E300" s="222">
        <v>107.7427</v>
      </c>
      <c r="F300" s="222">
        <v>65.334599999999995</v>
      </c>
      <c r="G300" s="222">
        <v>95.538499999999999</v>
      </c>
      <c r="H300"/>
      <c r="I300" s="221">
        <v>44001</v>
      </c>
      <c r="J300" s="222">
        <v>65.334599999999995</v>
      </c>
      <c r="K300" s="222">
        <v>65.246300000000005</v>
      </c>
      <c r="L300"/>
      <c r="M300"/>
      <c r="N300"/>
      <c r="O300" s="221">
        <v>44001</v>
      </c>
      <c r="P300" s="223">
        <v>13.0047</v>
      </c>
      <c r="Q300" s="223">
        <v>65.246300000000005</v>
      </c>
      <c r="R300"/>
      <c r="S300"/>
    </row>
    <row r="301" spans="1:19" x14ac:dyDescent="0.35">
      <c r="A301" s="221">
        <v>44000</v>
      </c>
      <c r="B301" s="222">
        <v>39.842032974026402</v>
      </c>
      <c r="C301"/>
      <c r="D301" s="221">
        <v>44000</v>
      </c>
      <c r="E301" s="222">
        <v>106.8634</v>
      </c>
      <c r="F301" s="222">
        <v>65.372900000000001</v>
      </c>
      <c r="G301" s="222">
        <v>95.453400000000002</v>
      </c>
      <c r="H301"/>
      <c r="I301" s="221">
        <v>44000</v>
      </c>
      <c r="J301" s="222">
        <v>65.372900000000001</v>
      </c>
      <c r="K301" s="222">
        <v>63.8018</v>
      </c>
      <c r="L301"/>
      <c r="M301"/>
      <c r="N301"/>
      <c r="O301" s="221">
        <v>44000</v>
      </c>
      <c r="P301" s="223">
        <v>12.182499999999999</v>
      </c>
      <c r="Q301" s="223">
        <v>63.8018</v>
      </c>
      <c r="R301"/>
      <c r="S301"/>
    </row>
    <row r="302" spans="1:19" x14ac:dyDescent="0.35">
      <c r="A302" s="221">
        <v>43999</v>
      </c>
      <c r="B302" s="222">
        <v>39.795701340664138</v>
      </c>
      <c r="C302"/>
      <c r="D302" s="221">
        <v>43999</v>
      </c>
      <c r="E302" s="222">
        <v>106.033</v>
      </c>
      <c r="F302" s="222">
        <v>63.728499999999997</v>
      </c>
      <c r="G302" s="222">
        <v>95.377099999999999</v>
      </c>
      <c r="H302"/>
      <c r="I302" s="221">
        <v>43999</v>
      </c>
      <c r="J302" s="222">
        <v>63.728499999999997</v>
      </c>
      <c r="K302" s="222">
        <v>66.722899999999996</v>
      </c>
      <c r="L302"/>
      <c r="M302"/>
      <c r="N302"/>
      <c r="O302" s="221">
        <v>43999</v>
      </c>
      <c r="P302" s="223">
        <v>11.399900000000001</v>
      </c>
      <c r="Q302" s="223">
        <v>66.722899999999996</v>
      </c>
      <c r="R302"/>
      <c r="S302"/>
    </row>
    <row r="303" spans="1:19" x14ac:dyDescent="0.35">
      <c r="A303" s="221">
        <v>43998</v>
      </c>
      <c r="B303" s="222">
        <v>38.613406092806898</v>
      </c>
      <c r="C303"/>
      <c r="D303" s="221">
        <v>43998</v>
      </c>
      <c r="E303" s="222">
        <v>106.1347</v>
      </c>
      <c r="F303" s="222">
        <v>64.971299999999999</v>
      </c>
      <c r="G303" s="222">
        <v>95.482200000000006</v>
      </c>
      <c r="H303"/>
      <c r="I303" s="221">
        <v>43998</v>
      </c>
      <c r="J303" s="222">
        <v>64.971299999999999</v>
      </c>
      <c r="K303" s="222">
        <v>63.6877</v>
      </c>
      <c r="L303"/>
      <c r="M303"/>
      <c r="N303"/>
      <c r="O303" s="221">
        <v>43998</v>
      </c>
      <c r="P303" s="223">
        <v>11.382</v>
      </c>
      <c r="Q303" s="223">
        <v>63.6877</v>
      </c>
      <c r="R303"/>
      <c r="S303"/>
    </row>
    <row r="304" spans="1:19" x14ac:dyDescent="0.35">
      <c r="A304" s="221">
        <v>43997</v>
      </c>
      <c r="B304" s="222">
        <v>37.35079203096268</v>
      </c>
      <c r="C304"/>
      <c r="D304" s="221">
        <v>43997</v>
      </c>
      <c r="E304" s="222">
        <v>105.6863</v>
      </c>
      <c r="F304" s="222">
        <v>64.933099999999996</v>
      </c>
      <c r="G304" s="222">
        <v>95.66</v>
      </c>
      <c r="H304"/>
      <c r="I304" s="221">
        <v>43997</v>
      </c>
      <c r="J304" s="222">
        <v>64.933099999999996</v>
      </c>
      <c r="K304" s="222">
        <v>63.090899999999998</v>
      </c>
      <c r="L304"/>
      <c r="M304"/>
      <c r="N304"/>
      <c r="O304" s="221">
        <v>43997</v>
      </c>
      <c r="P304" s="223">
        <v>10.704599999999999</v>
      </c>
      <c r="Q304" s="223">
        <v>63.090899999999998</v>
      </c>
      <c r="R304"/>
      <c r="S304"/>
    </row>
    <row r="305" spans="1:19" x14ac:dyDescent="0.35">
      <c r="A305" s="221">
        <v>43994</v>
      </c>
      <c r="B305" s="222">
        <v>41.198599068270852</v>
      </c>
      <c r="C305"/>
      <c r="D305" s="221">
        <v>43994</v>
      </c>
      <c r="E305" s="222">
        <v>105.2992</v>
      </c>
      <c r="F305" s="222">
        <v>60.516300000000001</v>
      </c>
      <c r="G305" s="222">
        <v>95.331800000000001</v>
      </c>
      <c r="H305"/>
      <c r="I305" s="221">
        <v>43994</v>
      </c>
      <c r="J305" s="222">
        <v>60.516300000000001</v>
      </c>
      <c r="K305" s="222">
        <v>74.346400000000003</v>
      </c>
      <c r="L305"/>
      <c r="M305"/>
      <c r="N305"/>
      <c r="O305" s="221">
        <v>43994</v>
      </c>
      <c r="P305" s="223">
        <v>10.6745</v>
      </c>
      <c r="Q305" s="223">
        <v>74.346400000000003</v>
      </c>
      <c r="R305"/>
      <c r="S305"/>
    </row>
    <row r="306" spans="1:19" x14ac:dyDescent="0.35">
      <c r="A306" s="221">
        <v>43993</v>
      </c>
      <c r="B306" s="222">
        <v>40.84450689967499</v>
      </c>
      <c r="C306"/>
      <c r="D306" s="221">
        <v>43993</v>
      </c>
      <c r="E306" s="222">
        <v>105.1819</v>
      </c>
      <c r="F306" s="222">
        <v>60.956000000000003</v>
      </c>
      <c r="G306" s="222">
        <v>95.195599999999999</v>
      </c>
      <c r="H306"/>
      <c r="I306" s="221">
        <v>43993</v>
      </c>
      <c r="J306" s="222">
        <v>60.956000000000003</v>
      </c>
      <c r="K306" s="222">
        <v>72.893600000000006</v>
      </c>
      <c r="L306"/>
      <c r="M306"/>
      <c r="N306"/>
      <c r="O306" s="221">
        <v>43993</v>
      </c>
      <c r="P306" s="223">
        <v>10.707800000000001</v>
      </c>
      <c r="Q306" s="223">
        <v>72.893600000000006</v>
      </c>
      <c r="R306"/>
      <c r="S306"/>
    </row>
    <row r="307" spans="1:19" x14ac:dyDescent="0.35">
      <c r="A307" s="221">
        <v>43992</v>
      </c>
      <c r="B307" s="222">
        <v>39.863155342180789</v>
      </c>
      <c r="C307"/>
      <c r="D307" s="221">
        <v>43992</v>
      </c>
      <c r="E307" s="222">
        <v>105.2945</v>
      </c>
      <c r="F307" s="222">
        <v>62.218000000000004</v>
      </c>
      <c r="G307" s="222">
        <v>95.211399999999998</v>
      </c>
      <c r="H307"/>
      <c r="I307" s="221">
        <v>43992</v>
      </c>
      <c r="J307" s="222">
        <v>62.218000000000004</v>
      </c>
      <c r="K307" s="222">
        <v>69.565100000000001</v>
      </c>
      <c r="L307"/>
      <c r="M307"/>
      <c r="N307"/>
      <c r="O307" s="221">
        <v>43992</v>
      </c>
      <c r="P307" s="223">
        <v>10.806100000000001</v>
      </c>
      <c r="Q307" s="223">
        <v>69.565100000000001</v>
      </c>
      <c r="R307"/>
      <c r="S307"/>
    </row>
    <row r="308" spans="1:19" x14ac:dyDescent="0.35">
      <c r="A308" s="221">
        <v>43991</v>
      </c>
      <c r="B308" s="222">
        <v>41.227604532220489</v>
      </c>
      <c r="C308"/>
      <c r="D308" s="221">
        <v>43991</v>
      </c>
      <c r="E308" s="222">
        <v>105.37520000000001</v>
      </c>
      <c r="F308" s="222">
        <v>61.395800000000001</v>
      </c>
      <c r="G308" s="222">
        <v>95.005700000000004</v>
      </c>
      <c r="H308"/>
      <c r="I308" s="221">
        <v>43991</v>
      </c>
      <c r="J308" s="222">
        <v>61.395800000000001</v>
      </c>
      <c r="K308" s="222">
        <v>71.964500000000001</v>
      </c>
      <c r="L308"/>
      <c r="M308"/>
      <c r="N308"/>
      <c r="O308" s="221">
        <v>43991</v>
      </c>
      <c r="P308" s="223">
        <v>11.129099999999999</v>
      </c>
      <c r="Q308" s="223">
        <v>71.964500000000001</v>
      </c>
      <c r="R308"/>
      <c r="S308"/>
    </row>
    <row r="309" spans="1:19" x14ac:dyDescent="0.35">
      <c r="A309" s="221">
        <v>43990</v>
      </c>
      <c r="B309" s="222">
        <v>41.958505991212562</v>
      </c>
      <c r="C309"/>
      <c r="D309" s="221">
        <v>43990</v>
      </c>
      <c r="E309" s="222">
        <v>105.82080000000001</v>
      </c>
      <c r="F309" s="222">
        <v>61.606099999999998</v>
      </c>
      <c r="G309" s="222">
        <v>94.996499999999997</v>
      </c>
      <c r="H309"/>
      <c r="I309" s="221">
        <v>43990</v>
      </c>
      <c r="J309" s="222">
        <v>61.606099999999998</v>
      </c>
      <c r="K309" s="222">
        <v>72.098200000000006</v>
      </c>
      <c r="L309"/>
      <c r="M309"/>
      <c r="N309"/>
      <c r="O309" s="221">
        <v>43990</v>
      </c>
      <c r="P309" s="223">
        <v>11.6073</v>
      </c>
      <c r="Q309" s="223">
        <v>72.098200000000006</v>
      </c>
      <c r="R309"/>
      <c r="S309"/>
    </row>
    <row r="310" spans="1:19" x14ac:dyDescent="0.35">
      <c r="A310" s="221">
        <v>43987</v>
      </c>
      <c r="B310" s="222">
        <v>42.318681466049789</v>
      </c>
      <c r="C310"/>
      <c r="D310" s="221">
        <v>43987</v>
      </c>
      <c r="E310" s="222">
        <v>105.7837</v>
      </c>
      <c r="F310" s="222">
        <v>60.478000000000002</v>
      </c>
      <c r="G310" s="222">
        <v>95.275499999999994</v>
      </c>
      <c r="H310"/>
      <c r="I310" s="221">
        <v>43987</v>
      </c>
      <c r="J310" s="222">
        <v>60.478000000000002</v>
      </c>
      <c r="K310" s="222">
        <v>75.238900000000001</v>
      </c>
      <c r="L310"/>
      <c r="M310"/>
      <c r="N310"/>
      <c r="O310" s="221">
        <v>43987</v>
      </c>
      <c r="P310" s="223">
        <v>11.2364</v>
      </c>
      <c r="Q310" s="223">
        <v>75.238900000000001</v>
      </c>
      <c r="R310"/>
      <c r="S310"/>
    </row>
    <row r="311" spans="1:19" x14ac:dyDescent="0.35">
      <c r="A311" s="221">
        <v>43986</v>
      </c>
      <c r="B311" s="222">
        <v>44.093045323818849</v>
      </c>
      <c r="C311"/>
      <c r="D311" s="221">
        <v>43986</v>
      </c>
      <c r="E311" s="222">
        <v>106.8044</v>
      </c>
      <c r="F311" s="222">
        <v>60.994300000000003</v>
      </c>
      <c r="G311" s="222">
        <v>95.2286</v>
      </c>
      <c r="H311"/>
      <c r="I311" s="221">
        <v>43986</v>
      </c>
      <c r="J311" s="222">
        <v>60.994300000000003</v>
      </c>
      <c r="K311" s="222">
        <v>75.426199999999994</v>
      </c>
      <c r="L311"/>
      <c r="M311"/>
      <c r="N311"/>
      <c r="O311" s="221">
        <v>43986</v>
      </c>
      <c r="P311" s="223">
        <v>12.3612</v>
      </c>
      <c r="Q311" s="223">
        <v>75.426199999999994</v>
      </c>
      <c r="R311"/>
      <c r="S311"/>
    </row>
    <row r="312" spans="1:19" x14ac:dyDescent="0.35">
      <c r="A312" s="221">
        <v>43985</v>
      </c>
      <c r="B312" s="222">
        <v>43.313635670225395</v>
      </c>
      <c r="C312"/>
      <c r="D312" s="221">
        <v>43985</v>
      </c>
      <c r="E312" s="222">
        <v>107.006</v>
      </c>
      <c r="F312" s="222">
        <v>62.351799999999997</v>
      </c>
      <c r="G312" s="222">
        <v>95.156700000000001</v>
      </c>
      <c r="H312"/>
      <c r="I312" s="221">
        <v>43985</v>
      </c>
      <c r="J312" s="222">
        <v>62.351799999999997</v>
      </c>
      <c r="K312" s="222">
        <v>71.927700000000002</v>
      </c>
      <c r="L312"/>
      <c r="M312"/>
      <c r="N312"/>
      <c r="O312" s="221">
        <v>43985</v>
      </c>
      <c r="P312" s="223">
        <v>12.6563</v>
      </c>
      <c r="Q312" s="223">
        <v>71.927700000000002</v>
      </c>
      <c r="R312"/>
      <c r="S312"/>
    </row>
    <row r="313" spans="1:19" x14ac:dyDescent="0.35">
      <c r="A313" s="221">
        <v>43984</v>
      </c>
      <c r="B313" s="222">
        <v>44.518341639774668</v>
      </c>
      <c r="C313"/>
      <c r="D313" s="221">
        <v>43984</v>
      </c>
      <c r="E313" s="222">
        <v>107.90770000000001</v>
      </c>
      <c r="F313" s="222">
        <v>61.720799999999997</v>
      </c>
      <c r="G313" s="222">
        <v>95.773300000000006</v>
      </c>
      <c r="H313"/>
      <c r="I313" s="221">
        <v>43984</v>
      </c>
      <c r="J313" s="222">
        <v>61.720799999999997</v>
      </c>
      <c r="K313" s="222">
        <v>75.143500000000003</v>
      </c>
      <c r="L313"/>
      <c r="M313"/>
      <c r="N313"/>
      <c r="O313" s="221">
        <v>43984</v>
      </c>
      <c r="P313" s="223">
        <v>12.870699999999999</v>
      </c>
      <c r="Q313" s="223">
        <v>75.143500000000003</v>
      </c>
      <c r="R313"/>
      <c r="S313"/>
    </row>
    <row r="314" spans="1:19" x14ac:dyDescent="0.35">
      <c r="A314" s="221">
        <v>43983</v>
      </c>
      <c r="B314" s="222">
        <v>41.406562664300516</v>
      </c>
      <c r="C314"/>
      <c r="D314" s="221">
        <v>43983</v>
      </c>
      <c r="E314" s="222">
        <v>106.8193</v>
      </c>
      <c r="F314" s="222">
        <v>61.491399999999999</v>
      </c>
      <c r="G314" s="222">
        <v>96.232900000000001</v>
      </c>
      <c r="H314"/>
      <c r="I314" s="221">
        <v>43983</v>
      </c>
      <c r="J314" s="222">
        <v>61.491399999999999</v>
      </c>
      <c r="K314" s="222">
        <v>74.024299999999997</v>
      </c>
      <c r="L314"/>
      <c r="M314"/>
      <c r="N314"/>
      <c r="O314" s="221">
        <v>43983</v>
      </c>
      <c r="P314" s="223">
        <v>11.199</v>
      </c>
      <c r="Q314" s="223">
        <v>74.024299999999997</v>
      </c>
      <c r="R314"/>
      <c r="S314"/>
    </row>
    <row r="315" spans="1:19" x14ac:dyDescent="0.35">
      <c r="A315" s="221">
        <v>43980</v>
      </c>
      <c r="B315" s="222">
        <v>42.028136700978862</v>
      </c>
      <c r="C315"/>
      <c r="D315" s="221">
        <v>43980</v>
      </c>
      <c r="E315" s="222">
        <v>105.6172</v>
      </c>
      <c r="F315" s="222">
        <v>58.164400000000001</v>
      </c>
      <c r="G315" s="222">
        <v>96.181799999999996</v>
      </c>
      <c r="H315"/>
      <c r="I315" s="221">
        <v>43980</v>
      </c>
      <c r="J315" s="222">
        <v>58.164400000000001</v>
      </c>
      <c r="K315" s="222">
        <v>81.903400000000005</v>
      </c>
      <c r="L315"/>
      <c r="M315"/>
      <c r="N315"/>
      <c r="O315" s="221">
        <v>43980</v>
      </c>
      <c r="P315" s="224">
        <v>10.0031</v>
      </c>
      <c r="Q315" s="224">
        <v>81.903400000000005</v>
      </c>
      <c r="R315"/>
      <c r="S315"/>
    </row>
    <row r="316" spans="1:19" x14ac:dyDescent="0.35">
      <c r="A316" s="221">
        <v>43979</v>
      </c>
      <c r="B316" s="222">
        <v>41.470926459169206</v>
      </c>
      <c r="C316"/>
      <c r="D316" s="221">
        <v>43979</v>
      </c>
      <c r="E316" s="222">
        <v>104.91289999999999</v>
      </c>
      <c r="F316" s="222">
        <v>57.131900000000002</v>
      </c>
      <c r="G316" s="222">
        <v>96.121499999999997</v>
      </c>
      <c r="H316"/>
      <c r="I316" s="221">
        <v>43979</v>
      </c>
      <c r="J316" s="222">
        <v>57.131900000000002</v>
      </c>
      <c r="K316" s="222">
        <v>83.954999999999998</v>
      </c>
      <c r="L316"/>
      <c r="M316"/>
      <c r="N316"/>
      <c r="O316" s="221">
        <v>43979</v>
      </c>
      <c r="P316" s="224">
        <v>9.3376999999999999</v>
      </c>
      <c r="Q316" s="224">
        <v>83.954999999999998</v>
      </c>
      <c r="R316"/>
      <c r="S316"/>
    </row>
    <row r="317" spans="1:19" x14ac:dyDescent="0.35">
      <c r="A317" s="221">
        <v>43978</v>
      </c>
      <c r="B317" s="222">
        <v>39.872859415880271</v>
      </c>
      <c r="C317"/>
      <c r="D317" s="221">
        <v>43978</v>
      </c>
      <c r="E317" s="222">
        <v>104.3985</v>
      </c>
      <c r="F317" s="222">
        <v>57.246699999999997</v>
      </c>
      <c r="G317" s="222">
        <v>96.240899999999996</v>
      </c>
      <c r="H317"/>
      <c r="I317" s="221">
        <v>43978</v>
      </c>
      <c r="J317" s="222">
        <v>57.246699999999997</v>
      </c>
      <c r="K317" s="222">
        <v>82.684799999999996</v>
      </c>
      <c r="L317"/>
      <c r="M317"/>
      <c r="N317"/>
      <c r="O317" s="221">
        <v>43978</v>
      </c>
      <c r="P317" s="224">
        <v>8.6659000000000006</v>
      </c>
      <c r="Q317" s="224">
        <v>82.684799999999996</v>
      </c>
      <c r="R317"/>
      <c r="S317"/>
    </row>
    <row r="318" spans="1:19" x14ac:dyDescent="0.35">
      <c r="A318" s="221">
        <v>43977</v>
      </c>
      <c r="B318" s="222">
        <v>40.008238218660452</v>
      </c>
      <c r="C318"/>
      <c r="D318" s="221">
        <v>43977</v>
      </c>
      <c r="E318" s="222">
        <v>104.9092</v>
      </c>
      <c r="F318" s="222">
        <v>58.049700000000001</v>
      </c>
      <c r="G318" s="222">
        <v>96.3566</v>
      </c>
      <c r="H318"/>
      <c r="I318" s="221">
        <v>43977</v>
      </c>
      <c r="J318" s="222">
        <v>58.049700000000001</v>
      </c>
      <c r="K318" s="222">
        <v>81.034499999999994</v>
      </c>
      <c r="L318"/>
      <c r="M318"/>
      <c r="N318"/>
      <c r="O318" s="221">
        <v>43977</v>
      </c>
      <c r="P318" s="224">
        <v>9.0635999999999992</v>
      </c>
      <c r="Q318" s="224">
        <v>81.034499999999994</v>
      </c>
      <c r="R318"/>
      <c r="S318"/>
    </row>
    <row r="319" spans="1:19" x14ac:dyDescent="0.35">
      <c r="A319" s="221">
        <v>43976</v>
      </c>
      <c r="B319" s="222">
        <v>40.329711649617252</v>
      </c>
      <c r="C319"/>
      <c r="D319" s="221">
        <v>43976</v>
      </c>
      <c r="E319" s="222">
        <v>104.2208</v>
      </c>
      <c r="F319" s="222">
        <v>55.716999999999999</v>
      </c>
      <c r="G319" s="222">
        <v>96.442400000000006</v>
      </c>
      <c r="H319"/>
      <c r="I319" s="221">
        <v>43976</v>
      </c>
      <c r="J319" s="222">
        <v>55.716999999999999</v>
      </c>
      <c r="K319" s="222">
        <v>87.375500000000002</v>
      </c>
      <c r="L319"/>
      <c r="M319"/>
      <c r="N319"/>
      <c r="O319" s="221">
        <v>43976</v>
      </c>
      <c r="P319" s="224">
        <v>8.2510999999999992</v>
      </c>
      <c r="Q319" s="224">
        <v>87.375500000000002</v>
      </c>
      <c r="R319"/>
      <c r="S319"/>
    </row>
    <row r="320" spans="1:19" x14ac:dyDescent="0.35">
      <c r="A320" s="221">
        <v>43973</v>
      </c>
      <c r="B320" s="222">
        <v>42.857765633063281</v>
      </c>
      <c r="C320"/>
      <c r="D320" s="221">
        <v>43973</v>
      </c>
      <c r="E320" s="222">
        <v>105.72580000000001</v>
      </c>
      <c r="F320" s="222">
        <v>56.730400000000003</v>
      </c>
      <c r="G320" s="222">
        <v>96.460300000000004</v>
      </c>
      <c r="H320"/>
      <c r="I320" s="221">
        <v>43973</v>
      </c>
      <c r="J320" s="222">
        <v>56.730400000000003</v>
      </c>
      <c r="K320" s="222">
        <v>86.672399999999996</v>
      </c>
      <c r="L320"/>
      <c r="M320"/>
      <c r="N320"/>
      <c r="O320" s="221">
        <v>43973</v>
      </c>
      <c r="P320" s="224">
        <v>9.7860999999999994</v>
      </c>
      <c r="Q320" s="224">
        <v>86.672399999999996</v>
      </c>
      <c r="R320"/>
      <c r="S320"/>
    </row>
    <row r="321" spans="1:19" x14ac:dyDescent="0.35">
      <c r="A321" s="221">
        <v>43972</v>
      </c>
      <c r="B321" s="222">
        <v>45.456536296394617</v>
      </c>
      <c r="C321"/>
      <c r="D321" s="221">
        <v>43972</v>
      </c>
      <c r="E321" s="222">
        <v>107.42740000000001</v>
      </c>
      <c r="F321" s="222">
        <v>58.068800000000003</v>
      </c>
      <c r="G321" s="222">
        <v>96.432900000000004</v>
      </c>
      <c r="H321"/>
      <c r="I321" s="221">
        <v>43972</v>
      </c>
      <c r="J321" s="222">
        <v>58.068800000000003</v>
      </c>
      <c r="K321" s="222">
        <v>85.297399999999996</v>
      </c>
      <c r="L321"/>
      <c r="M321"/>
      <c r="N321"/>
      <c r="O321" s="221">
        <v>43972</v>
      </c>
      <c r="P321" s="224">
        <v>11.5802</v>
      </c>
      <c r="Q321" s="224">
        <v>85.297399999999996</v>
      </c>
      <c r="R321"/>
      <c r="S321"/>
    </row>
    <row r="322" spans="1:19" x14ac:dyDescent="0.35">
      <c r="A322" s="221">
        <v>43971</v>
      </c>
      <c r="B322" s="222">
        <v>44.305983499217497</v>
      </c>
      <c r="C322"/>
      <c r="D322" s="221">
        <v>43971</v>
      </c>
      <c r="E322" s="222">
        <v>107.539</v>
      </c>
      <c r="F322" s="222">
        <v>59.483800000000002</v>
      </c>
      <c r="G322" s="222">
        <v>96.412400000000005</v>
      </c>
      <c r="H322"/>
      <c r="I322" s="221">
        <v>43971</v>
      </c>
      <c r="J322" s="222">
        <v>59.483800000000002</v>
      </c>
      <c r="K322" s="222">
        <v>81.0745</v>
      </c>
      <c r="L322"/>
      <c r="M322"/>
      <c r="N322"/>
      <c r="O322" s="221">
        <v>43971</v>
      </c>
      <c r="P322" s="224">
        <v>11.718</v>
      </c>
      <c r="Q322" s="224">
        <v>81.0745</v>
      </c>
      <c r="R322"/>
      <c r="S322"/>
    </row>
    <row r="323" spans="1:19" x14ac:dyDescent="0.35">
      <c r="A323" s="221">
        <v>43970</v>
      </c>
      <c r="B323" s="222">
        <v>44.030252181830399</v>
      </c>
      <c r="C323"/>
      <c r="D323" s="221">
        <v>43970</v>
      </c>
      <c r="E323" s="222">
        <v>108.16070000000001</v>
      </c>
      <c r="F323" s="222">
        <v>61.0899</v>
      </c>
      <c r="G323" s="222">
        <v>96.419899999999998</v>
      </c>
      <c r="H323"/>
      <c r="I323" s="221">
        <v>43970</v>
      </c>
      <c r="J323" s="222">
        <v>61.0899</v>
      </c>
      <c r="K323" s="222">
        <v>77.328800000000001</v>
      </c>
      <c r="L323"/>
      <c r="M323"/>
      <c r="N323"/>
      <c r="O323" s="221">
        <v>43970</v>
      </c>
      <c r="P323" s="224">
        <v>12.3523</v>
      </c>
      <c r="Q323" s="224">
        <v>77.328800000000001</v>
      </c>
      <c r="R323"/>
      <c r="S323"/>
    </row>
    <row r="324" spans="1:19" x14ac:dyDescent="0.35">
      <c r="A324" s="221">
        <v>43969</v>
      </c>
      <c r="B324" s="222">
        <v>45.950862778731668</v>
      </c>
      <c r="C324"/>
      <c r="D324" s="221">
        <v>43969</v>
      </c>
      <c r="E324" s="222">
        <v>108.14230000000001</v>
      </c>
      <c r="F324" s="222">
        <v>59.024900000000002</v>
      </c>
      <c r="G324" s="222">
        <v>96.457499999999996</v>
      </c>
      <c r="H324"/>
      <c r="I324" s="221">
        <v>43969</v>
      </c>
      <c r="J324" s="222">
        <v>59.024900000000002</v>
      </c>
      <c r="K324" s="222">
        <v>83.498800000000003</v>
      </c>
      <c r="L324"/>
      <c r="M324"/>
      <c r="N324"/>
      <c r="O324" s="221">
        <v>43969</v>
      </c>
      <c r="P324" s="224">
        <v>12.287800000000001</v>
      </c>
      <c r="Q324" s="224">
        <v>83.498800000000003</v>
      </c>
      <c r="R324"/>
      <c r="S324"/>
    </row>
    <row r="325" spans="1:19" x14ac:dyDescent="0.35">
      <c r="A325" s="221">
        <v>43966</v>
      </c>
      <c r="B325" s="222">
        <v>45.3352967159976</v>
      </c>
      <c r="C325"/>
      <c r="D325" s="221">
        <v>43966</v>
      </c>
      <c r="E325" s="222">
        <v>108.54730000000001</v>
      </c>
      <c r="F325" s="222">
        <v>60.592700000000001</v>
      </c>
      <c r="G325" s="222">
        <v>96.381699999999995</v>
      </c>
      <c r="H325"/>
      <c r="I325" s="221">
        <v>43966</v>
      </c>
      <c r="J325" s="222">
        <v>60.592700000000001</v>
      </c>
      <c r="K325" s="222">
        <v>79.411100000000005</v>
      </c>
      <c r="L325"/>
      <c r="M325"/>
      <c r="N325"/>
      <c r="O325" s="221">
        <v>43966</v>
      </c>
      <c r="P325" s="224">
        <v>12.7911</v>
      </c>
      <c r="Q325" s="224">
        <v>79.411100000000005</v>
      </c>
      <c r="R325"/>
      <c r="S325"/>
    </row>
    <row r="326" spans="1:19" x14ac:dyDescent="0.35">
      <c r="A326" s="221">
        <v>43965</v>
      </c>
      <c r="B326" s="222">
        <v>44.372318724537664</v>
      </c>
      <c r="C326"/>
      <c r="D326" s="221">
        <v>43965</v>
      </c>
      <c r="E326" s="222">
        <v>108.5389</v>
      </c>
      <c r="F326" s="222">
        <v>61.567900000000002</v>
      </c>
      <c r="G326" s="222">
        <v>96.360200000000006</v>
      </c>
      <c r="H326"/>
      <c r="I326" s="221">
        <v>43965</v>
      </c>
      <c r="J326" s="222">
        <v>61.567900000000002</v>
      </c>
      <c r="K326" s="222">
        <v>76.552999999999997</v>
      </c>
      <c r="L326"/>
      <c r="M326"/>
      <c r="N326"/>
      <c r="O326" s="221">
        <v>43965</v>
      </c>
      <c r="P326" s="224">
        <v>12.805899999999999</v>
      </c>
      <c r="Q326" s="224">
        <v>76.552999999999997</v>
      </c>
      <c r="R326"/>
      <c r="S326"/>
    </row>
    <row r="327" spans="1:19" x14ac:dyDescent="0.35">
      <c r="A327" s="221">
        <v>43964</v>
      </c>
      <c r="B327" s="222">
        <v>44.785341862467867</v>
      </c>
      <c r="C327"/>
      <c r="D327" s="221">
        <v>43964</v>
      </c>
      <c r="E327" s="222">
        <v>109.1405</v>
      </c>
      <c r="F327" s="222">
        <v>62.409199999999998</v>
      </c>
      <c r="G327" s="222">
        <v>96.358400000000003</v>
      </c>
      <c r="H327"/>
      <c r="I327" s="221">
        <v>43964</v>
      </c>
      <c r="J327" s="222">
        <v>62.409199999999998</v>
      </c>
      <c r="K327" s="222">
        <v>75.134399999999999</v>
      </c>
      <c r="L327"/>
      <c r="M327"/>
      <c r="N327"/>
      <c r="O327" s="221">
        <v>43964</v>
      </c>
      <c r="P327" s="224">
        <v>13.4307</v>
      </c>
      <c r="Q327" s="224">
        <v>75.134399999999999</v>
      </c>
      <c r="R327"/>
      <c r="S327"/>
    </row>
    <row r="328" spans="1:19" x14ac:dyDescent="0.35">
      <c r="A328" s="221">
        <v>43963</v>
      </c>
      <c r="B328" s="222">
        <v>43.734285456909582</v>
      </c>
      <c r="C328"/>
      <c r="D328" s="221">
        <v>43963</v>
      </c>
      <c r="E328" s="222">
        <v>108.8622</v>
      </c>
      <c r="F328" s="222">
        <v>62.581299999999999</v>
      </c>
      <c r="G328" s="222">
        <v>96.474699999999999</v>
      </c>
      <c r="H328"/>
      <c r="I328" s="221">
        <v>43963</v>
      </c>
      <c r="J328" s="222">
        <v>62.581299999999999</v>
      </c>
      <c r="K328" s="222">
        <v>74.205399999999997</v>
      </c>
      <c r="L328"/>
      <c r="M328"/>
      <c r="N328"/>
      <c r="O328" s="221">
        <v>43963</v>
      </c>
      <c r="P328" s="224">
        <v>13.0037</v>
      </c>
      <c r="Q328" s="224">
        <v>74.205399999999997</v>
      </c>
      <c r="R328"/>
      <c r="S328"/>
    </row>
    <row r="329" spans="1:19" x14ac:dyDescent="0.35">
      <c r="A329" s="221">
        <v>43962</v>
      </c>
      <c r="B329" s="222">
        <v>43.239964201984307</v>
      </c>
      <c r="C329"/>
      <c r="D329" s="221">
        <v>43962</v>
      </c>
      <c r="E329" s="222">
        <v>109.3908</v>
      </c>
      <c r="F329" s="222">
        <v>63.824100000000001</v>
      </c>
      <c r="G329" s="222">
        <v>96.6571</v>
      </c>
      <c r="H329"/>
      <c r="I329" s="221">
        <v>43962</v>
      </c>
      <c r="J329" s="222">
        <v>63.824100000000001</v>
      </c>
      <c r="K329" s="222">
        <v>71.638900000000007</v>
      </c>
      <c r="L329"/>
      <c r="M329"/>
      <c r="N329"/>
      <c r="O329" s="221">
        <v>43962</v>
      </c>
      <c r="P329" s="224">
        <v>13.335699999999999</v>
      </c>
      <c r="Q329" s="224">
        <v>71.638900000000007</v>
      </c>
      <c r="R329"/>
      <c r="S329"/>
    </row>
    <row r="330" spans="1:19" x14ac:dyDescent="0.35">
      <c r="A330" s="221">
        <v>43959</v>
      </c>
      <c r="B330" s="222">
        <v>41.902787208537475</v>
      </c>
      <c r="C330"/>
      <c r="D330" s="221">
        <v>43959</v>
      </c>
      <c r="E330" s="222">
        <v>108.8488</v>
      </c>
      <c r="F330" s="222">
        <v>64.0535</v>
      </c>
      <c r="G330" s="222">
        <v>96.636200000000002</v>
      </c>
      <c r="H330"/>
      <c r="I330" s="221">
        <v>43959</v>
      </c>
      <c r="J330" s="222">
        <v>64.0535</v>
      </c>
      <c r="K330" s="222">
        <v>70.170199999999994</v>
      </c>
      <c r="L330"/>
      <c r="M330"/>
      <c r="N330"/>
      <c r="O330" s="221">
        <v>43959</v>
      </c>
      <c r="P330" s="224">
        <v>12.7942</v>
      </c>
      <c r="Q330" s="224">
        <v>70.170199999999994</v>
      </c>
      <c r="R330"/>
      <c r="S330"/>
    </row>
    <row r="331" spans="1:19" x14ac:dyDescent="0.35">
      <c r="A331" s="221">
        <v>43958</v>
      </c>
      <c r="B331" s="222">
        <v>43.686920202042998</v>
      </c>
      <c r="C331"/>
      <c r="D331" s="221">
        <v>43958</v>
      </c>
      <c r="E331" s="222">
        <v>109.0604</v>
      </c>
      <c r="F331" s="222">
        <v>62.275300000000001</v>
      </c>
      <c r="G331" s="222">
        <v>96.804000000000002</v>
      </c>
      <c r="H331"/>
      <c r="I331" s="221">
        <v>43958</v>
      </c>
      <c r="J331" s="222">
        <v>62.275300000000001</v>
      </c>
      <c r="K331" s="222">
        <v>75.366500000000002</v>
      </c>
      <c r="L331"/>
      <c r="M331"/>
      <c r="N331"/>
      <c r="O331" s="221">
        <v>43958</v>
      </c>
      <c r="P331" s="224">
        <v>12.8156</v>
      </c>
      <c r="Q331" s="224">
        <v>75.366500000000002</v>
      </c>
      <c r="R331"/>
      <c r="S331"/>
    </row>
    <row r="332" spans="1:19" x14ac:dyDescent="0.35">
      <c r="A332" s="221">
        <v>43957</v>
      </c>
      <c r="B332" s="222">
        <v>44.614642261159581</v>
      </c>
      <c r="C332"/>
      <c r="D332" s="221">
        <v>43957</v>
      </c>
      <c r="E332" s="222">
        <v>109.2161</v>
      </c>
      <c r="F332" s="222">
        <v>61.453200000000002</v>
      </c>
      <c r="G332" s="222">
        <v>96.896900000000002</v>
      </c>
      <c r="H332"/>
      <c r="I332" s="221">
        <v>43957</v>
      </c>
      <c r="J332" s="222">
        <v>61.453200000000002</v>
      </c>
      <c r="K332" s="222">
        <v>77.963099999999997</v>
      </c>
      <c r="L332"/>
      <c r="M332"/>
      <c r="N332"/>
      <c r="O332" s="221">
        <v>43957</v>
      </c>
      <c r="P332" s="224">
        <v>12.866400000000001</v>
      </c>
      <c r="Q332" s="224">
        <v>77.963099999999997</v>
      </c>
      <c r="R332"/>
      <c r="S332"/>
    </row>
    <row r="333" spans="1:19" x14ac:dyDescent="0.35">
      <c r="A333" s="221">
        <v>43951</v>
      </c>
      <c r="B333" s="222">
        <v>48.335236900997899</v>
      </c>
      <c r="C333"/>
      <c r="D333" s="221">
        <v>43951</v>
      </c>
      <c r="E333" s="222">
        <v>109.2619</v>
      </c>
      <c r="F333" s="222">
        <v>57.935000000000002</v>
      </c>
      <c r="G333" s="222">
        <v>96.838800000000006</v>
      </c>
      <c r="H333"/>
      <c r="I333" s="221">
        <v>43951</v>
      </c>
      <c r="J333" s="222">
        <v>57.935000000000002</v>
      </c>
      <c r="K333" s="222">
        <v>88.832300000000004</v>
      </c>
      <c r="L333"/>
      <c r="M333"/>
      <c r="N333"/>
      <c r="O333" s="221">
        <v>43951</v>
      </c>
      <c r="P333" s="224">
        <v>12.9712</v>
      </c>
      <c r="Q333" s="224">
        <v>88.832300000000004</v>
      </c>
      <c r="R333"/>
      <c r="S333"/>
    </row>
    <row r="334" spans="1:19" x14ac:dyDescent="0.35">
      <c r="A334" s="221">
        <v>43950</v>
      </c>
      <c r="B334" s="222">
        <v>48.569679527709148</v>
      </c>
      <c r="C334"/>
      <c r="D334" s="221">
        <v>43950</v>
      </c>
      <c r="E334" s="222">
        <v>107.9836</v>
      </c>
      <c r="F334" s="222">
        <v>55.3155</v>
      </c>
      <c r="G334" s="222">
        <v>96.666700000000006</v>
      </c>
      <c r="H334"/>
      <c r="I334" s="221">
        <v>43950</v>
      </c>
      <c r="J334" s="222">
        <v>55.3155</v>
      </c>
      <c r="K334" s="222">
        <v>95.460599999999999</v>
      </c>
      <c r="L334"/>
      <c r="M334"/>
      <c r="N334"/>
      <c r="O334" s="221">
        <v>43950</v>
      </c>
      <c r="P334" s="224">
        <v>11.8482</v>
      </c>
      <c r="Q334" s="224">
        <v>95.460599999999999</v>
      </c>
      <c r="R334"/>
      <c r="S334"/>
    </row>
    <row r="335" spans="1:19" x14ac:dyDescent="0.35">
      <c r="A335" s="221">
        <v>43949</v>
      </c>
      <c r="B335" s="222">
        <v>49.142888997510703</v>
      </c>
      <c r="C335"/>
      <c r="D335" s="221">
        <v>43949</v>
      </c>
      <c r="E335" s="222">
        <v>107.84520000000001</v>
      </c>
      <c r="F335" s="222">
        <v>54.3977</v>
      </c>
      <c r="G335" s="222">
        <v>96.718000000000004</v>
      </c>
      <c r="H335"/>
      <c r="I335" s="221">
        <v>43949</v>
      </c>
      <c r="J335" s="222">
        <v>54.3977</v>
      </c>
      <c r="K335" s="222">
        <v>98.501000000000005</v>
      </c>
      <c r="L335"/>
      <c r="M335"/>
      <c r="N335"/>
      <c r="O335" s="221">
        <v>43949</v>
      </c>
      <c r="P335" s="224">
        <v>11.6442</v>
      </c>
      <c r="Q335" s="224">
        <v>98.501000000000005</v>
      </c>
      <c r="R335"/>
      <c r="S335"/>
    </row>
    <row r="336" spans="1:19" x14ac:dyDescent="0.35">
      <c r="A336" s="221">
        <v>43948</v>
      </c>
      <c r="B336" s="222">
        <v>48.778677410118256</v>
      </c>
      <c r="C336"/>
      <c r="D336" s="221">
        <v>43948</v>
      </c>
      <c r="E336" s="222">
        <v>107.8698</v>
      </c>
      <c r="F336" s="222">
        <v>54.952199999999998</v>
      </c>
      <c r="G336" s="222">
        <v>96.6374</v>
      </c>
      <c r="H336"/>
      <c r="I336" s="221">
        <v>43948</v>
      </c>
      <c r="J336" s="222">
        <v>54.952199999999998</v>
      </c>
      <c r="K336" s="222">
        <v>96.539900000000003</v>
      </c>
      <c r="L336"/>
      <c r="M336"/>
      <c r="N336"/>
      <c r="O336" s="221">
        <v>43948</v>
      </c>
      <c r="P336" s="224">
        <v>11.761100000000001</v>
      </c>
      <c r="Q336" s="224">
        <v>96.539900000000003</v>
      </c>
      <c r="R336"/>
      <c r="S336"/>
    </row>
    <row r="337" spans="1:19" x14ac:dyDescent="0.35">
      <c r="A337" s="221">
        <v>43945</v>
      </c>
      <c r="B337" s="222">
        <v>49.338009515745171</v>
      </c>
      <c r="C337"/>
      <c r="D337" s="221">
        <v>43945</v>
      </c>
      <c r="E337" s="222">
        <v>108.0608</v>
      </c>
      <c r="F337" s="222">
        <v>54.588900000000002</v>
      </c>
      <c r="G337" s="222">
        <v>96.726699999999994</v>
      </c>
      <c r="H337"/>
      <c r="I337" s="221">
        <v>43945</v>
      </c>
      <c r="J337" s="222">
        <v>54.588900000000002</v>
      </c>
      <c r="K337" s="222">
        <v>98.188599999999994</v>
      </c>
      <c r="L337"/>
      <c r="M337"/>
      <c r="N337"/>
      <c r="O337" s="221">
        <v>43945</v>
      </c>
      <c r="P337" s="224">
        <v>11.850199999999999</v>
      </c>
      <c r="Q337" s="224">
        <v>98.188599999999994</v>
      </c>
      <c r="R337"/>
      <c r="S337"/>
    </row>
    <row r="338" spans="1:19" x14ac:dyDescent="0.35">
      <c r="A338" s="221">
        <v>43944</v>
      </c>
      <c r="B338" s="222">
        <v>49.018712800285343</v>
      </c>
      <c r="C338"/>
      <c r="D338" s="221">
        <v>43944</v>
      </c>
      <c r="E338" s="222">
        <v>108.1734</v>
      </c>
      <c r="F338" s="222">
        <v>55.468499999999999</v>
      </c>
      <c r="G338" s="222">
        <v>96.556700000000006</v>
      </c>
      <c r="H338"/>
      <c r="I338" s="221">
        <v>43944</v>
      </c>
      <c r="J338" s="222">
        <v>55.468499999999999</v>
      </c>
      <c r="K338" s="222">
        <v>95.245999999999995</v>
      </c>
      <c r="L338"/>
      <c r="M338"/>
      <c r="N338"/>
      <c r="O338" s="221">
        <v>43944</v>
      </c>
      <c r="P338" s="224">
        <v>12.162100000000001</v>
      </c>
      <c r="Q338" s="224">
        <v>95.245999999999995</v>
      </c>
      <c r="R338"/>
      <c r="S338"/>
    </row>
    <row r="339" spans="1:19" x14ac:dyDescent="0.35">
      <c r="A339" s="221">
        <v>43943</v>
      </c>
      <c r="B339" s="222">
        <v>49.066756826952954</v>
      </c>
      <c r="C339"/>
      <c r="D339" s="221">
        <v>43943</v>
      </c>
      <c r="E339" s="222">
        <v>108.62609999999999</v>
      </c>
      <c r="F339" s="222">
        <v>56.4054</v>
      </c>
      <c r="G339" s="222">
        <v>96.539599999999993</v>
      </c>
      <c r="H339"/>
      <c r="I339" s="221">
        <v>43943</v>
      </c>
      <c r="J339" s="222">
        <v>56.4054</v>
      </c>
      <c r="K339" s="222">
        <v>92.802499999999995</v>
      </c>
      <c r="L339"/>
      <c r="M339"/>
      <c r="N339"/>
      <c r="O339" s="221">
        <v>43943</v>
      </c>
      <c r="P339" s="224">
        <v>12.649100000000001</v>
      </c>
      <c r="Q339" s="224">
        <v>92.802499999999995</v>
      </c>
      <c r="R339"/>
      <c r="S339"/>
    </row>
    <row r="340" spans="1:19" x14ac:dyDescent="0.35">
      <c r="A340" s="221">
        <v>43942</v>
      </c>
      <c r="B340" s="222">
        <v>49.364170472605743</v>
      </c>
      <c r="C340"/>
      <c r="D340" s="221">
        <v>43942</v>
      </c>
      <c r="E340" s="222">
        <v>108.5767</v>
      </c>
      <c r="F340" s="222">
        <v>56.003799999999998</v>
      </c>
      <c r="G340" s="222">
        <v>96.517700000000005</v>
      </c>
      <c r="H340"/>
      <c r="I340" s="221">
        <v>43942</v>
      </c>
      <c r="J340" s="222">
        <v>56.003799999999998</v>
      </c>
      <c r="K340" s="222">
        <v>94.093999999999994</v>
      </c>
      <c r="L340"/>
      <c r="M340"/>
      <c r="N340"/>
      <c r="O340" s="221">
        <v>43942</v>
      </c>
      <c r="P340" s="224">
        <v>12.6218</v>
      </c>
      <c r="Q340" s="224">
        <v>94.093999999999994</v>
      </c>
      <c r="R340"/>
      <c r="S340"/>
    </row>
    <row r="341" spans="1:19" x14ac:dyDescent="0.35">
      <c r="A341" s="221">
        <v>43941</v>
      </c>
      <c r="B341" s="222">
        <v>50.787321222437718</v>
      </c>
      <c r="C341"/>
      <c r="D341" s="221">
        <v>43941</v>
      </c>
      <c r="E341" s="222">
        <v>109.68040000000001</v>
      </c>
      <c r="F341" s="222">
        <v>57.3996</v>
      </c>
      <c r="G341" s="222">
        <v>96.320599999999999</v>
      </c>
      <c r="H341"/>
      <c r="I341" s="221">
        <v>43941</v>
      </c>
      <c r="J341" s="222">
        <v>57.3996</v>
      </c>
      <c r="K341" s="222">
        <v>91.293999999999997</v>
      </c>
      <c r="L341"/>
      <c r="M341"/>
      <c r="N341"/>
      <c r="O341" s="221">
        <v>43941</v>
      </c>
      <c r="P341" s="224">
        <v>13.9964</v>
      </c>
      <c r="Q341" s="224">
        <v>91.293999999999997</v>
      </c>
      <c r="R341"/>
      <c r="S341"/>
    </row>
    <row r="342" spans="1:19" x14ac:dyDescent="0.35">
      <c r="A342" s="221">
        <v>43938</v>
      </c>
      <c r="B342" s="222">
        <v>49.308980754239926</v>
      </c>
      <c r="C342"/>
      <c r="D342" s="221">
        <v>43938</v>
      </c>
      <c r="E342" s="222">
        <v>109.1943</v>
      </c>
      <c r="F342" s="222">
        <v>57.437899999999999</v>
      </c>
      <c r="G342" s="222">
        <v>96.454099999999997</v>
      </c>
      <c r="H342"/>
      <c r="I342" s="221">
        <v>43938</v>
      </c>
      <c r="J342" s="222">
        <v>57.437899999999999</v>
      </c>
      <c r="K342" s="222">
        <v>90.311599999999999</v>
      </c>
      <c r="L342"/>
      <c r="M342"/>
      <c r="N342"/>
      <c r="O342" s="221">
        <v>43938</v>
      </c>
      <c r="P342" s="224">
        <v>13.329599999999999</v>
      </c>
      <c r="Q342" s="224">
        <v>90.311599999999999</v>
      </c>
      <c r="R342"/>
      <c r="S342"/>
    </row>
    <row r="343" spans="1:19" x14ac:dyDescent="0.35">
      <c r="A343" s="221">
        <v>43937</v>
      </c>
      <c r="B343" s="222">
        <v>47.580339808945297</v>
      </c>
      <c r="C343"/>
      <c r="D343" s="221">
        <v>43937</v>
      </c>
      <c r="E343" s="222">
        <v>108.0749</v>
      </c>
      <c r="F343" s="222">
        <v>56.768599999999999</v>
      </c>
      <c r="G343" s="222">
        <v>96.400800000000004</v>
      </c>
      <c r="H343"/>
      <c r="I343" s="221">
        <v>43937</v>
      </c>
      <c r="J343" s="222">
        <v>56.768599999999999</v>
      </c>
      <c r="K343" s="222">
        <v>90.580699999999993</v>
      </c>
      <c r="L343"/>
      <c r="M343"/>
      <c r="N343"/>
      <c r="O343" s="221">
        <v>43937</v>
      </c>
      <c r="P343" s="224">
        <v>12.2294</v>
      </c>
      <c r="Q343" s="224">
        <v>90.580699999999993</v>
      </c>
      <c r="R343"/>
      <c r="S343"/>
    </row>
    <row r="344" spans="1:19" x14ac:dyDescent="0.35">
      <c r="A344" s="221">
        <v>43936</v>
      </c>
      <c r="B344" s="222">
        <v>47.11375239427808</v>
      </c>
      <c r="C344"/>
      <c r="D344" s="221">
        <v>43936</v>
      </c>
      <c r="E344" s="222">
        <v>107.63760000000001</v>
      </c>
      <c r="F344" s="222">
        <v>56.367100000000001</v>
      </c>
      <c r="G344" s="222">
        <v>96.3416</v>
      </c>
      <c r="H344"/>
      <c r="I344" s="221">
        <v>43936</v>
      </c>
      <c r="J344" s="222">
        <v>56.367100000000001</v>
      </c>
      <c r="K344" s="222">
        <v>91.159400000000005</v>
      </c>
      <c r="L344"/>
      <c r="M344"/>
      <c r="N344"/>
      <c r="O344" s="221">
        <v>43936</v>
      </c>
      <c r="P344" s="224">
        <v>11.842700000000001</v>
      </c>
      <c r="Q344" s="224">
        <v>91.159400000000005</v>
      </c>
      <c r="R344"/>
      <c r="S344"/>
    </row>
    <row r="345" spans="1:19" x14ac:dyDescent="0.35">
      <c r="A345" s="221">
        <v>43935</v>
      </c>
      <c r="B345" s="222">
        <v>48.38798530046212</v>
      </c>
      <c r="C345"/>
      <c r="D345" s="221">
        <v>43935</v>
      </c>
      <c r="E345" s="222">
        <v>108.1842</v>
      </c>
      <c r="F345" s="222">
        <v>56.520099999999999</v>
      </c>
      <c r="G345" s="222">
        <v>96.255499999999998</v>
      </c>
      <c r="H345"/>
      <c r="I345" s="221">
        <v>43935</v>
      </c>
      <c r="J345" s="222">
        <v>56.520099999999999</v>
      </c>
      <c r="K345" s="222">
        <v>91.606200000000001</v>
      </c>
      <c r="L345"/>
      <c r="M345"/>
      <c r="N345"/>
      <c r="O345" s="221">
        <v>43935</v>
      </c>
      <c r="P345" s="224">
        <v>12.508900000000001</v>
      </c>
      <c r="Q345" s="224">
        <v>91.606200000000001</v>
      </c>
      <c r="R345"/>
      <c r="S345"/>
    </row>
    <row r="346" spans="1:19" x14ac:dyDescent="0.35">
      <c r="A346" s="221">
        <v>43934</v>
      </c>
      <c r="B346" s="222">
        <v>49.714202974187302</v>
      </c>
      <c r="C346"/>
      <c r="D346" s="221">
        <v>43934</v>
      </c>
      <c r="E346" s="222">
        <v>108.0599</v>
      </c>
      <c r="F346" s="222">
        <v>54.588900000000002</v>
      </c>
      <c r="G346" s="222">
        <v>96.447800000000001</v>
      </c>
      <c r="H346"/>
      <c r="I346" s="221">
        <v>43934</v>
      </c>
      <c r="J346" s="222">
        <v>54.588900000000002</v>
      </c>
      <c r="K346" s="222">
        <v>98.153800000000004</v>
      </c>
      <c r="L346"/>
      <c r="M346"/>
      <c r="N346"/>
      <c r="O346" s="221">
        <v>43934</v>
      </c>
      <c r="P346" s="224">
        <v>12.1539</v>
      </c>
      <c r="Q346" s="224">
        <v>98.153800000000004</v>
      </c>
      <c r="R346"/>
      <c r="S346"/>
    </row>
    <row r="347" spans="1:19" x14ac:dyDescent="0.35">
      <c r="A347" s="221">
        <v>43931</v>
      </c>
      <c r="B347" s="222">
        <v>50.552197008164271</v>
      </c>
      <c r="C347"/>
      <c r="D347" s="221">
        <v>43931</v>
      </c>
      <c r="E347" s="222">
        <v>108.6968</v>
      </c>
      <c r="F347" s="222">
        <v>55.506700000000002</v>
      </c>
      <c r="G347" s="222">
        <v>96.264300000000006</v>
      </c>
      <c r="H347"/>
      <c r="I347" s="221">
        <v>43931</v>
      </c>
      <c r="J347" s="222">
        <v>55.506700000000002</v>
      </c>
      <c r="K347" s="222">
        <v>96.016000000000005</v>
      </c>
      <c r="L347"/>
      <c r="M347"/>
      <c r="N347"/>
      <c r="O347" s="221">
        <v>43931</v>
      </c>
      <c r="P347" s="224">
        <v>13.0242</v>
      </c>
      <c r="Q347" s="224">
        <v>96.016000000000005</v>
      </c>
      <c r="R347"/>
      <c r="S347"/>
    </row>
    <row r="348" spans="1:19" x14ac:dyDescent="0.35">
      <c r="A348" s="221">
        <v>43930</v>
      </c>
      <c r="B348" s="222">
        <v>50.567219785164305</v>
      </c>
      <c r="C348"/>
      <c r="D348" s="221">
        <v>43930</v>
      </c>
      <c r="E348" s="222">
        <v>109.88639999999999</v>
      </c>
      <c r="F348" s="222">
        <v>57.858499999999999</v>
      </c>
      <c r="G348" s="222">
        <v>96.278700000000001</v>
      </c>
      <c r="H348"/>
      <c r="I348" s="221">
        <v>43930</v>
      </c>
      <c r="J348" s="222">
        <v>57.858499999999999</v>
      </c>
      <c r="K348" s="222">
        <v>90.101699999999994</v>
      </c>
      <c r="L348"/>
      <c r="M348"/>
      <c r="N348"/>
      <c r="O348" s="221">
        <v>43930</v>
      </c>
      <c r="P348" s="224">
        <v>14.241300000000001</v>
      </c>
      <c r="Q348" s="224">
        <v>90.101699999999994</v>
      </c>
      <c r="R348"/>
      <c r="S348"/>
    </row>
    <row r="349" spans="1:19" x14ac:dyDescent="0.35">
      <c r="A349" s="221">
        <v>43929</v>
      </c>
      <c r="B349" s="222">
        <v>47.008075651891176</v>
      </c>
      <c r="C349"/>
      <c r="D349" s="221">
        <v>43929</v>
      </c>
      <c r="E349" s="222">
        <v>108.95010000000001</v>
      </c>
      <c r="F349" s="222">
        <v>59.292499999999997</v>
      </c>
      <c r="G349" s="222">
        <v>96.255700000000004</v>
      </c>
      <c r="H349"/>
      <c r="I349" s="221">
        <v>43929</v>
      </c>
      <c r="J349" s="222">
        <v>59.292499999999997</v>
      </c>
      <c r="K349" s="222">
        <v>83.9221</v>
      </c>
      <c r="L349"/>
      <c r="M349"/>
      <c r="N349"/>
      <c r="O349" s="221">
        <v>43929</v>
      </c>
      <c r="P349" s="224">
        <v>13.2941</v>
      </c>
      <c r="Q349" s="224">
        <v>83.9221</v>
      </c>
      <c r="R349"/>
      <c r="S349"/>
    </row>
    <row r="350" spans="1:19" x14ac:dyDescent="0.35">
      <c r="A350" s="221">
        <v>43928</v>
      </c>
      <c r="B350" s="222">
        <v>47.703478853997858</v>
      </c>
      <c r="C350"/>
      <c r="D350" s="221">
        <v>43928</v>
      </c>
      <c r="E350" s="222">
        <v>109.22969999999999</v>
      </c>
      <c r="F350" s="222">
        <v>59.369</v>
      </c>
      <c r="G350" s="222">
        <v>96.164299999999997</v>
      </c>
      <c r="H350"/>
      <c r="I350" s="221">
        <v>43928</v>
      </c>
      <c r="J350" s="222">
        <v>59.369</v>
      </c>
      <c r="K350" s="222">
        <v>84.153300000000002</v>
      </c>
      <c r="L350"/>
      <c r="M350"/>
      <c r="N350"/>
      <c r="O350" s="221">
        <v>43928</v>
      </c>
      <c r="P350" s="224">
        <v>13.690799999999999</v>
      </c>
      <c r="Q350" s="224">
        <v>84.153300000000002</v>
      </c>
      <c r="R350"/>
      <c r="S350"/>
    </row>
    <row r="351" spans="1:19" x14ac:dyDescent="0.35">
      <c r="A351" s="221">
        <v>43924</v>
      </c>
      <c r="B351" s="222">
        <v>50.415171283159609</v>
      </c>
      <c r="C351"/>
      <c r="D351" s="221">
        <v>43924</v>
      </c>
      <c r="E351" s="222">
        <v>108.16630000000001</v>
      </c>
      <c r="F351" s="222">
        <v>55.755299999999998</v>
      </c>
      <c r="G351" s="222">
        <v>95.599900000000005</v>
      </c>
      <c r="H351"/>
      <c r="I351" s="221">
        <v>43924</v>
      </c>
      <c r="J351" s="222">
        <v>55.755299999999998</v>
      </c>
      <c r="K351" s="222">
        <v>94.169899999999998</v>
      </c>
      <c r="L351"/>
      <c r="M351"/>
      <c r="N351"/>
      <c r="O351" s="221">
        <v>43924</v>
      </c>
      <c r="P351" s="223">
        <v>13.242800000000001</v>
      </c>
      <c r="Q351" s="223">
        <v>94.169899999999998</v>
      </c>
      <c r="R351"/>
      <c r="S351"/>
    </row>
    <row r="352" spans="1:19" x14ac:dyDescent="0.35">
      <c r="A352" s="221">
        <v>43923</v>
      </c>
      <c r="B352" s="222">
        <v>48.821990067232022</v>
      </c>
      <c r="C352"/>
      <c r="D352" s="221">
        <v>43923</v>
      </c>
      <c r="E352" s="222">
        <v>108.01090000000001</v>
      </c>
      <c r="F352" s="222">
        <v>56.921599999999998</v>
      </c>
      <c r="G352" s="222">
        <v>95.572999999999993</v>
      </c>
      <c r="H352"/>
      <c r="I352" s="221">
        <v>43923</v>
      </c>
      <c r="J352" s="222">
        <v>56.921599999999998</v>
      </c>
      <c r="K352" s="222">
        <v>89.915599999999998</v>
      </c>
      <c r="L352"/>
      <c r="M352"/>
      <c r="N352"/>
      <c r="O352" s="221">
        <v>43923</v>
      </c>
      <c r="P352" s="223">
        <v>13.1104</v>
      </c>
      <c r="Q352" s="223">
        <v>89.915599999999998</v>
      </c>
      <c r="R352"/>
      <c r="S352"/>
    </row>
    <row r="353" spans="1:19" x14ac:dyDescent="0.35">
      <c r="A353" s="221">
        <v>43922</v>
      </c>
      <c r="B353" s="222">
        <v>50.668442786583789</v>
      </c>
      <c r="C353"/>
      <c r="D353" s="221">
        <v>43922</v>
      </c>
      <c r="E353" s="222">
        <v>107.7486</v>
      </c>
      <c r="F353" s="222">
        <v>54.971299999999999</v>
      </c>
      <c r="G353" s="222">
        <v>95.426299999999998</v>
      </c>
      <c r="H353"/>
      <c r="I353" s="221">
        <v>43922</v>
      </c>
      <c r="J353" s="222">
        <v>54.971299999999999</v>
      </c>
      <c r="K353" s="222">
        <v>96.173299999999998</v>
      </c>
      <c r="L353"/>
      <c r="M353"/>
      <c r="N353"/>
      <c r="O353" s="221">
        <v>43922</v>
      </c>
      <c r="P353" s="410">
        <v>13.0076</v>
      </c>
      <c r="Q353" s="410">
        <v>96.173299999999998</v>
      </c>
      <c r="R353"/>
      <c r="S353"/>
    </row>
    <row r="354" spans="1:19" x14ac:dyDescent="0.35">
      <c r="A354" s="221">
        <v>43921</v>
      </c>
      <c r="B354" s="222">
        <v>51.948319561220316</v>
      </c>
      <c r="C354"/>
      <c r="D354" s="221">
        <v>43921</v>
      </c>
      <c r="E354" s="222">
        <v>107.71120000000001</v>
      </c>
      <c r="F354" s="222">
        <v>53.900599999999997</v>
      </c>
      <c r="G354" s="222">
        <v>95.356200000000001</v>
      </c>
      <c r="H354"/>
      <c r="I354" s="221">
        <v>43921</v>
      </c>
      <c r="J354" s="222">
        <v>53.900599999999997</v>
      </c>
      <c r="K354" s="222">
        <v>99.997799999999998</v>
      </c>
      <c r="L354"/>
      <c r="M354"/>
      <c r="N354"/>
      <c r="O354" s="221">
        <v>43921</v>
      </c>
      <c r="P354" s="222">
        <v>13.049799999999999</v>
      </c>
      <c r="Q354" s="222">
        <v>99.997799999999998</v>
      </c>
      <c r="R354"/>
      <c r="S354"/>
    </row>
    <row r="355" spans="1:19" x14ac:dyDescent="0.35">
      <c r="A355" s="221">
        <v>43920</v>
      </c>
      <c r="B355" s="222">
        <v>52.726186269343657</v>
      </c>
      <c r="C355"/>
      <c r="D355" s="221">
        <v>43920</v>
      </c>
      <c r="E355" s="222">
        <v>107.7329</v>
      </c>
      <c r="F355" s="222">
        <v>53.135800000000003</v>
      </c>
      <c r="G355" s="222">
        <v>95.412400000000005</v>
      </c>
      <c r="H355"/>
      <c r="I355" s="221">
        <v>43920</v>
      </c>
      <c r="J355" s="222">
        <v>53.135800000000003</v>
      </c>
      <c r="K355" s="222">
        <v>102.914</v>
      </c>
      <c r="L355"/>
      <c r="M355"/>
      <c r="N355"/>
      <c r="O355" s="221">
        <v>43920</v>
      </c>
      <c r="P355" s="222">
        <v>13.004200000000001</v>
      </c>
      <c r="Q355" s="222">
        <v>102.914</v>
      </c>
      <c r="R355"/>
      <c r="S355"/>
    </row>
    <row r="356" spans="1:19" x14ac:dyDescent="0.35">
      <c r="A356" s="221">
        <v>43917</v>
      </c>
      <c r="B356" s="222">
        <v>51.372547349121831</v>
      </c>
      <c r="C356"/>
      <c r="D356" s="221">
        <v>43917</v>
      </c>
      <c r="E356" s="222">
        <v>107.7878</v>
      </c>
      <c r="F356" s="222">
        <v>54.722799999999999</v>
      </c>
      <c r="G356" s="222">
        <v>95.238900000000001</v>
      </c>
      <c r="H356"/>
      <c r="I356" s="221">
        <v>43917</v>
      </c>
      <c r="J356" s="222">
        <v>54.722799999999999</v>
      </c>
      <c r="K356" s="222">
        <v>97.120800000000003</v>
      </c>
      <c r="L356"/>
      <c r="M356"/>
      <c r="N356"/>
      <c r="O356" s="221">
        <v>43917</v>
      </c>
      <c r="P356" s="222">
        <v>13.262499999999999</v>
      </c>
      <c r="Q356" s="222">
        <v>97.120800000000003</v>
      </c>
      <c r="R356"/>
      <c r="S356"/>
    </row>
    <row r="357" spans="1:19" x14ac:dyDescent="0.35">
      <c r="A357" s="221">
        <v>43916</v>
      </c>
      <c r="B357" s="222">
        <v>51.361008375726904</v>
      </c>
      <c r="C357"/>
      <c r="D357" s="221">
        <v>43916</v>
      </c>
      <c r="E357" s="222">
        <v>107.56950000000001</v>
      </c>
      <c r="F357" s="222">
        <v>54.5124</v>
      </c>
      <c r="G357" s="222">
        <v>95.117000000000004</v>
      </c>
      <c r="H357"/>
      <c r="I357" s="221">
        <v>43916</v>
      </c>
      <c r="J357" s="222">
        <v>54.5124</v>
      </c>
      <c r="K357" s="222">
        <v>97.477999999999994</v>
      </c>
      <c r="L357"/>
      <c r="M357"/>
      <c r="N357"/>
      <c r="O357" s="221">
        <v>43916</v>
      </c>
      <c r="P357" s="222">
        <v>13.176399999999999</v>
      </c>
      <c r="Q357" s="222">
        <v>97.477999999999994</v>
      </c>
      <c r="R357"/>
      <c r="S357"/>
    </row>
    <row r="358" spans="1:19" x14ac:dyDescent="0.35">
      <c r="A358" s="221">
        <v>43915</v>
      </c>
      <c r="B358" s="222">
        <v>50.025935870638214</v>
      </c>
      <c r="C358"/>
      <c r="D358" s="221">
        <v>43915</v>
      </c>
      <c r="E358" s="222">
        <v>107.6011</v>
      </c>
      <c r="F358" s="222">
        <v>56.118600000000001</v>
      </c>
      <c r="G358" s="222">
        <v>94.938299999999998</v>
      </c>
      <c r="H358"/>
      <c r="I358" s="221">
        <v>43915</v>
      </c>
      <c r="J358" s="222">
        <v>56.118600000000001</v>
      </c>
      <c r="K358" s="222">
        <v>91.879300000000001</v>
      </c>
      <c r="L358"/>
      <c r="M358"/>
      <c r="N358"/>
      <c r="O358" s="221">
        <v>43915</v>
      </c>
      <c r="P358" s="222">
        <v>13.420999999999999</v>
      </c>
      <c r="Q358" s="222">
        <v>91.879300000000001</v>
      </c>
      <c r="R358"/>
      <c r="S358"/>
    </row>
    <row r="359" spans="1:19" x14ac:dyDescent="0.35">
      <c r="A359" s="221">
        <v>43914</v>
      </c>
      <c r="B359" s="222">
        <v>49.75808513644531</v>
      </c>
      <c r="C359"/>
      <c r="D359" s="221">
        <v>43914</v>
      </c>
      <c r="E359" s="222">
        <v>106.2227</v>
      </c>
      <c r="F359" s="222">
        <v>53.193100000000001</v>
      </c>
      <c r="G359" s="222">
        <v>95.051599999999993</v>
      </c>
      <c r="H359"/>
      <c r="I359" s="221">
        <v>43914</v>
      </c>
      <c r="J359" s="222">
        <v>53.193100000000001</v>
      </c>
      <c r="K359" s="222">
        <v>99.837900000000005</v>
      </c>
      <c r="L359"/>
      <c r="M359"/>
      <c r="N359"/>
      <c r="O359" s="221">
        <v>43914</v>
      </c>
      <c r="P359" s="222">
        <v>11.834</v>
      </c>
      <c r="Q359" s="222">
        <v>99.837900000000005</v>
      </c>
      <c r="R359"/>
      <c r="S359"/>
    </row>
    <row r="360" spans="1:19" x14ac:dyDescent="0.35">
      <c r="A360" s="221">
        <v>43913</v>
      </c>
      <c r="B360" s="222">
        <v>49.757161655419516</v>
      </c>
      <c r="C360"/>
      <c r="D360" s="221">
        <v>43913</v>
      </c>
      <c r="E360" s="222">
        <v>105.7244</v>
      </c>
      <c r="F360" s="222">
        <v>52.466500000000003</v>
      </c>
      <c r="G360" s="222">
        <v>94.877899999999997</v>
      </c>
      <c r="H360"/>
      <c r="I360" s="221">
        <v>43913</v>
      </c>
      <c r="J360" s="222">
        <v>52.466500000000003</v>
      </c>
      <c r="K360" s="222">
        <v>101.6525</v>
      </c>
      <c r="L360"/>
      <c r="M360"/>
      <c r="N360"/>
      <c r="O360" s="221">
        <v>43913</v>
      </c>
      <c r="P360" s="222">
        <v>11.511699999999999</v>
      </c>
      <c r="Q360" s="222">
        <v>101.6525</v>
      </c>
      <c r="R360"/>
      <c r="S360"/>
    </row>
    <row r="361" spans="1:19" x14ac:dyDescent="0.35">
      <c r="A361" s="221">
        <v>43910</v>
      </c>
      <c r="B361" s="222">
        <v>50.528451715977994</v>
      </c>
      <c r="C361"/>
      <c r="D361" s="221">
        <v>43910</v>
      </c>
      <c r="E361" s="222">
        <v>107.6293</v>
      </c>
      <c r="F361" s="222">
        <v>56.214199999999998</v>
      </c>
      <c r="G361" s="222">
        <v>94.648200000000003</v>
      </c>
      <c r="H361"/>
      <c r="I361" s="221">
        <v>43910</v>
      </c>
      <c r="J361" s="222">
        <v>56.214199999999998</v>
      </c>
      <c r="K361" s="222">
        <v>91.5886</v>
      </c>
      <c r="L361"/>
      <c r="M361"/>
      <c r="N361"/>
      <c r="O361" s="221">
        <v>43910</v>
      </c>
      <c r="P361" s="222">
        <v>13.7898</v>
      </c>
      <c r="Q361" s="222">
        <v>91.5886</v>
      </c>
      <c r="R361"/>
      <c r="S361"/>
    </row>
    <row r="362" spans="1:19" x14ac:dyDescent="0.35">
      <c r="A362" s="221">
        <v>43909</v>
      </c>
      <c r="B362" s="222">
        <v>46.876549014324368</v>
      </c>
      <c r="C362"/>
      <c r="D362" s="221">
        <v>43909</v>
      </c>
      <c r="E362" s="222">
        <v>106.331</v>
      </c>
      <c r="F362" s="222">
        <v>56.749499999999998</v>
      </c>
      <c r="G362" s="222">
        <v>94.7102</v>
      </c>
      <c r="H362"/>
      <c r="I362" s="221">
        <v>43909</v>
      </c>
      <c r="J362" s="222">
        <v>56.749499999999998</v>
      </c>
      <c r="K362" s="222">
        <v>87.490600000000001</v>
      </c>
      <c r="L362"/>
      <c r="M362"/>
      <c r="N362"/>
      <c r="O362" s="221">
        <v>43909</v>
      </c>
      <c r="P362" s="222">
        <v>12.342700000000001</v>
      </c>
      <c r="Q362" s="222">
        <v>87.490600000000001</v>
      </c>
      <c r="R362"/>
      <c r="S362"/>
    </row>
    <row r="363" spans="1:19" x14ac:dyDescent="0.35">
      <c r="A363" s="221">
        <v>43908</v>
      </c>
      <c r="B363" s="222">
        <v>51.328998240424184</v>
      </c>
      <c r="C363"/>
      <c r="D363" s="221">
        <v>43908</v>
      </c>
      <c r="E363" s="222">
        <v>108.2426</v>
      </c>
      <c r="F363" s="222">
        <v>56.558300000000003</v>
      </c>
      <c r="G363" s="222">
        <v>94.715199999999996</v>
      </c>
      <c r="H363"/>
      <c r="I363" s="221">
        <v>43908</v>
      </c>
      <c r="J363" s="222">
        <v>56.558300000000003</v>
      </c>
      <c r="K363" s="222">
        <v>91.501499999999993</v>
      </c>
      <c r="L363"/>
      <c r="M363"/>
      <c r="N363"/>
      <c r="O363" s="221">
        <v>43908</v>
      </c>
      <c r="P363" s="222">
        <v>14.353300000000001</v>
      </c>
      <c r="Q363" s="222">
        <v>91.501499999999993</v>
      </c>
      <c r="R363"/>
      <c r="S363"/>
    </row>
    <row r="364" spans="1:19" x14ac:dyDescent="0.35">
      <c r="A364" s="221">
        <v>43907</v>
      </c>
      <c r="B364" s="222">
        <v>49.673338324916351</v>
      </c>
      <c r="C364"/>
      <c r="D364" s="221">
        <v>43907</v>
      </c>
      <c r="E364" s="222">
        <v>108.1592</v>
      </c>
      <c r="F364" s="222">
        <v>57.705500000000001</v>
      </c>
      <c r="G364" s="222">
        <v>94.806299999999993</v>
      </c>
      <c r="H364"/>
      <c r="I364" s="221">
        <v>43907</v>
      </c>
      <c r="J364" s="222">
        <v>57.705500000000001</v>
      </c>
      <c r="K364" s="222">
        <v>87.5471</v>
      </c>
      <c r="L364"/>
      <c r="M364"/>
      <c r="N364"/>
      <c r="O364" s="221">
        <v>43907</v>
      </c>
      <c r="P364" s="222">
        <v>14.1538</v>
      </c>
      <c r="Q364" s="222">
        <v>87.5471</v>
      </c>
      <c r="R364"/>
      <c r="S364"/>
    </row>
    <row r="365" spans="1:19" x14ac:dyDescent="0.35">
      <c r="A365" s="221">
        <v>43906</v>
      </c>
      <c r="B365" s="222">
        <v>56.07196966777056</v>
      </c>
      <c r="C365"/>
      <c r="D365" s="221">
        <v>43906</v>
      </c>
      <c r="E365" s="222">
        <v>111.53489999999999</v>
      </c>
      <c r="F365" s="222">
        <v>58.298299999999998</v>
      </c>
      <c r="G365" s="222">
        <v>94.925899999999999</v>
      </c>
      <c r="H365"/>
      <c r="I365" s="221">
        <v>43906</v>
      </c>
      <c r="J365" s="222">
        <v>58.298299999999998</v>
      </c>
      <c r="K365" s="222">
        <v>91.427499999999995</v>
      </c>
      <c r="L365"/>
      <c r="M365"/>
      <c r="N365"/>
      <c r="O365" s="221">
        <v>43906</v>
      </c>
      <c r="P365" s="222">
        <v>17.564299999999999</v>
      </c>
      <c r="Q365" s="222">
        <v>91.427499999999995</v>
      </c>
      <c r="R365"/>
      <c r="S365"/>
    </row>
    <row r="366" spans="1:19" x14ac:dyDescent="0.35">
      <c r="A366" s="221">
        <v>43903</v>
      </c>
      <c r="B366" s="222">
        <v>54.285103072107866</v>
      </c>
      <c r="C366"/>
      <c r="D366" s="221">
        <v>43903</v>
      </c>
      <c r="E366" s="222">
        <v>113.9408</v>
      </c>
      <c r="F366" s="222">
        <v>63.632899999999999</v>
      </c>
      <c r="G366" s="222">
        <v>95.182299999999998</v>
      </c>
      <c r="H366"/>
      <c r="I366" s="221">
        <v>43903</v>
      </c>
      <c r="J366" s="222">
        <v>63.632899999999999</v>
      </c>
      <c r="K366" s="222">
        <v>79.152600000000007</v>
      </c>
      <c r="L366"/>
      <c r="M366"/>
      <c r="N366"/>
      <c r="O366" s="221">
        <v>43903</v>
      </c>
      <c r="P366" s="222">
        <v>19.770199999999999</v>
      </c>
      <c r="Q366" s="222">
        <v>79.152600000000007</v>
      </c>
      <c r="R366"/>
      <c r="S366"/>
    </row>
    <row r="367" spans="1:19" x14ac:dyDescent="0.35">
      <c r="A367" s="221">
        <v>43902</v>
      </c>
      <c r="B367" s="222">
        <v>51.358661289069786</v>
      </c>
      <c r="C367"/>
      <c r="D367" s="221">
        <v>43902</v>
      </c>
      <c r="E367" s="222">
        <v>113.5575</v>
      </c>
      <c r="F367" s="222">
        <v>65.391999999999996</v>
      </c>
      <c r="G367" s="222">
        <v>95.267499999999998</v>
      </c>
      <c r="H367"/>
      <c r="I367" s="221">
        <v>43902</v>
      </c>
      <c r="J367" s="222">
        <v>65.391999999999996</v>
      </c>
      <c r="K367" s="222">
        <v>73.744500000000002</v>
      </c>
      <c r="L367"/>
      <c r="M367"/>
      <c r="N367"/>
      <c r="O367" s="221">
        <v>43902</v>
      </c>
      <c r="P367" s="222">
        <v>19.258900000000001</v>
      </c>
      <c r="Q367" s="222">
        <v>73.744500000000002</v>
      </c>
      <c r="R367"/>
      <c r="S367"/>
    </row>
    <row r="368" spans="1:19" x14ac:dyDescent="0.35">
      <c r="A368" s="221">
        <v>43901</v>
      </c>
      <c r="B368" s="222">
        <v>49.621604384634502</v>
      </c>
      <c r="C368"/>
      <c r="D368" s="221">
        <v>43901</v>
      </c>
      <c r="E368" s="222">
        <v>114.3741</v>
      </c>
      <c r="F368" s="222">
        <v>68.183599999999998</v>
      </c>
      <c r="G368" s="222">
        <v>95.410499999999999</v>
      </c>
      <c r="H368"/>
      <c r="I368" s="221">
        <v>43901</v>
      </c>
      <c r="J368" s="222">
        <v>68.183599999999998</v>
      </c>
      <c r="K368" s="222">
        <v>67.826300000000003</v>
      </c>
      <c r="L368"/>
      <c r="M368"/>
      <c r="N368"/>
      <c r="O368" s="221">
        <v>43901</v>
      </c>
      <c r="P368" s="222">
        <v>19.9344</v>
      </c>
      <c r="Q368" s="222">
        <v>67.826300000000003</v>
      </c>
      <c r="R368"/>
      <c r="S368"/>
    </row>
    <row r="369" spans="1:19" x14ac:dyDescent="0.35">
      <c r="A369" s="221">
        <v>43900</v>
      </c>
      <c r="B369" s="222">
        <v>47.074841781710042</v>
      </c>
      <c r="C369"/>
      <c r="D369" s="221">
        <v>43900</v>
      </c>
      <c r="E369" s="222">
        <v>114.2448</v>
      </c>
      <c r="F369" s="222">
        <v>70.1721</v>
      </c>
      <c r="G369" s="222">
        <v>95.527500000000003</v>
      </c>
      <c r="H369"/>
      <c r="I369" s="221">
        <v>43900</v>
      </c>
      <c r="J369" s="222">
        <v>70.1721</v>
      </c>
      <c r="K369" s="222">
        <v>62.883800000000001</v>
      </c>
      <c r="L369"/>
      <c r="M369"/>
      <c r="N369"/>
      <c r="O369" s="221">
        <v>43900</v>
      </c>
      <c r="P369" s="222">
        <v>19.650400000000001</v>
      </c>
      <c r="Q369" s="222">
        <v>62.883800000000001</v>
      </c>
      <c r="R369"/>
      <c r="S369"/>
    </row>
    <row r="370" spans="1:19" x14ac:dyDescent="0.35">
      <c r="A370" s="221">
        <v>43899</v>
      </c>
      <c r="B370" s="222">
        <v>49.478582692266365</v>
      </c>
      <c r="C370"/>
      <c r="D370" s="221">
        <v>43899</v>
      </c>
      <c r="E370" s="222">
        <v>114.4474</v>
      </c>
      <c r="F370" s="222">
        <v>68.107100000000003</v>
      </c>
      <c r="G370" s="222">
        <v>95.579099999999997</v>
      </c>
      <c r="H370"/>
      <c r="I370" s="221">
        <v>43899</v>
      </c>
      <c r="J370" s="222">
        <v>68.107100000000003</v>
      </c>
      <c r="K370" s="222">
        <v>68.117599999999996</v>
      </c>
      <c r="L370"/>
      <c r="M370"/>
      <c r="N370"/>
      <c r="O370" s="221">
        <v>43899</v>
      </c>
      <c r="P370" s="222">
        <v>19.796099999999999</v>
      </c>
      <c r="Q370" s="222">
        <v>68.117599999999996</v>
      </c>
      <c r="R370"/>
      <c r="S370"/>
    </row>
    <row r="371" spans="1:19" x14ac:dyDescent="0.35">
      <c r="A371" s="221">
        <v>43896</v>
      </c>
      <c r="B371" s="222">
        <v>51.456743279633486</v>
      </c>
      <c r="C371"/>
      <c r="D371" s="221">
        <v>43896</v>
      </c>
      <c r="E371" s="222">
        <v>118.0523</v>
      </c>
      <c r="F371" s="222">
        <v>72.849000000000004</v>
      </c>
      <c r="G371" s="222">
        <v>95.310299999999998</v>
      </c>
      <c r="H371"/>
      <c r="I371" s="221">
        <v>43896</v>
      </c>
      <c r="J371" s="222">
        <v>72.849000000000004</v>
      </c>
      <c r="K371" s="222">
        <v>62.116199999999999</v>
      </c>
      <c r="L371"/>
      <c r="M371"/>
      <c r="N371"/>
      <c r="O371" s="221">
        <v>43896</v>
      </c>
      <c r="P371" s="222">
        <v>23.911100000000001</v>
      </c>
      <c r="Q371" s="222">
        <v>62.116199999999999</v>
      </c>
      <c r="R371"/>
      <c r="S371"/>
    </row>
    <row r="372" spans="1:19" x14ac:dyDescent="0.35">
      <c r="A372" s="221">
        <v>43895</v>
      </c>
      <c r="B372" s="222">
        <v>47.788167273508385</v>
      </c>
      <c r="C372"/>
      <c r="D372" s="221">
        <v>43895</v>
      </c>
      <c r="E372" s="222">
        <v>117.02500000000001</v>
      </c>
      <c r="F372" s="222">
        <v>74.569800000000001</v>
      </c>
      <c r="G372" s="222">
        <v>95.322299999999998</v>
      </c>
      <c r="H372"/>
      <c r="I372" s="221">
        <v>43895</v>
      </c>
      <c r="J372" s="222">
        <v>74.569800000000001</v>
      </c>
      <c r="K372" s="222">
        <v>56.995199999999997</v>
      </c>
      <c r="L372"/>
      <c r="M372"/>
      <c r="N372"/>
      <c r="O372" s="221">
        <v>43895</v>
      </c>
      <c r="P372" s="222">
        <v>22.815999999999999</v>
      </c>
      <c r="Q372" s="222">
        <v>56.995199999999997</v>
      </c>
      <c r="R372"/>
      <c r="S372"/>
    </row>
    <row r="373" spans="1:19" x14ac:dyDescent="0.35">
      <c r="A373" s="221">
        <v>43894</v>
      </c>
      <c r="B373" s="222">
        <v>48.017930826159571</v>
      </c>
      <c r="C373"/>
      <c r="D373" s="221">
        <v>43894</v>
      </c>
      <c r="E373" s="222">
        <v>115.98560000000001</v>
      </c>
      <c r="F373" s="222">
        <v>72.657700000000006</v>
      </c>
      <c r="G373" s="222">
        <v>95.242900000000006</v>
      </c>
      <c r="H373"/>
      <c r="I373" s="221">
        <v>43894</v>
      </c>
      <c r="J373" s="222">
        <v>72.657700000000006</v>
      </c>
      <c r="K373" s="222">
        <v>59.694000000000003</v>
      </c>
      <c r="L373"/>
      <c r="M373"/>
      <c r="N373"/>
      <c r="O373" s="221">
        <v>43894</v>
      </c>
      <c r="P373" s="222">
        <v>21.825399999999998</v>
      </c>
      <c r="Q373" s="222">
        <v>59.694000000000003</v>
      </c>
      <c r="R373"/>
      <c r="S373"/>
    </row>
    <row r="374" spans="1:19" x14ac:dyDescent="0.35">
      <c r="A374" s="221">
        <v>43893</v>
      </c>
      <c r="B374" s="222">
        <v>52.60257641070455</v>
      </c>
      <c r="C374"/>
      <c r="D374" s="221">
        <v>43893</v>
      </c>
      <c r="E374" s="222">
        <v>118.7503</v>
      </c>
      <c r="F374" s="222">
        <v>73.174000000000007</v>
      </c>
      <c r="G374" s="222">
        <v>95.135400000000004</v>
      </c>
      <c r="H374"/>
      <c r="I374" s="221">
        <v>43893</v>
      </c>
      <c r="J374" s="222">
        <v>73.174000000000007</v>
      </c>
      <c r="K374" s="222">
        <v>62.343200000000003</v>
      </c>
      <c r="L374"/>
      <c r="M374"/>
      <c r="N374"/>
      <c r="O374" s="221">
        <v>43893</v>
      </c>
      <c r="P374" s="222">
        <v>24.8673</v>
      </c>
      <c r="Q374" s="222">
        <v>62.343200000000003</v>
      </c>
      <c r="R374"/>
      <c r="S374"/>
    </row>
    <row r="375" spans="1:19" x14ac:dyDescent="0.35">
      <c r="A375" s="221">
        <v>43892</v>
      </c>
      <c r="B375" s="222">
        <v>48.466303229331622</v>
      </c>
      <c r="C375"/>
      <c r="D375" s="221">
        <v>43892</v>
      </c>
      <c r="E375" s="222">
        <v>116.9999</v>
      </c>
      <c r="F375" s="222">
        <v>74.206500000000005</v>
      </c>
      <c r="G375" s="222">
        <v>95.070899999999995</v>
      </c>
      <c r="H375"/>
      <c r="I375" s="221">
        <v>43892</v>
      </c>
      <c r="J375" s="222">
        <v>74.206500000000005</v>
      </c>
      <c r="K375" s="222">
        <v>57.723399999999998</v>
      </c>
      <c r="L375"/>
      <c r="M375"/>
      <c r="N375"/>
      <c r="O375" s="221">
        <v>43892</v>
      </c>
      <c r="P375" s="222">
        <v>23.109200000000001</v>
      </c>
      <c r="Q375" s="222">
        <v>57.723399999999998</v>
      </c>
      <c r="R375"/>
      <c r="S375"/>
    </row>
    <row r="376" spans="1:19" x14ac:dyDescent="0.35">
      <c r="A376" s="221">
        <v>43889</v>
      </c>
      <c r="B376" s="222">
        <v>51.64068867445247</v>
      </c>
      <c r="C376"/>
      <c r="D376" s="221">
        <v>43889</v>
      </c>
      <c r="E376" s="222">
        <v>117.9602</v>
      </c>
      <c r="F376" s="222">
        <v>72.829800000000006</v>
      </c>
      <c r="G376" s="222">
        <v>95.040800000000004</v>
      </c>
      <c r="H376"/>
      <c r="I376" s="221">
        <v>43889</v>
      </c>
      <c r="J376" s="222">
        <v>72.829800000000006</v>
      </c>
      <c r="K376" s="222">
        <v>62.018799999999999</v>
      </c>
      <c r="L376"/>
      <c r="M376"/>
      <c r="N376"/>
      <c r="O376" s="221">
        <v>43889</v>
      </c>
      <c r="P376" s="222">
        <v>24.155100000000001</v>
      </c>
      <c r="Q376" s="222">
        <v>62.018799999999999</v>
      </c>
      <c r="R376"/>
      <c r="S376"/>
    </row>
    <row r="377" spans="1:19" x14ac:dyDescent="0.35">
      <c r="A377" s="221">
        <v>43888</v>
      </c>
      <c r="B377" s="222">
        <v>52.323883874361357</v>
      </c>
      <c r="C377"/>
      <c r="D377" s="221">
        <v>43888</v>
      </c>
      <c r="E377" s="222">
        <v>120.96380000000001</v>
      </c>
      <c r="F377" s="222">
        <v>77.131900000000002</v>
      </c>
      <c r="G377" s="222">
        <v>94.994100000000003</v>
      </c>
      <c r="H377"/>
      <c r="I377" s="221">
        <v>43888</v>
      </c>
      <c r="J377" s="222">
        <v>77.131900000000002</v>
      </c>
      <c r="K377" s="222">
        <v>56.874099999999999</v>
      </c>
      <c r="L377"/>
      <c r="M377"/>
      <c r="N377"/>
      <c r="O377" s="221">
        <v>43888</v>
      </c>
      <c r="P377" s="222">
        <v>27.376300000000001</v>
      </c>
      <c r="Q377" s="222">
        <v>56.874099999999999</v>
      </c>
      <c r="R377"/>
      <c r="S377"/>
    </row>
    <row r="378" spans="1:19" x14ac:dyDescent="0.35">
      <c r="A378" s="221">
        <v>43887</v>
      </c>
      <c r="B378" s="222">
        <v>56.683652292677692</v>
      </c>
      <c r="C378"/>
      <c r="D378" s="221">
        <v>43887</v>
      </c>
      <c r="E378" s="222">
        <v>123.8655</v>
      </c>
      <c r="F378" s="222">
        <v>77.915899999999993</v>
      </c>
      <c r="G378" s="222">
        <v>94.870199999999997</v>
      </c>
      <c r="H378"/>
      <c r="I378" s="221">
        <v>43887</v>
      </c>
      <c r="J378" s="222">
        <v>77.915899999999993</v>
      </c>
      <c r="K378" s="222">
        <v>59.017600000000002</v>
      </c>
      <c r="L378"/>
      <c r="M378"/>
      <c r="N378"/>
      <c r="O378" s="221">
        <v>43887</v>
      </c>
      <c r="P378" s="222">
        <v>30.599499999999999</v>
      </c>
      <c r="Q378" s="222">
        <v>59.017600000000002</v>
      </c>
      <c r="R378"/>
      <c r="S378"/>
    </row>
    <row r="379" spans="1:19" x14ac:dyDescent="0.35">
      <c r="A379" s="221">
        <v>43886</v>
      </c>
      <c r="B379" s="222">
        <v>52.91570701388116</v>
      </c>
      <c r="C379"/>
      <c r="D379" s="221">
        <v>43886</v>
      </c>
      <c r="E379" s="222">
        <v>124.9671</v>
      </c>
      <c r="F379" s="222">
        <v>83.174000000000007</v>
      </c>
      <c r="G379" s="222">
        <v>94.732100000000003</v>
      </c>
      <c r="H379"/>
      <c r="I379" s="221">
        <v>43886</v>
      </c>
      <c r="J379" s="222">
        <v>83.174000000000007</v>
      </c>
      <c r="K379" s="222">
        <v>50.287300000000002</v>
      </c>
      <c r="L379"/>
      <c r="M379"/>
      <c r="N379"/>
      <c r="O379" s="221">
        <v>43886</v>
      </c>
      <c r="P379" s="222">
        <v>31.951000000000001</v>
      </c>
      <c r="Q379" s="222">
        <v>50.287300000000002</v>
      </c>
      <c r="R379"/>
      <c r="S379"/>
    </row>
    <row r="380" spans="1:19" x14ac:dyDescent="0.35">
      <c r="A380" s="221">
        <v>43885</v>
      </c>
      <c r="B380" s="222">
        <v>51.067956394349281</v>
      </c>
      <c r="C380"/>
      <c r="D380" s="221">
        <v>43885</v>
      </c>
      <c r="E380" s="222">
        <v>124.5688</v>
      </c>
      <c r="F380" s="222">
        <v>84.340299999999999</v>
      </c>
      <c r="G380" s="222">
        <v>94.686199999999999</v>
      </c>
      <c r="H380"/>
      <c r="I380" s="221">
        <v>43885</v>
      </c>
      <c r="J380" s="222">
        <v>84.340299999999999</v>
      </c>
      <c r="K380" s="222">
        <v>47.7348</v>
      </c>
      <c r="L380"/>
      <c r="M380"/>
      <c r="N380"/>
      <c r="O380" s="221">
        <v>43885</v>
      </c>
      <c r="P380" s="222">
        <v>31.592600000000001</v>
      </c>
      <c r="Q380" s="222">
        <v>47.7348</v>
      </c>
      <c r="R380"/>
      <c r="S380"/>
    </row>
    <row r="381" spans="1:19" x14ac:dyDescent="0.35">
      <c r="A381" s="221">
        <v>43882</v>
      </c>
      <c r="B381" s="222">
        <v>50.572655264406748</v>
      </c>
      <c r="C381"/>
      <c r="D381" s="221">
        <v>43882</v>
      </c>
      <c r="E381" s="222">
        <v>122.3737</v>
      </c>
      <c r="F381" s="222">
        <v>81.472300000000004</v>
      </c>
      <c r="G381" s="222">
        <v>94.611800000000002</v>
      </c>
      <c r="H381"/>
      <c r="I381" s="221">
        <v>43882</v>
      </c>
      <c r="J381" s="222">
        <v>81.472300000000004</v>
      </c>
      <c r="K381" s="222">
        <v>50.235100000000003</v>
      </c>
      <c r="L381"/>
      <c r="M381"/>
      <c r="N381"/>
      <c r="O381" s="221">
        <v>43882</v>
      </c>
      <c r="P381" s="222">
        <v>29.370799999999999</v>
      </c>
      <c r="Q381" s="222">
        <v>50.235100000000003</v>
      </c>
      <c r="R381"/>
      <c r="S381"/>
    </row>
    <row r="382" spans="1:19" x14ac:dyDescent="0.35">
      <c r="A382" s="221">
        <v>43881</v>
      </c>
      <c r="B382" s="222">
        <v>50.716145417645009</v>
      </c>
      <c r="C382"/>
      <c r="D382" s="221">
        <v>43881</v>
      </c>
      <c r="E382" s="222">
        <v>120.13930000000001</v>
      </c>
      <c r="F382" s="222">
        <v>77.915899999999993</v>
      </c>
      <c r="G382" s="222">
        <v>94.526700000000005</v>
      </c>
      <c r="H382"/>
      <c r="I382" s="221">
        <v>43881</v>
      </c>
      <c r="J382" s="222">
        <v>77.915899999999993</v>
      </c>
      <c r="K382" s="222">
        <v>54.222700000000003</v>
      </c>
      <c r="L382"/>
      <c r="M382"/>
      <c r="N382"/>
      <c r="O382" s="221">
        <v>43881</v>
      </c>
      <c r="P382" s="222">
        <v>27.1218</v>
      </c>
      <c r="Q382" s="222">
        <v>54.222700000000003</v>
      </c>
      <c r="R382"/>
      <c r="S382"/>
    </row>
    <row r="383" spans="1:19" x14ac:dyDescent="0.35">
      <c r="A383" s="221">
        <v>43880</v>
      </c>
      <c r="B383" s="222">
        <v>51.006121781775704</v>
      </c>
      <c r="C383"/>
      <c r="D383" s="221">
        <v>43880</v>
      </c>
      <c r="E383" s="222">
        <v>119.497</v>
      </c>
      <c r="F383" s="222">
        <v>76.539199999999994</v>
      </c>
      <c r="G383" s="222">
        <v>94.557900000000004</v>
      </c>
      <c r="H383"/>
      <c r="I383" s="221">
        <v>43880</v>
      </c>
      <c r="J383" s="222">
        <v>76.539199999999994</v>
      </c>
      <c r="K383" s="222">
        <v>56.155299999999997</v>
      </c>
      <c r="L383"/>
      <c r="M383"/>
      <c r="N383"/>
      <c r="O383" s="221">
        <v>43880</v>
      </c>
      <c r="P383" s="222">
        <v>26.398700000000002</v>
      </c>
      <c r="Q383" s="222">
        <v>56.155299999999997</v>
      </c>
      <c r="R383"/>
      <c r="S383"/>
    </row>
    <row r="384" spans="1:19" x14ac:dyDescent="0.35">
      <c r="A384" s="221">
        <v>43879</v>
      </c>
      <c r="B384" s="222">
        <v>50.274244284056856</v>
      </c>
      <c r="C384"/>
      <c r="D384" s="221">
        <v>43879</v>
      </c>
      <c r="E384" s="222">
        <v>120.0986</v>
      </c>
      <c r="F384" s="222">
        <v>78.240899999999996</v>
      </c>
      <c r="G384" s="222">
        <v>94.518299999999996</v>
      </c>
      <c r="H384"/>
      <c r="I384" s="221">
        <v>43879</v>
      </c>
      <c r="J384" s="222">
        <v>78.240899999999996</v>
      </c>
      <c r="K384" s="222">
        <v>53.525799999999997</v>
      </c>
      <c r="L384"/>
      <c r="M384"/>
      <c r="N384"/>
      <c r="O384" s="221">
        <v>43879</v>
      </c>
      <c r="P384" s="222">
        <v>27.086500000000001</v>
      </c>
      <c r="Q384" s="222">
        <v>53.525799999999997</v>
      </c>
      <c r="R384"/>
      <c r="S384"/>
    </row>
    <row r="385" spans="1:19" x14ac:dyDescent="0.35">
      <c r="A385" s="221">
        <v>43878</v>
      </c>
      <c r="B385" s="222">
        <v>49.725606624374805</v>
      </c>
      <c r="C385"/>
      <c r="D385" s="221">
        <v>43878</v>
      </c>
      <c r="E385" s="222">
        <v>120.5103</v>
      </c>
      <c r="F385" s="222">
        <v>79.5411</v>
      </c>
      <c r="G385" s="222">
        <v>94.430999999999997</v>
      </c>
      <c r="H385"/>
      <c r="I385" s="221">
        <v>43878</v>
      </c>
      <c r="J385" s="222">
        <v>79.5411</v>
      </c>
      <c r="K385" s="222">
        <v>51.531700000000001</v>
      </c>
      <c r="L385"/>
      <c r="M385"/>
      <c r="N385"/>
      <c r="O385" s="221">
        <v>43878</v>
      </c>
      <c r="P385" s="222">
        <v>27.638200000000001</v>
      </c>
      <c r="Q385" s="222">
        <v>51.531700000000001</v>
      </c>
      <c r="R385"/>
      <c r="S385"/>
    </row>
    <row r="386" spans="1:19" x14ac:dyDescent="0.35">
      <c r="A386" s="221">
        <v>43875</v>
      </c>
      <c r="B386" s="222">
        <v>48.815285466732384</v>
      </c>
      <c r="C386"/>
      <c r="D386" s="221">
        <v>43875</v>
      </c>
      <c r="E386" s="222">
        <v>118.9952</v>
      </c>
      <c r="F386" s="222">
        <v>78.049700000000001</v>
      </c>
      <c r="G386" s="222">
        <v>94.348200000000006</v>
      </c>
      <c r="H386"/>
      <c r="I386" s="221">
        <v>43875</v>
      </c>
      <c r="J386" s="222">
        <v>78.049700000000001</v>
      </c>
      <c r="K386" s="222">
        <v>52.479799999999997</v>
      </c>
      <c r="L386"/>
      <c r="M386"/>
      <c r="N386"/>
      <c r="O386" s="221">
        <v>43875</v>
      </c>
      <c r="P386" s="222">
        <v>26.139099999999999</v>
      </c>
      <c r="Q386" s="222">
        <v>52.479799999999997</v>
      </c>
      <c r="R386"/>
      <c r="S386"/>
    </row>
    <row r="387" spans="1:19" x14ac:dyDescent="0.35">
      <c r="A387" s="221">
        <v>43874</v>
      </c>
      <c r="B387" s="222">
        <v>51.565390369672059</v>
      </c>
      <c r="C387"/>
      <c r="D387" s="221">
        <v>43874</v>
      </c>
      <c r="E387" s="222">
        <v>119.98779999999999</v>
      </c>
      <c r="F387" s="222">
        <v>77.017200000000003</v>
      </c>
      <c r="G387" s="222">
        <v>94.349299999999999</v>
      </c>
      <c r="H387"/>
      <c r="I387" s="221">
        <v>43874</v>
      </c>
      <c r="J387" s="222">
        <v>77.017200000000003</v>
      </c>
      <c r="K387" s="222">
        <v>55.810699999999997</v>
      </c>
      <c r="L387"/>
      <c r="M387"/>
      <c r="N387"/>
      <c r="O387" s="221">
        <v>43874</v>
      </c>
      <c r="P387" s="222">
        <v>27.187999999999999</v>
      </c>
      <c r="Q387" s="222">
        <v>55.810699999999997</v>
      </c>
      <c r="R387"/>
      <c r="S387"/>
    </row>
    <row r="388" spans="1:19" x14ac:dyDescent="0.35">
      <c r="A388" s="221">
        <v>43873</v>
      </c>
      <c r="B388" s="222">
        <v>52.73759080818283</v>
      </c>
      <c r="C388"/>
      <c r="D388" s="221">
        <v>43873</v>
      </c>
      <c r="E388" s="222">
        <v>120.2885</v>
      </c>
      <c r="F388" s="222">
        <v>76.539199999999994</v>
      </c>
      <c r="G388" s="222">
        <v>94.257000000000005</v>
      </c>
      <c r="H388"/>
      <c r="I388" s="221">
        <v>43873</v>
      </c>
      <c r="J388" s="222">
        <v>76.539199999999994</v>
      </c>
      <c r="K388" s="222">
        <v>57.174399999999999</v>
      </c>
      <c r="L388"/>
      <c r="M388"/>
      <c r="N388"/>
      <c r="O388" s="221">
        <v>43873</v>
      </c>
      <c r="P388" s="222">
        <v>27.629799999999999</v>
      </c>
      <c r="Q388" s="222">
        <v>57.174399999999999</v>
      </c>
      <c r="R388"/>
      <c r="S388"/>
    </row>
    <row r="389" spans="1:19" x14ac:dyDescent="0.35">
      <c r="A389" s="221">
        <v>43872</v>
      </c>
      <c r="B389" s="222">
        <v>49.789953586171976</v>
      </c>
      <c r="C389"/>
      <c r="D389" s="221">
        <v>43872</v>
      </c>
      <c r="E389" s="222">
        <v>118.2701</v>
      </c>
      <c r="F389" s="222">
        <v>76.099400000000003</v>
      </c>
      <c r="G389" s="222">
        <v>94.207400000000007</v>
      </c>
      <c r="H389"/>
      <c r="I389" s="221">
        <v>43872</v>
      </c>
      <c r="J389" s="222">
        <v>76.099400000000003</v>
      </c>
      <c r="K389" s="222">
        <v>55.4283</v>
      </c>
      <c r="L389"/>
      <c r="M389"/>
      <c r="N389"/>
      <c r="O389" s="221">
        <v>43872</v>
      </c>
      <c r="P389" s="222">
        <v>25.552800000000001</v>
      </c>
      <c r="Q389" s="222">
        <v>55.4283</v>
      </c>
      <c r="R389"/>
      <c r="S389"/>
    </row>
    <row r="390" spans="1:19" x14ac:dyDescent="0.35">
      <c r="A390" s="221">
        <v>43871</v>
      </c>
      <c r="B390" s="222">
        <v>49.207664084195088</v>
      </c>
      <c r="C390"/>
      <c r="D390" s="221">
        <v>43871</v>
      </c>
      <c r="E390" s="222">
        <v>116.39279999999999</v>
      </c>
      <c r="F390" s="222">
        <v>73.843199999999996</v>
      </c>
      <c r="G390" s="222">
        <v>94.016900000000007</v>
      </c>
      <c r="H390"/>
      <c r="I390" s="221">
        <v>43871</v>
      </c>
      <c r="J390" s="222">
        <v>73.843199999999996</v>
      </c>
      <c r="K390" s="222">
        <v>57.6327</v>
      </c>
      <c r="L390"/>
      <c r="M390"/>
      <c r="N390"/>
      <c r="O390" s="221">
        <v>43871</v>
      </c>
      <c r="P390" s="222">
        <v>23.808599999999998</v>
      </c>
      <c r="Q390" s="222">
        <v>57.6327</v>
      </c>
      <c r="R390"/>
      <c r="S390"/>
    </row>
    <row r="391" spans="1:19" x14ac:dyDescent="0.35">
      <c r="A391" s="221">
        <v>43868</v>
      </c>
      <c r="B391" s="222">
        <v>50.741207106733242</v>
      </c>
      <c r="C391"/>
      <c r="D391" s="221">
        <v>43868</v>
      </c>
      <c r="E391" s="222">
        <v>117.4967</v>
      </c>
      <c r="F391" s="222">
        <v>74.13</v>
      </c>
      <c r="G391" s="222">
        <v>94.036100000000005</v>
      </c>
      <c r="H391"/>
      <c r="I391" s="221">
        <v>43868</v>
      </c>
      <c r="J391" s="222">
        <v>74.13</v>
      </c>
      <c r="K391" s="222">
        <v>58.505299999999998</v>
      </c>
      <c r="L391"/>
      <c r="M391"/>
      <c r="N391"/>
      <c r="O391" s="221">
        <v>43868</v>
      </c>
      <c r="P391" s="222">
        <v>24.952000000000002</v>
      </c>
      <c r="Q391" s="222">
        <v>58.505299999999998</v>
      </c>
      <c r="R391"/>
      <c r="S391"/>
    </row>
    <row r="392" spans="1:19" x14ac:dyDescent="0.35">
      <c r="A392" s="221">
        <v>43867</v>
      </c>
      <c r="B392" s="222">
        <v>49.055312957769139</v>
      </c>
      <c r="C392"/>
      <c r="D392" s="221">
        <v>43867</v>
      </c>
      <c r="E392" s="222">
        <v>117.99939999999999</v>
      </c>
      <c r="F392" s="222">
        <v>76.673000000000002</v>
      </c>
      <c r="G392" s="222">
        <v>93.953999999999994</v>
      </c>
      <c r="H392"/>
      <c r="I392" s="221">
        <v>43867</v>
      </c>
      <c r="J392" s="222">
        <v>76.673000000000002</v>
      </c>
      <c r="K392" s="222">
        <v>53.901600000000002</v>
      </c>
      <c r="L392"/>
      <c r="M392"/>
      <c r="N392"/>
      <c r="O392" s="221">
        <v>43867</v>
      </c>
      <c r="P392" s="222">
        <v>25.5944</v>
      </c>
      <c r="Q392" s="222">
        <v>53.901600000000002</v>
      </c>
      <c r="R392"/>
      <c r="S392"/>
    </row>
    <row r="393" spans="1:19" x14ac:dyDescent="0.35">
      <c r="A393" s="221">
        <v>43866</v>
      </c>
      <c r="B393" s="222">
        <v>48.20508698252651</v>
      </c>
      <c r="C393"/>
      <c r="D393" s="221">
        <v>43866</v>
      </c>
      <c r="E393" s="222">
        <v>117.6</v>
      </c>
      <c r="F393" s="222">
        <v>76.864199999999997</v>
      </c>
      <c r="G393" s="222">
        <v>94.341499999999996</v>
      </c>
      <c r="H393"/>
      <c r="I393" s="221">
        <v>43866</v>
      </c>
      <c r="J393" s="222">
        <v>76.864199999999997</v>
      </c>
      <c r="K393" s="222">
        <v>53.517499999999998</v>
      </c>
      <c r="L393"/>
      <c r="M393"/>
      <c r="N393"/>
      <c r="O393" s="221">
        <v>43866</v>
      </c>
      <c r="P393" s="222">
        <v>25.077500000000001</v>
      </c>
      <c r="Q393" s="222">
        <v>53.517499999999998</v>
      </c>
      <c r="R393"/>
      <c r="S393"/>
    </row>
    <row r="394" spans="1:19" x14ac:dyDescent="0.35">
      <c r="A394" s="221">
        <v>43865</v>
      </c>
      <c r="B394" s="222">
        <v>44.969921496952168</v>
      </c>
      <c r="C394"/>
      <c r="D394" s="221">
        <v>43865</v>
      </c>
      <c r="E394" s="222">
        <v>115.4611</v>
      </c>
      <c r="F394" s="222">
        <v>76.615700000000004</v>
      </c>
      <c r="G394" s="222">
        <v>94.250399999999999</v>
      </c>
      <c r="H394"/>
      <c r="I394" s="221">
        <v>43865</v>
      </c>
      <c r="J394" s="222">
        <v>76.615700000000004</v>
      </c>
      <c r="K394" s="222">
        <v>51.222299999999997</v>
      </c>
      <c r="L394"/>
      <c r="M394"/>
      <c r="N394"/>
      <c r="O394" s="221">
        <v>43865</v>
      </c>
      <c r="P394" s="222">
        <v>22.927900000000001</v>
      </c>
      <c r="Q394" s="222">
        <v>51.222299999999997</v>
      </c>
      <c r="R394"/>
      <c r="S394"/>
    </row>
    <row r="395" spans="1:19" x14ac:dyDescent="0.35">
      <c r="A395" s="221">
        <v>43864</v>
      </c>
      <c r="B395" s="222">
        <v>42.625391291717612</v>
      </c>
      <c r="C395"/>
      <c r="D395" s="221">
        <v>43864</v>
      </c>
      <c r="E395" s="222">
        <v>113.1022</v>
      </c>
      <c r="F395" s="222">
        <v>74.780100000000004</v>
      </c>
      <c r="G395" s="222">
        <v>94.323700000000002</v>
      </c>
      <c r="H395"/>
      <c r="I395" s="221">
        <v>43864</v>
      </c>
      <c r="J395" s="222">
        <v>74.780100000000004</v>
      </c>
      <c r="K395" s="222">
        <v>51.778300000000002</v>
      </c>
      <c r="L395"/>
      <c r="M395"/>
      <c r="N395"/>
      <c r="O395" s="221">
        <v>43864</v>
      </c>
      <c r="P395" s="222">
        <v>20.330300000000001</v>
      </c>
      <c r="Q395" s="222">
        <v>51.778300000000002</v>
      </c>
      <c r="R395"/>
      <c r="S395"/>
    </row>
    <row r="396" spans="1:19" x14ac:dyDescent="0.35">
      <c r="A396" s="221">
        <v>43853</v>
      </c>
      <c r="B396" s="222">
        <v>43.832489099806629</v>
      </c>
      <c r="C396"/>
      <c r="D396" s="221">
        <v>43853</v>
      </c>
      <c r="E396" s="222">
        <v>118.2162</v>
      </c>
      <c r="F396" s="222">
        <v>83.097499999999997</v>
      </c>
      <c r="G396" s="222">
        <v>93.661900000000003</v>
      </c>
      <c r="H396"/>
      <c r="I396" s="221">
        <v>43853</v>
      </c>
      <c r="J396" s="222">
        <v>83.097499999999997</v>
      </c>
      <c r="K396" s="222">
        <v>42.726300000000002</v>
      </c>
      <c r="L396"/>
      <c r="M396"/>
      <c r="N396"/>
      <c r="O396" s="221">
        <v>43853</v>
      </c>
      <c r="P396" s="222">
        <v>26.627800000000001</v>
      </c>
      <c r="Q396" s="222">
        <v>42.726300000000002</v>
      </c>
      <c r="R396"/>
      <c r="S396"/>
    </row>
    <row r="397" spans="1:19" x14ac:dyDescent="0.35">
      <c r="A397" s="221">
        <v>43852</v>
      </c>
      <c r="B397" s="222">
        <v>45.020003254332124</v>
      </c>
      <c r="C397"/>
      <c r="D397" s="221">
        <v>43852</v>
      </c>
      <c r="E397" s="222">
        <v>121.4603</v>
      </c>
      <c r="F397" s="222">
        <v>86.902500000000003</v>
      </c>
      <c r="G397" s="222">
        <v>93.719800000000006</v>
      </c>
      <c r="H397"/>
      <c r="I397" s="221">
        <v>43852</v>
      </c>
      <c r="J397" s="222">
        <v>86.902500000000003</v>
      </c>
      <c r="K397" s="222">
        <v>40.2089</v>
      </c>
      <c r="L397"/>
      <c r="M397"/>
      <c r="N397"/>
      <c r="O397" s="221">
        <v>43852</v>
      </c>
      <c r="P397" s="222">
        <v>30.009899999999998</v>
      </c>
      <c r="Q397" s="222">
        <v>40.2089</v>
      </c>
      <c r="R397"/>
      <c r="S397"/>
    </row>
    <row r="398" spans="1:19" x14ac:dyDescent="0.35">
      <c r="A398" s="221">
        <v>43851</v>
      </c>
      <c r="B398" s="222">
        <v>44.923632235701774</v>
      </c>
      <c r="C398"/>
      <c r="D398" s="221">
        <v>43851</v>
      </c>
      <c r="E398" s="222">
        <v>119.4164</v>
      </c>
      <c r="F398" s="222">
        <v>83.957899999999995</v>
      </c>
      <c r="G398" s="222">
        <v>93.601699999999994</v>
      </c>
      <c r="H398"/>
      <c r="I398" s="221">
        <v>43851</v>
      </c>
      <c r="J398" s="222">
        <v>83.957899999999995</v>
      </c>
      <c r="K398" s="222">
        <v>42.690600000000003</v>
      </c>
      <c r="L398"/>
      <c r="M398"/>
      <c r="N398"/>
      <c r="O398" s="221">
        <v>43851</v>
      </c>
      <c r="P398" s="223">
        <v>27.989100000000001</v>
      </c>
      <c r="Q398" s="223">
        <v>42.690600000000003</v>
      </c>
      <c r="R398"/>
      <c r="S398"/>
    </row>
    <row r="399" spans="1:19" x14ac:dyDescent="0.35">
      <c r="A399" s="221">
        <v>43850</v>
      </c>
      <c r="B399" s="222">
        <v>43.850390255816876</v>
      </c>
      <c r="C399"/>
      <c r="D399" s="221">
        <v>43850</v>
      </c>
      <c r="E399" s="222">
        <v>119.61750000000001</v>
      </c>
      <c r="F399" s="222">
        <v>85.525800000000004</v>
      </c>
      <c r="G399" s="222">
        <v>93.499700000000004</v>
      </c>
      <c r="H399"/>
      <c r="I399" s="221">
        <v>43850</v>
      </c>
      <c r="J399" s="222">
        <v>85.525800000000004</v>
      </c>
      <c r="K399" s="222">
        <v>40.308500000000002</v>
      </c>
      <c r="L399"/>
      <c r="M399"/>
      <c r="N399"/>
      <c r="O399" s="221">
        <v>43850</v>
      </c>
      <c r="P399" s="223">
        <v>28.342700000000001</v>
      </c>
      <c r="Q399" s="223">
        <v>40.308500000000002</v>
      </c>
      <c r="R399"/>
      <c r="S399"/>
    </row>
    <row r="400" spans="1:19" x14ac:dyDescent="0.35">
      <c r="A400" s="221">
        <v>43847</v>
      </c>
      <c r="B400" s="222">
        <v>42.869556771563374</v>
      </c>
      <c r="C400"/>
      <c r="D400" s="221">
        <v>43847</v>
      </c>
      <c r="E400" s="222">
        <v>116.8408</v>
      </c>
      <c r="F400" s="222">
        <v>82.0077</v>
      </c>
      <c r="G400" s="222">
        <v>93.496099999999998</v>
      </c>
      <c r="H400"/>
      <c r="I400" s="221">
        <v>43847</v>
      </c>
      <c r="J400" s="222">
        <v>82.0077</v>
      </c>
      <c r="K400" s="222">
        <v>42.937800000000003</v>
      </c>
      <c r="L400"/>
      <c r="M400"/>
      <c r="N400"/>
      <c r="O400" s="221">
        <v>43847</v>
      </c>
      <c r="P400" s="223">
        <v>25.374199999999998</v>
      </c>
      <c r="Q400" s="223">
        <v>42.937800000000003</v>
      </c>
      <c r="R400"/>
      <c r="S400"/>
    </row>
    <row r="401" spans="1:19" x14ac:dyDescent="0.35">
      <c r="A401" s="221">
        <v>43846</v>
      </c>
      <c r="B401" s="222">
        <v>42.559498960469469</v>
      </c>
      <c r="C401"/>
      <c r="D401" s="221">
        <v>43846</v>
      </c>
      <c r="E401" s="222">
        <v>116.5719</v>
      </c>
      <c r="F401" s="222">
        <v>82.026799999999994</v>
      </c>
      <c r="G401" s="222">
        <v>93.399900000000002</v>
      </c>
      <c r="H401"/>
      <c r="I401" s="221">
        <v>43846</v>
      </c>
      <c r="J401" s="222">
        <v>82.026799999999994</v>
      </c>
      <c r="K401" s="222">
        <v>42.575400000000002</v>
      </c>
      <c r="L401"/>
      <c r="M401"/>
      <c r="N401"/>
      <c r="O401" s="221">
        <v>43846</v>
      </c>
      <c r="P401" s="223">
        <v>25.214300000000001</v>
      </c>
      <c r="Q401" s="223">
        <v>42.575400000000002</v>
      </c>
      <c r="R401"/>
      <c r="S401"/>
    </row>
    <row r="402" spans="1:19" x14ac:dyDescent="0.35">
      <c r="A402" s="221">
        <v>43845</v>
      </c>
      <c r="B402" s="222">
        <v>42.000358747404412</v>
      </c>
      <c r="C402"/>
      <c r="D402" s="221">
        <v>43845</v>
      </c>
      <c r="E402" s="222">
        <v>116.623</v>
      </c>
      <c r="F402" s="222">
        <v>82.791600000000003</v>
      </c>
      <c r="G402" s="222">
        <v>93.331900000000005</v>
      </c>
      <c r="H402"/>
      <c r="I402" s="221">
        <v>43845</v>
      </c>
      <c r="J402" s="222">
        <v>82.791600000000003</v>
      </c>
      <c r="K402" s="222">
        <v>41.3187</v>
      </c>
      <c r="L402"/>
      <c r="M402"/>
      <c r="N402"/>
      <c r="O402" s="221">
        <v>43845</v>
      </c>
      <c r="P402" s="223">
        <v>25.359100000000002</v>
      </c>
      <c r="Q402" s="223">
        <v>41.3187</v>
      </c>
      <c r="R402"/>
      <c r="S402"/>
    </row>
    <row r="403" spans="1:19" x14ac:dyDescent="0.35">
      <c r="A403" s="221">
        <v>43844</v>
      </c>
      <c r="B403" s="222">
        <v>43.026687948019614</v>
      </c>
      <c r="C403"/>
      <c r="D403" s="221">
        <v>43844</v>
      </c>
      <c r="E403" s="222">
        <v>118.1241</v>
      </c>
      <c r="F403" s="222">
        <v>84.168300000000002</v>
      </c>
      <c r="G403" s="222">
        <v>93.319800000000001</v>
      </c>
      <c r="H403"/>
      <c r="I403" s="221">
        <v>43844</v>
      </c>
      <c r="J403" s="222">
        <v>84.168300000000002</v>
      </c>
      <c r="K403" s="222">
        <v>40.789299999999997</v>
      </c>
      <c r="L403"/>
      <c r="M403"/>
      <c r="N403"/>
      <c r="O403" s="221">
        <v>43844</v>
      </c>
      <c r="P403" s="223">
        <v>26.982700000000001</v>
      </c>
      <c r="Q403" s="223">
        <v>40.789299999999997</v>
      </c>
      <c r="R403"/>
      <c r="S403"/>
    </row>
    <row r="404" spans="1:19" x14ac:dyDescent="0.35">
      <c r="A404" s="221">
        <v>43843</v>
      </c>
      <c r="B404" s="222">
        <v>44.19992500544376</v>
      </c>
      <c r="C404"/>
      <c r="D404" s="221">
        <v>43843</v>
      </c>
      <c r="E404" s="222">
        <v>117.9742</v>
      </c>
      <c r="F404" s="222">
        <v>82.695999999999998</v>
      </c>
      <c r="G404" s="222">
        <v>93.318799999999996</v>
      </c>
      <c r="H404"/>
      <c r="I404" s="221">
        <v>43843</v>
      </c>
      <c r="J404" s="222">
        <v>82.695999999999998</v>
      </c>
      <c r="K404" s="222">
        <v>43.113300000000002</v>
      </c>
      <c r="L404"/>
      <c r="M404"/>
      <c r="N404"/>
      <c r="O404" s="221">
        <v>43843</v>
      </c>
      <c r="P404" s="223">
        <v>26.822199999999999</v>
      </c>
      <c r="Q404" s="223">
        <v>43.113300000000002</v>
      </c>
      <c r="R404"/>
      <c r="S404"/>
    </row>
    <row r="405" spans="1:19" x14ac:dyDescent="0.35">
      <c r="A405" s="221">
        <v>43840</v>
      </c>
      <c r="B405" s="222">
        <v>44.966681838244241</v>
      </c>
      <c r="C405"/>
      <c r="D405" s="221">
        <v>43840</v>
      </c>
      <c r="E405" s="222">
        <v>117.6485</v>
      </c>
      <c r="F405" s="222">
        <v>81.625200000000007</v>
      </c>
      <c r="G405" s="222">
        <v>93.1374</v>
      </c>
      <c r="H405"/>
      <c r="I405" s="221">
        <v>43840</v>
      </c>
      <c r="J405" s="222">
        <v>81.625200000000007</v>
      </c>
      <c r="K405" s="222">
        <v>44.587699999999998</v>
      </c>
      <c r="L405"/>
      <c r="M405"/>
      <c r="N405"/>
      <c r="O405" s="221">
        <v>43840</v>
      </c>
      <c r="P405" s="223">
        <v>26.716000000000001</v>
      </c>
      <c r="Q405" s="223">
        <v>44.587699999999998</v>
      </c>
      <c r="R405"/>
      <c r="S405"/>
    </row>
    <row r="406" spans="1:19" x14ac:dyDescent="0.35">
      <c r="A406" s="221">
        <v>43839</v>
      </c>
      <c r="B406" s="222">
        <v>44.899976023454755</v>
      </c>
      <c r="C406"/>
      <c r="D406" s="221">
        <v>43839</v>
      </c>
      <c r="E406" s="222">
        <v>117.9286</v>
      </c>
      <c r="F406" s="222">
        <v>82.218000000000004</v>
      </c>
      <c r="G406" s="222">
        <v>93.080299999999994</v>
      </c>
      <c r="H406"/>
      <c r="I406" s="221">
        <v>43839</v>
      </c>
      <c r="J406" s="222">
        <v>82.218000000000004</v>
      </c>
      <c r="K406" s="222">
        <v>43.884599999999999</v>
      </c>
      <c r="L406"/>
      <c r="M406"/>
      <c r="N406"/>
      <c r="O406" s="221">
        <v>43839</v>
      </c>
      <c r="P406" s="223">
        <v>27.093499999999999</v>
      </c>
      <c r="Q406" s="223">
        <v>43.884599999999999</v>
      </c>
      <c r="R406"/>
      <c r="S406"/>
    </row>
    <row r="407" spans="1:19" x14ac:dyDescent="0.35">
      <c r="A407" s="221">
        <v>43838</v>
      </c>
      <c r="B407" s="222">
        <v>45.38760211754834</v>
      </c>
      <c r="C407"/>
      <c r="D407" s="221">
        <v>43838</v>
      </c>
      <c r="E407" s="222">
        <v>118.1307</v>
      </c>
      <c r="F407" s="222">
        <v>82.198899999999995</v>
      </c>
      <c r="G407" s="222">
        <v>92.962199999999996</v>
      </c>
      <c r="H407"/>
      <c r="I407" s="221">
        <v>43838</v>
      </c>
      <c r="J407" s="222">
        <v>82.198899999999995</v>
      </c>
      <c r="K407" s="222">
        <v>44.162500000000001</v>
      </c>
      <c r="L407"/>
      <c r="M407"/>
      <c r="N407"/>
      <c r="O407" s="221">
        <v>43838</v>
      </c>
      <c r="P407" s="223">
        <v>27.4712</v>
      </c>
      <c r="Q407" s="223">
        <v>44.162500000000001</v>
      </c>
      <c r="R407"/>
      <c r="S407"/>
    </row>
    <row r="408" spans="1:19" x14ac:dyDescent="0.35">
      <c r="A408" s="221">
        <v>43837</v>
      </c>
      <c r="B408" s="222">
        <v>44.693864377728161</v>
      </c>
      <c r="C408"/>
      <c r="D408" s="221">
        <v>43837</v>
      </c>
      <c r="E408" s="222">
        <v>119.1448</v>
      </c>
      <c r="F408" s="222">
        <v>84.703599999999994</v>
      </c>
      <c r="G408" s="222">
        <v>92.837199999999996</v>
      </c>
      <c r="H408"/>
      <c r="I408" s="221">
        <v>43837</v>
      </c>
      <c r="J408" s="222">
        <v>84.703599999999994</v>
      </c>
      <c r="K408" s="222">
        <v>41.095500000000001</v>
      </c>
      <c r="L408"/>
      <c r="M408"/>
      <c r="N408"/>
      <c r="O408" s="221">
        <v>43837</v>
      </c>
      <c r="P408" s="223">
        <v>28.734000000000002</v>
      </c>
      <c r="Q408" s="223">
        <v>41.095500000000001</v>
      </c>
      <c r="R408"/>
      <c r="S408"/>
    </row>
    <row r="409" spans="1:19" x14ac:dyDescent="0.35">
      <c r="A409" s="221">
        <v>43836</v>
      </c>
      <c r="B409" s="222">
        <v>47.91174272430365</v>
      </c>
      <c r="C409"/>
      <c r="D409" s="221">
        <v>43836</v>
      </c>
      <c r="E409" s="222">
        <v>118.6339</v>
      </c>
      <c r="F409" s="222">
        <v>80.554500000000004</v>
      </c>
      <c r="G409" s="222">
        <v>92.903899999999993</v>
      </c>
      <c r="H409"/>
      <c r="I409" s="221">
        <v>43836</v>
      </c>
      <c r="J409" s="222">
        <v>80.554500000000004</v>
      </c>
      <c r="K409" s="222">
        <v>47.7273</v>
      </c>
      <c r="L409"/>
      <c r="M409"/>
      <c r="N409"/>
      <c r="O409" s="221">
        <v>43836</v>
      </c>
      <c r="P409" s="223">
        <v>28.090399999999999</v>
      </c>
      <c r="Q409" s="223">
        <v>47.7273</v>
      </c>
      <c r="R409"/>
      <c r="S409"/>
    </row>
    <row r="410" spans="1:19" x14ac:dyDescent="0.35">
      <c r="A410" s="221">
        <v>43833</v>
      </c>
      <c r="B410" s="222">
        <v>46.509192187870539</v>
      </c>
      <c r="C410"/>
      <c r="D410" s="221">
        <v>43833</v>
      </c>
      <c r="E410" s="222">
        <v>116.63420000000001</v>
      </c>
      <c r="F410" s="222">
        <v>78.6233</v>
      </c>
      <c r="G410" s="222">
        <v>92.912300000000002</v>
      </c>
      <c r="H410"/>
      <c r="I410" s="221">
        <v>43833</v>
      </c>
      <c r="J410" s="222">
        <v>78.6233</v>
      </c>
      <c r="K410" s="222">
        <v>48.808300000000003</v>
      </c>
      <c r="L410"/>
      <c r="M410"/>
      <c r="N410"/>
      <c r="O410" s="221">
        <v>43833</v>
      </c>
      <c r="P410" s="223">
        <v>25.922999999999998</v>
      </c>
      <c r="Q410" s="223">
        <v>48.808300000000003</v>
      </c>
      <c r="R410"/>
      <c r="S410"/>
    </row>
    <row r="411" spans="1:19" x14ac:dyDescent="0.35">
      <c r="A411" s="221">
        <v>43832</v>
      </c>
      <c r="B411" s="222">
        <v>45.279452706567504</v>
      </c>
      <c r="C411"/>
      <c r="D411" s="221">
        <v>43832</v>
      </c>
      <c r="E411" s="222">
        <v>116.62730000000001</v>
      </c>
      <c r="F411" s="222">
        <v>79.885300000000001</v>
      </c>
      <c r="G411" s="222">
        <v>92.893900000000002</v>
      </c>
      <c r="H411"/>
      <c r="I411" s="221">
        <v>43832</v>
      </c>
      <c r="J411" s="222">
        <v>79.885300000000001</v>
      </c>
      <c r="K411" s="222">
        <v>46.447499999999998</v>
      </c>
      <c r="L411"/>
      <c r="M411"/>
      <c r="N411"/>
      <c r="O411" s="221">
        <v>43832</v>
      </c>
      <c r="P411" s="223">
        <v>25.939399999999999</v>
      </c>
      <c r="Q411" s="223">
        <v>46.447499999999998</v>
      </c>
      <c r="R411"/>
      <c r="S411"/>
    </row>
    <row r="412" spans="1:19" x14ac:dyDescent="0.35">
      <c r="A412" s="221">
        <v>43830</v>
      </c>
      <c r="B412" s="222">
        <v>47.921637746365576</v>
      </c>
      <c r="C412"/>
      <c r="D412" s="221">
        <v>43830</v>
      </c>
      <c r="E412" s="222">
        <v>116.1895</v>
      </c>
      <c r="F412" s="222">
        <v>76.481800000000007</v>
      </c>
      <c r="G412" s="222">
        <v>92.8964</v>
      </c>
      <c r="H412"/>
      <c r="I412" s="221">
        <v>43830</v>
      </c>
      <c r="J412" s="222">
        <v>76.481800000000007</v>
      </c>
      <c r="K412" s="222">
        <v>52.389200000000002</v>
      </c>
      <c r="L412"/>
      <c r="M412"/>
      <c r="N412"/>
      <c r="O412" s="221">
        <v>43830</v>
      </c>
      <c r="P412" s="223">
        <v>25.462299999999999</v>
      </c>
      <c r="Q412" s="223">
        <v>52.389200000000002</v>
      </c>
      <c r="R412"/>
      <c r="S412"/>
    </row>
    <row r="413" spans="1:19" x14ac:dyDescent="0.35">
      <c r="A413" s="221">
        <v>43829</v>
      </c>
      <c r="B413" s="222">
        <v>48.110978674520908</v>
      </c>
      <c r="C413"/>
      <c r="D413" s="221">
        <v>43829</v>
      </c>
      <c r="E413" s="222">
        <v>114.8105</v>
      </c>
      <c r="F413" s="222">
        <v>73.977099999999993</v>
      </c>
      <c r="G413" s="222">
        <v>92.902000000000001</v>
      </c>
      <c r="H413"/>
      <c r="I413" s="221">
        <v>43829</v>
      </c>
      <c r="J413" s="222">
        <v>73.977099999999993</v>
      </c>
      <c r="K413" s="222">
        <v>55.683300000000003</v>
      </c>
      <c r="L413"/>
      <c r="M413"/>
      <c r="N413"/>
      <c r="O413" s="221">
        <v>43829</v>
      </c>
      <c r="P413" s="223">
        <v>23.9693</v>
      </c>
      <c r="Q413" s="223">
        <v>55.683300000000003</v>
      </c>
      <c r="R413"/>
      <c r="S413"/>
    </row>
    <row r="414" spans="1:19" x14ac:dyDescent="0.35">
      <c r="A414" s="221">
        <v>43826</v>
      </c>
      <c r="B414" s="222">
        <v>48.258829588611839</v>
      </c>
      <c r="C414"/>
      <c r="D414" s="221">
        <v>43826</v>
      </c>
      <c r="E414" s="222">
        <v>114.6438</v>
      </c>
      <c r="F414" s="222">
        <v>73.652000000000001</v>
      </c>
      <c r="G414" s="222">
        <v>92.809100000000001</v>
      </c>
      <c r="H414"/>
      <c r="I414" s="221">
        <v>43826</v>
      </c>
      <c r="J414" s="222">
        <v>73.652000000000001</v>
      </c>
      <c r="K414" s="222">
        <v>56.139699999999998</v>
      </c>
      <c r="L414"/>
      <c r="M414"/>
      <c r="N414"/>
      <c r="O414" s="221">
        <v>43826</v>
      </c>
      <c r="P414" s="223">
        <v>23.910299999999999</v>
      </c>
      <c r="Q414" s="223">
        <v>56.139699999999998</v>
      </c>
      <c r="R414"/>
      <c r="S414"/>
    </row>
    <row r="415" spans="1:19" x14ac:dyDescent="0.35">
      <c r="A415" s="221">
        <v>43825</v>
      </c>
      <c r="B415" s="222">
        <v>47.8663574320802</v>
      </c>
      <c r="C415"/>
      <c r="D415" s="221">
        <v>43825</v>
      </c>
      <c r="E415" s="222">
        <v>114.8449</v>
      </c>
      <c r="F415" s="222">
        <v>74.436000000000007</v>
      </c>
      <c r="G415" s="222">
        <v>92.760199999999998</v>
      </c>
      <c r="H415"/>
      <c r="I415" s="221">
        <v>43825</v>
      </c>
      <c r="J415" s="222">
        <v>74.436000000000007</v>
      </c>
      <c r="K415" s="222">
        <v>54.763800000000003</v>
      </c>
      <c r="L415"/>
      <c r="M415"/>
      <c r="N415"/>
      <c r="O415" s="221">
        <v>43825</v>
      </c>
      <c r="P415" s="223">
        <v>24.191199999999998</v>
      </c>
      <c r="Q415" s="223">
        <v>54.763800000000003</v>
      </c>
      <c r="R415"/>
      <c r="S415"/>
    </row>
    <row r="416" spans="1:19" x14ac:dyDescent="0.35">
      <c r="A416" s="221">
        <v>43824</v>
      </c>
      <c r="B416" s="222">
        <v>46.194982983149032</v>
      </c>
      <c r="C416"/>
      <c r="D416" s="221">
        <v>43824</v>
      </c>
      <c r="E416" s="222">
        <v>114.846</v>
      </c>
      <c r="F416" s="222">
        <v>76.2333</v>
      </c>
      <c r="G416" s="222">
        <v>92.671599999999998</v>
      </c>
      <c r="H416"/>
      <c r="I416" s="221">
        <v>43824</v>
      </c>
      <c r="J416" s="222">
        <v>76.2333</v>
      </c>
      <c r="K416" s="222">
        <v>51.115099999999998</v>
      </c>
      <c r="L416"/>
      <c r="M416"/>
      <c r="N416"/>
      <c r="O416" s="221">
        <v>43824</v>
      </c>
      <c r="P416" s="223">
        <v>24.309899999999999</v>
      </c>
      <c r="Q416" s="223">
        <v>51.115099999999998</v>
      </c>
      <c r="R416"/>
      <c r="S416"/>
    </row>
    <row r="417" spans="1:19" x14ac:dyDescent="0.35">
      <c r="A417" s="221">
        <v>43823</v>
      </c>
      <c r="B417" s="222">
        <v>45.363417969439901</v>
      </c>
      <c r="C417"/>
      <c r="D417" s="221">
        <v>43823</v>
      </c>
      <c r="E417" s="222">
        <v>114.0371</v>
      </c>
      <c r="F417" s="222">
        <v>75.716999999999999</v>
      </c>
      <c r="G417" s="222">
        <v>92.641599999999997</v>
      </c>
      <c r="H417"/>
      <c r="I417" s="221">
        <v>43823</v>
      </c>
      <c r="J417" s="222">
        <v>75.716999999999999</v>
      </c>
      <c r="K417" s="222">
        <v>51.075699999999998</v>
      </c>
      <c r="L417"/>
      <c r="M417"/>
      <c r="N417"/>
      <c r="O417" s="221">
        <v>43823</v>
      </c>
      <c r="P417" s="223">
        <v>23.4758</v>
      </c>
      <c r="Q417" s="223">
        <v>51.075699999999998</v>
      </c>
      <c r="R417"/>
      <c r="S417"/>
    </row>
    <row r="418" spans="1:19" x14ac:dyDescent="0.35">
      <c r="A418" s="221">
        <v>43822</v>
      </c>
      <c r="B418" s="222">
        <v>45.137505818938237</v>
      </c>
      <c r="C418"/>
      <c r="D418" s="221">
        <v>43822</v>
      </c>
      <c r="E418" s="222">
        <v>112.4482</v>
      </c>
      <c r="F418" s="222">
        <v>73.269599999999997</v>
      </c>
      <c r="G418" s="222">
        <v>92.6066</v>
      </c>
      <c r="H418"/>
      <c r="I418" s="221">
        <v>43822</v>
      </c>
      <c r="J418" s="222">
        <v>73.269599999999997</v>
      </c>
      <c r="K418" s="222">
        <v>53.951999999999998</v>
      </c>
      <c r="L418"/>
      <c r="M418"/>
      <c r="N418"/>
      <c r="O418" s="221">
        <v>43822</v>
      </c>
      <c r="P418" s="223">
        <v>21.805599999999998</v>
      </c>
      <c r="Q418" s="223">
        <v>53.951999999999998</v>
      </c>
      <c r="R418"/>
      <c r="S418"/>
    </row>
    <row r="419" spans="1:19" x14ac:dyDescent="0.35">
      <c r="A419" s="221">
        <v>43819</v>
      </c>
      <c r="B419" s="222">
        <v>43.922763870901335</v>
      </c>
      <c r="C419"/>
      <c r="D419" s="221">
        <v>43819</v>
      </c>
      <c r="E419" s="222">
        <v>112.8395</v>
      </c>
      <c r="F419" s="222">
        <v>75.200800000000001</v>
      </c>
      <c r="G419" s="222">
        <v>92.564400000000006</v>
      </c>
      <c r="H419"/>
      <c r="I419" s="221">
        <v>43819</v>
      </c>
      <c r="J419" s="222">
        <v>75.200800000000001</v>
      </c>
      <c r="K419" s="222">
        <v>50.514400000000002</v>
      </c>
      <c r="L419"/>
      <c r="M419"/>
      <c r="N419"/>
      <c r="O419" s="221">
        <v>43819</v>
      </c>
      <c r="P419" s="223">
        <v>22.2803</v>
      </c>
      <c r="Q419" s="223">
        <v>50.514400000000002</v>
      </c>
      <c r="R419"/>
      <c r="S419"/>
    </row>
    <row r="420" spans="1:19" x14ac:dyDescent="0.35">
      <c r="A420" s="221">
        <v>43818</v>
      </c>
      <c r="B420" s="222">
        <v>43.820853166416612</v>
      </c>
      <c r="C420"/>
      <c r="D420" s="221">
        <v>43818</v>
      </c>
      <c r="E420" s="222">
        <v>112.7736</v>
      </c>
      <c r="F420" s="222">
        <v>75.219899999999996</v>
      </c>
      <c r="G420" s="222">
        <v>92.538600000000002</v>
      </c>
      <c r="H420"/>
      <c r="I420" s="221">
        <v>43818</v>
      </c>
      <c r="J420" s="222">
        <v>75.219899999999996</v>
      </c>
      <c r="K420" s="222">
        <v>50.387099999999997</v>
      </c>
      <c r="L420"/>
      <c r="M420"/>
      <c r="N420"/>
      <c r="O420" s="221">
        <v>43818</v>
      </c>
      <c r="P420" s="223">
        <v>22.242000000000001</v>
      </c>
      <c r="Q420" s="223">
        <v>50.387099999999997</v>
      </c>
      <c r="R420"/>
      <c r="S420"/>
    </row>
    <row r="421" spans="1:19" x14ac:dyDescent="0.35">
      <c r="A421" s="221">
        <v>43817</v>
      </c>
      <c r="B421" s="222">
        <v>43.390703221488394</v>
      </c>
      <c r="C421"/>
      <c r="D421" s="221">
        <v>43817</v>
      </c>
      <c r="E421" s="222">
        <v>113.1247</v>
      </c>
      <c r="F421" s="222">
        <v>76.290599999999998</v>
      </c>
      <c r="G421" s="222">
        <v>92.516999999999996</v>
      </c>
      <c r="H421"/>
      <c r="I421" s="221">
        <v>43817</v>
      </c>
      <c r="J421" s="222">
        <v>76.290599999999998</v>
      </c>
      <c r="K421" s="222">
        <v>48.735199999999999</v>
      </c>
      <c r="L421"/>
      <c r="M421"/>
      <c r="N421"/>
      <c r="O421" s="221">
        <v>43817</v>
      </c>
      <c r="P421" s="223">
        <v>22.648800000000001</v>
      </c>
      <c r="Q421" s="223">
        <v>48.735199999999999</v>
      </c>
      <c r="R421"/>
      <c r="S421"/>
    </row>
    <row r="422" spans="1:19" x14ac:dyDescent="0.35">
      <c r="A422" s="221">
        <v>43816</v>
      </c>
      <c r="B422" s="222">
        <v>40.521102808967619</v>
      </c>
      <c r="C422"/>
      <c r="D422" s="221">
        <v>43816</v>
      </c>
      <c r="E422" s="222">
        <v>111.65479999999999</v>
      </c>
      <c r="F422" s="222">
        <v>76.673000000000002</v>
      </c>
      <c r="G422" s="222">
        <v>92.583600000000004</v>
      </c>
      <c r="H422"/>
      <c r="I422" s="221">
        <v>43816</v>
      </c>
      <c r="J422" s="222">
        <v>76.673000000000002</v>
      </c>
      <c r="K422" s="222">
        <v>46.0749</v>
      </c>
      <c r="L422"/>
      <c r="M422"/>
      <c r="N422"/>
      <c r="O422" s="221">
        <v>43816</v>
      </c>
      <c r="P422" s="223">
        <v>20.971699999999998</v>
      </c>
      <c r="Q422" s="223">
        <v>46.0749</v>
      </c>
      <c r="R422"/>
      <c r="S422"/>
    </row>
    <row r="423" spans="1:19" x14ac:dyDescent="0.35">
      <c r="A423" s="221">
        <v>43815</v>
      </c>
      <c r="B423" s="222">
        <v>41.879367066200423</v>
      </c>
      <c r="C423"/>
      <c r="D423" s="221">
        <v>43815</v>
      </c>
      <c r="E423" s="222">
        <v>111.5569</v>
      </c>
      <c r="F423" s="222">
        <v>74.933099999999996</v>
      </c>
      <c r="G423" s="222">
        <v>92.624300000000005</v>
      </c>
      <c r="H423"/>
      <c r="I423" s="221">
        <v>43815</v>
      </c>
      <c r="J423" s="222">
        <v>74.933099999999996</v>
      </c>
      <c r="K423" s="222">
        <v>49.334499999999998</v>
      </c>
      <c r="L423"/>
      <c r="M423"/>
      <c r="N423"/>
      <c r="O423" s="221">
        <v>43815</v>
      </c>
      <c r="P423" s="223">
        <v>20.811699999999998</v>
      </c>
      <c r="Q423" s="223">
        <v>49.334499999999998</v>
      </c>
      <c r="R423"/>
      <c r="S423"/>
    </row>
    <row r="424" spans="1:19" x14ac:dyDescent="0.35">
      <c r="A424" s="221">
        <v>43812</v>
      </c>
      <c r="B424" s="222">
        <v>42.628098894719471</v>
      </c>
      <c r="C424"/>
      <c r="D424" s="221">
        <v>43812</v>
      </c>
      <c r="E424" s="222">
        <v>110.9102</v>
      </c>
      <c r="F424" s="222">
        <v>73.001900000000006</v>
      </c>
      <c r="G424" s="222">
        <v>92.587699999999998</v>
      </c>
      <c r="H424"/>
      <c r="I424" s="221">
        <v>43812</v>
      </c>
      <c r="J424" s="222">
        <v>73.001900000000006</v>
      </c>
      <c r="K424" s="222">
        <v>52.3947</v>
      </c>
      <c r="L424"/>
      <c r="M424"/>
      <c r="N424"/>
      <c r="O424" s="221">
        <v>43812</v>
      </c>
      <c r="P424" s="223">
        <v>20.157399999999999</v>
      </c>
      <c r="Q424" s="223">
        <v>52.3947</v>
      </c>
      <c r="R424"/>
      <c r="S424"/>
    </row>
    <row r="425" spans="1:19" x14ac:dyDescent="0.35">
      <c r="A425" s="221">
        <v>43811</v>
      </c>
      <c r="B425" s="222">
        <v>41.85522719591394</v>
      </c>
      <c r="C425"/>
      <c r="D425" s="221">
        <v>43811</v>
      </c>
      <c r="E425" s="222">
        <v>110.2103</v>
      </c>
      <c r="F425" s="222">
        <v>72.466499999999996</v>
      </c>
      <c r="G425" s="222">
        <v>92.622500000000002</v>
      </c>
      <c r="H425"/>
      <c r="I425" s="221">
        <v>43811</v>
      </c>
      <c r="J425" s="222">
        <v>72.466499999999996</v>
      </c>
      <c r="K425" s="222">
        <v>52.553199999999997</v>
      </c>
      <c r="L425"/>
      <c r="M425"/>
      <c r="N425"/>
      <c r="O425" s="221">
        <v>43811</v>
      </c>
      <c r="P425" s="223">
        <v>19.355399999999999</v>
      </c>
      <c r="Q425" s="223">
        <v>52.553199999999997</v>
      </c>
      <c r="R425"/>
      <c r="S425"/>
    </row>
    <row r="426" spans="1:19" x14ac:dyDescent="0.35">
      <c r="A426" s="221">
        <v>43810</v>
      </c>
      <c r="B426" s="222">
        <v>41.338599694537322</v>
      </c>
      <c r="C426"/>
      <c r="D426" s="221">
        <v>43810</v>
      </c>
      <c r="E426" s="222">
        <v>109.7114</v>
      </c>
      <c r="F426" s="222">
        <v>72.084100000000007</v>
      </c>
      <c r="G426" s="222">
        <v>92.624099999999999</v>
      </c>
      <c r="H426"/>
      <c r="I426" s="221">
        <v>43810</v>
      </c>
      <c r="J426" s="222">
        <v>72.084100000000007</v>
      </c>
      <c r="K426" s="222">
        <v>52.668900000000001</v>
      </c>
      <c r="L426"/>
      <c r="M426"/>
      <c r="N426"/>
      <c r="O426" s="221">
        <v>43810</v>
      </c>
      <c r="P426" s="223">
        <v>18.813600000000001</v>
      </c>
      <c r="Q426" s="223">
        <v>52.668900000000001</v>
      </c>
      <c r="R426"/>
      <c r="S426"/>
    </row>
    <row r="427" spans="1:19" x14ac:dyDescent="0.35">
      <c r="A427" s="221">
        <v>43809</v>
      </c>
      <c r="B427" s="222">
        <v>41.62348736459586</v>
      </c>
      <c r="C427"/>
      <c r="D427" s="221">
        <v>43809</v>
      </c>
      <c r="E427" s="222">
        <v>109.8625</v>
      </c>
      <c r="F427" s="222">
        <v>72.160600000000002</v>
      </c>
      <c r="G427" s="222">
        <v>92.561499999999995</v>
      </c>
      <c r="H427"/>
      <c r="I427" s="221">
        <v>43809</v>
      </c>
      <c r="J427" s="222">
        <v>72.160600000000002</v>
      </c>
      <c r="K427" s="222">
        <v>52.7149</v>
      </c>
      <c r="L427"/>
      <c r="M427"/>
      <c r="N427"/>
      <c r="O427" s="221">
        <v>43809</v>
      </c>
      <c r="P427" s="223">
        <v>19.056000000000001</v>
      </c>
      <c r="Q427" s="223">
        <v>52.7149</v>
      </c>
      <c r="R427"/>
      <c r="S427"/>
    </row>
    <row r="428" spans="1:19" x14ac:dyDescent="0.35">
      <c r="A428" s="221">
        <v>43808</v>
      </c>
      <c r="B428" s="222">
        <v>43.203534515261524</v>
      </c>
      <c r="C428"/>
      <c r="D428" s="221">
        <v>43808</v>
      </c>
      <c r="E428" s="222">
        <v>109.06359999999999</v>
      </c>
      <c r="F428" s="222">
        <v>68.967500000000001</v>
      </c>
      <c r="G428" s="222">
        <v>92.575900000000004</v>
      </c>
      <c r="H428"/>
      <c r="I428" s="221">
        <v>43808</v>
      </c>
      <c r="J428" s="222">
        <v>68.967500000000001</v>
      </c>
      <c r="K428" s="222">
        <v>58.625399999999999</v>
      </c>
      <c r="L428"/>
      <c r="M428"/>
      <c r="N428"/>
      <c r="O428" s="221">
        <v>43808</v>
      </c>
      <c r="P428" s="223">
        <v>18.173300000000001</v>
      </c>
      <c r="Q428" s="223">
        <v>58.625399999999999</v>
      </c>
      <c r="R428"/>
      <c r="S428"/>
    </row>
    <row r="429" spans="1:19" x14ac:dyDescent="0.35">
      <c r="A429" s="221">
        <v>43805</v>
      </c>
      <c r="B429" s="222">
        <v>42.037297823422783</v>
      </c>
      <c r="C429"/>
      <c r="D429" s="221">
        <v>43805</v>
      </c>
      <c r="E429" s="222">
        <v>109.5668</v>
      </c>
      <c r="F429" s="222">
        <v>71.147199999999998</v>
      </c>
      <c r="G429" s="222">
        <v>92.535600000000002</v>
      </c>
      <c r="H429"/>
      <c r="I429" s="221">
        <v>43805</v>
      </c>
      <c r="J429" s="222">
        <v>71.147199999999998</v>
      </c>
      <c r="K429" s="222">
        <v>54.468499999999999</v>
      </c>
      <c r="L429"/>
      <c r="M429"/>
      <c r="N429"/>
      <c r="O429" s="221">
        <v>43805</v>
      </c>
      <c r="P429" s="223">
        <v>18.7651</v>
      </c>
      <c r="Q429" s="223">
        <v>54.468499999999999</v>
      </c>
      <c r="R429"/>
      <c r="S429"/>
    </row>
    <row r="430" spans="1:19" x14ac:dyDescent="0.35">
      <c r="A430" s="221">
        <v>43804</v>
      </c>
      <c r="B430" s="222">
        <v>42.461180517502228</v>
      </c>
      <c r="C430"/>
      <c r="D430" s="221">
        <v>43804</v>
      </c>
      <c r="E430" s="222">
        <v>109.4679</v>
      </c>
      <c r="F430" s="222">
        <v>70.592699999999994</v>
      </c>
      <c r="G430" s="222">
        <v>92.483900000000006</v>
      </c>
      <c r="H430"/>
      <c r="I430" s="221">
        <v>43804</v>
      </c>
      <c r="J430" s="222">
        <v>70.592699999999994</v>
      </c>
      <c r="K430" s="222">
        <v>55.540199999999999</v>
      </c>
      <c r="L430"/>
      <c r="M430"/>
      <c r="N430"/>
      <c r="O430" s="221">
        <v>43804</v>
      </c>
      <c r="P430" s="223">
        <v>18.723400000000002</v>
      </c>
      <c r="Q430" s="223">
        <v>55.540199999999999</v>
      </c>
      <c r="R430"/>
      <c r="S430"/>
    </row>
    <row r="431" spans="1:19" x14ac:dyDescent="0.35">
      <c r="A431" s="221">
        <v>43803</v>
      </c>
      <c r="B431" s="222">
        <v>42.839829390868267</v>
      </c>
      <c r="C431"/>
      <c r="D431" s="221">
        <v>43803</v>
      </c>
      <c r="E431" s="222">
        <v>109.26900000000001</v>
      </c>
      <c r="F431" s="222">
        <v>69.885300000000001</v>
      </c>
      <c r="G431" s="222">
        <v>92.444000000000003</v>
      </c>
      <c r="H431"/>
      <c r="I431" s="221">
        <v>43803</v>
      </c>
      <c r="J431" s="222">
        <v>69.885300000000001</v>
      </c>
      <c r="K431" s="222">
        <v>56.828400000000002</v>
      </c>
      <c r="L431"/>
      <c r="M431"/>
      <c r="N431"/>
      <c r="O431" s="221">
        <v>43803</v>
      </c>
      <c r="P431" s="223">
        <v>18.558299999999999</v>
      </c>
      <c r="Q431" s="223">
        <v>56.828400000000002</v>
      </c>
      <c r="R431"/>
      <c r="S431"/>
    </row>
    <row r="432" spans="1:19" x14ac:dyDescent="0.35">
      <c r="A432" s="221">
        <v>43802</v>
      </c>
      <c r="B432" s="222">
        <v>43.131364583044153</v>
      </c>
      <c r="C432"/>
      <c r="D432" s="221">
        <v>43802</v>
      </c>
      <c r="E432" s="222">
        <v>108.2201</v>
      </c>
      <c r="F432" s="222">
        <v>67.648200000000003</v>
      </c>
      <c r="G432" s="222">
        <v>92.404700000000005</v>
      </c>
      <c r="H432"/>
      <c r="I432" s="221">
        <v>43802</v>
      </c>
      <c r="J432" s="222">
        <v>67.648200000000003</v>
      </c>
      <c r="K432" s="222">
        <v>60.462499999999999</v>
      </c>
      <c r="L432"/>
      <c r="M432"/>
      <c r="N432"/>
      <c r="O432" s="221">
        <v>43802</v>
      </c>
      <c r="P432" s="223">
        <v>17.4724</v>
      </c>
      <c r="Q432" s="223">
        <v>60.462499999999999</v>
      </c>
      <c r="R432"/>
      <c r="S432"/>
    </row>
    <row r="433" spans="1:19" x14ac:dyDescent="0.35">
      <c r="A433" s="221">
        <v>43801</v>
      </c>
      <c r="B433" s="222">
        <v>43.815943552990774</v>
      </c>
      <c r="C433"/>
      <c r="D433" s="221">
        <v>43801</v>
      </c>
      <c r="E433" s="222">
        <v>107.9712</v>
      </c>
      <c r="F433" s="222">
        <v>66.520099999999999</v>
      </c>
      <c r="G433" s="222">
        <v>92.366</v>
      </c>
      <c r="H433"/>
      <c r="I433" s="221">
        <v>43801</v>
      </c>
      <c r="J433" s="222">
        <v>66.520099999999999</v>
      </c>
      <c r="K433" s="222">
        <v>62.807899999999997</v>
      </c>
      <c r="L433"/>
      <c r="M433"/>
      <c r="N433"/>
      <c r="O433" s="221">
        <v>43801</v>
      </c>
      <c r="P433" s="223">
        <v>17.250900000000001</v>
      </c>
      <c r="Q433" s="223">
        <v>62.807899999999997</v>
      </c>
      <c r="R433"/>
      <c r="S433"/>
    </row>
    <row r="434" spans="1:19" x14ac:dyDescent="0.35">
      <c r="A434" s="221">
        <v>43798</v>
      </c>
      <c r="B434" s="222">
        <v>44.70375461463059</v>
      </c>
      <c r="C434"/>
      <c r="D434" s="221">
        <v>43798</v>
      </c>
      <c r="E434" s="222">
        <v>108.6545</v>
      </c>
      <c r="F434" s="222">
        <v>66.902500000000003</v>
      </c>
      <c r="G434" s="222">
        <v>92.342299999999994</v>
      </c>
      <c r="H434"/>
      <c r="I434" s="221">
        <v>43798</v>
      </c>
      <c r="J434" s="222">
        <v>66.902500000000003</v>
      </c>
      <c r="K434" s="222">
        <v>62.893799999999999</v>
      </c>
      <c r="L434"/>
      <c r="M434"/>
      <c r="N434"/>
      <c r="O434" s="221">
        <v>43798</v>
      </c>
      <c r="P434" s="223">
        <v>18.017399999999999</v>
      </c>
      <c r="Q434" s="223">
        <v>62.893799999999999</v>
      </c>
      <c r="R434"/>
      <c r="S434"/>
    </row>
    <row r="435" spans="1:19" x14ac:dyDescent="0.35">
      <c r="A435" s="221">
        <v>43797</v>
      </c>
      <c r="B435" s="222">
        <v>44.573761270698412</v>
      </c>
      <c r="C435"/>
      <c r="D435" s="221">
        <v>43797</v>
      </c>
      <c r="E435" s="222">
        <v>108.6756</v>
      </c>
      <c r="F435" s="222">
        <v>67.131900000000002</v>
      </c>
      <c r="G435" s="222">
        <v>92.307199999999995</v>
      </c>
      <c r="H435"/>
      <c r="I435" s="221">
        <v>43797</v>
      </c>
      <c r="J435" s="222">
        <v>67.131900000000002</v>
      </c>
      <c r="K435" s="222">
        <v>62.366900000000001</v>
      </c>
      <c r="L435"/>
      <c r="M435"/>
      <c r="N435"/>
      <c r="O435" s="221">
        <v>43797</v>
      </c>
      <c r="P435" s="223">
        <v>18.084</v>
      </c>
      <c r="Q435" s="223">
        <v>62.366900000000001</v>
      </c>
      <c r="R435"/>
      <c r="S435"/>
    </row>
    <row r="436" spans="1:19" x14ac:dyDescent="0.35">
      <c r="A436" s="221">
        <v>43796</v>
      </c>
      <c r="B436" s="222">
        <v>44.763821694916473</v>
      </c>
      <c r="C436"/>
      <c r="D436" s="221">
        <v>43796</v>
      </c>
      <c r="E436" s="222">
        <v>108.35769999999999</v>
      </c>
      <c r="F436" s="222">
        <v>66.328900000000004</v>
      </c>
      <c r="G436" s="222">
        <v>92.311199999999999</v>
      </c>
      <c r="H436"/>
      <c r="I436" s="221">
        <v>43796</v>
      </c>
      <c r="J436" s="222">
        <v>66.328900000000004</v>
      </c>
      <c r="K436" s="222">
        <v>63.851700000000001</v>
      </c>
      <c r="L436"/>
      <c r="M436"/>
      <c r="N436"/>
      <c r="O436" s="221">
        <v>43796</v>
      </c>
      <c r="P436" s="223">
        <v>17.7333</v>
      </c>
      <c r="Q436" s="223">
        <v>63.851700000000001</v>
      </c>
      <c r="R436"/>
      <c r="S436"/>
    </row>
    <row r="437" spans="1:19" x14ac:dyDescent="0.35">
      <c r="A437" s="221">
        <v>43795</v>
      </c>
      <c r="B437" s="222">
        <v>46.330813155606457</v>
      </c>
      <c r="C437"/>
      <c r="D437" s="221">
        <v>43795</v>
      </c>
      <c r="E437" s="222">
        <v>108.8788</v>
      </c>
      <c r="F437" s="222">
        <v>65.697900000000004</v>
      </c>
      <c r="G437" s="222">
        <v>92.311300000000003</v>
      </c>
      <c r="H437"/>
      <c r="I437" s="221">
        <v>43795</v>
      </c>
      <c r="J437" s="222">
        <v>65.697900000000004</v>
      </c>
      <c r="K437" s="222">
        <v>66.216899999999995</v>
      </c>
      <c r="L437"/>
      <c r="M437"/>
      <c r="N437"/>
      <c r="O437" s="221">
        <v>43795</v>
      </c>
      <c r="P437" s="223">
        <v>18.296500000000002</v>
      </c>
      <c r="Q437" s="223">
        <v>66.216899999999995</v>
      </c>
      <c r="R437"/>
      <c r="S437"/>
    </row>
    <row r="438" spans="1:19" x14ac:dyDescent="0.35">
      <c r="A438" s="221">
        <v>43794</v>
      </c>
      <c r="B438" s="222">
        <v>47.216347045928707</v>
      </c>
      <c r="C438"/>
      <c r="D438" s="221">
        <v>43794</v>
      </c>
      <c r="E438" s="222">
        <v>108.19889999999999</v>
      </c>
      <c r="F438" s="222">
        <v>63.422600000000003</v>
      </c>
      <c r="G438" s="222">
        <v>92.370500000000007</v>
      </c>
      <c r="H438"/>
      <c r="I438" s="221">
        <v>43794</v>
      </c>
      <c r="J438" s="222">
        <v>63.422600000000003</v>
      </c>
      <c r="K438" s="222">
        <v>71.106200000000001</v>
      </c>
      <c r="L438"/>
      <c r="M438"/>
      <c r="N438"/>
      <c r="O438" s="221">
        <v>43794</v>
      </c>
      <c r="P438" s="223">
        <v>17.4834</v>
      </c>
      <c r="Q438" s="223">
        <v>71.106200000000001</v>
      </c>
      <c r="R438"/>
      <c r="S438"/>
    </row>
    <row r="439" spans="1:19" x14ac:dyDescent="0.35">
      <c r="A439" s="221">
        <v>43791</v>
      </c>
      <c r="B439" s="222">
        <v>47.011839627637301</v>
      </c>
      <c r="C439"/>
      <c r="D439" s="221">
        <v>43791</v>
      </c>
      <c r="E439" s="222">
        <v>108.0802</v>
      </c>
      <c r="F439" s="222">
        <v>63.403399999999998</v>
      </c>
      <c r="G439" s="222">
        <v>92.346000000000004</v>
      </c>
      <c r="H439"/>
      <c r="I439" s="221">
        <v>43791</v>
      </c>
      <c r="J439" s="222">
        <v>63.403399999999998</v>
      </c>
      <c r="K439" s="222">
        <v>70.965599999999995</v>
      </c>
      <c r="L439"/>
      <c r="M439"/>
      <c r="N439"/>
      <c r="O439" s="221">
        <v>43791</v>
      </c>
      <c r="P439" s="223">
        <v>17.3825</v>
      </c>
      <c r="Q439" s="223">
        <v>70.965599999999995</v>
      </c>
      <c r="R439"/>
      <c r="S439"/>
    </row>
    <row r="440" spans="1:19" x14ac:dyDescent="0.35">
      <c r="A440" s="221">
        <v>43790</v>
      </c>
      <c r="B440" s="222">
        <v>43.947222188668299</v>
      </c>
      <c r="C440"/>
      <c r="D440" s="221">
        <v>43790</v>
      </c>
      <c r="E440" s="222">
        <v>108.0973</v>
      </c>
      <c r="F440" s="222">
        <v>66.558300000000003</v>
      </c>
      <c r="G440" s="222">
        <v>92.3</v>
      </c>
      <c r="H440"/>
      <c r="I440" s="221">
        <v>43790</v>
      </c>
      <c r="J440" s="222">
        <v>66.558300000000003</v>
      </c>
      <c r="K440" s="222">
        <v>62.885800000000003</v>
      </c>
      <c r="L440"/>
      <c r="M440"/>
      <c r="N440"/>
      <c r="O440" s="221">
        <v>43790</v>
      </c>
      <c r="P440" s="223">
        <v>17.458300000000001</v>
      </c>
      <c r="Q440" s="223">
        <v>62.885800000000003</v>
      </c>
      <c r="R440"/>
      <c r="S440"/>
    </row>
    <row r="441" spans="1:19" x14ac:dyDescent="0.35">
      <c r="A441" s="221">
        <v>43789</v>
      </c>
      <c r="B441" s="222">
        <v>44.15035253876006</v>
      </c>
      <c r="C441"/>
      <c r="D441" s="221">
        <v>43789</v>
      </c>
      <c r="E441" s="222">
        <v>108.29040000000001</v>
      </c>
      <c r="F441" s="222">
        <v>66.921599999999998</v>
      </c>
      <c r="G441" s="222">
        <v>92.175700000000006</v>
      </c>
      <c r="H441"/>
      <c r="I441" s="221">
        <v>43789</v>
      </c>
      <c r="J441" s="222">
        <v>66.921599999999998</v>
      </c>
      <c r="K441" s="222">
        <v>62.288400000000003</v>
      </c>
      <c r="L441"/>
      <c r="M441"/>
      <c r="N441"/>
      <c r="O441" s="221">
        <v>43789</v>
      </c>
      <c r="P441" s="223">
        <v>17.824999999999999</v>
      </c>
      <c r="Q441" s="223">
        <v>62.288400000000003</v>
      </c>
      <c r="R441"/>
      <c r="S441"/>
    </row>
    <row r="442" spans="1:19" x14ac:dyDescent="0.35">
      <c r="A442" s="221">
        <v>43788</v>
      </c>
      <c r="B442" s="222">
        <v>41.825910151004791</v>
      </c>
      <c r="C442"/>
      <c r="D442" s="221">
        <v>43788</v>
      </c>
      <c r="E442" s="222">
        <v>108.5855</v>
      </c>
      <c r="F442" s="222">
        <v>70.076499999999996</v>
      </c>
      <c r="G442" s="222">
        <v>92.073400000000007</v>
      </c>
      <c r="H442"/>
      <c r="I442" s="221">
        <v>43788</v>
      </c>
      <c r="J442" s="222">
        <v>70.076499999999996</v>
      </c>
      <c r="K442" s="222">
        <v>55.401600000000002</v>
      </c>
      <c r="L442"/>
      <c r="M442"/>
      <c r="N442"/>
      <c r="O442" s="221">
        <v>43788</v>
      </c>
      <c r="P442" s="223">
        <v>18.275200000000002</v>
      </c>
      <c r="Q442" s="223">
        <v>55.401600000000002</v>
      </c>
      <c r="R442"/>
      <c r="S442"/>
    </row>
    <row r="443" spans="1:19" x14ac:dyDescent="0.35">
      <c r="A443" s="221">
        <v>43787</v>
      </c>
      <c r="B443" s="222">
        <v>42.062739675097603</v>
      </c>
      <c r="C443"/>
      <c r="D443" s="221">
        <v>43787</v>
      </c>
      <c r="E443" s="222">
        <v>108.2766</v>
      </c>
      <c r="F443" s="222">
        <v>69.5411</v>
      </c>
      <c r="G443" s="222">
        <v>91.918800000000005</v>
      </c>
      <c r="H443"/>
      <c r="I443" s="221">
        <v>43787</v>
      </c>
      <c r="J443" s="222">
        <v>69.5411</v>
      </c>
      <c r="K443" s="222">
        <v>56.152299999999997</v>
      </c>
      <c r="L443"/>
      <c r="M443"/>
      <c r="N443"/>
      <c r="O443" s="221">
        <v>43787</v>
      </c>
      <c r="P443" s="223">
        <v>18.136900000000001</v>
      </c>
      <c r="Q443" s="223">
        <v>56.152299999999997</v>
      </c>
      <c r="R443"/>
      <c r="S443"/>
    </row>
    <row r="444" spans="1:19" x14ac:dyDescent="0.35">
      <c r="A444" s="221">
        <v>43784</v>
      </c>
      <c r="B444" s="222">
        <v>39.877662853639237</v>
      </c>
      <c r="C444"/>
      <c r="D444" s="221">
        <v>43784</v>
      </c>
      <c r="E444" s="222">
        <v>107.3899</v>
      </c>
      <c r="F444" s="222">
        <v>70.305899999999994</v>
      </c>
      <c r="G444" s="222">
        <v>91.8429</v>
      </c>
      <c r="H444"/>
      <c r="I444" s="221">
        <v>43784</v>
      </c>
      <c r="J444" s="222">
        <v>70.305899999999994</v>
      </c>
      <c r="K444" s="222">
        <v>53.1877</v>
      </c>
      <c r="L444"/>
      <c r="M444"/>
      <c r="N444"/>
      <c r="O444" s="221">
        <v>43784</v>
      </c>
      <c r="P444" s="223">
        <v>17.265499999999999</v>
      </c>
      <c r="Q444" s="223">
        <v>53.1877</v>
      </c>
      <c r="R444"/>
      <c r="S444"/>
    </row>
    <row r="445" spans="1:19" x14ac:dyDescent="0.35">
      <c r="A445" s="221">
        <v>43783</v>
      </c>
      <c r="B445" s="222">
        <v>43.419018714120881</v>
      </c>
      <c r="C445"/>
      <c r="D445" s="221">
        <v>43783</v>
      </c>
      <c r="E445" s="222">
        <v>109.057</v>
      </c>
      <c r="F445" s="222">
        <v>69.655799999999999</v>
      </c>
      <c r="G445" s="222">
        <v>91.823499999999996</v>
      </c>
      <c r="H445"/>
      <c r="I445" s="221">
        <v>43783</v>
      </c>
      <c r="J445" s="222">
        <v>69.655799999999999</v>
      </c>
      <c r="K445" s="222">
        <v>57.0092</v>
      </c>
      <c r="L445"/>
      <c r="M445"/>
      <c r="N445"/>
      <c r="O445" s="221">
        <v>43783</v>
      </c>
      <c r="P445" s="223">
        <v>19.104600000000001</v>
      </c>
      <c r="Q445" s="223">
        <v>57.0092</v>
      </c>
      <c r="R445"/>
      <c r="S445"/>
    </row>
    <row r="446" spans="1:19" x14ac:dyDescent="0.35">
      <c r="A446" s="221">
        <v>43782</v>
      </c>
      <c r="B446" s="222">
        <v>42.358298717622304</v>
      </c>
      <c r="C446"/>
      <c r="D446" s="221">
        <v>43782</v>
      </c>
      <c r="E446" s="222">
        <v>108.59010000000001</v>
      </c>
      <c r="F446" s="222">
        <v>69.885300000000001</v>
      </c>
      <c r="G446" s="222">
        <v>91.828999999999994</v>
      </c>
      <c r="H446"/>
      <c r="I446" s="221">
        <v>43782</v>
      </c>
      <c r="J446" s="222">
        <v>69.885300000000001</v>
      </c>
      <c r="K446" s="222">
        <v>55.823900000000002</v>
      </c>
      <c r="L446"/>
      <c r="M446"/>
      <c r="N446"/>
      <c r="O446" s="221">
        <v>43782</v>
      </c>
      <c r="P446" s="223">
        <v>18.587800000000001</v>
      </c>
      <c r="Q446" s="223">
        <v>55.823900000000002</v>
      </c>
      <c r="R446"/>
      <c r="S446"/>
    </row>
    <row r="447" spans="1:19" x14ac:dyDescent="0.35">
      <c r="A447" s="221">
        <v>43781</v>
      </c>
      <c r="B447" s="222">
        <v>43.639614802583658</v>
      </c>
      <c r="C447"/>
      <c r="D447" s="221">
        <v>43781</v>
      </c>
      <c r="E447" s="222">
        <v>109.0822</v>
      </c>
      <c r="F447" s="222">
        <v>69.445499999999996</v>
      </c>
      <c r="G447" s="222">
        <v>91.829800000000006</v>
      </c>
      <c r="H447"/>
      <c r="I447" s="221">
        <v>43781</v>
      </c>
      <c r="J447" s="222">
        <v>69.445499999999996</v>
      </c>
      <c r="K447" s="222">
        <v>57.517800000000001</v>
      </c>
      <c r="L447"/>
      <c r="M447"/>
      <c r="N447"/>
      <c r="O447" s="221">
        <v>43781</v>
      </c>
      <c r="P447" s="223">
        <v>19.121500000000001</v>
      </c>
      <c r="Q447" s="223">
        <v>57.517800000000001</v>
      </c>
      <c r="R447"/>
      <c r="S447"/>
    </row>
    <row r="448" spans="1:19" x14ac:dyDescent="0.35">
      <c r="A448" s="221">
        <v>43780</v>
      </c>
      <c r="B448" s="222">
        <v>44.917395471595832</v>
      </c>
      <c r="C448"/>
      <c r="D448" s="221">
        <v>43780</v>
      </c>
      <c r="E448" s="222">
        <v>109.49420000000001</v>
      </c>
      <c r="F448" s="222">
        <v>69.043999999999997</v>
      </c>
      <c r="G448" s="222">
        <v>91.706599999999995</v>
      </c>
      <c r="H448"/>
      <c r="I448" s="221">
        <v>43780</v>
      </c>
      <c r="J448" s="222">
        <v>69.043999999999997</v>
      </c>
      <c r="K448" s="222">
        <v>59.029000000000003</v>
      </c>
      <c r="L448"/>
      <c r="M448"/>
      <c r="N448"/>
      <c r="O448" s="221">
        <v>43780</v>
      </c>
      <c r="P448" s="223">
        <v>19.729700000000001</v>
      </c>
      <c r="Q448" s="223">
        <v>59.029000000000003</v>
      </c>
      <c r="R448"/>
      <c r="S448"/>
    </row>
    <row r="449" spans="1:19" x14ac:dyDescent="0.35">
      <c r="A449" s="221">
        <v>43777</v>
      </c>
      <c r="B449" s="222">
        <v>44.106245234902467</v>
      </c>
      <c r="C449"/>
      <c r="D449" s="221">
        <v>43777</v>
      </c>
      <c r="E449" s="222">
        <v>110.19750000000001</v>
      </c>
      <c r="F449" s="222">
        <v>71.166399999999996</v>
      </c>
      <c r="G449" s="222">
        <v>91.674700000000001</v>
      </c>
      <c r="H449"/>
      <c r="I449" s="221">
        <v>43777</v>
      </c>
      <c r="J449" s="222">
        <v>71.166399999999996</v>
      </c>
      <c r="K449" s="222">
        <v>55.2699</v>
      </c>
      <c r="L449"/>
      <c r="M449"/>
      <c r="N449"/>
      <c r="O449" s="221">
        <v>43777</v>
      </c>
      <c r="P449" s="223">
        <v>20.5349</v>
      </c>
      <c r="Q449" s="223">
        <v>55.2699</v>
      </c>
      <c r="R449"/>
      <c r="S449"/>
    </row>
    <row r="450" spans="1:19" x14ac:dyDescent="0.35">
      <c r="A450" s="221">
        <v>43776</v>
      </c>
      <c r="B450" s="222">
        <v>43.887399503607028</v>
      </c>
      <c r="C450"/>
      <c r="D450" s="221">
        <v>43776</v>
      </c>
      <c r="E450" s="222">
        <v>109.8086</v>
      </c>
      <c r="F450" s="222">
        <v>70.9178</v>
      </c>
      <c r="G450" s="222">
        <v>91.532200000000003</v>
      </c>
      <c r="H450"/>
      <c r="I450" s="221">
        <v>43776</v>
      </c>
      <c r="J450" s="222">
        <v>70.9178</v>
      </c>
      <c r="K450" s="222">
        <v>55.264299999999999</v>
      </c>
      <c r="L450"/>
      <c r="M450"/>
      <c r="N450"/>
      <c r="O450" s="221">
        <v>43776</v>
      </c>
      <c r="P450" s="223">
        <v>20.296500000000002</v>
      </c>
      <c r="Q450" s="223">
        <v>55.264299999999999</v>
      </c>
      <c r="R450"/>
      <c r="S450"/>
    </row>
    <row r="451" spans="1:19" x14ac:dyDescent="0.35">
      <c r="A451" s="221">
        <v>43775</v>
      </c>
      <c r="B451" s="222">
        <v>43.257698304084755</v>
      </c>
      <c r="C451"/>
      <c r="D451" s="221">
        <v>43775</v>
      </c>
      <c r="E451" s="222">
        <v>109.69970000000001</v>
      </c>
      <c r="F451" s="222">
        <v>71.567899999999995</v>
      </c>
      <c r="G451" s="222">
        <v>91.425700000000006</v>
      </c>
      <c r="H451"/>
      <c r="I451" s="221">
        <v>43775</v>
      </c>
      <c r="J451" s="222">
        <v>71.567899999999995</v>
      </c>
      <c r="K451" s="222">
        <v>53.700200000000002</v>
      </c>
      <c r="L451"/>
      <c r="M451"/>
      <c r="N451"/>
      <c r="O451" s="221">
        <v>43775</v>
      </c>
      <c r="P451" s="223">
        <v>20.316299999999998</v>
      </c>
      <c r="Q451" s="223">
        <v>53.700200000000002</v>
      </c>
      <c r="R451"/>
      <c r="S451"/>
    </row>
    <row r="452" spans="1:19" x14ac:dyDescent="0.35">
      <c r="A452" s="221">
        <v>43774</v>
      </c>
      <c r="B452" s="222">
        <v>41.996281405245917</v>
      </c>
      <c r="C452"/>
      <c r="D452" s="221">
        <v>43774</v>
      </c>
      <c r="E452" s="222">
        <v>109.70180000000001</v>
      </c>
      <c r="F452" s="222">
        <v>73.116600000000005</v>
      </c>
      <c r="G452" s="222">
        <v>91.300899999999999</v>
      </c>
      <c r="H452"/>
      <c r="I452" s="221">
        <v>43774</v>
      </c>
      <c r="J452" s="222">
        <v>73.116600000000005</v>
      </c>
      <c r="K452" s="222">
        <v>50.445999999999998</v>
      </c>
      <c r="L452"/>
      <c r="M452"/>
      <c r="N452"/>
      <c r="O452" s="221">
        <v>43774</v>
      </c>
      <c r="P452" s="223">
        <v>20.4818</v>
      </c>
      <c r="Q452" s="223">
        <v>50.445999999999998</v>
      </c>
      <c r="R452"/>
      <c r="S452"/>
    </row>
    <row r="453" spans="1:19" x14ac:dyDescent="0.35">
      <c r="A453" s="221">
        <v>43773</v>
      </c>
      <c r="B453" s="222">
        <v>41.94439444981731</v>
      </c>
      <c r="C453"/>
      <c r="D453" s="221">
        <v>43773</v>
      </c>
      <c r="E453" s="222">
        <v>109.7319</v>
      </c>
      <c r="F453" s="222">
        <v>73.231399999999994</v>
      </c>
      <c r="G453" s="222">
        <v>91.287899999999993</v>
      </c>
      <c r="H453"/>
      <c r="I453" s="221">
        <v>43773</v>
      </c>
      <c r="J453" s="222">
        <v>73.231399999999994</v>
      </c>
      <c r="K453" s="222">
        <v>50.2498</v>
      </c>
      <c r="L453"/>
      <c r="M453"/>
      <c r="N453"/>
      <c r="O453" s="221">
        <v>43773</v>
      </c>
      <c r="P453" s="223">
        <v>20.530799999999999</v>
      </c>
      <c r="Q453" s="223">
        <v>50.2498</v>
      </c>
      <c r="R453"/>
      <c r="S453"/>
    </row>
    <row r="454" spans="1:19" x14ac:dyDescent="0.35">
      <c r="A454" s="221">
        <v>43770</v>
      </c>
      <c r="B454" s="222">
        <v>42.817905067394136</v>
      </c>
      <c r="C454"/>
      <c r="D454" s="221">
        <v>43770</v>
      </c>
      <c r="E454" s="222">
        <v>109.7042</v>
      </c>
      <c r="F454" s="222">
        <v>72.447400000000002</v>
      </c>
      <c r="G454" s="222">
        <v>91.152100000000004</v>
      </c>
      <c r="H454"/>
      <c r="I454" s="221">
        <v>43770</v>
      </c>
      <c r="J454" s="222">
        <v>72.447400000000002</v>
      </c>
      <c r="K454" s="222">
        <v>51.832900000000002</v>
      </c>
      <c r="L454"/>
      <c r="M454"/>
      <c r="N454"/>
      <c r="O454" s="221">
        <v>43770</v>
      </c>
      <c r="P454" s="223">
        <v>20.676300000000001</v>
      </c>
      <c r="Q454" s="223">
        <v>51.832900000000002</v>
      </c>
      <c r="R454"/>
      <c r="S454"/>
    </row>
    <row r="455" spans="1:19" x14ac:dyDescent="0.35">
      <c r="A455" s="221">
        <v>43769</v>
      </c>
      <c r="B455" s="222">
        <v>39.790268668630965</v>
      </c>
      <c r="C455"/>
      <c r="D455" s="221">
        <v>43769</v>
      </c>
      <c r="E455" s="222">
        <v>108.1563</v>
      </c>
      <c r="F455" s="222">
        <v>72.657700000000006</v>
      </c>
      <c r="G455" s="222">
        <v>91.266599999999997</v>
      </c>
      <c r="H455"/>
      <c r="I455" s="221">
        <v>43769</v>
      </c>
      <c r="J455" s="222">
        <v>72.657700000000006</v>
      </c>
      <c r="K455" s="222">
        <v>49.261499999999998</v>
      </c>
      <c r="L455"/>
      <c r="M455"/>
      <c r="N455"/>
      <c r="O455" s="221">
        <v>43769</v>
      </c>
      <c r="P455" s="223">
        <v>18.8277</v>
      </c>
      <c r="Q455" s="223">
        <v>49.261499999999998</v>
      </c>
      <c r="R455"/>
      <c r="S455"/>
    </row>
    <row r="456" spans="1:19" x14ac:dyDescent="0.35">
      <c r="A456" s="221">
        <v>43768</v>
      </c>
      <c r="B456" s="222">
        <v>38.699973351932549</v>
      </c>
      <c r="C456"/>
      <c r="D456" s="221">
        <v>43768</v>
      </c>
      <c r="E456" s="222">
        <v>108.70740000000001</v>
      </c>
      <c r="F456" s="222">
        <v>74.569800000000001</v>
      </c>
      <c r="G456" s="222">
        <v>91.422300000000007</v>
      </c>
      <c r="H456"/>
      <c r="I456" s="221">
        <v>43768</v>
      </c>
      <c r="J456" s="222">
        <v>74.569800000000001</v>
      </c>
      <c r="K456" s="222">
        <v>46.171799999999998</v>
      </c>
      <c r="L456"/>
      <c r="M456"/>
      <c r="N456"/>
      <c r="O456" s="221">
        <v>43768</v>
      </c>
      <c r="P456" s="223">
        <v>19.226900000000001</v>
      </c>
      <c r="Q456" s="223">
        <v>46.171799999999998</v>
      </c>
      <c r="R456"/>
      <c r="S456"/>
    </row>
    <row r="457" spans="1:19" x14ac:dyDescent="0.35">
      <c r="A457" s="221">
        <v>43767</v>
      </c>
      <c r="B457" s="222">
        <v>41.227189595800546</v>
      </c>
      <c r="C457"/>
      <c r="D457" s="221">
        <v>43767</v>
      </c>
      <c r="E457" s="222">
        <v>109.8475</v>
      </c>
      <c r="F457" s="222">
        <v>73.709400000000002</v>
      </c>
      <c r="G457" s="222">
        <v>91.502600000000001</v>
      </c>
      <c r="H457"/>
      <c r="I457" s="221">
        <v>43767</v>
      </c>
      <c r="J457" s="222">
        <v>73.709400000000002</v>
      </c>
      <c r="K457" s="222">
        <v>49.423299999999998</v>
      </c>
      <c r="L457"/>
      <c r="M457"/>
      <c r="N457"/>
      <c r="O457" s="221">
        <v>43767</v>
      </c>
      <c r="P457" s="223">
        <v>20.367100000000001</v>
      </c>
      <c r="Q457" s="223">
        <v>49.423299999999998</v>
      </c>
      <c r="R457"/>
      <c r="S457"/>
    </row>
    <row r="458" spans="1:19" x14ac:dyDescent="0.35">
      <c r="A458" s="221">
        <v>43766</v>
      </c>
      <c r="B458" s="222">
        <v>41.031887735863357</v>
      </c>
      <c r="C458"/>
      <c r="D458" s="221">
        <v>43766</v>
      </c>
      <c r="E458" s="222">
        <v>110.7106</v>
      </c>
      <c r="F458" s="222">
        <v>75.353700000000003</v>
      </c>
      <c r="G458" s="222">
        <v>91.548100000000005</v>
      </c>
      <c r="H458"/>
      <c r="I458" s="221">
        <v>43766</v>
      </c>
      <c r="J458" s="222">
        <v>75.353700000000003</v>
      </c>
      <c r="K458" s="222">
        <v>47.306600000000003</v>
      </c>
      <c r="L458"/>
      <c r="M458"/>
      <c r="N458"/>
      <c r="O458" s="221">
        <v>43766</v>
      </c>
      <c r="P458" s="223">
        <v>21.248799999999999</v>
      </c>
      <c r="Q458" s="223">
        <v>47.306600000000003</v>
      </c>
      <c r="R458"/>
      <c r="S458"/>
    </row>
    <row r="459" spans="1:19" x14ac:dyDescent="0.35">
      <c r="A459" s="221">
        <v>43763</v>
      </c>
      <c r="B459" s="222">
        <v>39.423143684295638</v>
      </c>
      <c r="C459"/>
      <c r="D459" s="221">
        <v>43763</v>
      </c>
      <c r="E459" s="222">
        <v>109.7129</v>
      </c>
      <c r="F459" s="222">
        <v>75.200800000000001</v>
      </c>
      <c r="G459" s="222">
        <v>91.593500000000006</v>
      </c>
      <c r="H459"/>
      <c r="I459" s="221">
        <v>43763</v>
      </c>
      <c r="J459" s="222">
        <v>75.200800000000001</v>
      </c>
      <c r="K459" s="222">
        <v>46.274999999999999</v>
      </c>
      <c r="L459"/>
      <c r="M459"/>
      <c r="N459"/>
      <c r="O459" s="221">
        <v>43763</v>
      </c>
      <c r="P459" s="223">
        <v>20.0959</v>
      </c>
      <c r="Q459" s="223">
        <v>46.274999999999999</v>
      </c>
      <c r="R459"/>
      <c r="S459"/>
    </row>
    <row r="460" spans="1:19" x14ac:dyDescent="0.35">
      <c r="A460" s="221">
        <v>43762</v>
      </c>
      <c r="B460" s="222">
        <v>39.034394730917782</v>
      </c>
      <c r="C460"/>
      <c r="D460" s="221">
        <v>43762</v>
      </c>
      <c r="E460" s="222">
        <v>108.714</v>
      </c>
      <c r="F460" s="222">
        <v>73.805000000000007</v>
      </c>
      <c r="G460" s="222">
        <v>91.594399999999993</v>
      </c>
      <c r="H460"/>
      <c r="I460" s="221">
        <v>43762</v>
      </c>
      <c r="J460" s="222">
        <v>73.805000000000007</v>
      </c>
      <c r="K460" s="222">
        <v>47.686500000000002</v>
      </c>
      <c r="L460"/>
      <c r="M460"/>
      <c r="N460"/>
      <c r="O460" s="221">
        <v>43762</v>
      </c>
      <c r="P460" s="223">
        <v>19.0029</v>
      </c>
      <c r="Q460" s="223">
        <v>47.686500000000002</v>
      </c>
      <c r="R460"/>
      <c r="S460"/>
    </row>
    <row r="461" spans="1:19" x14ac:dyDescent="0.35">
      <c r="A461" s="221">
        <v>43761</v>
      </c>
      <c r="B461" s="222">
        <v>39.31305090254272</v>
      </c>
      <c r="C461"/>
      <c r="D461" s="221">
        <v>43761</v>
      </c>
      <c r="E461" s="222">
        <v>108.23309999999999</v>
      </c>
      <c r="F461" s="222">
        <v>72.370900000000006</v>
      </c>
      <c r="G461" s="222">
        <v>91.712999999999994</v>
      </c>
      <c r="H461"/>
      <c r="I461" s="221">
        <v>43761</v>
      </c>
      <c r="J461" s="222">
        <v>72.370900000000006</v>
      </c>
      <c r="K461" s="222">
        <v>49.947000000000003</v>
      </c>
      <c r="L461"/>
      <c r="M461"/>
      <c r="N461"/>
      <c r="O461" s="221">
        <v>43761</v>
      </c>
      <c r="P461" s="223">
        <v>18.323499999999999</v>
      </c>
      <c r="Q461" s="223">
        <v>49.947000000000003</v>
      </c>
      <c r="R461"/>
      <c r="S461"/>
    </row>
    <row r="462" spans="1:19" x14ac:dyDescent="0.35">
      <c r="A462" s="221">
        <v>43760</v>
      </c>
      <c r="B462" s="222">
        <v>40.892304258889091</v>
      </c>
      <c r="C462"/>
      <c r="D462" s="221">
        <v>43760</v>
      </c>
      <c r="E462" s="222">
        <v>108.4962</v>
      </c>
      <c r="F462" s="222">
        <v>71.070700000000002</v>
      </c>
      <c r="G462" s="222">
        <v>91.729399999999998</v>
      </c>
      <c r="H462"/>
      <c r="I462" s="221">
        <v>43760</v>
      </c>
      <c r="J462" s="222">
        <v>71.070700000000002</v>
      </c>
      <c r="K462" s="222">
        <v>53.058900000000001</v>
      </c>
      <c r="L462"/>
      <c r="M462"/>
      <c r="N462"/>
      <c r="O462" s="221">
        <v>43760</v>
      </c>
      <c r="P462" s="224">
        <v>18.587900000000001</v>
      </c>
      <c r="Q462" s="224">
        <v>53.058900000000001</v>
      </c>
      <c r="R462"/>
      <c r="S462"/>
    </row>
    <row r="463" spans="1:19" x14ac:dyDescent="0.35">
      <c r="A463" s="221">
        <v>43759</v>
      </c>
      <c r="B463" s="222">
        <v>42.317429910122648</v>
      </c>
      <c r="C463"/>
      <c r="D463" s="221">
        <v>43759</v>
      </c>
      <c r="E463" s="222">
        <v>108.4443</v>
      </c>
      <c r="F463" s="222">
        <v>69.522000000000006</v>
      </c>
      <c r="G463" s="222">
        <v>91.679000000000002</v>
      </c>
      <c r="H463"/>
      <c r="I463" s="221">
        <v>43759</v>
      </c>
      <c r="J463" s="222">
        <v>69.522000000000006</v>
      </c>
      <c r="K463" s="222">
        <v>56.392200000000003</v>
      </c>
      <c r="L463"/>
      <c r="M463"/>
      <c r="N463"/>
      <c r="O463" s="221">
        <v>43759</v>
      </c>
      <c r="P463" s="224">
        <v>18.595300000000002</v>
      </c>
      <c r="Q463" s="224">
        <v>56.392200000000003</v>
      </c>
      <c r="R463"/>
      <c r="S463"/>
    </row>
    <row r="464" spans="1:19" x14ac:dyDescent="0.35">
      <c r="A464" s="221">
        <v>43756</v>
      </c>
      <c r="B464" s="222">
        <v>43.111718667598737</v>
      </c>
      <c r="C464"/>
      <c r="D464" s="221">
        <v>43756</v>
      </c>
      <c r="E464" s="222">
        <v>109.52849999999999</v>
      </c>
      <c r="F464" s="222">
        <v>70.535399999999996</v>
      </c>
      <c r="G464" s="222">
        <v>91.7226</v>
      </c>
      <c r="H464"/>
      <c r="I464" s="221">
        <v>43756</v>
      </c>
      <c r="J464" s="222">
        <v>70.535399999999996</v>
      </c>
      <c r="K464" s="222">
        <v>55.677900000000001</v>
      </c>
      <c r="L464"/>
      <c r="M464"/>
      <c r="N464"/>
      <c r="O464" s="221">
        <v>43756</v>
      </c>
      <c r="P464" s="224">
        <v>19.717500000000001</v>
      </c>
      <c r="Q464" s="224">
        <v>55.677900000000001</v>
      </c>
      <c r="R464"/>
      <c r="S464"/>
    </row>
    <row r="465" spans="1:19" x14ac:dyDescent="0.35">
      <c r="A465" s="221">
        <v>43755</v>
      </c>
      <c r="B465" s="222">
        <v>42.041183455322781</v>
      </c>
      <c r="C465"/>
      <c r="D465" s="221">
        <v>43755</v>
      </c>
      <c r="E465" s="222">
        <v>109.7216</v>
      </c>
      <c r="F465" s="222">
        <v>71.988500000000002</v>
      </c>
      <c r="G465" s="222">
        <v>91.731200000000001</v>
      </c>
      <c r="H465"/>
      <c r="I465" s="221">
        <v>43755</v>
      </c>
      <c r="J465" s="222">
        <v>71.988500000000002</v>
      </c>
      <c r="K465" s="222">
        <v>52.802199999999999</v>
      </c>
      <c r="L465"/>
      <c r="M465"/>
      <c r="N465"/>
      <c r="O465" s="221">
        <v>43755</v>
      </c>
      <c r="P465" s="224">
        <v>19.915600000000001</v>
      </c>
      <c r="Q465" s="224">
        <v>52.802199999999999</v>
      </c>
      <c r="R465"/>
      <c r="S465"/>
    </row>
    <row r="466" spans="1:19" x14ac:dyDescent="0.35">
      <c r="A466" s="221">
        <v>43754</v>
      </c>
      <c r="B466" s="222">
        <v>42.260579680585138</v>
      </c>
      <c r="C466"/>
      <c r="D466" s="221">
        <v>43754</v>
      </c>
      <c r="E466" s="222">
        <v>109.0527</v>
      </c>
      <c r="F466" s="222">
        <v>70.554500000000004</v>
      </c>
      <c r="G466" s="222">
        <v>91.712900000000005</v>
      </c>
      <c r="H466"/>
      <c r="I466" s="221">
        <v>43754</v>
      </c>
      <c r="J466" s="222">
        <v>70.554500000000004</v>
      </c>
      <c r="K466" s="222">
        <v>54.958199999999998</v>
      </c>
      <c r="L466"/>
      <c r="M466"/>
      <c r="N466"/>
      <c r="O466" s="221">
        <v>43754</v>
      </c>
      <c r="P466" s="224">
        <v>19.209</v>
      </c>
      <c r="Q466" s="224">
        <v>54.958199999999998</v>
      </c>
      <c r="R466"/>
      <c r="S466"/>
    </row>
    <row r="467" spans="1:19" x14ac:dyDescent="0.35">
      <c r="A467" s="221">
        <v>43753</v>
      </c>
      <c r="B467" s="222">
        <v>41.943361555709728</v>
      </c>
      <c r="C467"/>
      <c r="D467" s="221">
        <v>43753</v>
      </c>
      <c r="E467" s="222">
        <v>109.5338</v>
      </c>
      <c r="F467" s="222">
        <v>71.778199999999998</v>
      </c>
      <c r="G467" s="222">
        <v>91.697900000000004</v>
      </c>
      <c r="H467"/>
      <c r="I467" s="221">
        <v>43753</v>
      </c>
      <c r="J467" s="222">
        <v>71.778199999999998</v>
      </c>
      <c r="K467" s="222">
        <v>52.985199999999999</v>
      </c>
      <c r="L467"/>
      <c r="M467"/>
      <c r="N467"/>
      <c r="O467" s="221">
        <v>43753</v>
      </c>
      <c r="P467" s="224">
        <v>19.751899999999999</v>
      </c>
      <c r="Q467" s="224">
        <v>52.985199999999999</v>
      </c>
      <c r="R467"/>
      <c r="S467"/>
    </row>
    <row r="468" spans="1:19" x14ac:dyDescent="0.35">
      <c r="A468" s="221">
        <v>43752</v>
      </c>
      <c r="B468" s="222">
        <v>41.58413445373678</v>
      </c>
      <c r="C468"/>
      <c r="D468" s="221">
        <v>43752</v>
      </c>
      <c r="E468" s="222">
        <v>110.0249</v>
      </c>
      <c r="F468" s="222">
        <v>73.040199999999999</v>
      </c>
      <c r="G468" s="222">
        <v>91.695099999999996</v>
      </c>
      <c r="H468"/>
      <c r="I468" s="221">
        <v>43752</v>
      </c>
      <c r="J468" s="222">
        <v>73.040199999999999</v>
      </c>
      <c r="K468" s="222">
        <v>51.012700000000002</v>
      </c>
      <c r="L468"/>
      <c r="M468"/>
      <c r="N468"/>
      <c r="O468" s="221">
        <v>43752</v>
      </c>
      <c r="P468" s="224">
        <v>20.29</v>
      </c>
      <c r="Q468" s="224">
        <v>51.012700000000002</v>
      </c>
      <c r="R468"/>
      <c r="S468"/>
    </row>
    <row r="469" spans="1:19" x14ac:dyDescent="0.35">
      <c r="A469" s="221">
        <v>43749</v>
      </c>
      <c r="B469" s="222">
        <v>40.946881188969932</v>
      </c>
      <c r="C469"/>
      <c r="D469" s="221">
        <v>43749</v>
      </c>
      <c r="E469" s="222">
        <v>108.0282</v>
      </c>
      <c r="F469" s="222">
        <v>70.076499999999996</v>
      </c>
      <c r="G469" s="222">
        <v>91.657899999999998</v>
      </c>
      <c r="H469"/>
      <c r="I469" s="221">
        <v>43749</v>
      </c>
      <c r="J469" s="222">
        <v>70.076499999999996</v>
      </c>
      <c r="K469" s="222">
        <v>54.545400000000001</v>
      </c>
      <c r="L469"/>
      <c r="M469"/>
      <c r="N469"/>
      <c r="O469" s="221">
        <v>43749</v>
      </c>
      <c r="P469" s="224">
        <v>18.1568</v>
      </c>
      <c r="Q469" s="224">
        <v>54.545400000000001</v>
      </c>
      <c r="R469"/>
      <c r="S469"/>
    </row>
    <row r="470" spans="1:19" x14ac:dyDescent="0.35">
      <c r="A470" s="221">
        <v>43748</v>
      </c>
      <c r="B470" s="222">
        <v>40.366135974819819</v>
      </c>
      <c r="C470"/>
      <c r="D470" s="221">
        <v>43748</v>
      </c>
      <c r="E470" s="222">
        <v>107.7393</v>
      </c>
      <c r="F470" s="222">
        <v>70.1721</v>
      </c>
      <c r="G470" s="222">
        <v>91.643799999999999</v>
      </c>
      <c r="H470"/>
      <c r="I470" s="221">
        <v>43748</v>
      </c>
      <c r="J470" s="222">
        <v>70.1721</v>
      </c>
      <c r="K470" s="222">
        <v>53.921599999999998</v>
      </c>
      <c r="L470"/>
      <c r="M470"/>
      <c r="N470"/>
      <c r="O470" s="221">
        <v>43748</v>
      </c>
      <c r="P470" s="224">
        <v>17.858499999999999</v>
      </c>
      <c r="Q470" s="224">
        <v>53.921599999999998</v>
      </c>
      <c r="R470"/>
      <c r="S470"/>
    </row>
    <row r="471" spans="1:19" x14ac:dyDescent="0.35">
      <c r="A471" s="221">
        <v>43747</v>
      </c>
      <c r="B471" s="222">
        <v>40.379924502150608</v>
      </c>
      <c r="C471"/>
      <c r="D471" s="221">
        <v>43747</v>
      </c>
      <c r="E471" s="222">
        <v>106.0504</v>
      </c>
      <c r="F471" s="222">
        <v>66.921599999999998</v>
      </c>
      <c r="G471" s="222">
        <v>91.634900000000002</v>
      </c>
      <c r="H471"/>
      <c r="I471" s="221">
        <v>43747</v>
      </c>
      <c r="J471" s="222">
        <v>66.921599999999998</v>
      </c>
      <c r="K471" s="222">
        <v>58.872500000000002</v>
      </c>
      <c r="L471"/>
      <c r="M471"/>
      <c r="N471"/>
      <c r="O471" s="221">
        <v>43747</v>
      </c>
      <c r="P471" s="224">
        <v>16.025700000000001</v>
      </c>
      <c r="Q471" s="224">
        <v>58.872500000000002</v>
      </c>
      <c r="R471"/>
      <c r="S471"/>
    </row>
    <row r="472" spans="1:19" x14ac:dyDescent="0.35">
      <c r="A472" s="221">
        <v>43746</v>
      </c>
      <c r="B472" s="222">
        <v>41.628448578850396</v>
      </c>
      <c r="C472"/>
      <c r="D472" s="221">
        <v>43746</v>
      </c>
      <c r="E472" s="222">
        <v>107.3415</v>
      </c>
      <c r="F472" s="222">
        <v>68.068799999999996</v>
      </c>
      <c r="G472" s="222">
        <v>91.62</v>
      </c>
      <c r="H472"/>
      <c r="I472" s="221">
        <v>43746</v>
      </c>
      <c r="J472" s="222">
        <v>68.068799999999996</v>
      </c>
      <c r="K472" s="222">
        <v>58.0901</v>
      </c>
      <c r="L472"/>
      <c r="M472"/>
      <c r="N472"/>
      <c r="O472" s="221">
        <v>43746</v>
      </c>
      <c r="P472" s="224">
        <v>17.452500000000001</v>
      </c>
      <c r="Q472" s="224">
        <v>58.0901</v>
      </c>
      <c r="R472"/>
      <c r="S472"/>
    </row>
    <row r="473" spans="1:19" x14ac:dyDescent="0.35">
      <c r="A473" s="221">
        <v>43738</v>
      </c>
      <c r="B473" s="222">
        <v>40.723542631534656</v>
      </c>
      <c r="C473"/>
      <c r="D473" s="221">
        <v>43738</v>
      </c>
      <c r="E473" s="222">
        <v>106.7403</v>
      </c>
      <c r="F473" s="222">
        <v>67.973200000000006</v>
      </c>
      <c r="G473" s="222">
        <v>91.505799999999994</v>
      </c>
      <c r="H473"/>
      <c r="I473" s="221">
        <v>43738</v>
      </c>
      <c r="J473" s="222">
        <v>67.973200000000006</v>
      </c>
      <c r="K473" s="222">
        <v>57.414999999999999</v>
      </c>
      <c r="L473"/>
      <c r="M473"/>
      <c r="N473"/>
      <c r="O473" s="221">
        <v>43738</v>
      </c>
      <c r="P473" s="224">
        <v>16.932500000000001</v>
      </c>
      <c r="Q473" s="224">
        <v>57.414999999999999</v>
      </c>
      <c r="R473"/>
      <c r="S473"/>
    </row>
    <row r="474" spans="1:19" x14ac:dyDescent="0.35">
      <c r="A474" s="221">
        <v>43735</v>
      </c>
      <c r="B474" s="222">
        <v>37.88502159116549</v>
      </c>
      <c r="C474"/>
      <c r="D474" s="221">
        <v>43735</v>
      </c>
      <c r="E474" s="222">
        <v>106.8536</v>
      </c>
      <c r="F474" s="222">
        <v>71.319299999999998</v>
      </c>
      <c r="G474" s="222">
        <v>91.485399999999998</v>
      </c>
      <c r="H474"/>
      <c r="I474" s="221">
        <v>43735</v>
      </c>
      <c r="J474" s="222">
        <v>71.319299999999998</v>
      </c>
      <c r="K474" s="222">
        <v>50.183799999999998</v>
      </c>
      <c r="L474"/>
      <c r="M474"/>
      <c r="N474"/>
      <c r="O474" s="221">
        <v>43735</v>
      </c>
      <c r="P474" s="224">
        <v>17.078800000000001</v>
      </c>
      <c r="Q474" s="224">
        <v>50.183799999999998</v>
      </c>
      <c r="R474"/>
      <c r="S474"/>
    </row>
    <row r="475" spans="1:19" x14ac:dyDescent="0.35">
      <c r="A475" s="221">
        <v>43734</v>
      </c>
      <c r="B475" s="222">
        <v>36.376409450661733</v>
      </c>
      <c r="C475"/>
      <c r="D475" s="221">
        <v>43734</v>
      </c>
      <c r="E475" s="222">
        <v>105.54470000000001</v>
      </c>
      <c r="F475" s="222">
        <v>70.363299999999995</v>
      </c>
      <c r="G475" s="222">
        <v>91.549400000000006</v>
      </c>
      <c r="H475"/>
      <c r="I475" s="221">
        <v>43734</v>
      </c>
      <c r="J475" s="222">
        <v>70.363299999999995</v>
      </c>
      <c r="K475" s="222">
        <v>50.362499999999997</v>
      </c>
      <c r="L475"/>
      <c r="M475"/>
      <c r="N475"/>
      <c r="O475" s="221">
        <v>43734</v>
      </c>
      <c r="P475" s="224">
        <v>15.566000000000001</v>
      </c>
      <c r="Q475" s="224">
        <v>50.362499999999997</v>
      </c>
      <c r="R475"/>
      <c r="S475"/>
    </row>
    <row r="476" spans="1:19" x14ac:dyDescent="0.35">
      <c r="A476" s="221">
        <v>43733</v>
      </c>
      <c r="B476" s="222">
        <v>39.072566634420191</v>
      </c>
      <c r="C476"/>
      <c r="D476" s="221">
        <v>43733</v>
      </c>
      <c r="E476" s="222">
        <v>107.5468</v>
      </c>
      <c r="F476" s="222">
        <v>71.223699999999994</v>
      </c>
      <c r="G476" s="222">
        <v>91.510400000000004</v>
      </c>
      <c r="H476"/>
      <c r="I476" s="221">
        <v>43733</v>
      </c>
      <c r="J476" s="222">
        <v>71.223699999999994</v>
      </c>
      <c r="K476" s="222">
        <v>51.355499999999999</v>
      </c>
      <c r="L476"/>
      <c r="M476"/>
      <c r="N476"/>
      <c r="O476" s="221">
        <v>43733</v>
      </c>
      <c r="P476" s="224">
        <v>17.8019</v>
      </c>
      <c r="Q476" s="224">
        <v>51.355499999999999</v>
      </c>
      <c r="R476"/>
      <c r="S476"/>
    </row>
    <row r="477" spans="1:19" x14ac:dyDescent="0.35">
      <c r="A477" s="221">
        <v>43732</v>
      </c>
      <c r="B477" s="222">
        <v>36.676884898301701</v>
      </c>
      <c r="C477"/>
      <c r="D477" s="221">
        <v>43732</v>
      </c>
      <c r="E477" s="222">
        <v>107.5468</v>
      </c>
      <c r="F477" s="222">
        <v>73.7667</v>
      </c>
      <c r="G477" s="222">
        <v>91.594200000000001</v>
      </c>
      <c r="H477"/>
      <c r="I477" s="221">
        <v>43732</v>
      </c>
      <c r="J477" s="222">
        <v>73.7667</v>
      </c>
      <c r="K477" s="222">
        <v>46.136400000000002</v>
      </c>
      <c r="L477"/>
      <c r="M477"/>
      <c r="N477"/>
      <c r="O477" s="221">
        <v>43732</v>
      </c>
      <c r="P477" s="224">
        <v>17.693000000000001</v>
      </c>
      <c r="Q477" s="224">
        <v>46.136400000000002</v>
      </c>
      <c r="R477"/>
      <c r="S477"/>
    </row>
    <row r="478" spans="1:19" x14ac:dyDescent="0.35">
      <c r="A478" s="221">
        <v>43731</v>
      </c>
      <c r="B478" s="222">
        <v>33.884373522867506</v>
      </c>
      <c r="C478"/>
      <c r="D478" s="221">
        <v>43731</v>
      </c>
      <c r="E478" s="222">
        <v>106.74890000000001</v>
      </c>
      <c r="F478" s="222">
        <v>75.621399999999994</v>
      </c>
      <c r="G478" s="222">
        <v>91.564800000000005</v>
      </c>
      <c r="H478"/>
      <c r="I478" s="221">
        <v>43731</v>
      </c>
      <c r="J478" s="222">
        <v>75.621399999999994</v>
      </c>
      <c r="K478" s="222">
        <v>41.495699999999999</v>
      </c>
      <c r="L478"/>
      <c r="M478"/>
      <c r="N478"/>
      <c r="O478" s="221">
        <v>43731</v>
      </c>
      <c r="P478" s="224">
        <v>16.8582</v>
      </c>
      <c r="Q478" s="224">
        <v>41.495699999999999</v>
      </c>
      <c r="R478"/>
      <c r="S478"/>
    </row>
    <row r="479" spans="1:19" x14ac:dyDescent="0.35">
      <c r="A479" s="221">
        <v>43728</v>
      </c>
      <c r="B479" s="222">
        <v>33.468326743095211</v>
      </c>
      <c r="C479"/>
      <c r="D479" s="221">
        <v>43728</v>
      </c>
      <c r="E479" s="222">
        <v>106.74120000000001</v>
      </c>
      <c r="F479" s="222">
        <v>76.003799999999998</v>
      </c>
      <c r="G479" s="222">
        <v>91.592699999999994</v>
      </c>
      <c r="H479"/>
      <c r="I479" s="221">
        <v>43728</v>
      </c>
      <c r="J479" s="222">
        <v>76.003799999999998</v>
      </c>
      <c r="K479" s="222">
        <v>40.769300000000001</v>
      </c>
      <c r="L479"/>
      <c r="M479"/>
      <c r="N479"/>
      <c r="O479" s="221">
        <v>43728</v>
      </c>
      <c r="P479" s="224">
        <v>16.810600000000001</v>
      </c>
      <c r="Q479" s="224">
        <v>40.769300000000001</v>
      </c>
      <c r="R479"/>
      <c r="S479"/>
    </row>
    <row r="480" spans="1:19" x14ac:dyDescent="0.35">
      <c r="A480" s="221">
        <v>43727</v>
      </c>
      <c r="B480" s="222">
        <v>36.46899700928563</v>
      </c>
      <c r="C480"/>
      <c r="D480" s="221">
        <v>43727</v>
      </c>
      <c r="E480" s="222">
        <v>106.6523</v>
      </c>
      <c r="F480" s="222">
        <v>72.179699999999997</v>
      </c>
      <c r="G480" s="222">
        <v>91.612200000000001</v>
      </c>
      <c r="H480"/>
      <c r="I480" s="221">
        <v>43727</v>
      </c>
      <c r="J480" s="222">
        <v>72.179699999999997</v>
      </c>
      <c r="K480" s="222">
        <v>48.102600000000002</v>
      </c>
      <c r="L480"/>
      <c r="M480"/>
      <c r="N480"/>
      <c r="O480" s="221">
        <v>43727</v>
      </c>
      <c r="P480" s="224">
        <v>16.6875</v>
      </c>
      <c r="Q480" s="224">
        <v>48.102600000000002</v>
      </c>
      <c r="R480"/>
      <c r="S480"/>
    </row>
    <row r="481" spans="1:19" x14ac:dyDescent="0.35">
      <c r="A481" s="221">
        <v>43726</v>
      </c>
      <c r="B481" s="222">
        <v>35.591342318731293</v>
      </c>
      <c r="C481"/>
      <c r="D481" s="221">
        <v>43726</v>
      </c>
      <c r="E481" s="222">
        <v>104.7534</v>
      </c>
      <c r="F481" s="222">
        <v>69.407300000000006</v>
      </c>
      <c r="G481" s="222">
        <v>91.6297</v>
      </c>
      <c r="H481"/>
      <c r="I481" s="221">
        <v>43726</v>
      </c>
      <c r="J481" s="222">
        <v>69.407300000000006</v>
      </c>
      <c r="K481" s="222">
        <v>51.280900000000003</v>
      </c>
      <c r="L481"/>
      <c r="M481"/>
      <c r="N481"/>
      <c r="O481" s="221">
        <v>43726</v>
      </c>
      <c r="P481" s="224">
        <v>14.591699999999999</v>
      </c>
      <c r="Q481" s="224">
        <v>51.280900000000003</v>
      </c>
      <c r="R481"/>
      <c r="S481"/>
    </row>
    <row r="482" spans="1:19" x14ac:dyDescent="0.35">
      <c r="A482" s="221">
        <v>43725</v>
      </c>
      <c r="B482" s="222">
        <v>35.440205589100593</v>
      </c>
      <c r="C482"/>
      <c r="D482" s="221">
        <v>43725</v>
      </c>
      <c r="E482" s="222">
        <v>104.5545</v>
      </c>
      <c r="F482" s="222">
        <v>69.024900000000002</v>
      </c>
      <c r="G482" s="222">
        <v>91.695999999999998</v>
      </c>
      <c r="H482"/>
      <c r="I482" s="221">
        <v>43725</v>
      </c>
      <c r="J482" s="222">
        <v>69.024900000000002</v>
      </c>
      <c r="K482" s="222">
        <v>51.829300000000003</v>
      </c>
      <c r="L482"/>
      <c r="M482"/>
      <c r="N482"/>
      <c r="O482" s="221">
        <v>43725</v>
      </c>
      <c r="P482" s="224">
        <v>14.290699999999999</v>
      </c>
      <c r="Q482" s="224">
        <v>51.829300000000003</v>
      </c>
      <c r="R482"/>
      <c r="S482"/>
    </row>
    <row r="483" spans="1:19" x14ac:dyDescent="0.35">
      <c r="A483" s="221">
        <v>43724</v>
      </c>
      <c r="B483" s="222">
        <v>34.959480513153586</v>
      </c>
      <c r="C483"/>
      <c r="D483" s="221">
        <v>43724</v>
      </c>
      <c r="E483" s="222">
        <v>103.8866</v>
      </c>
      <c r="F483" s="222">
        <v>68.317400000000006</v>
      </c>
      <c r="G483" s="222">
        <v>91.648200000000003</v>
      </c>
      <c r="H483"/>
      <c r="I483" s="221">
        <v>43724</v>
      </c>
      <c r="J483" s="222">
        <v>68.317400000000006</v>
      </c>
      <c r="K483" s="222">
        <v>52.422400000000003</v>
      </c>
      <c r="L483"/>
      <c r="M483"/>
      <c r="N483"/>
      <c r="O483" s="221">
        <v>43724</v>
      </c>
      <c r="P483" s="224">
        <v>13.6203</v>
      </c>
      <c r="Q483" s="224">
        <v>52.422400000000003</v>
      </c>
      <c r="R483"/>
      <c r="S483"/>
    </row>
    <row r="484" spans="1:19" x14ac:dyDescent="0.35">
      <c r="A484" s="221">
        <v>43720</v>
      </c>
      <c r="B484" s="222">
        <v>37.525032497124236</v>
      </c>
      <c r="C484"/>
      <c r="D484" s="221">
        <v>43720</v>
      </c>
      <c r="E484" s="222">
        <v>103.298</v>
      </c>
      <c r="F484" s="222">
        <v>64.034400000000005</v>
      </c>
      <c r="G484" s="222">
        <v>91.615399999999994</v>
      </c>
      <c r="H484"/>
      <c r="I484" s="221">
        <v>43720</v>
      </c>
      <c r="J484" s="222">
        <v>64.034400000000005</v>
      </c>
      <c r="K484" s="222">
        <v>61.691200000000002</v>
      </c>
      <c r="L484"/>
      <c r="M484"/>
      <c r="N484"/>
      <c r="O484" s="221">
        <v>43720</v>
      </c>
      <c r="P484" s="224">
        <v>13.0138</v>
      </c>
      <c r="Q484" s="224">
        <v>61.691200000000002</v>
      </c>
      <c r="R484"/>
      <c r="S484"/>
    </row>
    <row r="485" spans="1:19" x14ac:dyDescent="0.35">
      <c r="A485" s="221">
        <v>43719</v>
      </c>
      <c r="B485" s="222">
        <v>38.530862891248027</v>
      </c>
      <c r="C485"/>
      <c r="D485" s="221">
        <v>43719</v>
      </c>
      <c r="E485" s="222">
        <v>103.7611</v>
      </c>
      <c r="F485" s="222">
        <v>63.728499999999997</v>
      </c>
      <c r="G485" s="222">
        <v>91.6554</v>
      </c>
      <c r="H485"/>
      <c r="I485" s="221">
        <v>43719</v>
      </c>
      <c r="J485" s="222">
        <v>63.728499999999997</v>
      </c>
      <c r="K485" s="222">
        <v>63.192300000000003</v>
      </c>
      <c r="L485"/>
      <c r="M485"/>
      <c r="N485"/>
      <c r="O485" s="221">
        <v>43719</v>
      </c>
      <c r="P485" s="224">
        <v>13.468500000000001</v>
      </c>
      <c r="Q485" s="224">
        <v>63.192300000000003</v>
      </c>
      <c r="R485"/>
      <c r="S485"/>
    </row>
    <row r="486" spans="1:19" x14ac:dyDescent="0.35">
      <c r="A486" s="221">
        <v>43718</v>
      </c>
      <c r="B486" s="222">
        <v>38.549202138442439</v>
      </c>
      <c r="C486"/>
      <c r="D486" s="221">
        <v>43718</v>
      </c>
      <c r="E486" s="222">
        <v>103.89919999999999</v>
      </c>
      <c r="F486" s="222">
        <v>63.996200000000002</v>
      </c>
      <c r="G486" s="222">
        <v>91.667100000000005</v>
      </c>
      <c r="H486"/>
      <c r="I486" s="221">
        <v>43718</v>
      </c>
      <c r="J486" s="222">
        <v>63.996200000000002</v>
      </c>
      <c r="K486" s="222">
        <v>62.723700000000001</v>
      </c>
      <c r="L486"/>
      <c r="M486"/>
      <c r="N486"/>
      <c r="O486" s="221">
        <v>43718</v>
      </c>
      <c r="P486" s="224">
        <v>13.6035</v>
      </c>
      <c r="Q486" s="224">
        <v>62.723700000000001</v>
      </c>
      <c r="R486"/>
      <c r="S486"/>
    </row>
    <row r="487" spans="1:19" x14ac:dyDescent="0.35">
      <c r="A487" s="221">
        <v>43717</v>
      </c>
      <c r="B487" s="222">
        <v>38.088208479043473</v>
      </c>
      <c r="C487"/>
      <c r="D487" s="221">
        <v>43717</v>
      </c>
      <c r="E487" s="222">
        <v>104.7533</v>
      </c>
      <c r="F487" s="222">
        <v>66.252399999999994</v>
      </c>
      <c r="G487" s="222">
        <v>91.673100000000005</v>
      </c>
      <c r="H487"/>
      <c r="I487" s="221">
        <v>43717</v>
      </c>
      <c r="J487" s="222">
        <v>66.252399999999994</v>
      </c>
      <c r="K487" s="222">
        <v>58.469700000000003</v>
      </c>
      <c r="L487"/>
      <c r="M487"/>
      <c r="N487"/>
      <c r="O487" s="221">
        <v>43717</v>
      </c>
      <c r="P487" s="224">
        <v>14.5265</v>
      </c>
      <c r="Q487" s="224">
        <v>58.469700000000003</v>
      </c>
      <c r="R487"/>
      <c r="S487"/>
    </row>
    <row r="488" spans="1:19" x14ac:dyDescent="0.35">
      <c r="A488" s="221">
        <v>43714</v>
      </c>
      <c r="B488" s="222">
        <v>37.315446387739769</v>
      </c>
      <c r="C488"/>
      <c r="D488" s="221">
        <v>43714</v>
      </c>
      <c r="E488" s="222">
        <v>104.4556</v>
      </c>
      <c r="F488" s="222">
        <v>66.520099999999999</v>
      </c>
      <c r="G488" s="222">
        <v>91.654799999999994</v>
      </c>
      <c r="H488"/>
      <c r="I488" s="221">
        <v>43714</v>
      </c>
      <c r="J488" s="222">
        <v>66.520099999999999</v>
      </c>
      <c r="K488" s="222">
        <v>57.3795</v>
      </c>
      <c r="L488"/>
      <c r="M488"/>
      <c r="N488"/>
      <c r="O488" s="221">
        <v>43714</v>
      </c>
      <c r="P488" s="224">
        <v>14.221</v>
      </c>
      <c r="Q488" s="224">
        <v>57.3795</v>
      </c>
      <c r="R488"/>
      <c r="S488"/>
    </row>
    <row r="489" spans="1:19" x14ac:dyDescent="0.35">
      <c r="A489" s="221">
        <v>43713</v>
      </c>
      <c r="B489" s="222">
        <v>36.595114526121499</v>
      </c>
      <c r="C489"/>
      <c r="D489" s="221">
        <v>43713</v>
      </c>
      <c r="E489" s="222">
        <v>103.69970000000001</v>
      </c>
      <c r="F489" s="222">
        <v>65.965599999999995</v>
      </c>
      <c r="G489" s="222">
        <v>91.569400000000002</v>
      </c>
      <c r="H489"/>
      <c r="I489" s="221">
        <v>43713</v>
      </c>
      <c r="J489" s="222">
        <v>65.965599999999995</v>
      </c>
      <c r="K489" s="222">
        <v>57.5548</v>
      </c>
      <c r="L489"/>
      <c r="M489"/>
      <c r="N489"/>
      <c r="O489" s="221">
        <v>43713</v>
      </c>
      <c r="P489" s="224">
        <v>13.5008</v>
      </c>
      <c r="Q489" s="224">
        <v>57.5548</v>
      </c>
      <c r="R489"/>
      <c r="S489"/>
    </row>
    <row r="490" spans="1:19" x14ac:dyDescent="0.35">
      <c r="A490" s="221">
        <v>43712</v>
      </c>
      <c r="B490" s="222">
        <v>36.372330909450355</v>
      </c>
      <c r="C490"/>
      <c r="D490" s="221">
        <v>43712</v>
      </c>
      <c r="E490" s="222">
        <v>102.5538</v>
      </c>
      <c r="F490" s="222">
        <v>63.728499999999997</v>
      </c>
      <c r="G490" s="222">
        <v>91.555899999999994</v>
      </c>
      <c r="H490"/>
      <c r="I490" s="221">
        <v>43712</v>
      </c>
      <c r="J490" s="222">
        <v>63.728499999999997</v>
      </c>
      <c r="K490" s="222">
        <v>61.285800000000002</v>
      </c>
      <c r="L490"/>
      <c r="M490"/>
      <c r="N490"/>
      <c r="O490" s="221">
        <v>43712</v>
      </c>
      <c r="P490" s="224">
        <v>12.264699999999999</v>
      </c>
      <c r="Q490" s="224">
        <v>61.285800000000002</v>
      </c>
      <c r="R490"/>
      <c r="S490"/>
    </row>
    <row r="491" spans="1:19" x14ac:dyDescent="0.35">
      <c r="A491" s="221">
        <v>43711</v>
      </c>
      <c r="B491" s="222">
        <v>35.175645167963708</v>
      </c>
      <c r="C491"/>
      <c r="D491" s="221">
        <v>43711</v>
      </c>
      <c r="E491" s="222">
        <v>102.76990000000001</v>
      </c>
      <c r="F491" s="222">
        <v>65.621399999999994</v>
      </c>
      <c r="G491" s="222">
        <v>91.558499999999995</v>
      </c>
      <c r="H491"/>
      <c r="I491" s="221">
        <v>43711</v>
      </c>
      <c r="J491" s="222">
        <v>65.621399999999994</v>
      </c>
      <c r="K491" s="222">
        <v>56.960999999999999</v>
      </c>
      <c r="L491"/>
      <c r="M491"/>
      <c r="N491"/>
      <c r="O491" s="221">
        <v>43711</v>
      </c>
      <c r="P491" s="224">
        <v>12.4964</v>
      </c>
      <c r="Q491" s="224">
        <v>56.960999999999999</v>
      </c>
      <c r="R491"/>
      <c r="S491"/>
    </row>
    <row r="492" spans="1:19" x14ac:dyDescent="0.35">
      <c r="A492" s="221">
        <v>43710</v>
      </c>
      <c r="B492" s="222">
        <v>38.255892274735167</v>
      </c>
      <c r="C492"/>
      <c r="D492" s="221">
        <v>43710</v>
      </c>
      <c r="E492" s="222">
        <v>102.748</v>
      </c>
      <c r="F492" s="222">
        <v>61.74</v>
      </c>
      <c r="G492" s="222">
        <v>91.639099999999999</v>
      </c>
      <c r="H492"/>
      <c r="I492" s="221">
        <v>43710</v>
      </c>
      <c r="J492" s="222">
        <v>61.74</v>
      </c>
      <c r="K492" s="222">
        <v>66.791399999999996</v>
      </c>
      <c r="L492"/>
      <c r="M492"/>
      <c r="N492"/>
      <c r="O492" s="221">
        <v>43710</v>
      </c>
      <c r="P492" s="224">
        <v>12.372299999999999</v>
      </c>
      <c r="Q492" s="224">
        <v>66.791399999999996</v>
      </c>
      <c r="R492"/>
      <c r="S492"/>
    </row>
    <row r="493" spans="1:19" x14ac:dyDescent="0.35">
      <c r="A493" s="221">
        <v>43707</v>
      </c>
      <c r="B493" s="222">
        <v>40.208964325198451</v>
      </c>
      <c r="C493"/>
      <c r="D493" s="221">
        <v>43707</v>
      </c>
      <c r="E493" s="222">
        <v>102.5762</v>
      </c>
      <c r="F493" s="222">
        <v>59.273400000000002</v>
      </c>
      <c r="G493" s="222">
        <v>91.591399999999993</v>
      </c>
      <c r="H493"/>
      <c r="I493" s="221">
        <v>43707</v>
      </c>
      <c r="J493" s="222">
        <v>59.273400000000002</v>
      </c>
      <c r="K493" s="222">
        <v>73.436999999999998</v>
      </c>
      <c r="L493"/>
      <c r="M493"/>
      <c r="N493"/>
      <c r="O493" s="221">
        <v>43707</v>
      </c>
      <c r="P493" s="224">
        <v>12.239800000000001</v>
      </c>
      <c r="Q493" s="224">
        <v>73.436999999999998</v>
      </c>
      <c r="R493"/>
      <c r="S493"/>
    </row>
    <row r="494" spans="1:19" x14ac:dyDescent="0.35">
      <c r="A494" s="221">
        <v>43706</v>
      </c>
      <c r="B494" s="222">
        <v>40.771001483340562</v>
      </c>
      <c r="C494"/>
      <c r="D494" s="221">
        <v>43706</v>
      </c>
      <c r="E494" s="222">
        <v>102.51730000000001</v>
      </c>
      <c r="F494" s="222">
        <v>58.604199999999999</v>
      </c>
      <c r="G494" s="222">
        <v>91.56</v>
      </c>
      <c r="H494"/>
      <c r="I494" s="221">
        <v>43706</v>
      </c>
      <c r="J494" s="222">
        <v>58.604199999999999</v>
      </c>
      <c r="K494" s="222">
        <v>75.315100000000001</v>
      </c>
      <c r="L494"/>
      <c r="M494"/>
      <c r="N494"/>
      <c r="O494" s="221">
        <v>43706</v>
      </c>
      <c r="P494" s="224">
        <v>12.2128</v>
      </c>
      <c r="Q494" s="224">
        <v>75.315100000000001</v>
      </c>
      <c r="R494"/>
      <c r="S494"/>
    </row>
    <row r="495" spans="1:19" x14ac:dyDescent="0.35">
      <c r="A495" s="221">
        <v>43705</v>
      </c>
      <c r="B495" s="222">
        <v>40.243382085113552</v>
      </c>
      <c r="C495"/>
      <c r="D495" s="221">
        <v>43705</v>
      </c>
      <c r="E495" s="222">
        <v>102.5014</v>
      </c>
      <c r="F495" s="222">
        <v>59.063099999999999</v>
      </c>
      <c r="G495" s="222">
        <v>91.578800000000001</v>
      </c>
      <c r="H495"/>
      <c r="I495" s="221">
        <v>43705</v>
      </c>
      <c r="J495" s="222">
        <v>59.063099999999999</v>
      </c>
      <c r="K495" s="222">
        <v>73.924199999999999</v>
      </c>
      <c r="L495"/>
      <c r="M495"/>
      <c r="N495"/>
      <c r="O495" s="221">
        <v>43705</v>
      </c>
      <c r="P495" s="224">
        <v>12.171200000000001</v>
      </c>
      <c r="Q495" s="224">
        <v>73.924199999999999</v>
      </c>
      <c r="R495"/>
      <c r="S495"/>
    </row>
    <row r="496" spans="1:19" x14ac:dyDescent="0.35">
      <c r="A496" s="221">
        <v>43704</v>
      </c>
      <c r="B496" s="222">
        <v>39.858322730476729</v>
      </c>
      <c r="C496"/>
      <c r="D496" s="221">
        <v>43704</v>
      </c>
      <c r="E496" s="222">
        <v>102.5775</v>
      </c>
      <c r="F496" s="222">
        <v>59.502899999999997</v>
      </c>
      <c r="G496" s="222">
        <v>91.6434</v>
      </c>
      <c r="H496"/>
      <c r="I496" s="221">
        <v>43704</v>
      </c>
      <c r="J496" s="222">
        <v>59.502899999999997</v>
      </c>
      <c r="K496" s="222">
        <v>72.764700000000005</v>
      </c>
      <c r="L496"/>
      <c r="M496"/>
      <c r="N496"/>
      <c r="O496" s="221">
        <v>43704</v>
      </c>
      <c r="P496" s="224">
        <v>12.1739</v>
      </c>
      <c r="Q496" s="224">
        <v>72.764700000000005</v>
      </c>
      <c r="R496"/>
      <c r="S496"/>
    </row>
    <row r="497" spans="1:19" x14ac:dyDescent="0.35">
      <c r="A497" s="221">
        <v>43703</v>
      </c>
      <c r="B497" s="222">
        <v>39.121525446290292</v>
      </c>
      <c r="C497"/>
      <c r="D497" s="221">
        <v>43703</v>
      </c>
      <c r="E497" s="222">
        <v>101.9786</v>
      </c>
      <c r="F497" s="222">
        <v>58.890999999999998</v>
      </c>
      <c r="G497" s="222">
        <v>91.682400000000001</v>
      </c>
      <c r="H497"/>
      <c r="I497" s="221">
        <v>43703</v>
      </c>
      <c r="J497" s="222">
        <v>58.890999999999998</v>
      </c>
      <c r="K497" s="222">
        <v>73.540899999999993</v>
      </c>
      <c r="L497"/>
      <c r="M497"/>
      <c r="N497"/>
      <c r="O497" s="221">
        <v>43703</v>
      </c>
      <c r="P497" s="224">
        <v>11.4718</v>
      </c>
      <c r="Q497" s="224">
        <v>73.540899999999993</v>
      </c>
      <c r="R497"/>
      <c r="S497"/>
    </row>
    <row r="498" spans="1:19" x14ac:dyDescent="0.35">
      <c r="A498" s="221">
        <v>43700</v>
      </c>
      <c r="B498" s="222">
        <v>38.759702030578865</v>
      </c>
      <c r="C498"/>
      <c r="D498" s="221">
        <v>43700</v>
      </c>
      <c r="E498" s="222">
        <v>102.7419</v>
      </c>
      <c r="F498" s="222">
        <v>60.956000000000003</v>
      </c>
      <c r="G498" s="222">
        <v>91.660499999999999</v>
      </c>
      <c r="H498"/>
      <c r="I498" s="221">
        <v>43700</v>
      </c>
      <c r="J498" s="222">
        <v>60.956000000000003</v>
      </c>
      <c r="K498" s="222">
        <v>68.908699999999996</v>
      </c>
      <c r="L498"/>
      <c r="M498"/>
      <c r="N498"/>
      <c r="O498" s="221">
        <v>43700</v>
      </c>
      <c r="P498" s="224">
        <v>12.3276</v>
      </c>
      <c r="Q498" s="224">
        <v>68.908699999999996</v>
      </c>
      <c r="R498"/>
      <c r="S498"/>
    </row>
    <row r="499" spans="1:19" x14ac:dyDescent="0.35">
      <c r="A499" s="221">
        <v>43699</v>
      </c>
      <c r="B499" s="222">
        <v>39.315596906089709</v>
      </c>
      <c r="C499"/>
      <c r="D499" s="221">
        <v>43699</v>
      </c>
      <c r="E499" s="222">
        <v>101.983</v>
      </c>
      <c r="F499" s="222">
        <v>58.604199999999999</v>
      </c>
      <c r="G499" s="222">
        <v>91.668700000000001</v>
      </c>
      <c r="H499"/>
      <c r="I499" s="221">
        <v>43699</v>
      </c>
      <c r="J499" s="222">
        <v>58.604199999999999</v>
      </c>
      <c r="K499" s="222">
        <v>74.390199999999993</v>
      </c>
      <c r="L499"/>
      <c r="M499"/>
      <c r="N499"/>
      <c r="O499" s="221">
        <v>43699</v>
      </c>
      <c r="P499" s="224">
        <v>11.4884</v>
      </c>
      <c r="Q499" s="224">
        <v>74.390199999999993</v>
      </c>
      <c r="R499"/>
      <c r="S499"/>
    </row>
    <row r="500" spans="1:19" x14ac:dyDescent="0.35">
      <c r="A500" s="221">
        <v>43698</v>
      </c>
      <c r="B500" s="222">
        <v>39.314018160570299</v>
      </c>
      <c r="C500"/>
      <c r="D500" s="221">
        <v>43698</v>
      </c>
      <c r="E500" s="222">
        <v>102.55410000000001</v>
      </c>
      <c r="F500" s="222">
        <v>59.751399999999997</v>
      </c>
      <c r="G500" s="222">
        <v>91.737700000000004</v>
      </c>
      <c r="H500"/>
      <c r="I500" s="221">
        <v>43698</v>
      </c>
      <c r="J500" s="222">
        <v>59.751399999999997</v>
      </c>
      <c r="K500" s="222">
        <v>71.995999999999995</v>
      </c>
      <c r="L500"/>
      <c r="M500"/>
      <c r="N500"/>
      <c r="O500" s="221">
        <v>43698</v>
      </c>
      <c r="P500" s="224">
        <v>12.0259</v>
      </c>
      <c r="Q500" s="224">
        <v>71.995999999999995</v>
      </c>
      <c r="R500"/>
      <c r="S500"/>
    </row>
    <row r="501" spans="1:19" x14ac:dyDescent="0.35">
      <c r="A501" s="221">
        <v>43697</v>
      </c>
      <c r="B501" s="222">
        <v>38.650799462279998</v>
      </c>
      <c r="C501"/>
      <c r="D501" s="221">
        <v>43697</v>
      </c>
      <c r="E501" s="222">
        <v>102.5792</v>
      </c>
      <c r="F501" s="222">
        <v>60.535400000000003</v>
      </c>
      <c r="G501" s="222">
        <v>91.732399999999998</v>
      </c>
      <c r="H501"/>
      <c r="I501" s="221">
        <v>43697</v>
      </c>
      <c r="J501" s="222">
        <v>60.535400000000003</v>
      </c>
      <c r="K501" s="222">
        <v>69.808099999999996</v>
      </c>
      <c r="L501"/>
      <c r="M501"/>
      <c r="N501"/>
      <c r="O501" s="221">
        <v>43697</v>
      </c>
      <c r="P501" s="224">
        <v>12.0586</v>
      </c>
      <c r="Q501" s="224">
        <v>69.808099999999996</v>
      </c>
      <c r="R501"/>
      <c r="S501"/>
    </row>
    <row r="502" spans="1:19" x14ac:dyDescent="0.35">
      <c r="A502" s="221">
        <v>43696</v>
      </c>
      <c r="B502" s="222">
        <v>36.987200551663399</v>
      </c>
      <c r="C502"/>
      <c r="D502" s="221">
        <v>43696</v>
      </c>
      <c r="E502" s="222">
        <v>102.3963</v>
      </c>
      <c r="F502" s="222">
        <v>62.064999999999998</v>
      </c>
      <c r="G502" s="222">
        <v>91.714100000000002</v>
      </c>
      <c r="H502"/>
      <c r="I502" s="221">
        <v>43696</v>
      </c>
      <c r="J502" s="222">
        <v>62.064999999999998</v>
      </c>
      <c r="K502" s="222">
        <v>65.326700000000002</v>
      </c>
      <c r="L502"/>
      <c r="M502"/>
      <c r="N502"/>
      <c r="O502" s="221">
        <v>43696</v>
      </c>
      <c r="P502" s="224">
        <v>11.8803</v>
      </c>
      <c r="Q502" s="224">
        <v>65.326700000000002</v>
      </c>
      <c r="R502"/>
      <c r="S502"/>
    </row>
    <row r="503" spans="1:19" x14ac:dyDescent="0.35">
      <c r="A503" s="221">
        <v>43693</v>
      </c>
      <c r="B503" s="222">
        <v>34.853109736562388</v>
      </c>
      <c r="C503"/>
      <c r="D503" s="221">
        <v>43693</v>
      </c>
      <c r="E503" s="222">
        <v>100.3896</v>
      </c>
      <c r="F503" s="222">
        <v>59.617600000000003</v>
      </c>
      <c r="G503" s="222">
        <v>91.790400000000005</v>
      </c>
      <c r="H503"/>
      <c r="I503" s="221">
        <v>43693</v>
      </c>
      <c r="J503" s="222">
        <v>59.617600000000003</v>
      </c>
      <c r="K503" s="222">
        <v>68.742099999999994</v>
      </c>
      <c r="L503"/>
      <c r="M503"/>
      <c r="N503"/>
      <c r="O503" s="221">
        <v>43693</v>
      </c>
      <c r="P503" s="224">
        <v>9.5975000000000001</v>
      </c>
      <c r="Q503" s="224">
        <v>68.742099999999994</v>
      </c>
      <c r="R503"/>
      <c r="S503"/>
    </row>
    <row r="504" spans="1:19" x14ac:dyDescent="0.35">
      <c r="A504" s="221">
        <v>43692</v>
      </c>
      <c r="B504" s="222">
        <v>36.409358365136043</v>
      </c>
      <c r="C504"/>
      <c r="D504" s="221">
        <v>43692</v>
      </c>
      <c r="E504" s="222">
        <v>99.699700000000007</v>
      </c>
      <c r="F504" s="222">
        <v>56.271500000000003</v>
      </c>
      <c r="G504" s="222">
        <v>91.6905</v>
      </c>
      <c r="H504"/>
      <c r="I504" s="221">
        <v>43692</v>
      </c>
      <c r="J504" s="222">
        <v>56.271500000000003</v>
      </c>
      <c r="K504" s="222">
        <v>77.548100000000005</v>
      </c>
      <c r="L504"/>
      <c r="M504"/>
      <c r="N504"/>
      <c r="O504" s="221">
        <v>43692</v>
      </c>
      <c r="P504" s="224">
        <v>8.9633000000000003</v>
      </c>
      <c r="Q504" s="224">
        <v>77.548100000000005</v>
      </c>
      <c r="R504"/>
      <c r="S504"/>
    </row>
    <row r="505" spans="1:19" x14ac:dyDescent="0.35">
      <c r="A505" s="221">
        <v>43691</v>
      </c>
      <c r="B505" s="222">
        <v>37.569682326138079</v>
      </c>
      <c r="C505"/>
      <c r="D505" s="221">
        <v>43691</v>
      </c>
      <c r="E505" s="222">
        <v>99.608800000000002</v>
      </c>
      <c r="F505" s="222">
        <v>55.028700000000001</v>
      </c>
      <c r="G505" s="222">
        <v>91.569000000000003</v>
      </c>
      <c r="H505"/>
      <c r="I505" s="221">
        <v>43691</v>
      </c>
      <c r="J505" s="222">
        <v>55.028700000000001</v>
      </c>
      <c r="K505" s="222">
        <v>81.390799999999999</v>
      </c>
      <c r="L505"/>
      <c r="M505"/>
      <c r="N505"/>
      <c r="O505" s="221">
        <v>43691</v>
      </c>
      <c r="P505" s="224">
        <v>9.0074000000000005</v>
      </c>
      <c r="Q505" s="224">
        <v>81.390799999999999</v>
      </c>
      <c r="R505"/>
      <c r="S505"/>
    </row>
    <row r="506" spans="1:19" x14ac:dyDescent="0.35">
      <c r="A506" s="221">
        <v>43690</v>
      </c>
      <c r="B506" s="222">
        <v>39.493746778681484</v>
      </c>
      <c r="C506"/>
      <c r="D506" s="221">
        <v>43690</v>
      </c>
      <c r="E506" s="222">
        <v>99.692899999999995</v>
      </c>
      <c r="F506" s="222">
        <v>53.212200000000003</v>
      </c>
      <c r="G506" s="222">
        <v>91.510599999999997</v>
      </c>
      <c r="H506"/>
      <c r="I506" s="221">
        <v>43690</v>
      </c>
      <c r="J506" s="222">
        <v>53.212200000000003</v>
      </c>
      <c r="K506" s="222">
        <v>87.738900000000001</v>
      </c>
      <c r="L506"/>
      <c r="M506"/>
      <c r="N506"/>
      <c r="O506" s="221">
        <v>43690</v>
      </c>
      <c r="P506" s="224">
        <v>9.1677</v>
      </c>
      <c r="Q506" s="224">
        <v>87.738900000000001</v>
      </c>
      <c r="R506"/>
      <c r="S506"/>
    </row>
    <row r="507" spans="1:19" x14ac:dyDescent="0.35">
      <c r="A507" s="221">
        <v>43689</v>
      </c>
      <c r="B507" s="222">
        <v>40.605095898625777</v>
      </c>
      <c r="C507"/>
      <c r="D507" s="221">
        <v>43689</v>
      </c>
      <c r="E507" s="222">
        <v>99.697999999999993</v>
      </c>
      <c r="F507" s="222">
        <v>52.045900000000003</v>
      </c>
      <c r="G507" s="222">
        <v>91.489099999999993</v>
      </c>
      <c r="H507"/>
      <c r="I507" s="221">
        <v>43689</v>
      </c>
      <c r="J507" s="222">
        <v>52.045900000000003</v>
      </c>
      <c r="K507" s="222">
        <v>91.953599999999994</v>
      </c>
      <c r="L507"/>
      <c r="M507"/>
      <c r="N507"/>
      <c r="O507" s="221">
        <v>43689</v>
      </c>
      <c r="P507" s="224">
        <v>9.1976999999999993</v>
      </c>
      <c r="Q507" s="224">
        <v>91.953599999999994</v>
      </c>
      <c r="R507"/>
      <c r="S507"/>
    </row>
    <row r="508" spans="1:19" x14ac:dyDescent="0.35">
      <c r="A508" s="221">
        <v>43686</v>
      </c>
      <c r="B508" s="222">
        <v>41.459020512947866</v>
      </c>
      <c r="C508"/>
      <c r="D508" s="221">
        <v>43686</v>
      </c>
      <c r="E508" s="222">
        <v>99.707300000000004</v>
      </c>
      <c r="F508" s="222">
        <v>51.3767</v>
      </c>
      <c r="G508" s="222">
        <v>91.386200000000002</v>
      </c>
      <c r="H508"/>
      <c r="I508" s="221">
        <v>43686</v>
      </c>
      <c r="J508" s="222">
        <v>51.3767</v>
      </c>
      <c r="K508" s="222">
        <v>94.465599999999995</v>
      </c>
      <c r="L508"/>
      <c r="M508"/>
      <c r="N508"/>
      <c r="O508" s="221">
        <v>43686</v>
      </c>
      <c r="P508" s="224">
        <v>9.3271999999999995</v>
      </c>
      <c r="Q508" s="224">
        <v>94.465599999999995</v>
      </c>
      <c r="R508"/>
      <c r="S508"/>
    </row>
    <row r="509" spans="1:19" x14ac:dyDescent="0.35">
      <c r="A509" s="221">
        <v>43685</v>
      </c>
      <c r="B509" s="222">
        <v>42.158479940505167</v>
      </c>
      <c r="C509"/>
      <c r="D509" s="221">
        <v>43685</v>
      </c>
      <c r="E509" s="222">
        <v>99.398399999999995</v>
      </c>
      <c r="F509" s="222">
        <v>50.248600000000003</v>
      </c>
      <c r="G509" s="222">
        <v>91.232100000000003</v>
      </c>
      <c r="H509"/>
      <c r="I509" s="221">
        <v>43685</v>
      </c>
      <c r="J509" s="222">
        <v>50.248600000000003</v>
      </c>
      <c r="K509" s="222">
        <v>98.214500000000001</v>
      </c>
      <c r="L509"/>
      <c r="M509"/>
      <c r="N509"/>
      <c r="O509" s="221">
        <v>43685</v>
      </c>
      <c r="P509" s="224">
        <v>9.1721000000000004</v>
      </c>
      <c r="Q509" s="224">
        <v>98.214500000000001</v>
      </c>
      <c r="R509"/>
      <c r="S509"/>
    </row>
    <row r="510" spans="1:19" x14ac:dyDescent="0.35">
      <c r="A510" s="221">
        <v>43684</v>
      </c>
      <c r="B510" s="222">
        <v>42.247315426943182</v>
      </c>
      <c r="C510"/>
      <c r="D510" s="221">
        <v>43684</v>
      </c>
      <c r="E510" s="222">
        <v>99.313500000000005</v>
      </c>
      <c r="F510" s="222">
        <v>49.980899999999998</v>
      </c>
      <c r="G510" s="222">
        <v>91.212100000000007</v>
      </c>
      <c r="H510"/>
      <c r="I510" s="221">
        <v>43684</v>
      </c>
      <c r="J510" s="222">
        <v>49.980899999999998</v>
      </c>
      <c r="K510" s="222">
        <v>99.104100000000003</v>
      </c>
      <c r="L510"/>
      <c r="M510"/>
      <c r="N510"/>
      <c r="O510" s="221">
        <v>43684</v>
      </c>
      <c r="P510" s="224">
        <v>9.1018000000000008</v>
      </c>
      <c r="Q510" s="224">
        <v>99.104100000000003</v>
      </c>
      <c r="R510"/>
      <c r="S510"/>
    </row>
    <row r="511" spans="1:19" x14ac:dyDescent="0.35">
      <c r="A511" s="221">
        <v>43683</v>
      </c>
      <c r="B511" s="222">
        <v>42.42828468511604</v>
      </c>
      <c r="C511"/>
      <c r="D511" s="221">
        <v>43683</v>
      </c>
      <c r="E511" s="222">
        <v>98.370500000000007</v>
      </c>
      <c r="F511" s="222">
        <v>47.667299999999997</v>
      </c>
      <c r="G511" s="222">
        <v>91.096199999999996</v>
      </c>
      <c r="H511"/>
      <c r="I511" s="221">
        <v>43683</v>
      </c>
      <c r="J511" s="222">
        <v>47.667299999999997</v>
      </c>
      <c r="K511" s="222">
        <v>106.78749999999999</v>
      </c>
      <c r="L511"/>
      <c r="M511"/>
      <c r="N511"/>
      <c r="O511" s="221">
        <v>43683</v>
      </c>
      <c r="P511" s="224">
        <v>8.2042999999999999</v>
      </c>
      <c r="Q511" s="224">
        <v>106.78749999999999</v>
      </c>
      <c r="R511"/>
      <c r="S511"/>
    </row>
    <row r="512" spans="1:19" x14ac:dyDescent="0.35">
      <c r="A512" s="221">
        <v>43682</v>
      </c>
      <c r="B512" s="222">
        <v>41.468678864906629</v>
      </c>
      <c r="C512"/>
      <c r="D512" s="221">
        <v>43682</v>
      </c>
      <c r="E512" s="222">
        <v>98.111599999999996</v>
      </c>
      <c r="F512" s="222">
        <v>48.183599999999998</v>
      </c>
      <c r="G512" s="222">
        <v>91.008300000000006</v>
      </c>
      <c r="H512"/>
      <c r="I512" s="221">
        <v>43682</v>
      </c>
      <c r="J512" s="222">
        <v>48.183599999999998</v>
      </c>
      <c r="K512" s="222">
        <v>104.0321</v>
      </c>
      <c r="L512"/>
      <c r="M512"/>
      <c r="N512"/>
      <c r="O512" s="221">
        <v>43682</v>
      </c>
      <c r="P512" s="224">
        <v>8.0230999999999995</v>
      </c>
      <c r="Q512" s="224">
        <v>104.0321</v>
      </c>
      <c r="R512"/>
      <c r="S512"/>
    </row>
    <row r="513" spans="1:19" x14ac:dyDescent="0.35">
      <c r="A513" s="221">
        <v>43679</v>
      </c>
      <c r="B513" s="222">
        <v>39.326569639275206</v>
      </c>
      <c r="C513"/>
      <c r="D513" s="221">
        <v>43679</v>
      </c>
      <c r="E513" s="222">
        <v>97.729900000000001</v>
      </c>
      <c r="F513" s="222">
        <v>49.866199999999999</v>
      </c>
      <c r="G513" s="222">
        <v>90.837000000000003</v>
      </c>
      <c r="H513"/>
      <c r="I513" s="221">
        <v>43679</v>
      </c>
      <c r="J513" s="222">
        <v>49.866199999999999</v>
      </c>
      <c r="K513" s="222">
        <v>96.375500000000002</v>
      </c>
      <c r="L513"/>
      <c r="M513"/>
      <c r="N513"/>
      <c r="O513" s="221">
        <v>43679</v>
      </c>
      <c r="P513" s="224">
        <v>7.8029999999999999</v>
      </c>
      <c r="Q513" s="224">
        <v>96.375500000000002</v>
      </c>
      <c r="R513"/>
      <c r="S513"/>
    </row>
    <row r="514" spans="1:19" x14ac:dyDescent="0.35">
      <c r="A514" s="221">
        <v>43678</v>
      </c>
      <c r="B514" s="222">
        <v>38.05742676153352</v>
      </c>
      <c r="C514"/>
      <c r="D514" s="221">
        <v>43678</v>
      </c>
      <c r="E514" s="222">
        <v>98.805999999999997</v>
      </c>
      <c r="F514" s="222">
        <v>54.6845</v>
      </c>
      <c r="G514" s="222">
        <v>90.5976</v>
      </c>
      <c r="H514"/>
      <c r="I514" s="221">
        <v>43678</v>
      </c>
      <c r="J514" s="222">
        <v>54.6845</v>
      </c>
      <c r="K514" s="222">
        <v>81.038499999999999</v>
      </c>
      <c r="L514"/>
      <c r="M514"/>
      <c r="N514"/>
      <c r="O514" s="221">
        <v>43678</v>
      </c>
      <c r="P514" s="224">
        <v>9.2744</v>
      </c>
      <c r="Q514" s="224">
        <v>81.038499999999999</v>
      </c>
      <c r="R514"/>
      <c r="S514"/>
    </row>
    <row r="515" spans="1:19" x14ac:dyDescent="0.35">
      <c r="A515" s="221">
        <v>43677</v>
      </c>
      <c r="B515" s="222">
        <v>42.654382805797958</v>
      </c>
      <c r="C515"/>
      <c r="D515" s="221">
        <v>43677</v>
      </c>
      <c r="E515" s="222">
        <v>101.37609999999999</v>
      </c>
      <c r="F515" s="222">
        <v>55.927300000000002</v>
      </c>
      <c r="G515" s="222">
        <v>90.494100000000003</v>
      </c>
      <c r="H515"/>
      <c r="I515" s="221">
        <v>43677</v>
      </c>
      <c r="J515" s="222">
        <v>55.927300000000002</v>
      </c>
      <c r="K515" s="222">
        <v>81.608999999999995</v>
      </c>
      <c r="L515"/>
      <c r="M515"/>
      <c r="N515"/>
      <c r="O515" s="221">
        <v>43677</v>
      </c>
      <c r="P515" s="224">
        <v>12.238300000000001</v>
      </c>
      <c r="Q515" s="224">
        <v>81.608999999999995</v>
      </c>
      <c r="R515"/>
      <c r="S515"/>
    </row>
    <row r="516" spans="1:19" x14ac:dyDescent="0.35">
      <c r="A516" s="221">
        <v>43676</v>
      </c>
      <c r="B516" s="222">
        <v>42.669575133370188</v>
      </c>
      <c r="C516"/>
      <c r="D516" s="221">
        <v>43676</v>
      </c>
      <c r="E516" s="222">
        <v>101.70820000000001</v>
      </c>
      <c r="F516" s="222">
        <v>56.845100000000002</v>
      </c>
      <c r="G516" s="222">
        <v>90.397800000000004</v>
      </c>
      <c r="H516"/>
      <c r="I516" s="221">
        <v>43676</v>
      </c>
      <c r="J516" s="222">
        <v>56.845100000000002</v>
      </c>
      <c r="K516" s="222">
        <v>79.259100000000004</v>
      </c>
      <c r="L516"/>
      <c r="M516"/>
      <c r="N516"/>
      <c r="O516" s="221">
        <v>43676</v>
      </c>
      <c r="P516" s="224">
        <v>12.724</v>
      </c>
      <c r="Q516" s="224">
        <v>79.259100000000004</v>
      </c>
      <c r="R516"/>
      <c r="S516"/>
    </row>
    <row r="517" spans="1:19" x14ac:dyDescent="0.35">
      <c r="A517" s="221">
        <v>43675</v>
      </c>
      <c r="B517" s="222">
        <v>39.407384879897322</v>
      </c>
      <c r="C517"/>
      <c r="D517" s="221">
        <v>43675</v>
      </c>
      <c r="E517" s="222">
        <v>100.1593</v>
      </c>
      <c r="F517" s="222">
        <v>56.864199999999997</v>
      </c>
      <c r="G517" s="222">
        <v>90.384100000000004</v>
      </c>
      <c r="H517"/>
      <c r="I517" s="221">
        <v>43675</v>
      </c>
      <c r="J517" s="222">
        <v>56.864199999999997</v>
      </c>
      <c r="K517" s="222">
        <v>76.473100000000002</v>
      </c>
      <c r="L517"/>
      <c r="M517"/>
      <c r="N517"/>
      <c r="O517" s="221">
        <v>43675</v>
      </c>
      <c r="P517" s="224">
        <v>11.026199999999999</v>
      </c>
      <c r="Q517" s="224">
        <v>76.473100000000002</v>
      </c>
      <c r="R517"/>
      <c r="S517"/>
    </row>
    <row r="518" spans="1:19" x14ac:dyDescent="0.35">
      <c r="A518" s="221">
        <v>43672</v>
      </c>
      <c r="B518" s="222">
        <v>41.440440399591097</v>
      </c>
      <c r="C518"/>
      <c r="D518" s="221">
        <v>43672</v>
      </c>
      <c r="E518" s="222">
        <v>100.1626</v>
      </c>
      <c r="F518" s="222">
        <v>54.8566</v>
      </c>
      <c r="G518" s="222">
        <v>90.283100000000005</v>
      </c>
      <c r="H518"/>
      <c r="I518" s="221">
        <v>43672</v>
      </c>
      <c r="J518" s="222">
        <v>54.8566</v>
      </c>
      <c r="K518" s="222">
        <v>82.9315</v>
      </c>
      <c r="L518"/>
      <c r="M518"/>
      <c r="N518"/>
      <c r="O518" s="221">
        <v>43672</v>
      </c>
      <c r="P518" s="224">
        <v>11.150399999999999</v>
      </c>
      <c r="Q518" s="224">
        <v>82.9315</v>
      </c>
      <c r="R518"/>
      <c r="S518"/>
    </row>
    <row r="519" spans="1:19" x14ac:dyDescent="0.35">
      <c r="A519" s="221">
        <v>43671</v>
      </c>
      <c r="B519" s="222">
        <v>41.716216978670978</v>
      </c>
      <c r="C519"/>
      <c r="D519" s="221">
        <v>43671</v>
      </c>
      <c r="E519" s="222">
        <v>99.574700000000007</v>
      </c>
      <c r="F519" s="222">
        <v>53.288699999999999</v>
      </c>
      <c r="G519" s="222">
        <v>90.243700000000004</v>
      </c>
      <c r="H519"/>
      <c r="I519" s="221">
        <v>43671</v>
      </c>
      <c r="J519" s="222">
        <v>53.288699999999999</v>
      </c>
      <c r="K519" s="222">
        <v>87.208500000000001</v>
      </c>
      <c r="L519"/>
      <c r="M519"/>
      <c r="N519"/>
      <c r="O519" s="221">
        <v>43671</v>
      </c>
      <c r="P519" s="224">
        <v>10.546200000000001</v>
      </c>
      <c r="Q519" s="224">
        <v>87.208500000000001</v>
      </c>
      <c r="R519"/>
      <c r="S519"/>
    </row>
    <row r="520" spans="1:19" x14ac:dyDescent="0.35">
      <c r="A520" s="221">
        <v>43670</v>
      </c>
      <c r="B520" s="222">
        <v>39.308692961045296</v>
      </c>
      <c r="C520"/>
      <c r="D520" s="221">
        <v>43670</v>
      </c>
      <c r="E520" s="222">
        <v>98.640799999999999</v>
      </c>
      <c r="F520" s="222">
        <v>53.575499999999998</v>
      </c>
      <c r="G520" s="222">
        <v>90.253399999999999</v>
      </c>
      <c r="H520"/>
      <c r="I520" s="221">
        <v>43670</v>
      </c>
      <c r="J520" s="222">
        <v>53.575499999999998</v>
      </c>
      <c r="K520" s="222">
        <v>84.461200000000005</v>
      </c>
      <c r="L520"/>
      <c r="M520"/>
      <c r="N520"/>
      <c r="O520" s="221">
        <v>43670</v>
      </c>
      <c r="P520" s="224">
        <v>9.4984000000000002</v>
      </c>
      <c r="Q520" s="224">
        <v>84.461200000000005</v>
      </c>
      <c r="R520"/>
      <c r="S520"/>
    </row>
    <row r="521" spans="1:19" x14ac:dyDescent="0.35">
      <c r="A521" s="221">
        <v>43669</v>
      </c>
      <c r="B521" s="222">
        <v>39.100941561364579</v>
      </c>
      <c r="C521"/>
      <c r="D521" s="221">
        <v>43669</v>
      </c>
      <c r="E521" s="222">
        <v>97.919899999999998</v>
      </c>
      <c r="F521" s="222">
        <v>51.988500000000002</v>
      </c>
      <c r="G521" s="222">
        <v>90.238100000000003</v>
      </c>
      <c r="H521"/>
      <c r="I521" s="221">
        <v>43669</v>
      </c>
      <c r="J521" s="222">
        <v>51.988500000000002</v>
      </c>
      <c r="K521" s="222">
        <v>88.703299999999999</v>
      </c>
      <c r="L521"/>
      <c r="M521"/>
      <c r="N521"/>
      <c r="O521" s="221">
        <v>43669</v>
      </c>
      <c r="P521" s="224">
        <v>8.7167999999999992</v>
      </c>
      <c r="Q521" s="224">
        <v>88.703299999999999</v>
      </c>
      <c r="R521"/>
      <c r="S521"/>
    </row>
    <row r="522" spans="1:19" x14ac:dyDescent="0.35">
      <c r="A522" s="221">
        <v>43668</v>
      </c>
      <c r="B522" s="222">
        <v>38.232410253617665</v>
      </c>
      <c r="C522"/>
      <c r="D522" s="221">
        <v>43668</v>
      </c>
      <c r="E522" s="222">
        <v>97.917000000000002</v>
      </c>
      <c r="F522" s="222">
        <v>52.906300000000002</v>
      </c>
      <c r="G522" s="222">
        <v>90.259500000000003</v>
      </c>
      <c r="H522"/>
      <c r="I522" s="221">
        <v>43668</v>
      </c>
      <c r="J522" s="222">
        <v>52.906300000000002</v>
      </c>
      <c r="K522" s="222">
        <v>85.422200000000004</v>
      </c>
      <c r="L522"/>
      <c r="M522"/>
      <c r="N522"/>
      <c r="O522" s="221">
        <v>43668</v>
      </c>
      <c r="P522" s="224">
        <v>8.6866000000000003</v>
      </c>
      <c r="Q522" s="224">
        <v>85.422200000000004</v>
      </c>
      <c r="R522"/>
      <c r="S522"/>
    </row>
    <row r="523" spans="1:19" x14ac:dyDescent="0.35">
      <c r="A523" s="221">
        <v>43665</v>
      </c>
      <c r="B523" s="222">
        <v>40.742173913102384</v>
      </c>
      <c r="C523"/>
      <c r="D523" s="221">
        <v>43665</v>
      </c>
      <c r="E523" s="222">
        <v>98.8703</v>
      </c>
      <c r="F523" s="222">
        <v>52.7151</v>
      </c>
      <c r="G523" s="222">
        <v>90.164500000000004</v>
      </c>
      <c r="H523"/>
      <c r="I523" s="221">
        <v>43665</v>
      </c>
      <c r="J523" s="222">
        <v>52.7151</v>
      </c>
      <c r="K523" s="222">
        <v>87.896799999999999</v>
      </c>
      <c r="L523"/>
      <c r="M523"/>
      <c r="N523"/>
      <c r="O523" s="221">
        <v>43665</v>
      </c>
      <c r="P523" s="224">
        <v>9.8547999999999991</v>
      </c>
      <c r="Q523" s="224">
        <v>87.896799999999999</v>
      </c>
      <c r="R523"/>
      <c r="S523"/>
    </row>
    <row r="524" spans="1:19" x14ac:dyDescent="0.35">
      <c r="A524" s="221">
        <v>43664</v>
      </c>
      <c r="B524" s="222">
        <v>40.500199854373932</v>
      </c>
      <c r="C524"/>
      <c r="D524" s="221">
        <v>43664</v>
      </c>
      <c r="E524" s="222">
        <v>99.5214</v>
      </c>
      <c r="F524" s="222">
        <v>54.588900000000002</v>
      </c>
      <c r="G524" s="222">
        <v>90.135800000000003</v>
      </c>
      <c r="H524"/>
      <c r="I524" s="221">
        <v>43664</v>
      </c>
      <c r="J524" s="222">
        <v>54.588900000000002</v>
      </c>
      <c r="K524" s="222">
        <v>82.637900000000002</v>
      </c>
      <c r="L524"/>
      <c r="M524"/>
      <c r="N524"/>
      <c r="O524" s="221">
        <v>43664</v>
      </c>
      <c r="P524" s="224">
        <v>10.610900000000001</v>
      </c>
      <c r="Q524" s="224">
        <v>82.637900000000002</v>
      </c>
      <c r="R524"/>
      <c r="S524"/>
    </row>
    <row r="525" spans="1:19" x14ac:dyDescent="0.35">
      <c r="A525" s="221">
        <v>43663</v>
      </c>
      <c r="B525" s="222">
        <v>39.725811816462226</v>
      </c>
      <c r="C525"/>
      <c r="D525" s="221">
        <v>43663</v>
      </c>
      <c r="E525" s="222">
        <v>101.5625</v>
      </c>
      <c r="F525" s="222">
        <v>60.057400000000001</v>
      </c>
      <c r="G525" s="222">
        <v>90.111000000000004</v>
      </c>
      <c r="H525"/>
      <c r="I525" s="221">
        <v>43663</v>
      </c>
      <c r="J525" s="222">
        <v>60.057400000000001</v>
      </c>
      <c r="K525" s="222">
        <v>69.404600000000002</v>
      </c>
      <c r="L525"/>
      <c r="M525"/>
      <c r="N525"/>
      <c r="O525" s="221">
        <v>43663</v>
      </c>
      <c r="P525" s="224">
        <v>12.905200000000001</v>
      </c>
      <c r="Q525" s="224">
        <v>69.404600000000002</v>
      </c>
      <c r="R525"/>
      <c r="S525"/>
    </row>
    <row r="526" spans="1:19" x14ac:dyDescent="0.35">
      <c r="A526" s="221">
        <v>43662</v>
      </c>
      <c r="B526" s="222">
        <v>39.839379242432813</v>
      </c>
      <c r="C526"/>
      <c r="D526" s="221">
        <v>43662</v>
      </c>
      <c r="E526" s="222">
        <v>101.92359999999999</v>
      </c>
      <c r="F526" s="222">
        <v>60.764800000000001</v>
      </c>
      <c r="G526" s="222">
        <v>90.080100000000002</v>
      </c>
      <c r="H526"/>
      <c r="I526" s="221">
        <v>43662</v>
      </c>
      <c r="J526" s="222">
        <v>60.764800000000001</v>
      </c>
      <c r="K526" s="222">
        <v>68.024900000000002</v>
      </c>
      <c r="L526"/>
      <c r="M526"/>
      <c r="N526"/>
      <c r="O526" s="221">
        <v>43662</v>
      </c>
      <c r="P526" s="224">
        <v>13.3436</v>
      </c>
      <c r="Q526" s="224">
        <v>68.024900000000002</v>
      </c>
      <c r="R526"/>
      <c r="S526"/>
    </row>
    <row r="527" spans="1:19" x14ac:dyDescent="0.35">
      <c r="A527" s="221">
        <v>43661</v>
      </c>
      <c r="B527" s="222">
        <v>38.480811215370878</v>
      </c>
      <c r="C527"/>
      <c r="D527" s="221">
        <v>43661</v>
      </c>
      <c r="E527" s="222">
        <v>101.7247</v>
      </c>
      <c r="F527" s="222">
        <v>62.045900000000003</v>
      </c>
      <c r="G527" s="222">
        <v>89.984999999999999</v>
      </c>
      <c r="H527"/>
      <c r="I527" s="221">
        <v>43661</v>
      </c>
      <c r="J527" s="222">
        <v>62.045900000000003</v>
      </c>
      <c r="K527" s="222">
        <v>64.2333</v>
      </c>
      <c r="L527"/>
      <c r="M527"/>
      <c r="N527"/>
      <c r="O527" s="221">
        <v>43661</v>
      </c>
      <c r="P527" s="224">
        <v>13.241099999999999</v>
      </c>
      <c r="Q527" s="224">
        <v>64.2333</v>
      </c>
      <c r="R527"/>
      <c r="S527"/>
    </row>
    <row r="528" spans="1:19" x14ac:dyDescent="0.35">
      <c r="A528" s="221">
        <v>43658</v>
      </c>
      <c r="B528" s="222">
        <v>35.950327195308837</v>
      </c>
      <c r="C528"/>
      <c r="D528" s="221">
        <v>43658</v>
      </c>
      <c r="E528" s="222">
        <v>103.6279</v>
      </c>
      <c r="F528" s="222">
        <v>68.948400000000007</v>
      </c>
      <c r="G528" s="222">
        <v>89.957999999999998</v>
      </c>
      <c r="H528"/>
      <c r="I528" s="221">
        <v>43658</v>
      </c>
      <c r="J528" s="222">
        <v>68.948400000000007</v>
      </c>
      <c r="K528" s="222">
        <v>50.547400000000003</v>
      </c>
      <c r="L528"/>
      <c r="M528"/>
      <c r="N528"/>
      <c r="O528" s="221">
        <v>43658</v>
      </c>
      <c r="P528" s="224">
        <v>15.3872</v>
      </c>
      <c r="Q528" s="224">
        <v>50.547400000000003</v>
      </c>
      <c r="R528"/>
      <c r="S528"/>
    </row>
    <row r="529" spans="1:19" x14ac:dyDescent="0.35">
      <c r="A529" s="221">
        <v>43657</v>
      </c>
      <c r="B529" s="222">
        <v>36.131899525343769</v>
      </c>
      <c r="C529"/>
      <c r="D529" s="221">
        <v>43657</v>
      </c>
      <c r="E529" s="222">
        <v>103.289</v>
      </c>
      <c r="F529" s="222">
        <v>68.030600000000007</v>
      </c>
      <c r="G529" s="222">
        <v>89.944000000000003</v>
      </c>
      <c r="H529"/>
      <c r="I529" s="221">
        <v>43657</v>
      </c>
      <c r="J529" s="222">
        <v>68.030600000000007</v>
      </c>
      <c r="K529" s="222">
        <v>52.078600000000002</v>
      </c>
      <c r="L529"/>
      <c r="M529"/>
      <c r="N529"/>
      <c r="O529" s="221">
        <v>43657</v>
      </c>
      <c r="P529" s="224">
        <v>15.027100000000001</v>
      </c>
      <c r="Q529" s="224">
        <v>52.078600000000002</v>
      </c>
      <c r="R529"/>
      <c r="S529"/>
    </row>
    <row r="530" spans="1:19" x14ac:dyDescent="0.35">
      <c r="A530" s="221">
        <v>43656</v>
      </c>
      <c r="B530" s="222">
        <v>35.430408745121731</v>
      </c>
      <c r="C530"/>
      <c r="D530" s="221">
        <v>43656</v>
      </c>
      <c r="E530" s="222">
        <v>103.0231</v>
      </c>
      <c r="F530" s="222">
        <v>68.279200000000003</v>
      </c>
      <c r="G530" s="222">
        <v>89.961799999999997</v>
      </c>
      <c r="H530"/>
      <c r="I530" s="221">
        <v>43656</v>
      </c>
      <c r="J530" s="222">
        <v>68.279200000000003</v>
      </c>
      <c r="K530" s="222">
        <v>51.133899999999997</v>
      </c>
      <c r="L530"/>
      <c r="M530"/>
      <c r="N530"/>
      <c r="O530" s="221">
        <v>43656</v>
      </c>
      <c r="P530" s="224">
        <v>14.707599999999999</v>
      </c>
      <c r="Q530" s="224">
        <v>51.133899999999997</v>
      </c>
      <c r="R530"/>
      <c r="S530"/>
    </row>
    <row r="531" spans="1:19" x14ac:dyDescent="0.35">
      <c r="A531" s="221">
        <v>43655</v>
      </c>
      <c r="B531" s="222">
        <v>36.477538559289513</v>
      </c>
      <c r="C531"/>
      <c r="D531" s="221">
        <v>43655</v>
      </c>
      <c r="E531" s="222">
        <v>103.4562</v>
      </c>
      <c r="F531" s="222">
        <v>68.107100000000003</v>
      </c>
      <c r="G531" s="222">
        <v>89.880799999999994</v>
      </c>
      <c r="H531"/>
      <c r="I531" s="221">
        <v>43655</v>
      </c>
      <c r="J531" s="222">
        <v>68.107100000000003</v>
      </c>
      <c r="K531" s="222">
        <v>52.150100000000002</v>
      </c>
      <c r="L531"/>
      <c r="M531"/>
      <c r="N531"/>
      <c r="O531" s="221">
        <v>43655</v>
      </c>
      <c r="P531" s="224">
        <v>15.291600000000001</v>
      </c>
      <c r="Q531" s="224">
        <v>52.150100000000002</v>
      </c>
      <c r="R531"/>
      <c r="S531"/>
    </row>
    <row r="532" spans="1:19" x14ac:dyDescent="0.35">
      <c r="A532" s="221">
        <v>43654</v>
      </c>
      <c r="B532" s="222">
        <v>37.288486545734415</v>
      </c>
      <c r="C532"/>
      <c r="D532" s="221">
        <v>43654</v>
      </c>
      <c r="E532" s="222">
        <v>103.7893</v>
      </c>
      <c r="F532" s="222">
        <v>67.686400000000006</v>
      </c>
      <c r="G532" s="222">
        <v>89.936000000000007</v>
      </c>
      <c r="H532"/>
      <c r="I532" s="221">
        <v>43654</v>
      </c>
      <c r="J532" s="222">
        <v>67.686400000000006</v>
      </c>
      <c r="K532" s="222">
        <v>53.586199999999998</v>
      </c>
      <c r="L532"/>
      <c r="M532"/>
      <c r="N532"/>
      <c r="O532" s="221">
        <v>43654</v>
      </c>
      <c r="P532" s="224">
        <v>15.59</v>
      </c>
      <c r="Q532" s="224">
        <v>53.586199999999998</v>
      </c>
      <c r="R532"/>
      <c r="S532"/>
    </row>
    <row r="533" spans="1:19" x14ac:dyDescent="0.35">
      <c r="A533" s="221">
        <v>43651</v>
      </c>
      <c r="B533" s="222">
        <v>36.147840252484514</v>
      </c>
      <c r="C533"/>
      <c r="D533" s="221">
        <v>43651</v>
      </c>
      <c r="E533" s="222">
        <v>104.0356</v>
      </c>
      <c r="F533" s="222">
        <v>69.674999999999997</v>
      </c>
      <c r="G533" s="222">
        <v>89.834699999999998</v>
      </c>
      <c r="H533"/>
      <c r="I533" s="221">
        <v>43651</v>
      </c>
      <c r="J533" s="222">
        <v>69.674999999999997</v>
      </c>
      <c r="K533" s="222">
        <v>49.551499999999997</v>
      </c>
      <c r="L533"/>
      <c r="M533"/>
      <c r="N533"/>
      <c r="O533" s="221">
        <v>43651</v>
      </c>
      <c r="P533" s="224">
        <v>15.9908</v>
      </c>
      <c r="Q533" s="224">
        <v>49.551499999999997</v>
      </c>
      <c r="R533"/>
      <c r="S533"/>
    </row>
    <row r="534" spans="1:19" x14ac:dyDescent="0.35">
      <c r="A534" s="221">
        <v>43650</v>
      </c>
      <c r="B534" s="222">
        <v>36.975113501536363</v>
      </c>
      <c r="C534"/>
      <c r="D534" s="221">
        <v>43650</v>
      </c>
      <c r="E534" s="222">
        <v>104.2567</v>
      </c>
      <c r="F534" s="222">
        <v>69.139600000000002</v>
      </c>
      <c r="G534" s="222">
        <v>89.798000000000002</v>
      </c>
      <c r="H534"/>
      <c r="I534" s="221">
        <v>43650</v>
      </c>
      <c r="J534" s="222">
        <v>69.139600000000002</v>
      </c>
      <c r="K534" s="222">
        <v>51.027799999999999</v>
      </c>
      <c r="L534"/>
      <c r="M534"/>
      <c r="N534"/>
      <c r="O534" s="221">
        <v>43650</v>
      </c>
      <c r="P534" s="224">
        <v>16.283200000000001</v>
      </c>
      <c r="Q534" s="224">
        <v>51.027799999999999</v>
      </c>
      <c r="R534"/>
      <c r="S534"/>
    </row>
    <row r="535" spans="1:19" x14ac:dyDescent="0.35">
      <c r="A535" s="221">
        <v>43649</v>
      </c>
      <c r="B535" s="222">
        <v>35.26793103126932</v>
      </c>
      <c r="C535"/>
      <c r="D535" s="221">
        <v>43649</v>
      </c>
      <c r="E535" s="222">
        <v>103.5878</v>
      </c>
      <c r="F535" s="222">
        <v>70.1721</v>
      </c>
      <c r="G535" s="222">
        <v>89.6357</v>
      </c>
      <c r="H535"/>
      <c r="I535" s="221">
        <v>43649</v>
      </c>
      <c r="J535" s="222">
        <v>70.1721</v>
      </c>
      <c r="K535" s="222">
        <v>47.8508</v>
      </c>
      <c r="L535"/>
      <c r="M535"/>
      <c r="N535"/>
      <c r="O535" s="221">
        <v>43649</v>
      </c>
      <c r="P535" s="224">
        <v>15.7463</v>
      </c>
      <c r="Q535" s="224">
        <v>47.8508</v>
      </c>
      <c r="R535"/>
      <c r="S535"/>
    </row>
    <row r="536" spans="1:19" x14ac:dyDescent="0.35">
      <c r="A536" s="221">
        <v>43648</v>
      </c>
      <c r="B536" s="222">
        <v>33.925153919093411</v>
      </c>
      <c r="C536"/>
      <c r="D536" s="221">
        <v>43648</v>
      </c>
      <c r="E536" s="222">
        <v>103.4389</v>
      </c>
      <c r="F536" s="222">
        <v>71.835599999999999</v>
      </c>
      <c r="G536" s="222">
        <v>89.461200000000005</v>
      </c>
      <c r="H536"/>
      <c r="I536" s="221">
        <v>43648</v>
      </c>
      <c r="J536" s="222">
        <v>71.835599999999999</v>
      </c>
      <c r="K536" s="222">
        <v>44.218200000000003</v>
      </c>
      <c r="L536"/>
      <c r="M536"/>
      <c r="N536"/>
      <c r="O536" s="221">
        <v>43648</v>
      </c>
      <c r="P536" s="224">
        <v>15.804399999999999</v>
      </c>
      <c r="Q536" s="224">
        <v>44.218200000000003</v>
      </c>
      <c r="R536"/>
      <c r="S536"/>
    </row>
    <row r="537" spans="1:19" x14ac:dyDescent="0.35">
      <c r="A537" s="221">
        <v>43647</v>
      </c>
      <c r="B537" s="222">
        <v>35.441641291505853</v>
      </c>
      <c r="C537"/>
      <c r="D537" s="221">
        <v>43647</v>
      </c>
      <c r="E537" s="222">
        <v>104.05200000000001</v>
      </c>
      <c r="F537" s="222">
        <v>71.281099999999995</v>
      </c>
      <c r="G537" s="222">
        <v>89.4178</v>
      </c>
      <c r="H537"/>
      <c r="I537" s="221">
        <v>43647</v>
      </c>
      <c r="J537" s="222">
        <v>71.281099999999995</v>
      </c>
      <c r="K537" s="222">
        <v>46.198599999999999</v>
      </c>
      <c r="L537"/>
      <c r="M537"/>
      <c r="N537"/>
      <c r="O537" s="221">
        <v>43647</v>
      </c>
      <c r="P537" s="224">
        <v>16.545000000000002</v>
      </c>
      <c r="Q537" s="224">
        <v>46.198599999999999</v>
      </c>
      <c r="R537"/>
      <c r="S537"/>
    </row>
    <row r="538" spans="1:19" x14ac:dyDescent="0.35">
      <c r="A538" s="221">
        <v>43644</v>
      </c>
      <c r="B538" s="222">
        <v>38.934593193966656</v>
      </c>
      <c r="C538"/>
      <c r="D538" s="221">
        <v>43644</v>
      </c>
      <c r="E538" s="222">
        <v>103.3283</v>
      </c>
      <c r="F538" s="222">
        <v>65.736099999999993</v>
      </c>
      <c r="G538" s="222">
        <v>89.416200000000003</v>
      </c>
      <c r="H538"/>
      <c r="I538" s="221">
        <v>43644</v>
      </c>
      <c r="J538" s="222">
        <v>65.736099999999993</v>
      </c>
      <c r="K538" s="222">
        <v>57.424900000000001</v>
      </c>
      <c r="L538"/>
      <c r="M538"/>
      <c r="N538"/>
      <c r="O538" s="221">
        <v>43644</v>
      </c>
      <c r="P538" s="224">
        <v>15.7341</v>
      </c>
      <c r="Q538" s="224">
        <v>57.424900000000001</v>
      </c>
      <c r="R538"/>
      <c r="S538"/>
    </row>
    <row r="539" spans="1:19" x14ac:dyDescent="0.35">
      <c r="A539" s="221">
        <v>43643</v>
      </c>
      <c r="B539" s="222">
        <v>38.386838556318594</v>
      </c>
      <c r="C539"/>
      <c r="D539" s="221">
        <v>43643</v>
      </c>
      <c r="E539" s="222">
        <v>103.5444</v>
      </c>
      <c r="F539" s="222">
        <v>66.902500000000003</v>
      </c>
      <c r="G539" s="222">
        <v>89.354799999999997</v>
      </c>
      <c r="H539"/>
      <c r="I539" s="221">
        <v>43643</v>
      </c>
      <c r="J539" s="222">
        <v>66.902500000000003</v>
      </c>
      <c r="K539" s="222">
        <v>55.0017</v>
      </c>
      <c r="L539"/>
      <c r="M539"/>
      <c r="N539"/>
      <c r="O539" s="221">
        <v>43643</v>
      </c>
      <c r="P539" s="224">
        <v>16.054200000000002</v>
      </c>
      <c r="Q539" s="224">
        <v>55.0017</v>
      </c>
      <c r="R539"/>
      <c r="S539"/>
    </row>
    <row r="540" spans="1:19" x14ac:dyDescent="0.35">
      <c r="A540" s="221">
        <v>43642</v>
      </c>
      <c r="B540" s="222">
        <v>38.894392089193538</v>
      </c>
      <c r="C540"/>
      <c r="D540" s="221">
        <v>43642</v>
      </c>
      <c r="E540" s="222">
        <v>103.04049999999999</v>
      </c>
      <c r="F540" s="222">
        <v>65.506699999999995</v>
      </c>
      <c r="G540" s="222">
        <v>89.241100000000003</v>
      </c>
      <c r="H540"/>
      <c r="I540" s="221">
        <v>43642</v>
      </c>
      <c r="J540" s="222">
        <v>65.506699999999995</v>
      </c>
      <c r="K540" s="222">
        <v>57.533499999999997</v>
      </c>
      <c r="L540"/>
      <c r="M540"/>
      <c r="N540"/>
      <c r="O540" s="221">
        <v>43642</v>
      </c>
      <c r="P540" s="224">
        <v>15.636200000000001</v>
      </c>
      <c r="Q540" s="224">
        <v>57.533499999999997</v>
      </c>
      <c r="R540"/>
      <c r="S540"/>
    </row>
    <row r="541" spans="1:19" x14ac:dyDescent="0.35">
      <c r="A541" s="221">
        <v>43641</v>
      </c>
      <c r="B541" s="222">
        <v>39.269612934083604</v>
      </c>
      <c r="C541"/>
      <c r="D541" s="221">
        <v>43641</v>
      </c>
      <c r="E541" s="222">
        <v>103.14660000000001</v>
      </c>
      <c r="F541" s="222">
        <v>65.391999999999996</v>
      </c>
      <c r="G541" s="222">
        <v>89.186999999999998</v>
      </c>
      <c r="H541"/>
      <c r="I541" s="221">
        <v>43641</v>
      </c>
      <c r="J541" s="222">
        <v>65.391999999999996</v>
      </c>
      <c r="K541" s="222">
        <v>57.970399999999998</v>
      </c>
      <c r="L541"/>
      <c r="M541"/>
      <c r="N541"/>
      <c r="O541" s="221">
        <v>43641</v>
      </c>
      <c r="P541" s="224">
        <v>15.8241</v>
      </c>
      <c r="Q541" s="224">
        <v>57.970399999999998</v>
      </c>
      <c r="R541"/>
      <c r="S541"/>
    </row>
    <row r="542" spans="1:19" x14ac:dyDescent="0.35">
      <c r="A542" s="221">
        <v>43640</v>
      </c>
      <c r="B542" s="222">
        <v>36.806069471222457</v>
      </c>
      <c r="C542"/>
      <c r="D542" s="221">
        <v>43640</v>
      </c>
      <c r="E542" s="222">
        <v>102.4877</v>
      </c>
      <c r="F542" s="222">
        <v>66.883399999999995</v>
      </c>
      <c r="G542" s="222">
        <v>89.187600000000003</v>
      </c>
      <c r="H542"/>
      <c r="I542" s="221">
        <v>43640</v>
      </c>
      <c r="J542" s="222">
        <v>66.883399999999995</v>
      </c>
      <c r="K542" s="222">
        <v>53.461100000000002</v>
      </c>
      <c r="L542"/>
      <c r="M542"/>
      <c r="N542"/>
      <c r="O542" s="221">
        <v>43640</v>
      </c>
      <c r="P542" s="224">
        <v>15.083299999999999</v>
      </c>
      <c r="Q542" s="224">
        <v>53.461100000000002</v>
      </c>
      <c r="R542"/>
      <c r="S542"/>
    </row>
    <row r="543" spans="1:19" x14ac:dyDescent="0.35">
      <c r="A543" s="221">
        <v>43637</v>
      </c>
      <c r="B543" s="222">
        <v>36.616832821215169</v>
      </c>
      <c r="C543"/>
      <c r="D543" s="221">
        <v>43637</v>
      </c>
      <c r="E543" s="222">
        <v>103.151</v>
      </c>
      <c r="F543" s="222">
        <v>68.432100000000005</v>
      </c>
      <c r="G543" s="222">
        <v>89.166399999999996</v>
      </c>
      <c r="H543"/>
      <c r="I543" s="221">
        <v>43637</v>
      </c>
      <c r="J543" s="222">
        <v>68.432100000000005</v>
      </c>
      <c r="K543" s="222">
        <v>50.952599999999997</v>
      </c>
      <c r="L543"/>
      <c r="M543"/>
      <c r="N543"/>
      <c r="O543" s="221">
        <v>43637</v>
      </c>
      <c r="P543" s="224">
        <v>15.8508</v>
      </c>
      <c r="Q543" s="224">
        <v>50.952599999999997</v>
      </c>
      <c r="R543"/>
      <c r="S543"/>
    </row>
    <row r="544" spans="1:19" x14ac:dyDescent="0.35">
      <c r="A544" s="221">
        <v>43636</v>
      </c>
      <c r="B544" s="222">
        <v>36.027440122413736</v>
      </c>
      <c r="C544"/>
      <c r="D544" s="221">
        <v>43636</v>
      </c>
      <c r="E544" s="222">
        <v>102.3141</v>
      </c>
      <c r="F544" s="222">
        <v>67.705500000000001</v>
      </c>
      <c r="G544" s="222">
        <v>89.028300000000002</v>
      </c>
      <c r="H544"/>
      <c r="I544" s="221">
        <v>43636</v>
      </c>
      <c r="J544" s="222">
        <v>67.705500000000001</v>
      </c>
      <c r="K544" s="222">
        <v>51.334800000000001</v>
      </c>
      <c r="L544"/>
      <c r="M544"/>
      <c r="N544"/>
      <c r="O544" s="221">
        <v>43636</v>
      </c>
      <c r="P544" s="224">
        <v>15.0892</v>
      </c>
      <c r="Q544" s="224">
        <v>51.334800000000001</v>
      </c>
      <c r="R544"/>
      <c r="S544"/>
    </row>
    <row r="545" spans="1:19" x14ac:dyDescent="0.35">
      <c r="A545" s="221">
        <v>43635</v>
      </c>
      <c r="B545" s="222">
        <v>36.14816377849187</v>
      </c>
      <c r="C545"/>
      <c r="D545" s="221">
        <v>43635</v>
      </c>
      <c r="E545" s="222">
        <v>101.4532</v>
      </c>
      <c r="F545" s="222">
        <v>66.003799999999998</v>
      </c>
      <c r="G545" s="222">
        <v>88.925200000000004</v>
      </c>
      <c r="H545"/>
      <c r="I545" s="221">
        <v>43635</v>
      </c>
      <c r="J545" s="222">
        <v>66.003799999999998</v>
      </c>
      <c r="K545" s="222">
        <v>53.930500000000002</v>
      </c>
      <c r="L545"/>
      <c r="M545"/>
      <c r="N545"/>
      <c r="O545" s="221">
        <v>43635</v>
      </c>
      <c r="P545" s="224">
        <v>14.253299999999999</v>
      </c>
      <c r="Q545" s="224">
        <v>53.930500000000002</v>
      </c>
      <c r="R545"/>
      <c r="S545"/>
    </row>
    <row r="546" spans="1:19" x14ac:dyDescent="0.35">
      <c r="A546" s="221">
        <v>43634</v>
      </c>
      <c r="B546" s="222">
        <v>36.38461960714227</v>
      </c>
      <c r="C546"/>
      <c r="D546" s="221">
        <v>43634</v>
      </c>
      <c r="E546" s="222">
        <v>100.6542</v>
      </c>
      <c r="F546" s="222">
        <v>64.072699999999998</v>
      </c>
      <c r="G546" s="222">
        <v>88.885499999999993</v>
      </c>
      <c r="H546"/>
      <c r="I546" s="221">
        <v>43634</v>
      </c>
      <c r="J546" s="222">
        <v>64.072699999999998</v>
      </c>
      <c r="K546" s="222">
        <v>57.321300000000001</v>
      </c>
      <c r="L546"/>
      <c r="M546"/>
      <c r="N546"/>
      <c r="O546" s="221">
        <v>43634</v>
      </c>
      <c r="P546" s="224">
        <v>13.404299999999999</v>
      </c>
      <c r="Q546" s="224">
        <v>57.321300000000001</v>
      </c>
      <c r="R546"/>
      <c r="S546"/>
    </row>
    <row r="547" spans="1:19" x14ac:dyDescent="0.35">
      <c r="A547" s="221">
        <v>43633</v>
      </c>
      <c r="B547" s="222">
        <v>36.690727339109273</v>
      </c>
      <c r="C547"/>
      <c r="D547" s="221">
        <v>43633</v>
      </c>
      <c r="E547" s="222">
        <v>100.63630000000001</v>
      </c>
      <c r="F547" s="222">
        <v>63.7667</v>
      </c>
      <c r="G547" s="222">
        <v>88.825400000000002</v>
      </c>
      <c r="H547"/>
      <c r="I547" s="221">
        <v>43633</v>
      </c>
      <c r="J547" s="222">
        <v>63.7667</v>
      </c>
      <c r="K547" s="222">
        <v>58.046399999999998</v>
      </c>
      <c r="L547"/>
      <c r="M547"/>
      <c r="N547"/>
      <c r="O547" s="221">
        <v>43633</v>
      </c>
      <c r="P547" s="224">
        <v>13.4597</v>
      </c>
      <c r="Q547" s="224">
        <v>58.046399999999998</v>
      </c>
      <c r="R547"/>
      <c r="S547"/>
    </row>
    <row r="548" spans="1:19" x14ac:dyDescent="0.35">
      <c r="A548" s="221">
        <v>43630</v>
      </c>
      <c r="B548" s="222">
        <v>35.648862444052583</v>
      </c>
      <c r="C548"/>
      <c r="D548" s="221">
        <v>43630</v>
      </c>
      <c r="E548" s="222">
        <v>100.56359999999999</v>
      </c>
      <c r="F548" s="222">
        <v>64.608000000000004</v>
      </c>
      <c r="G548" s="222">
        <v>88.903599999999997</v>
      </c>
      <c r="H548"/>
      <c r="I548" s="221">
        <v>43630</v>
      </c>
      <c r="J548" s="222">
        <v>64.608000000000004</v>
      </c>
      <c r="K548" s="222">
        <v>55.870800000000003</v>
      </c>
      <c r="L548"/>
      <c r="M548"/>
      <c r="N548"/>
      <c r="O548" s="221">
        <v>43630</v>
      </c>
      <c r="P548" s="224">
        <v>13.2744</v>
      </c>
      <c r="Q548" s="224">
        <v>55.870800000000003</v>
      </c>
      <c r="R548"/>
      <c r="S548"/>
    </row>
    <row r="549" spans="1:19" x14ac:dyDescent="0.35">
      <c r="A549" s="221">
        <v>43629</v>
      </c>
      <c r="B549" s="222">
        <v>35.133264968510261</v>
      </c>
      <c r="C549"/>
      <c r="D549" s="221">
        <v>43629</v>
      </c>
      <c r="E549" s="222">
        <v>101.3597</v>
      </c>
      <c r="F549" s="222">
        <v>66.730400000000003</v>
      </c>
      <c r="G549" s="222">
        <v>88.994699999999995</v>
      </c>
      <c r="H549"/>
      <c r="I549" s="221">
        <v>43629</v>
      </c>
      <c r="J549" s="222">
        <v>66.730400000000003</v>
      </c>
      <c r="K549" s="222">
        <v>52.104599999999998</v>
      </c>
      <c r="L549"/>
      <c r="M549"/>
      <c r="N549"/>
      <c r="O549" s="221">
        <v>43629</v>
      </c>
      <c r="P549" s="224">
        <v>14.0517</v>
      </c>
      <c r="Q549" s="224">
        <v>52.104599999999998</v>
      </c>
      <c r="R549"/>
      <c r="S549"/>
    </row>
    <row r="550" spans="1:19" x14ac:dyDescent="0.35">
      <c r="A550" s="221">
        <v>43628</v>
      </c>
      <c r="B550" s="222">
        <v>34.509207152599366</v>
      </c>
      <c r="C550"/>
      <c r="D550" s="221">
        <v>43628</v>
      </c>
      <c r="E550" s="222">
        <v>101.48480000000001</v>
      </c>
      <c r="F550" s="222">
        <v>67.724699999999999</v>
      </c>
      <c r="G550" s="222">
        <v>89.016199999999998</v>
      </c>
      <c r="H550"/>
      <c r="I550" s="221">
        <v>43628</v>
      </c>
      <c r="J550" s="222">
        <v>67.724699999999999</v>
      </c>
      <c r="K550" s="222">
        <v>50.054600000000001</v>
      </c>
      <c r="L550"/>
      <c r="M550"/>
      <c r="N550"/>
      <c r="O550" s="221">
        <v>43628</v>
      </c>
      <c r="P550" s="224">
        <v>14.163500000000001</v>
      </c>
      <c r="Q550" s="224">
        <v>50.054600000000001</v>
      </c>
      <c r="R550"/>
      <c r="S550"/>
    </row>
    <row r="551" spans="1:19" x14ac:dyDescent="0.35">
      <c r="A551" s="221">
        <v>43627</v>
      </c>
      <c r="B551" s="222">
        <v>35.479916011779395</v>
      </c>
      <c r="C551"/>
      <c r="D551" s="221">
        <v>43627</v>
      </c>
      <c r="E551" s="222">
        <v>101.9619</v>
      </c>
      <c r="F551" s="222">
        <v>67.609899999999996</v>
      </c>
      <c r="G551" s="222">
        <v>88.974000000000004</v>
      </c>
      <c r="H551"/>
      <c r="I551" s="221">
        <v>43627</v>
      </c>
      <c r="J551" s="222">
        <v>67.609899999999996</v>
      </c>
      <c r="K551" s="222">
        <v>51.013399999999997</v>
      </c>
      <c r="L551"/>
      <c r="M551"/>
      <c r="N551"/>
      <c r="O551" s="221">
        <v>43627</v>
      </c>
      <c r="P551" s="224">
        <v>14.752599999999999</v>
      </c>
      <c r="Q551" s="224">
        <v>51.013399999999997</v>
      </c>
      <c r="R551"/>
      <c r="S551"/>
    </row>
    <row r="552" spans="1:19" x14ac:dyDescent="0.35">
      <c r="A552" s="221">
        <v>43626</v>
      </c>
      <c r="B552" s="222">
        <v>36.932343575720864</v>
      </c>
      <c r="C552"/>
      <c r="D552" s="221">
        <v>43626</v>
      </c>
      <c r="E552" s="222">
        <v>101.961</v>
      </c>
      <c r="F552" s="222">
        <v>65.812600000000003</v>
      </c>
      <c r="G552" s="222">
        <v>88.997799999999998</v>
      </c>
      <c r="H552"/>
      <c r="I552" s="221">
        <v>43626</v>
      </c>
      <c r="J552" s="222">
        <v>65.812600000000003</v>
      </c>
      <c r="K552" s="222">
        <v>55.134399999999999</v>
      </c>
      <c r="L552"/>
      <c r="M552"/>
      <c r="N552"/>
      <c r="O552" s="221">
        <v>43626</v>
      </c>
      <c r="P552" s="224">
        <v>14.7197</v>
      </c>
      <c r="Q552" s="224">
        <v>55.134399999999999</v>
      </c>
      <c r="R552"/>
      <c r="S552"/>
    </row>
    <row r="553" spans="1:19" x14ac:dyDescent="0.35">
      <c r="A553" s="221">
        <v>43622</v>
      </c>
      <c r="B553" s="222">
        <v>38.129557497992437</v>
      </c>
      <c r="C553"/>
      <c r="D553" s="221">
        <v>43622</v>
      </c>
      <c r="E553" s="222">
        <v>101.4674</v>
      </c>
      <c r="F553" s="222">
        <v>63.403399999999998</v>
      </c>
      <c r="G553" s="222">
        <v>88.965900000000005</v>
      </c>
      <c r="H553"/>
      <c r="I553" s="221">
        <v>43622</v>
      </c>
      <c r="J553" s="222">
        <v>63.403399999999998</v>
      </c>
      <c r="K553" s="222">
        <v>60.2438</v>
      </c>
      <c r="L553"/>
      <c r="M553"/>
      <c r="N553"/>
      <c r="O553" s="221">
        <v>43622</v>
      </c>
      <c r="P553" s="224">
        <v>14.2011</v>
      </c>
      <c r="Q553" s="224">
        <v>60.2438</v>
      </c>
      <c r="R553"/>
      <c r="S553"/>
    </row>
    <row r="554" spans="1:19" x14ac:dyDescent="0.35">
      <c r="A554" s="221">
        <v>43621</v>
      </c>
      <c r="B554" s="222">
        <v>37.325670677968439</v>
      </c>
      <c r="C554"/>
      <c r="D554" s="221">
        <v>43621</v>
      </c>
      <c r="E554" s="222">
        <v>101.99850000000001</v>
      </c>
      <c r="F554" s="222">
        <v>65.391999999999996</v>
      </c>
      <c r="G554" s="222">
        <v>88.976799999999997</v>
      </c>
      <c r="H554"/>
      <c r="I554" s="221">
        <v>43621</v>
      </c>
      <c r="J554" s="222">
        <v>65.391999999999996</v>
      </c>
      <c r="K554" s="222">
        <v>56.181199999999997</v>
      </c>
      <c r="L554"/>
      <c r="M554"/>
      <c r="N554"/>
      <c r="O554" s="221">
        <v>43621</v>
      </c>
      <c r="P554" s="224">
        <v>14.7827</v>
      </c>
      <c r="Q554" s="224">
        <v>56.181199999999997</v>
      </c>
      <c r="R554"/>
      <c r="S554"/>
    </row>
    <row r="555" spans="1:19" x14ac:dyDescent="0.35">
      <c r="A555" s="221">
        <v>43620</v>
      </c>
      <c r="B555" s="222">
        <v>39.502870858932418</v>
      </c>
      <c r="C555"/>
      <c r="D555" s="221">
        <v>43620</v>
      </c>
      <c r="E555" s="222">
        <v>102.1686</v>
      </c>
      <c r="F555" s="222">
        <v>63.288699999999999</v>
      </c>
      <c r="G555" s="222">
        <v>88.955799999999996</v>
      </c>
      <c r="H555"/>
      <c r="I555" s="221">
        <v>43620</v>
      </c>
      <c r="J555" s="222">
        <v>63.288699999999999</v>
      </c>
      <c r="K555" s="222">
        <v>61.638599999999997</v>
      </c>
      <c r="L555"/>
      <c r="M555"/>
      <c r="N555"/>
      <c r="O555" s="221">
        <v>43620</v>
      </c>
      <c r="P555" s="224">
        <v>14.9998</v>
      </c>
      <c r="Q555" s="224">
        <v>61.638599999999997</v>
      </c>
      <c r="R555"/>
      <c r="S555"/>
    </row>
    <row r="556" spans="1:19" x14ac:dyDescent="0.35">
      <c r="A556" s="221">
        <v>43619</v>
      </c>
      <c r="B556" s="222">
        <v>40.097279632885929</v>
      </c>
      <c r="C556"/>
      <c r="D556" s="221">
        <v>43619</v>
      </c>
      <c r="E556" s="222">
        <v>102.4207</v>
      </c>
      <c r="F556" s="222">
        <v>63.078400000000002</v>
      </c>
      <c r="G556" s="222">
        <v>88.976900000000001</v>
      </c>
      <c r="H556"/>
      <c r="I556" s="221">
        <v>43619</v>
      </c>
      <c r="J556" s="222">
        <v>63.078400000000002</v>
      </c>
      <c r="K556" s="222">
        <v>62.575499999999998</v>
      </c>
      <c r="L556"/>
      <c r="M556"/>
      <c r="N556"/>
      <c r="O556" s="221">
        <v>43619</v>
      </c>
      <c r="P556" s="224">
        <v>15.2546</v>
      </c>
      <c r="Q556" s="224">
        <v>62.575499999999998</v>
      </c>
      <c r="R556"/>
      <c r="S556"/>
    </row>
    <row r="557" spans="1:19" x14ac:dyDescent="0.35">
      <c r="A557" s="221">
        <v>43616</v>
      </c>
      <c r="B557" s="222">
        <v>41.070444767112356</v>
      </c>
      <c r="C557"/>
      <c r="D557" s="221">
        <v>43616</v>
      </c>
      <c r="E557" s="222">
        <v>103.11799999999999</v>
      </c>
      <c r="F557" s="222">
        <v>63.3461</v>
      </c>
      <c r="G557" s="222">
        <v>88.987300000000005</v>
      </c>
      <c r="H557"/>
      <c r="I557" s="221">
        <v>43616</v>
      </c>
      <c r="J557" s="222">
        <v>63.3461</v>
      </c>
      <c r="K557" s="222">
        <v>62.984000000000002</v>
      </c>
      <c r="L557"/>
      <c r="M557"/>
      <c r="N557"/>
      <c r="O557" s="221">
        <v>43616</v>
      </c>
      <c r="P557" s="224">
        <v>16.021100000000001</v>
      </c>
      <c r="Q557" s="224">
        <v>62.984000000000002</v>
      </c>
      <c r="R557"/>
      <c r="S557"/>
    </row>
    <row r="558" spans="1:19" x14ac:dyDescent="0.35">
      <c r="A558" s="221">
        <v>43615</v>
      </c>
      <c r="B558" s="222">
        <v>42.867353269673266</v>
      </c>
      <c r="C558"/>
      <c r="D558" s="221">
        <v>43615</v>
      </c>
      <c r="E558" s="222">
        <v>103.1651</v>
      </c>
      <c r="F558" s="222">
        <v>61.682600000000001</v>
      </c>
      <c r="G558" s="222">
        <v>88.888000000000005</v>
      </c>
      <c r="H558"/>
      <c r="I558" s="221">
        <v>43615</v>
      </c>
      <c r="J558" s="222">
        <v>61.682600000000001</v>
      </c>
      <c r="K558" s="222">
        <v>67.453999999999994</v>
      </c>
      <c r="L558"/>
      <c r="M558"/>
      <c r="N558"/>
      <c r="O558" s="221">
        <v>43615</v>
      </c>
      <c r="P558" s="224">
        <v>16.202400000000001</v>
      </c>
      <c r="Q558" s="224">
        <v>67.453999999999994</v>
      </c>
      <c r="R558"/>
      <c r="S558"/>
    </row>
    <row r="559" spans="1:19" x14ac:dyDescent="0.35">
      <c r="A559" s="221">
        <v>43614</v>
      </c>
      <c r="B559" s="222">
        <v>43.164415744101959</v>
      </c>
      <c r="C559"/>
      <c r="D559" s="221">
        <v>43614</v>
      </c>
      <c r="E559" s="222">
        <v>103.6652</v>
      </c>
      <c r="F559" s="222">
        <v>62.533299999999997</v>
      </c>
      <c r="G559" s="222">
        <v>88.782899999999998</v>
      </c>
      <c r="H559"/>
      <c r="I559" s="221">
        <v>43614</v>
      </c>
      <c r="J559" s="222">
        <v>62.533299999999997</v>
      </c>
      <c r="K559" s="222">
        <v>65.974000000000004</v>
      </c>
      <c r="L559"/>
      <c r="M559"/>
      <c r="N559"/>
      <c r="O559" s="221">
        <v>43614</v>
      </c>
      <c r="P559" s="224">
        <v>16.902000000000001</v>
      </c>
      <c r="Q559" s="224">
        <v>65.974000000000004</v>
      </c>
      <c r="R559"/>
      <c r="S559"/>
    </row>
    <row r="560" spans="1:19" x14ac:dyDescent="0.35">
      <c r="A560" s="221">
        <v>43613</v>
      </c>
      <c r="B560" s="222">
        <v>43.325832916065131</v>
      </c>
      <c r="C560"/>
      <c r="D560" s="221">
        <v>43613</v>
      </c>
      <c r="E560" s="222">
        <v>103.6773</v>
      </c>
      <c r="F560" s="222">
        <v>62.247599999999998</v>
      </c>
      <c r="G560" s="222">
        <v>88.854900000000001</v>
      </c>
      <c r="H560"/>
      <c r="I560" s="221">
        <v>43613</v>
      </c>
      <c r="J560" s="222">
        <v>62.247599999999998</v>
      </c>
      <c r="K560" s="222">
        <v>66.753399999999999</v>
      </c>
      <c r="L560"/>
      <c r="M560"/>
      <c r="N560"/>
      <c r="O560" s="221">
        <v>43613</v>
      </c>
      <c r="P560" s="224">
        <v>16.819700000000001</v>
      </c>
      <c r="Q560" s="224">
        <v>66.753399999999999</v>
      </c>
      <c r="R560"/>
      <c r="S560"/>
    </row>
    <row r="561" spans="1:19" x14ac:dyDescent="0.35">
      <c r="A561" s="221">
        <v>43612</v>
      </c>
      <c r="B561" s="222">
        <v>43.57767930766844</v>
      </c>
      <c r="C561"/>
      <c r="D561" s="221">
        <v>43612</v>
      </c>
      <c r="E561" s="222">
        <v>104.4284</v>
      </c>
      <c r="F561" s="222">
        <v>63.447600000000001</v>
      </c>
      <c r="G561" s="222">
        <v>88.850899999999996</v>
      </c>
      <c r="H561"/>
      <c r="I561" s="221">
        <v>43612</v>
      </c>
      <c r="J561" s="222">
        <v>63.447600000000001</v>
      </c>
      <c r="K561" s="222">
        <v>64.781599999999997</v>
      </c>
      <c r="L561"/>
      <c r="M561"/>
      <c r="N561"/>
      <c r="O561" s="221">
        <v>43612</v>
      </c>
      <c r="P561" s="224">
        <v>17.669</v>
      </c>
      <c r="Q561" s="224">
        <v>64.781599999999997</v>
      </c>
      <c r="R561"/>
      <c r="S561"/>
    </row>
    <row r="562" spans="1:19" x14ac:dyDescent="0.35">
      <c r="A562" s="221">
        <v>43609</v>
      </c>
      <c r="B562" s="222">
        <v>44.488926618631396</v>
      </c>
      <c r="C562"/>
      <c r="D562" s="221">
        <v>43609</v>
      </c>
      <c r="E562" s="222">
        <v>104.3806</v>
      </c>
      <c r="F562" s="222">
        <v>62.057099999999998</v>
      </c>
      <c r="G562" s="222">
        <v>88.999899999999997</v>
      </c>
      <c r="H562"/>
      <c r="I562" s="221">
        <v>43609</v>
      </c>
      <c r="J562" s="222">
        <v>62.057099999999998</v>
      </c>
      <c r="K562" s="222">
        <v>68.3917</v>
      </c>
      <c r="L562"/>
      <c r="M562"/>
      <c r="N562"/>
      <c r="O562" s="221">
        <v>43609</v>
      </c>
      <c r="P562" s="224">
        <v>17.4147</v>
      </c>
      <c r="Q562" s="224">
        <v>68.3917</v>
      </c>
      <c r="R562"/>
      <c r="S562"/>
    </row>
    <row r="563" spans="1:19" x14ac:dyDescent="0.35">
      <c r="A563" s="221">
        <v>43608</v>
      </c>
      <c r="B563" s="222">
        <v>45.967607621484966</v>
      </c>
      <c r="C563"/>
      <c r="D563" s="221">
        <v>43608</v>
      </c>
      <c r="E563" s="222">
        <v>104.9757</v>
      </c>
      <c r="F563" s="222">
        <v>61.7714</v>
      </c>
      <c r="G563" s="222">
        <v>88.960099999999997</v>
      </c>
      <c r="H563"/>
      <c r="I563" s="221">
        <v>43608</v>
      </c>
      <c r="J563" s="222">
        <v>61.7714</v>
      </c>
      <c r="K563" s="222">
        <v>70.132099999999994</v>
      </c>
      <c r="L563"/>
      <c r="M563"/>
      <c r="N563"/>
      <c r="O563" s="221">
        <v>43608</v>
      </c>
      <c r="P563" s="224">
        <v>18.135000000000002</v>
      </c>
      <c r="Q563" s="224">
        <v>70.132099999999994</v>
      </c>
      <c r="R563"/>
      <c r="S563"/>
    </row>
    <row r="564" spans="1:19" x14ac:dyDescent="0.35">
      <c r="A564" s="221">
        <v>43607</v>
      </c>
      <c r="B564" s="222">
        <v>42.598943256723146</v>
      </c>
      <c r="C564"/>
      <c r="D564" s="221">
        <v>43607</v>
      </c>
      <c r="E564" s="222">
        <v>104.6678</v>
      </c>
      <c r="F564" s="222">
        <v>64.533299999999997</v>
      </c>
      <c r="G564" s="222">
        <v>88.997799999999998</v>
      </c>
      <c r="H564"/>
      <c r="I564" s="221">
        <v>43607</v>
      </c>
      <c r="J564" s="222">
        <v>64.533299999999997</v>
      </c>
      <c r="K564" s="222">
        <v>62.372</v>
      </c>
      <c r="L564"/>
      <c r="M564"/>
      <c r="N564"/>
      <c r="O564" s="221">
        <v>43607</v>
      </c>
      <c r="P564" s="224">
        <v>17.7377</v>
      </c>
      <c r="Q564" s="224">
        <v>62.372</v>
      </c>
      <c r="R564"/>
      <c r="S564"/>
    </row>
    <row r="565" spans="1:19" x14ac:dyDescent="0.35">
      <c r="A565" s="221">
        <v>43606</v>
      </c>
      <c r="B565" s="222">
        <v>42.466589776828663</v>
      </c>
      <c r="C565"/>
      <c r="D565" s="221">
        <v>43606</v>
      </c>
      <c r="E565" s="222">
        <v>103.9969</v>
      </c>
      <c r="F565" s="222">
        <v>63.485700000000001</v>
      </c>
      <c r="G565" s="222">
        <v>88.944599999999994</v>
      </c>
      <c r="H565"/>
      <c r="I565" s="221">
        <v>43606</v>
      </c>
      <c r="J565" s="222">
        <v>63.485700000000001</v>
      </c>
      <c r="K565" s="222">
        <v>63.992800000000003</v>
      </c>
      <c r="L565"/>
      <c r="M565"/>
      <c r="N565"/>
      <c r="O565" s="221">
        <v>43606</v>
      </c>
      <c r="P565" s="224">
        <v>17.052600000000002</v>
      </c>
      <c r="Q565" s="224">
        <v>63.992800000000003</v>
      </c>
      <c r="R565"/>
      <c r="S565"/>
    </row>
    <row r="566" spans="1:19" x14ac:dyDescent="0.35">
      <c r="A566" s="221">
        <v>43605</v>
      </c>
      <c r="B566" s="222">
        <v>44.318681536732988</v>
      </c>
      <c r="C566"/>
      <c r="D566" s="221">
        <v>43605</v>
      </c>
      <c r="E566" s="222">
        <v>103.76600000000001</v>
      </c>
      <c r="F566" s="222">
        <v>61.142899999999997</v>
      </c>
      <c r="G566" s="222">
        <v>88.918800000000005</v>
      </c>
      <c r="H566"/>
      <c r="I566" s="221">
        <v>43605</v>
      </c>
      <c r="J566" s="222">
        <v>61.142899999999997</v>
      </c>
      <c r="K566" s="222">
        <v>69.897099999999995</v>
      </c>
      <c r="L566"/>
      <c r="M566"/>
      <c r="N566"/>
      <c r="O566" s="221">
        <v>43605</v>
      </c>
      <c r="P566" s="224">
        <v>16.825700000000001</v>
      </c>
      <c r="Q566" s="224">
        <v>69.897099999999995</v>
      </c>
      <c r="R566"/>
      <c r="S566"/>
    </row>
    <row r="567" spans="1:19" x14ac:dyDescent="0.35">
      <c r="A567" s="221">
        <v>43602</v>
      </c>
      <c r="B567" s="222">
        <v>42.334477559901053</v>
      </c>
      <c r="C567"/>
      <c r="D567" s="221">
        <v>43602</v>
      </c>
      <c r="E567" s="222">
        <v>103.7893</v>
      </c>
      <c r="F567" s="222">
        <v>63.371400000000001</v>
      </c>
      <c r="G567" s="222">
        <v>88.836200000000005</v>
      </c>
      <c r="H567"/>
      <c r="I567" s="221">
        <v>43602</v>
      </c>
      <c r="J567" s="222">
        <v>63.371400000000001</v>
      </c>
      <c r="K567" s="222">
        <v>63.954099999999997</v>
      </c>
      <c r="L567"/>
      <c r="M567"/>
      <c r="N567"/>
      <c r="O567" s="221">
        <v>43602</v>
      </c>
      <c r="P567" s="224">
        <v>16.956800000000001</v>
      </c>
      <c r="Q567" s="224">
        <v>63.954099999999997</v>
      </c>
      <c r="R567"/>
      <c r="S567"/>
    </row>
    <row r="568" spans="1:19" x14ac:dyDescent="0.35">
      <c r="A568" s="221">
        <v>43601</v>
      </c>
      <c r="B568" s="222">
        <v>39.896047213682969</v>
      </c>
      <c r="C568"/>
      <c r="D568" s="221">
        <v>43601</v>
      </c>
      <c r="E568" s="222">
        <v>104.04040000000001</v>
      </c>
      <c r="F568" s="222">
        <v>66.647599999999997</v>
      </c>
      <c r="G568" s="222">
        <v>88.753</v>
      </c>
      <c r="H568"/>
      <c r="I568" s="221">
        <v>43601</v>
      </c>
      <c r="J568" s="222">
        <v>66.647599999999997</v>
      </c>
      <c r="K568" s="222">
        <v>56.2697</v>
      </c>
      <c r="L568"/>
      <c r="M568"/>
      <c r="N568"/>
      <c r="O568" s="221">
        <v>43601</v>
      </c>
      <c r="P568" s="224">
        <v>17.348099999999999</v>
      </c>
      <c r="Q568" s="224">
        <v>56.2697</v>
      </c>
      <c r="R568"/>
      <c r="S568"/>
    </row>
    <row r="569" spans="1:19" x14ac:dyDescent="0.35">
      <c r="A569" s="221">
        <v>43600</v>
      </c>
      <c r="B569" s="222">
        <v>39.681700016202051</v>
      </c>
      <c r="C569"/>
      <c r="D569" s="221">
        <v>43600</v>
      </c>
      <c r="E569" s="222">
        <v>103.99250000000001</v>
      </c>
      <c r="F569" s="222">
        <v>66.8</v>
      </c>
      <c r="G569" s="222">
        <v>88.742400000000004</v>
      </c>
      <c r="H569"/>
      <c r="I569" s="221">
        <v>43600</v>
      </c>
      <c r="J569" s="222">
        <v>66.8</v>
      </c>
      <c r="K569" s="222">
        <v>55.839799999999997</v>
      </c>
      <c r="L569"/>
      <c r="M569"/>
      <c r="N569"/>
      <c r="O569" s="221">
        <v>43600</v>
      </c>
      <c r="P569" s="224">
        <v>17.306899999999999</v>
      </c>
      <c r="Q569" s="224">
        <v>55.839799999999997</v>
      </c>
      <c r="R569"/>
      <c r="S569"/>
    </row>
    <row r="570" spans="1:19" x14ac:dyDescent="0.35">
      <c r="A570" s="221">
        <v>43599</v>
      </c>
      <c r="B570" s="222">
        <v>40.254924601397093</v>
      </c>
      <c r="C570"/>
      <c r="D570" s="221">
        <v>43599</v>
      </c>
      <c r="E570" s="222">
        <v>103.9846</v>
      </c>
      <c r="F570" s="222">
        <v>66.247600000000006</v>
      </c>
      <c r="G570" s="222">
        <v>88.684799999999996</v>
      </c>
      <c r="H570"/>
      <c r="I570" s="221">
        <v>43599</v>
      </c>
      <c r="J570" s="222">
        <v>66.247600000000006</v>
      </c>
      <c r="K570" s="222">
        <v>57.125700000000002</v>
      </c>
      <c r="L570"/>
      <c r="M570"/>
      <c r="N570"/>
      <c r="O570" s="221">
        <v>43599</v>
      </c>
      <c r="P570" s="224">
        <v>17.373000000000001</v>
      </c>
      <c r="Q570" s="224">
        <v>57.125700000000002</v>
      </c>
      <c r="R570"/>
      <c r="S570"/>
    </row>
    <row r="571" spans="1:19" x14ac:dyDescent="0.35">
      <c r="A571" s="221">
        <v>43598</v>
      </c>
      <c r="B571" s="222">
        <v>38.711014641491289</v>
      </c>
      <c r="C571"/>
      <c r="D571" s="221">
        <v>43598</v>
      </c>
      <c r="E571" s="222">
        <v>104.3437</v>
      </c>
      <c r="F571" s="222">
        <v>68.952399999999997</v>
      </c>
      <c r="G571" s="222">
        <v>88.5197</v>
      </c>
      <c r="H571"/>
      <c r="I571" s="221">
        <v>43598</v>
      </c>
      <c r="J571" s="222">
        <v>68.952399999999997</v>
      </c>
      <c r="K571" s="222">
        <v>51.481299999999997</v>
      </c>
      <c r="L571"/>
      <c r="M571"/>
      <c r="N571"/>
      <c r="O571" s="221">
        <v>43598</v>
      </c>
      <c r="P571" s="224">
        <v>17.996300000000002</v>
      </c>
      <c r="Q571" s="224">
        <v>51.481299999999997</v>
      </c>
      <c r="R571"/>
      <c r="S571"/>
    </row>
    <row r="572" spans="1:19" x14ac:dyDescent="0.35">
      <c r="A572" s="221">
        <v>43595</v>
      </c>
      <c r="B572" s="222">
        <v>36.57760306794092</v>
      </c>
      <c r="C572"/>
      <c r="D572" s="221">
        <v>43595</v>
      </c>
      <c r="E572" s="222">
        <v>104.70699999999999</v>
      </c>
      <c r="F572" s="222">
        <v>72.381</v>
      </c>
      <c r="G572" s="222">
        <v>88.351100000000002</v>
      </c>
      <c r="H572"/>
      <c r="I572" s="221">
        <v>43595</v>
      </c>
      <c r="J572" s="222">
        <v>72.381</v>
      </c>
      <c r="K572" s="222">
        <v>44.803199999999997</v>
      </c>
      <c r="L572"/>
      <c r="M572"/>
      <c r="N572"/>
      <c r="O572" s="221">
        <v>43595</v>
      </c>
      <c r="P572" s="224">
        <v>18.629000000000001</v>
      </c>
      <c r="Q572" s="224">
        <v>44.803199999999997</v>
      </c>
      <c r="R572"/>
      <c r="S572"/>
    </row>
    <row r="573" spans="1:19" x14ac:dyDescent="0.35">
      <c r="A573" s="221">
        <v>43594</v>
      </c>
      <c r="B573" s="222">
        <v>37.403587562499325</v>
      </c>
      <c r="C573"/>
      <c r="D573" s="221">
        <v>43594</v>
      </c>
      <c r="E573" s="222">
        <v>103.64709999999999</v>
      </c>
      <c r="F573" s="222">
        <v>69.523799999999994</v>
      </c>
      <c r="G573" s="222">
        <v>88.284899999999993</v>
      </c>
      <c r="H573"/>
      <c r="I573" s="221">
        <v>43594</v>
      </c>
      <c r="J573" s="222">
        <v>69.523799999999994</v>
      </c>
      <c r="K573" s="222">
        <v>49.228000000000002</v>
      </c>
      <c r="L573"/>
      <c r="M573"/>
      <c r="N573"/>
      <c r="O573" s="221">
        <v>43594</v>
      </c>
      <c r="P573" s="224">
        <v>17.516100000000002</v>
      </c>
      <c r="Q573" s="224">
        <v>49.228000000000002</v>
      </c>
      <c r="R573"/>
      <c r="S573"/>
    </row>
    <row r="574" spans="1:19" x14ac:dyDescent="0.35">
      <c r="A574" s="221">
        <v>43593</v>
      </c>
      <c r="B574" s="222">
        <v>37.451908977941024</v>
      </c>
      <c r="C574"/>
      <c r="D574" s="221">
        <v>43593</v>
      </c>
      <c r="E574" s="222">
        <v>104.2092</v>
      </c>
      <c r="F574" s="222">
        <v>70.838099999999997</v>
      </c>
      <c r="G574" s="222">
        <v>88.115200000000002</v>
      </c>
      <c r="H574"/>
      <c r="I574" s="221">
        <v>43593</v>
      </c>
      <c r="J574" s="222">
        <v>70.838099999999997</v>
      </c>
      <c r="K574" s="222">
        <v>47.251300000000001</v>
      </c>
      <c r="L574"/>
      <c r="M574"/>
      <c r="N574"/>
      <c r="O574" s="221">
        <v>43593</v>
      </c>
      <c r="P574" s="224">
        <v>18.379100000000001</v>
      </c>
      <c r="Q574" s="224">
        <v>47.251300000000001</v>
      </c>
      <c r="R574"/>
      <c r="S574"/>
    </row>
    <row r="575" spans="1:19" x14ac:dyDescent="0.35">
      <c r="A575" s="221">
        <v>43592</v>
      </c>
      <c r="B575" s="222">
        <v>33.704744313746424</v>
      </c>
      <c r="C575"/>
      <c r="D575" s="221">
        <v>43592</v>
      </c>
      <c r="E575" s="222">
        <v>103.00230000000001</v>
      </c>
      <c r="F575" s="222">
        <v>72.971400000000003</v>
      </c>
      <c r="G575" s="222">
        <v>88.1267</v>
      </c>
      <c r="H575"/>
      <c r="I575" s="221">
        <v>43592</v>
      </c>
      <c r="J575" s="222">
        <v>72.971400000000003</v>
      </c>
      <c r="K575" s="222">
        <v>41.290999999999997</v>
      </c>
      <c r="L575"/>
      <c r="M575"/>
      <c r="N575"/>
      <c r="O575" s="221">
        <v>43592</v>
      </c>
      <c r="P575" s="224">
        <v>16.992899999999999</v>
      </c>
      <c r="Q575" s="224">
        <v>41.290999999999997</v>
      </c>
      <c r="R575"/>
      <c r="S575"/>
    </row>
    <row r="576" spans="1:19" x14ac:dyDescent="0.35">
      <c r="A576" s="221">
        <v>43591</v>
      </c>
      <c r="B576" s="222">
        <v>35.749930021087003</v>
      </c>
      <c r="C576"/>
      <c r="D576" s="221">
        <v>43591</v>
      </c>
      <c r="E576" s="222">
        <v>102.0014</v>
      </c>
      <c r="F576" s="222">
        <v>68.781000000000006</v>
      </c>
      <c r="G576" s="222">
        <v>87.976200000000006</v>
      </c>
      <c r="H576"/>
      <c r="I576" s="221">
        <v>43591</v>
      </c>
      <c r="J576" s="222">
        <v>68.781000000000006</v>
      </c>
      <c r="K576" s="222">
        <v>48.4422</v>
      </c>
      <c r="L576"/>
      <c r="M576"/>
      <c r="N576"/>
      <c r="O576" s="221">
        <v>43591</v>
      </c>
      <c r="P576" s="224">
        <v>16.054099999999998</v>
      </c>
      <c r="Q576" s="224">
        <v>48.4422</v>
      </c>
      <c r="R576"/>
      <c r="S576"/>
    </row>
    <row r="577" spans="1:19" x14ac:dyDescent="0.35">
      <c r="A577" s="221">
        <v>43585</v>
      </c>
      <c r="B577" s="222">
        <v>34.545777676474785</v>
      </c>
      <c r="C577"/>
      <c r="D577" s="221">
        <v>43585</v>
      </c>
      <c r="E577" s="222">
        <v>104.00790000000001</v>
      </c>
      <c r="F577" s="222">
        <v>74.476200000000006</v>
      </c>
      <c r="G577" s="222">
        <v>87.733400000000003</v>
      </c>
      <c r="H577"/>
      <c r="I577" s="221">
        <v>43585</v>
      </c>
      <c r="J577" s="222">
        <v>74.476200000000006</v>
      </c>
      <c r="K577" s="222">
        <v>39.776200000000003</v>
      </c>
      <c r="L577"/>
      <c r="M577"/>
      <c r="N577"/>
      <c r="O577" s="221">
        <v>43585</v>
      </c>
      <c r="P577" s="224">
        <v>18.654900000000001</v>
      </c>
      <c r="Q577" s="224">
        <v>39.776200000000003</v>
      </c>
      <c r="R577"/>
      <c r="S577"/>
    </row>
    <row r="578" spans="1:19" x14ac:dyDescent="0.35">
      <c r="A578" s="221">
        <v>43584</v>
      </c>
      <c r="B578" s="222">
        <v>36.618560268526906</v>
      </c>
      <c r="C578"/>
      <c r="D578" s="221">
        <v>43584</v>
      </c>
      <c r="E578" s="222">
        <v>103.69799999999999</v>
      </c>
      <c r="F578" s="222">
        <v>71.619100000000003</v>
      </c>
      <c r="G578" s="222">
        <v>87.617599999999996</v>
      </c>
      <c r="H578"/>
      <c r="I578" s="221">
        <v>43584</v>
      </c>
      <c r="J578" s="222">
        <v>71.619100000000003</v>
      </c>
      <c r="K578" s="222">
        <v>44.917999999999999</v>
      </c>
      <c r="L578"/>
      <c r="M578"/>
      <c r="N578"/>
      <c r="O578" s="221">
        <v>43584</v>
      </c>
      <c r="P578" s="224">
        <v>18.456800000000001</v>
      </c>
      <c r="Q578" s="224">
        <v>44.917999999999999</v>
      </c>
      <c r="R578"/>
      <c r="S578"/>
    </row>
    <row r="579" spans="1:19" x14ac:dyDescent="0.35">
      <c r="A579" s="221">
        <v>43581</v>
      </c>
      <c r="B579" s="222">
        <v>35.699751258107462</v>
      </c>
      <c r="C579"/>
      <c r="D579" s="221">
        <v>43581</v>
      </c>
      <c r="E579" s="222">
        <v>103.60129999999999</v>
      </c>
      <c r="F579" s="222">
        <v>72.057100000000005</v>
      </c>
      <c r="G579" s="222">
        <v>87.855999999999995</v>
      </c>
      <c r="H579"/>
      <c r="I579" s="221">
        <v>43581</v>
      </c>
      <c r="J579" s="222">
        <v>72.057100000000005</v>
      </c>
      <c r="K579" s="222">
        <v>43.898400000000002</v>
      </c>
      <c r="L579"/>
      <c r="M579"/>
      <c r="N579"/>
      <c r="O579" s="221">
        <v>43581</v>
      </c>
      <c r="P579" s="224">
        <v>18.0215</v>
      </c>
      <c r="Q579" s="224">
        <v>43.898400000000002</v>
      </c>
      <c r="R579"/>
      <c r="S579"/>
    </row>
    <row r="580" spans="1:19" x14ac:dyDescent="0.35">
      <c r="A580" s="221">
        <v>43580</v>
      </c>
      <c r="B580" s="222">
        <v>35.60799983466665</v>
      </c>
      <c r="C580"/>
      <c r="D580" s="221">
        <v>43580</v>
      </c>
      <c r="E580" s="222">
        <v>104.9134</v>
      </c>
      <c r="F580" s="222">
        <v>74.609499999999997</v>
      </c>
      <c r="G580" s="222">
        <v>87.8643</v>
      </c>
      <c r="H580"/>
      <c r="I580" s="221">
        <v>43580</v>
      </c>
      <c r="J580" s="222">
        <v>74.609499999999997</v>
      </c>
      <c r="K580" s="222">
        <v>40.732700000000001</v>
      </c>
      <c r="L580"/>
      <c r="M580"/>
      <c r="N580"/>
      <c r="O580" s="221">
        <v>43580</v>
      </c>
      <c r="P580" s="224">
        <v>19.502500000000001</v>
      </c>
      <c r="Q580" s="224">
        <v>40.732700000000001</v>
      </c>
      <c r="R580"/>
      <c r="S580"/>
    </row>
    <row r="581" spans="1:19" x14ac:dyDescent="0.35">
      <c r="A581" s="221">
        <v>43579</v>
      </c>
      <c r="B581" s="222">
        <v>34.012721218966149</v>
      </c>
      <c r="C581"/>
      <c r="D581" s="221">
        <v>43579</v>
      </c>
      <c r="E581" s="222">
        <v>105.6955</v>
      </c>
      <c r="F581" s="222">
        <v>78.0762</v>
      </c>
      <c r="G581" s="222">
        <v>87.778800000000004</v>
      </c>
      <c r="H581"/>
      <c r="I581" s="221">
        <v>43579</v>
      </c>
      <c r="J581" s="222">
        <v>78.0762</v>
      </c>
      <c r="K581" s="222">
        <v>35.484299999999998</v>
      </c>
      <c r="L581"/>
      <c r="M581"/>
      <c r="N581"/>
      <c r="O581" s="221">
        <v>43579</v>
      </c>
      <c r="P581" s="224">
        <v>20.508600000000001</v>
      </c>
      <c r="Q581" s="224">
        <v>35.484299999999998</v>
      </c>
      <c r="R581"/>
      <c r="S581"/>
    </row>
    <row r="582" spans="1:19" x14ac:dyDescent="0.35">
      <c r="A582" s="221">
        <v>43578</v>
      </c>
      <c r="B582" s="222">
        <v>35.89350369345302</v>
      </c>
      <c r="C582"/>
      <c r="D582" s="221">
        <v>43578</v>
      </c>
      <c r="E582" s="222">
        <v>106.51560000000001</v>
      </c>
      <c r="F582" s="222">
        <v>77.219099999999997</v>
      </c>
      <c r="G582" s="222">
        <v>87.806200000000004</v>
      </c>
      <c r="H582"/>
      <c r="I582" s="221">
        <v>43578</v>
      </c>
      <c r="J582" s="222">
        <v>77.219099999999997</v>
      </c>
      <c r="K582" s="222">
        <v>38.048699999999997</v>
      </c>
      <c r="L582"/>
      <c r="M582"/>
      <c r="N582"/>
      <c r="O582" s="221">
        <v>43578</v>
      </c>
      <c r="P582" s="224">
        <v>21.403700000000001</v>
      </c>
      <c r="Q582" s="224">
        <v>38.048699999999997</v>
      </c>
      <c r="R582"/>
      <c r="S582"/>
    </row>
    <row r="583" spans="1:19" x14ac:dyDescent="0.35">
      <c r="A583" s="221">
        <v>43577</v>
      </c>
      <c r="B583" s="222">
        <v>37.366282792569187</v>
      </c>
      <c r="C583"/>
      <c r="D583" s="221">
        <v>43577</v>
      </c>
      <c r="E583" s="222">
        <v>108.17870000000001</v>
      </c>
      <c r="F583" s="222">
        <v>78.457099999999997</v>
      </c>
      <c r="G583" s="222">
        <v>87.759500000000003</v>
      </c>
      <c r="H583"/>
      <c r="I583" s="221">
        <v>43577</v>
      </c>
      <c r="J583" s="222">
        <v>78.457099999999997</v>
      </c>
      <c r="K583" s="222">
        <v>37.988799999999998</v>
      </c>
      <c r="L583"/>
      <c r="M583"/>
      <c r="N583"/>
      <c r="O583" s="221">
        <v>43577</v>
      </c>
      <c r="P583" s="224">
        <v>23.362100000000002</v>
      </c>
      <c r="Q583" s="224">
        <v>37.988799999999998</v>
      </c>
      <c r="R583"/>
      <c r="S583"/>
    </row>
    <row r="584" spans="1:19" x14ac:dyDescent="0.35">
      <c r="A584" s="221">
        <v>43574</v>
      </c>
      <c r="B584" s="222">
        <v>35.945249172148394</v>
      </c>
      <c r="C584"/>
      <c r="D584" s="221">
        <v>43574</v>
      </c>
      <c r="E584" s="222">
        <v>109.08799999999999</v>
      </c>
      <c r="F584" s="222">
        <v>81.6952</v>
      </c>
      <c r="G584" s="222">
        <v>87.727199999999996</v>
      </c>
      <c r="H584"/>
      <c r="I584" s="221">
        <v>43574</v>
      </c>
      <c r="J584" s="222">
        <v>81.6952</v>
      </c>
      <c r="K584" s="222">
        <v>33.628399999999999</v>
      </c>
      <c r="L584"/>
      <c r="M584"/>
      <c r="N584"/>
      <c r="O584" s="221">
        <v>43574</v>
      </c>
      <c r="P584" s="224">
        <v>24.440300000000001</v>
      </c>
      <c r="Q584" s="224">
        <v>33.628399999999999</v>
      </c>
      <c r="R584"/>
      <c r="S584"/>
    </row>
    <row r="585" spans="1:19" x14ac:dyDescent="0.35">
      <c r="A585" s="221">
        <v>43573</v>
      </c>
      <c r="B585" s="222">
        <v>36.98145222742459</v>
      </c>
      <c r="C585"/>
      <c r="D585" s="221">
        <v>43573</v>
      </c>
      <c r="E585" s="222">
        <v>108.92310000000001</v>
      </c>
      <c r="F585" s="222">
        <v>80.3429</v>
      </c>
      <c r="G585" s="222">
        <v>87.616399999999999</v>
      </c>
      <c r="H585"/>
      <c r="I585" s="221">
        <v>43573</v>
      </c>
      <c r="J585" s="222">
        <v>80.3429</v>
      </c>
      <c r="K585" s="222">
        <v>35.670999999999999</v>
      </c>
      <c r="L585"/>
      <c r="M585"/>
      <c r="N585"/>
      <c r="O585" s="221">
        <v>43573</v>
      </c>
      <c r="P585" s="224">
        <v>24.408200000000001</v>
      </c>
      <c r="Q585" s="224">
        <v>35.670999999999999</v>
      </c>
      <c r="R585"/>
      <c r="S585"/>
    </row>
    <row r="586" spans="1:19" x14ac:dyDescent="0.35">
      <c r="A586" s="221">
        <v>43572</v>
      </c>
      <c r="B586" s="222">
        <v>35.922526021139532</v>
      </c>
      <c r="C586"/>
      <c r="D586" s="221">
        <v>43572</v>
      </c>
      <c r="E586" s="222">
        <v>108.92319999999999</v>
      </c>
      <c r="F586" s="222">
        <v>81.542900000000003</v>
      </c>
      <c r="G586" s="222">
        <v>87.649500000000003</v>
      </c>
      <c r="H586"/>
      <c r="I586" s="221">
        <v>43572</v>
      </c>
      <c r="J586" s="222">
        <v>81.542900000000003</v>
      </c>
      <c r="K586" s="222">
        <v>33.673200000000001</v>
      </c>
      <c r="L586"/>
      <c r="M586"/>
      <c r="N586"/>
      <c r="O586" s="221">
        <v>43572</v>
      </c>
      <c r="P586" s="224">
        <v>24.360099999999999</v>
      </c>
      <c r="Q586" s="224">
        <v>33.673200000000001</v>
      </c>
      <c r="R586"/>
      <c r="S586"/>
    </row>
    <row r="587" spans="1:19" x14ac:dyDescent="0.35">
      <c r="A587" s="221">
        <v>43571</v>
      </c>
      <c r="B587" s="222">
        <v>37.422679661927724</v>
      </c>
      <c r="C587"/>
      <c r="D587" s="221">
        <v>43571</v>
      </c>
      <c r="E587" s="222">
        <v>109.9533</v>
      </c>
      <c r="F587" s="222">
        <v>81.333299999999994</v>
      </c>
      <c r="G587" s="222">
        <v>87.743499999999997</v>
      </c>
      <c r="H587"/>
      <c r="I587" s="221">
        <v>43571</v>
      </c>
      <c r="J587" s="222">
        <v>81.333299999999994</v>
      </c>
      <c r="K587" s="222">
        <v>35.282800000000002</v>
      </c>
      <c r="L587"/>
      <c r="M587"/>
      <c r="N587"/>
      <c r="O587" s="221">
        <v>43571</v>
      </c>
      <c r="P587" s="224">
        <v>25.3996</v>
      </c>
      <c r="Q587" s="224">
        <v>35.282800000000002</v>
      </c>
      <c r="R587"/>
      <c r="S587"/>
    </row>
    <row r="588" spans="1:19" x14ac:dyDescent="0.35">
      <c r="A588" s="221">
        <v>43570</v>
      </c>
      <c r="B588" s="222">
        <v>38.109396780350366</v>
      </c>
      <c r="C588"/>
      <c r="D588" s="221">
        <v>43570</v>
      </c>
      <c r="E588" s="222">
        <v>109.1144</v>
      </c>
      <c r="F588" s="222">
        <v>78.8</v>
      </c>
      <c r="G588" s="222">
        <v>87.933599999999998</v>
      </c>
      <c r="H588"/>
      <c r="I588" s="221">
        <v>43570</v>
      </c>
      <c r="J588" s="222">
        <v>78.8</v>
      </c>
      <c r="K588" s="222">
        <v>38.566000000000003</v>
      </c>
      <c r="L588"/>
      <c r="M588"/>
      <c r="N588"/>
      <c r="O588" s="221">
        <v>43570</v>
      </c>
      <c r="P588" s="224">
        <v>24.173200000000001</v>
      </c>
      <c r="Q588" s="224">
        <v>38.566000000000003</v>
      </c>
      <c r="R588"/>
      <c r="S588"/>
    </row>
    <row r="589" spans="1:19" x14ac:dyDescent="0.35">
      <c r="A589" s="221">
        <v>43567</v>
      </c>
      <c r="B589" s="222">
        <v>39.916135539371048</v>
      </c>
      <c r="C589"/>
      <c r="D589" s="221">
        <v>43567</v>
      </c>
      <c r="E589" s="222">
        <v>109.7277</v>
      </c>
      <c r="F589" s="222">
        <v>77.333299999999994</v>
      </c>
      <c r="G589" s="222">
        <v>88.180800000000005</v>
      </c>
      <c r="H589"/>
      <c r="I589" s="221">
        <v>43567</v>
      </c>
      <c r="J589" s="222">
        <v>77.333299999999994</v>
      </c>
      <c r="K589" s="222">
        <v>41.982799999999997</v>
      </c>
      <c r="L589"/>
      <c r="M589"/>
      <c r="N589"/>
      <c r="O589" s="221">
        <v>43567</v>
      </c>
      <c r="P589" s="224">
        <v>24.5169</v>
      </c>
      <c r="Q589" s="224">
        <v>41.982799999999997</v>
      </c>
      <c r="R589"/>
      <c r="S589"/>
    </row>
    <row r="590" spans="1:19" x14ac:dyDescent="0.35">
      <c r="A590" s="221">
        <v>43566</v>
      </c>
      <c r="B590" s="222">
        <v>39.892025831694866</v>
      </c>
      <c r="C590"/>
      <c r="D590" s="221">
        <v>43566</v>
      </c>
      <c r="E590" s="222">
        <v>110.0488</v>
      </c>
      <c r="F590" s="222">
        <v>77.980999999999995</v>
      </c>
      <c r="G590" s="222">
        <v>88.124799999999993</v>
      </c>
      <c r="H590"/>
      <c r="I590" s="221">
        <v>43566</v>
      </c>
      <c r="J590" s="222">
        <v>77.980999999999995</v>
      </c>
      <c r="K590" s="222">
        <v>41.213900000000002</v>
      </c>
      <c r="L590"/>
      <c r="M590"/>
      <c r="N590"/>
      <c r="O590" s="221">
        <v>43566</v>
      </c>
      <c r="P590" s="224">
        <v>24.959099999999999</v>
      </c>
      <c r="Q590" s="224">
        <v>41.213900000000002</v>
      </c>
      <c r="R590"/>
      <c r="S590"/>
    </row>
    <row r="591" spans="1:19" x14ac:dyDescent="0.35">
      <c r="A591" s="221">
        <v>43565</v>
      </c>
      <c r="B591" s="222">
        <v>39.806990411238971</v>
      </c>
      <c r="C591"/>
      <c r="D591" s="221">
        <v>43565</v>
      </c>
      <c r="E591" s="222">
        <v>110.9299</v>
      </c>
      <c r="F591" s="222">
        <v>79.180999999999997</v>
      </c>
      <c r="G591" s="222">
        <v>88.336799999999997</v>
      </c>
      <c r="H591"/>
      <c r="I591" s="221">
        <v>43565</v>
      </c>
      <c r="J591" s="222">
        <v>79.180999999999997</v>
      </c>
      <c r="K591" s="222">
        <v>40.185099999999998</v>
      </c>
      <c r="L591"/>
      <c r="M591"/>
      <c r="N591"/>
      <c r="O591" s="221">
        <v>43565</v>
      </c>
      <c r="P591" s="224">
        <v>25.6554</v>
      </c>
      <c r="Q591" s="224">
        <v>40.185099999999998</v>
      </c>
      <c r="R591"/>
      <c r="S591"/>
    </row>
    <row r="592" spans="1:19" x14ac:dyDescent="0.35">
      <c r="A592" s="221">
        <v>43564</v>
      </c>
      <c r="B592" s="222">
        <v>39.912026622404142</v>
      </c>
      <c r="C592"/>
      <c r="D592" s="221">
        <v>43564</v>
      </c>
      <c r="E592" s="222">
        <v>112.321</v>
      </c>
      <c r="F592" s="222">
        <v>81.238100000000003</v>
      </c>
      <c r="G592" s="222">
        <v>88.399900000000002</v>
      </c>
      <c r="H592"/>
      <c r="I592" s="221">
        <v>43564</v>
      </c>
      <c r="J592" s="222">
        <v>81.238100000000003</v>
      </c>
      <c r="K592" s="222">
        <v>38.346400000000003</v>
      </c>
      <c r="L592"/>
      <c r="M592"/>
      <c r="N592"/>
      <c r="O592" s="221">
        <v>43564</v>
      </c>
      <c r="P592" s="224">
        <v>27.138200000000001</v>
      </c>
      <c r="Q592" s="224">
        <v>38.346400000000003</v>
      </c>
      <c r="R592"/>
      <c r="S592"/>
    </row>
    <row r="593" spans="1:19" x14ac:dyDescent="0.35">
      <c r="A593" s="221">
        <v>43563</v>
      </c>
      <c r="B593" s="222">
        <v>39.399480987999759</v>
      </c>
      <c r="C593"/>
      <c r="D593" s="221">
        <v>43563</v>
      </c>
      <c r="E593" s="222">
        <v>112.0321</v>
      </c>
      <c r="F593" s="222">
        <v>81.123800000000003</v>
      </c>
      <c r="G593" s="222">
        <v>88.524799999999999</v>
      </c>
      <c r="H593"/>
      <c r="I593" s="221">
        <v>43563</v>
      </c>
      <c r="J593" s="222">
        <v>81.123800000000003</v>
      </c>
      <c r="K593" s="222">
        <v>38.183900000000001</v>
      </c>
      <c r="L593"/>
      <c r="M593"/>
      <c r="N593"/>
      <c r="O593" s="221">
        <v>43563</v>
      </c>
      <c r="P593" s="224">
        <v>26.6312</v>
      </c>
      <c r="Q593" s="224">
        <v>38.183900000000001</v>
      </c>
      <c r="R593"/>
      <c r="S593"/>
    </row>
    <row r="594" spans="1:19" x14ac:dyDescent="0.35">
      <c r="A594" s="221">
        <v>43559</v>
      </c>
      <c r="B594" s="222">
        <v>38.915155897628487</v>
      </c>
      <c r="C594"/>
      <c r="D594" s="221">
        <v>43559</v>
      </c>
      <c r="E594" s="222">
        <v>113.0364</v>
      </c>
      <c r="F594" s="222">
        <v>83.104799999999997</v>
      </c>
      <c r="G594" s="222">
        <v>88.603399999999993</v>
      </c>
      <c r="H594"/>
      <c r="I594" s="221">
        <v>43559</v>
      </c>
      <c r="J594" s="222">
        <v>83.104799999999997</v>
      </c>
      <c r="K594" s="222">
        <v>36.093200000000003</v>
      </c>
      <c r="L594"/>
      <c r="M594"/>
      <c r="N594"/>
      <c r="O594" s="221">
        <v>43559</v>
      </c>
      <c r="P594" s="224">
        <v>27.647500000000001</v>
      </c>
      <c r="Q594" s="224">
        <v>36.093200000000003</v>
      </c>
      <c r="R594"/>
      <c r="S594"/>
    </row>
    <row r="595" spans="1:19" x14ac:dyDescent="0.35">
      <c r="A595" s="221">
        <v>43558</v>
      </c>
      <c r="B595" s="222">
        <v>40.350382185014347</v>
      </c>
      <c r="C595"/>
      <c r="D595" s="221">
        <v>43558</v>
      </c>
      <c r="E595" s="222">
        <v>114.2375</v>
      </c>
      <c r="F595" s="222">
        <v>83.523799999999994</v>
      </c>
      <c r="G595" s="222">
        <v>88.538300000000007</v>
      </c>
      <c r="H595"/>
      <c r="I595" s="221">
        <v>43558</v>
      </c>
      <c r="J595" s="222">
        <v>83.523799999999994</v>
      </c>
      <c r="K595" s="222">
        <v>36.847200000000001</v>
      </c>
      <c r="L595"/>
      <c r="M595"/>
      <c r="N595"/>
      <c r="O595" s="221">
        <v>43558</v>
      </c>
      <c r="P595" s="224">
        <v>29.096699999999998</v>
      </c>
      <c r="Q595" s="224">
        <v>36.847200000000001</v>
      </c>
      <c r="R595"/>
      <c r="S595"/>
    </row>
    <row r="596" spans="1:19" x14ac:dyDescent="0.35">
      <c r="A596" s="221">
        <v>43557</v>
      </c>
      <c r="B596" s="222">
        <v>39.248723671950096</v>
      </c>
      <c r="C596"/>
      <c r="D596" s="221">
        <v>43557</v>
      </c>
      <c r="E596" s="222">
        <v>114.3686</v>
      </c>
      <c r="F596" s="222">
        <v>84.933300000000003</v>
      </c>
      <c r="G596" s="222">
        <v>88.548500000000004</v>
      </c>
      <c r="H596"/>
      <c r="I596" s="221">
        <v>43557</v>
      </c>
      <c r="J596" s="222">
        <v>84.933300000000003</v>
      </c>
      <c r="K596" s="222">
        <v>34.729300000000002</v>
      </c>
      <c r="L596"/>
      <c r="M596"/>
      <c r="N596"/>
      <c r="O596" s="221">
        <v>43557</v>
      </c>
      <c r="P596" s="224">
        <v>29.2286</v>
      </c>
      <c r="Q596" s="224">
        <v>34.729300000000002</v>
      </c>
      <c r="R596"/>
      <c r="S596"/>
    </row>
    <row r="597" spans="1:19" x14ac:dyDescent="0.35">
      <c r="A597" s="221">
        <v>43556</v>
      </c>
      <c r="B597" s="222">
        <v>39.015388730649718</v>
      </c>
      <c r="C597"/>
      <c r="D597" s="221">
        <v>43556</v>
      </c>
      <c r="E597" s="222">
        <v>112.2997</v>
      </c>
      <c r="F597" s="222">
        <v>81.8476</v>
      </c>
      <c r="G597" s="222">
        <v>88.542500000000004</v>
      </c>
      <c r="H597"/>
      <c r="I597" s="221">
        <v>43556</v>
      </c>
      <c r="J597" s="222">
        <v>81.8476</v>
      </c>
      <c r="K597" s="222">
        <v>37.279499999999999</v>
      </c>
      <c r="L597"/>
      <c r="M597"/>
      <c r="N597"/>
      <c r="O597" s="221">
        <v>43556</v>
      </c>
      <c r="P597" s="224">
        <v>26.8995</v>
      </c>
      <c r="Q597" s="224">
        <v>37.279499999999999</v>
      </c>
      <c r="R597" s="100"/>
      <c r="S597" s="100"/>
    </row>
    <row r="598" spans="1:19" x14ac:dyDescent="0.35">
      <c r="A598" s="221">
        <v>43553</v>
      </c>
      <c r="B598" s="222">
        <v>36.698288188998184</v>
      </c>
      <c r="C598"/>
      <c r="D598" s="221">
        <v>43553</v>
      </c>
      <c r="E598" s="222">
        <v>109.943</v>
      </c>
      <c r="F598" s="222">
        <v>80.381</v>
      </c>
      <c r="G598" s="222">
        <v>88.64</v>
      </c>
      <c r="H598"/>
      <c r="I598" s="221">
        <v>43553</v>
      </c>
      <c r="J598" s="222">
        <v>80.381</v>
      </c>
      <c r="K598" s="222">
        <v>36.848300000000002</v>
      </c>
      <c r="L598"/>
      <c r="M598"/>
      <c r="N598"/>
      <c r="O598" s="221">
        <v>43553</v>
      </c>
      <c r="P598" s="224">
        <v>24.0975</v>
      </c>
      <c r="Q598" s="224">
        <v>36.848300000000002</v>
      </c>
      <c r="R598" s="100"/>
      <c r="S598" s="100"/>
    </row>
    <row r="599" spans="1:19" x14ac:dyDescent="0.35">
      <c r="A599" s="221">
        <v>43552</v>
      </c>
      <c r="B599" s="222">
        <v>36.943147582248649</v>
      </c>
      <c r="C599"/>
      <c r="D599" s="221">
        <v>43552</v>
      </c>
      <c r="E599" s="222">
        <v>108.25409999999999</v>
      </c>
      <c r="F599" s="222">
        <v>77.161900000000003</v>
      </c>
      <c r="G599" s="222">
        <v>88.632300000000001</v>
      </c>
      <c r="H599"/>
      <c r="I599" s="221">
        <v>43552</v>
      </c>
      <c r="J599" s="222">
        <v>77.161900000000003</v>
      </c>
      <c r="K599" s="222">
        <v>40.367199999999997</v>
      </c>
      <c r="L599"/>
      <c r="M599"/>
      <c r="N599"/>
      <c r="O599" s="221">
        <v>43552</v>
      </c>
      <c r="P599" s="224">
        <v>22.201499999999999</v>
      </c>
      <c r="Q599" s="224">
        <v>40.367199999999997</v>
      </c>
      <c r="R599" s="100"/>
      <c r="S599" s="100"/>
    </row>
    <row r="600" spans="1:19" x14ac:dyDescent="0.35">
      <c r="A600" s="221">
        <v>43551</v>
      </c>
      <c r="B600" s="222">
        <v>37.932566883032315</v>
      </c>
      <c r="C600"/>
      <c r="D600" s="221">
        <v>43551</v>
      </c>
      <c r="E600" s="222">
        <v>108.6452</v>
      </c>
      <c r="F600" s="222">
        <v>76.761899999999997</v>
      </c>
      <c r="G600" s="222">
        <v>88.588099999999997</v>
      </c>
      <c r="H600"/>
      <c r="I600" s="221">
        <v>43551</v>
      </c>
      <c r="J600" s="222">
        <v>76.761899999999997</v>
      </c>
      <c r="K600" s="222">
        <v>41.606699999999996</v>
      </c>
      <c r="L600"/>
      <c r="M600"/>
      <c r="N600"/>
      <c r="O600" s="221">
        <v>43551</v>
      </c>
      <c r="P600" s="224">
        <v>22.7027</v>
      </c>
      <c r="Q600" s="224">
        <v>41.606699999999996</v>
      </c>
      <c r="R600" s="100"/>
      <c r="S600" s="100"/>
    </row>
    <row r="601" spans="1:19" x14ac:dyDescent="0.35">
      <c r="A601" s="221">
        <v>43550</v>
      </c>
      <c r="B601" s="222">
        <v>39.456845420151851</v>
      </c>
      <c r="C601"/>
      <c r="D601" s="221">
        <v>43550</v>
      </c>
      <c r="E601" s="222">
        <v>108.8663</v>
      </c>
      <c r="F601" s="222">
        <v>75.504800000000003</v>
      </c>
      <c r="G601" s="222">
        <v>88.531499999999994</v>
      </c>
      <c r="H601"/>
      <c r="I601" s="221">
        <v>43550</v>
      </c>
      <c r="J601" s="222">
        <v>75.504800000000003</v>
      </c>
      <c r="K601" s="222">
        <v>44.255699999999997</v>
      </c>
      <c r="L601"/>
      <c r="M601"/>
      <c r="N601"/>
      <c r="O601" s="221">
        <v>43550</v>
      </c>
      <c r="P601" s="224">
        <v>23.029699999999998</v>
      </c>
      <c r="Q601" s="224">
        <v>44.255699999999997</v>
      </c>
      <c r="R601" s="100"/>
      <c r="S601" s="100"/>
    </row>
    <row r="602" spans="1:19" x14ac:dyDescent="0.35">
      <c r="A602" s="221">
        <v>43549</v>
      </c>
      <c r="B602" s="222">
        <v>42.723198258640522</v>
      </c>
      <c r="C602"/>
      <c r="D602" s="221">
        <v>43549</v>
      </c>
      <c r="E602" s="222">
        <v>111.81740000000001</v>
      </c>
      <c r="F602" s="222">
        <v>77.066699999999997</v>
      </c>
      <c r="G602" s="222">
        <v>88.405000000000001</v>
      </c>
      <c r="H602"/>
      <c r="I602" s="221">
        <v>43549</v>
      </c>
      <c r="J602" s="222">
        <v>77.066699999999997</v>
      </c>
      <c r="K602" s="222">
        <v>45.16</v>
      </c>
      <c r="L602"/>
      <c r="M602"/>
      <c r="N602"/>
      <c r="O602" s="221">
        <v>43549</v>
      </c>
      <c r="P602" s="224">
        <v>26.5426</v>
      </c>
      <c r="Q602" s="224">
        <v>45.16</v>
      </c>
      <c r="R602" s="100"/>
      <c r="S602" s="100"/>
    </row>
    <row r="603" spans="1:19" x14ac:dyDescent="0.35">
      <c r="A603" s="221">
        <v>43546</v>
      </c>
      <c r="B603" s="222">
        <v>43.103442754766114</v>
      </c>
      <c r="C603"/>
      <c r="D603" s="221">
        <v>43546</v>
      </c>
      <c r="E603" s="222">
        <v>113.7107</v>
      </c>
      <c r="F603" s="222">
        <v>79.676199999999994</v>
      </c>
      <c r="G603" s="222">
        <v>88.415700000000001</v>
      </c>
      <c r="H603"/>
      <c r="I603" s="221">
        <v>43546</v>
      </c>
      <c r="J603" s="222">
        <v>79.676199999999994</v>
      </c>
      <c r="K603" s="222">
        <v>42.777900000000002</v>
      </c>
      <c r="L603"/>
      <c r="M603"/>
      <c r="N603"/>
      <c r="O603" s="221">
        <v>43546</v>
      </c>
      <c r="P603" s="224">
        <v>28.664899999999999</v>
      </c>
      <c r="Q603" s="224">
        <v>42.777900000000002</v>
      </c>
      <c r="R603" s="100"/>
      <c r="S603" s="100"/>
    </row>
    <row r="604" spans="1:19" x14ac:dyDescent="0.35">
      <c r="A604" s="221">
        <v>43545</v>
      </c>
      <c r="B604" s="222">
        <v>42.814683167923675</v>
      </c>
      <c r="C604"/>
      <c r="D604" s="221">
        <v>43545</v>
      </c>
      <c r="E604" s="222">
        <v>114.0018</v>
      </c>
      <c r="F604" s="222">
        <v>80.742900000000006</v>
      </c>
      <c r="G604" s="222">
        <v>88.211100000000002</v>
      </c>
      <c r="H604"/>
      <c r="I604" s="221">
        <v>43545</v>
      </c>
      <c r="J604" s="222">
        <v>80.742900000000006</v>
      </c>
      <c r="K604" s="222">
        <v>41.250799999999998</v>
      </c>
      <c r="L604"/>
      <c r="M604"/>
      <c r="N604"/>
      <c r="O604" s="221">
        <v>43545</v>
      </c>
      <c r="P604" s="224">
        <v>29.292100000000001</v>
      </c>
      <c r="Q604" s="224">
        <v>41.250799999999998</v>
      </c>
      <c r="R604" s="100"/>
      <c r="S604" s="100"/>
    </row>
    <row r="605" spans="1:19" x14ac:dyDescent="0.35">
      <c r="A605" s="221">
        <v>43544</v>
      </c>
      <c r="B605" s="222">
        <v>42.004571398704577</v>
      </c>
      <c r="C605"/>
      <c r="D605" s="221">
        <v>43544</v>
      </c>
      <c r="E605" s="222">
        <v>113.4529</v>
      </c>
      <c r="F605" s="222">
        <v>80.704800000000006</v>
      </c>
      <c r="G605" s="222">
        <v>88.230500000000006</v>
      </c>
      <c r="H605"/>
      <c r="I605" s="221">
        <v>43544</v>
      </c>
      <c r="J605" s="222">
        <v>80.704800000000006</v>
      </c>
      <c r="K605" s="222">
        <v>40.636000000000003</v>
      </c>
      <c r="L605"/>
      <c r="M605"/>
      <c r="N605"/>
      <c r="O605" s="221">
        <v>43544</v>
      </c>
      <c r="P605" s="224">
        <v>28.6403</v>
      </c>
      <c r="Q605" s="224">
        <v>40.636000000000003</v>
      </c>
      <c r="R605" s="100"/>
      <c r="S605" s="100"/>
    </row>
    <row r="606" spans="1:19" x14ac:dyDescent="0.35">
      <c r="A606" s="221">
        <v>43543</v>
      </c>
      <c r="B606" s="222">
        <v>42.890758097161168</v>
      </c>
      <c r="C606"/>
      <c r="D606" s="221">
        <v>43543</v>
      </c>
      <c r="E606" s="222">
        <v>114.95399999999999</v>
      </c>
      <c r="F606" s="222">
        <v>82.1524</v>
      </c>
      <c r="G606" s="222">
        <v>88.214299999999994</v>
      </c>
      <c r="H606"/>
      <c r="I606" s="221">
        <v>43543</v>
      </c>
      <c r="J606" s="222">
        <v>82.1524</v>
      </c>
      <c r="K606" s="222">
        <v>39.983699999999999</v>
      </c>
      <c r="L606"/>
      <c r="M606"/>
      <c r="N606"/>
      <c r="O606" s="221">
        <v>43543</v>
      </c>
      <c r="P606" s="224">
        <v>30.3644</v>
      </c>
      <c r="Q606" s="224">
        <v>39.983699999999999</v>
      </c>
      <c r="R606" s="100"/>
      <c r="S606" s="100"/>
    </row>
    <row r="607" spans="1:19" x14ac:dyDescent="0.35">
      <c r="A607" s="221">
        <v>43542</v>
      </c>
      <c r="B607" s="222">
        <v>39.765999079814343</v>
      </c>
      <c r="C607"/>
      <c r="D607" s="221">
        <v>43542</v>
      </c>
      <c r="E607" s="222">
        <v>113.0551</v>
      </c>
      <c r="F607" s="222">
        <v>82.628600000000006</v>
      </c>
      <c r="G607" s="222">
        <v>88.161100000000005</v>
      </c>
      <c r="H607"/>
      <c r="I607" s="221">
        <v>43542</v>
      </c>
      <c r="J607" s="222">
        <v>82.628600000000006</v>
      </c>
      <c r="K607" s="222">
        <v>36.877499999999998</v>
      </c>
      <c r="L607"/>
      <c r="M607"/>
      <c r="N607"/>
      <c r="O607" s="221">
        <v>43542</v>
      </c>
      <c r="P607" s="224">
        <v>28.2879</v>
      </c>
      <c r="Q607" s="224">
        <v>36.877499999999998</v>
      </c>
      <c r="R607" s="100"/>
      <c r="S607" s="100"/>
    </row>
    <row r="608" spans="1:19" x14ac:dyDescent="0.35">
      <c r="A608" s="221">
        <v>43539</v>
      </c>
      <c r="B608" s="222">
        <v>39.46672867492174</v>
      </c>
      <c r="C608"/>
      <c r="D608" s="221">
        <v>43539</v>
      </c>
      <c r="E608" s="222">
        <v>111.4704</v>
      </c>
      <c r="F608" s="222">
        <v>80.3048</v>
      </c>
      <c r="G608" s="222">
        <v>88.180199999999999</v>
      </c>
      <c r="H608"/>
      <c r="I608" s="221">
        <v>43539</v>
      </c>
      <c r="J608" s="222">
        <v>80.3048</v>
      </c>
      <c r="K608" s="222">
        <v>38.860900000000001</v>
      </c>
      <c r="L608"/>
      <c r="M608"/>
      <c r="N608"/>
      <c r="O608" s="221">
        <v>43539</v>
      </c>
      <c r="P608" s="224">
        <v>26.459199999999999</v>
      </c>
      <c r="Q608" s="224">
        <v>38.860900000000001</v>
      </c>
      <c r="R608" s="100"/>
      <c r="S608" s="100"/>
    </row>
    <row r="609" spans="1:17" s="100" customFormat="1" x14ac:dyDescent="0.35">
      <c r="A609" s="221">
        <v>43538</v>
      </c>
      <c r="B609" s="222">
        <v>40.154351220463973</v>
      </c>
      <c r="C609"/>
      <c r="D609" s="221">
        <v>43538</v>
      </c>
      <c r="E609" s="222">
        <v>111.6795</v>
      </c>
      <c r="F609" s="222">
        <v>79.676199999999994</v>
      </c>
      <c r="G609" s="222">
        <v>88.291899999999998</v>
      </c>
      <c r="H609"/>
      <c r="I609" s="221">
        <v>43538</v>
      </c>
      <c r="J609" s="222">
        <v>79.676199999999994</v>
      </c>
      <c r="K609" s="222">
        <v>40.217500000000001</v>
      </c>
      <c r="L609"/>
      <c r="M609"/>
      <c r="N609"/>
      <c r="O609" s="221">
        <v>43538</v>
      </c>
      <c r="P609" s="224">
        <v>26.534800000000001</v>
      </c>
      <c r="Q609" s="224">
        <v>40.217500000000001</v>
      </c>
    </row>
    <row r="610" spans="1:17" s="100" customFormat="1" x14ac:dyDescent="0.35">
      <c r="A610" s="221">
        <v>43537</v>
      </c>
      <c r="B610" s="222">
        <v>41.77075806973771</v>
      </c>
      <c r="C610"/>
      <c r="D610" s="221">
        <v>43537</v>
      </c>
      <c r="E610" s="222">
        <v>113.0825</v>
      </c>
      <c r="F610" s="222">
        <v>80.095200000000006</v>
      </c>
      <c r="G610" s="222">
        <v>88.331599999999995</v>
      </c>
      <c r="H610"/>
      <c r="I610" s="221">
        <v>43537</v>
      </c>
      <c r="J610" s="222">
        <v>80.095200000000006</v>
      </c>
      <c r="K610" s="222">
        <v>41.234400000000001</v>
      </c>
      <c r="L610"/>
      <c r="M610"/>
      <c r="N610"/>
      <c r="O610" s="221">
        <v>43537</v>
      </c>
      <c r="P610" s="224">
        <v>28.065200000000001</v>
      </c>
      <c r="Q610" s="224">
        <v>41.234400000000001</v>
      </c>
    </row>
    <row r="611" spans="1:17" s="100" customFormat="1" x14ac:dyDescent="0.35">
      <c r="A611" s="221">
        <v>43536</v>
      </c>
      <c r="B611" s="222">
        <v>39.980084827461553</v>
      </c>
      <c r="C611"/>
      <c r="D611" s="221">
        <v>43536</v>
      </c>
      <c r="E611" s="222">
        <v>114.2616</v>
      </c>
      <c r="F611" s="222">
        <v>83.790499999999994</v>
      </c>
      <c r="G611" s="222">
        <v>88.432299999999998</v>
      </c>
      <c r="H611"/>
      <c r="I611" s="221">
        <v>43536</v>
      </c>
      <c r="J611" s="222">
        <v>83.790499999999994</v>
      </c>
      <c r="K611" s="222">
        <v>36.4116</v>
      </c>
      <c r="L611"/>
      <c r="M611"/>
      <c r="N611"/>
      <c r="O611" s="221">
        <v>43536</v>
      </c>
      <c r="P611" s="224">
        <v>29.2514</v>
      </c>
      <c r="Q611" s="224">
        <v>36.4116</v>
      </c>
    </row>
    <row r="612" spans="1:17" s="100" customFormat="1" x14ac:dyDescent="0.35">
      <c r="A612" s="221">
        <v>43535</v>
      </c>
      <c r="B612" s="222">
        <v>38.18726897084094</v>
      </c>
      <c r="C612"/>
      <c r="D612" s="221">
        <v>43535</v>
      </c>
      <c r="E612" s="222">
        <v>113.6127</v>
      </c>
      <c r="F612" s="222">
        <v>84.781000000000006</v>
      </c>
      <c r="G612" s="222">
        <v>88.415499999999994</v>
      </c>
      <c r="H612"/>
      <c r="I612" s="221">
        <v>43535</v>
      </c>
      <c r="J612" s="222">
        <v>84.781000000000006</v>
      </c>
      <c r="K612" s="222">
        <v>34.051299999999998</v>
      </c>
      <c r="L612"/>
      <c r="M612"/>
      <c r="N612"/>
      <c r="O612" s="221">
        <v>43535</v>
      </c>
      <c r="P612" s="224">
        <v>28.540800000000001</v>
      </c>
      <c r="Q612" s="224">
        <v>34.051299999999998</v>
      </c>
    </row>
    <row r="613" spans="1:17" s="100" customFormat="1" x14ac:dyDescent="0.35">
      <c r="A613" s="221">
        <v>43532</v>
      </c>
      <c r="B613" s="222">
        <v>37.026434977934116</v>
      </c>
      <c r="C613"/>
      <c r="D613" s="221">
        <v>43532</v>
      </c>
      <c r="E613" s="222">
        <v>110.566</v>
      </c>
      <c r="F613" s="222">
        <v>81.047600000000003</v>
      </c>
      <c r="G613" s="222">
        <v>88.444699999999997</v>
      </c>
      <c r="H613"/>
      <c r="I613" s="221">
        <v>43532</v>
      </c>
      <c r="J613" s="222">
        <v>81.047600000000003</v>
      </c>
      <c r="K613" s="222">
        <v>36.463000000000001</v>
      </c>
      <c r="L613"/>
      <c r="M613"/>
      <c r="N613"/>
      <c r="O613" s="221">
        <v>43532</v>
      </c>
      <c r="P613" s="224">
        <v>25.049900000000001</v>
      </c>
      <c r="Q613" s="224">
        <v>36.463000000000001</v>
      </c>
    </row>
    <row r="614" spans="1:17" s="100" customFormat="1" x14ac:dyDescent="0.35">
      <c r="A614" s="221">
        <v>43531</v>
      </c>
      <c r="B614" s="222">
        <v>38.806927797950017</v>
      </c>
      <c r="C614"/>
      <c r="D614" s="221">
        <v>43531</v>
      </c>
      <c r="E614" s="222">
        <v>111.36709999999999</v>
      </c>
      <c r="F614" s="222">
        <v>80.838099999999997</v>
      </c>
      <c r="G614" s="222">
        <v>88.118499999999997</v>
      </c>
      <c r="H614"/>
      <c r="I614" s="221">
        <v>43531</v>
      </c>
      <c r="J614" s="222">
        <v>80.838099999999997</v>
      </c>
      <c r="K614" s="222">
        <v>37.8063</v>
      </c>
      <c r="L614"/>
      <c r="M614"/>
      <c r="N614"/>
      <c r="O614" s="221">
        <v>43531</v>
      </c>
      <c r="P614" s="224">
        <v>26.4207</v>
      </c>
      <c r="Q614" s="224">
        <v>37.8063</v>
      </c>
    </row>
    <row r="615" spans="1:17" s="100" customFormat="1" x14ac:dyDescent="0.35">
      <c r="A615" s="221">
        <v>43530</v>
      </c>
      <c r="B615" s="222">
        <v>37.775600429677638</v>
      </c>
      <c r="C615"/>
      <c r="D615" s="221">
        <v>43530</v>
      </c>
      <c r="E615" s="222">
        <v>112.6662</v>
      </c>
      <c r="F615" s="222">
        <v>84.133300000000006</v>
      </c>
      <c r="G615" s="222">
        <v>88.121499999999997</v>
      </c>
      <c r="H615"/>
      <c r="I615" s="221">
        <v>43530</v>
      </c>
      <c r="J615" s="222">
        <v>84.133300000000006</v>
      </c>
      <c r="K615" s="222">
        <v>33.951700000000002</v>
      </c>
      <c r="L615"/>
      <c r="M615"/>
      <c r="N615"/>
      <c r="O615" s="221">
        <v>43530</v>
      </c>
      <c r="P615" s="224">
        <v>27.889299999999999</v>
      </c>
      <c r="Q615" s="224">
        <v>33.951700000000002</v>
      </c>
    </row>
    <row r="616" spans="1:17" s="100" customFormat="1" x14ac:dyDescent="0.35">
      <c r="A616" s="221">
        <v>43529</v>
      </c>
      <c r="B616" s="222">
        <v>36.676023469868809</v>
      </c>
      <c r="C616"/>
      <c r="D616" s="221">
        <v>43529</v>
      </c>
      <c r="E616" s="222">
        <v>109.9593</v>
      </c>
      <c r="F616" s="222">
        <v>80.495199999999997</v>
      </c>
      <c r="G616" s="222">
        <v>88.376400000000004</v>
      </c>
      <c r="H616"/>
      <c r="I616" s="221">
        <v>43529</v>
      </c>
      <c r="J616" s="222">
        <v>80.495199999999997</v>
      </c>
      <c r="K616" s="222">
        <v>36.6417</v>
      </c>
      <c r="L616"/>
      <c r="M616"/>
      <c r="N616"/>
      <c r="O616" s="221">
        <v>43529</v>
      </c>
      <c r="P616" s="224">
        <v>24.456299999999999</v>
      </c>
      <c r="Q616" s="224">
        <v>36.6417</v>
      </c>
    </row>
    <row r="617" spans="1:17" s="100" customFormat="1" x14ac:dyDescent="0.35">
      <c r="A617" s="221">
        <v>43528</v>
      </c>
      <c r="B617" s="222">
        <v>34.432462784167875</v>
      </c>
      <c r="C617"/>
      <c r="D617" s="221">
        <v>43528</v>
      </c>
      <c r="E617" s="222">
        <v>108.2704</v>
      </c>
      <c r="F617" s="222">
        <v>80</v>
      </c>
      <c r="G617" s="222">
        <v>88.532799999999995</v>
      </c>
      <c r="H617"/>
      <c r="I617" s="221">
        <v>43528</v>
      </c>
      <c r="J617" s="222">
        <v>80</v>
      </c>
      <c r="K617" s="222">
        <v>35.375</v>
      </c>
      <c r="L617"/>
      <c r="M617"/>
      <c r="N617"/>
      <c r="O617" s="221">
        <v>43528</v>
      </c>
      <c r="P617" s="224">
        <v>22.327500000000001</v>
      </c>
      <c r="Q617" s="224">
        <v>35.375</v>
      </c>
    </row>
    <row r="618" spans="1:17" s="100" customFormat="1" x14ac:dyDescent="0.35">
      <c r="A618" s="221">
        <v>43525</v>
      </c>
      <c r="B618" s="222">
        <v>36.284846478988072</v>
      </c>
      <c r="C618"/>
      <c r="D618" s="221">
        <v>43525</v>
      </c>
      <c r="E618" s="222">
        <v>107.3537</v>
      </c>
      <c r="F618" s="222">
        <v>76.209500000000006</v>
      </c>
      <c r="G618" s="222">
        <v>88.483699999999999</v>
      </c>
      <c r="H618"/>
      <c r="I618" s="221">
        <v>43525</v>
      </c>
      <c r="J618" s="222">
        <v>76.209500000000006</v>
      </c>
      <c r="K618" s="222">
        <v>40.9011</v>
      </c>
      <c r="L618"/>
      <c r="M618"/>
      <c r="N618"/>
      <c r="O618" s="221">
        <v>43525</v>
      </c>
      <c r="P618" s="224">
        <v>21.355699999999999</v>
      </c>
      <c r="Q618" s="224">
        <v>40.9011</v>
      </c>
    </row>
    <row r="619" spans="1:17" s="100" customFormat="1" x14ac:dyDescent="0.35">
      <c r="A619" s="221">
        <v>43524</v>
      </c>
      <c r="B619" s="222">
        <v>36.852054677790193</v>
      </c>
      <c r="C619"/>
      <c r="D619" s="221">
        <v>43524</v>
      </c>
      <c r="E619" s="222">
        <v>107.5538</v>
      </c>
      <c r="F619" s="222">
        <v>75.752399999999994</v>
      </c>
      <c r="G619" s="222">
        <v>88.552999999999997</v>
      </c>
      <c r="H619"/>
      <c r="I619" s="221">
        <v>43524</v>
      </c>
      <c r="J619" s="222">
        <v>75.752399999999994</v>
      </c>
      <c r="K619" s="222">
        <v>42.014000000000003</v>
      </c>
      <c r="L619"/>
      <c r="M619"/>
      <c r="N619"/>
      <c r="O619" s="221">
        <v>43524</v>
      </c>
      <c r="P619" s="224">
        <v>21.485399999999998</v>
      </c>
      <c r="Q619" s="224">
        <v>42.014000000000003</v>
      </c>
    </row>
    <row r="620" spans="1:17" s="100" customFormat="1" x14ac:dyDescent="0.35">
      <c r="A620" s="221">
        <v>43523</v>
      </c>
      <c r="B620" s="222">
        <v>36.330289755800358</v>
      </c>
      <c r="C620"/>
      <c r="D620" s="221">
        <v>43523</v>
      </c>
      <c r="E620" s="222">
        <v>107.9269</v>
      </c>
      <c r="F620" s="222">
        <v>77.104799999999997</v>
      </c>
      <c r="G620" s="222">
        <v>88.499200000000002</v>
      </c>
      <c r="H620"/>
      <c r="I620" s="221">
        <v>43523</v>
      </c>
      <c r="J620" s="222">
        <v>77.104799999999997</v>
      </c>
      <c r="K620" s="222">
        <v>40.005600000000001</v>
      </c>
      <c r="L620"/>
      <c r="M620"/>
      <c r="N620"/>
      <c r="O620" s="221">
        <v>43523</v>
      </c>
      <c r="P620" s="224">
        <v>21.979600000000001</v>
      </c>
      <c r="Q620" s="224">
        <v>40.005600000000001</v>
      </c>
    </row>
    <row r="621" spans="1:17" s="100" customFormat="1" x14ac:dyDescent="0.35">
      <c r="A621" s="221">
        <v>43522</v>
      </c>
      <c r="B621" s="222">
        <v>36.059240758319284</v>
      </c>
      <c r="C621"/>
      <c r="D621" s="221">
        <v>43522</v>
      </c>
      <c r="E621" s="222">
        <v>108.577</v>
      </c>
      <c r="F621" s="222">
        <v>77.904799999999994</v>
      </c>
      <c r="G621" s="222">
        <v>88.867400000000004</v>
      </c>
      <c r="H621"/>
      <c r="I621" s="221">
        <v>43522</v>
      </c>
      <c r="J621" s="222">
        <v>77.904799999999994</v>
      </c>
      <c r="K621" s="222">
        <v>39.4009</v>
      </c>
      <c r="L621"/>
      <c r="M621"/>
      <c r="N621"/>
      <c r="O621" s="221">
        <v>43522</v>
      </c>
      <c r="P621" s="224">
        <v>22.204499999999999</v>
      </c>
      <c r="Q621" s="224">
        <v>39.4009</v>
      </c>
    </row>
    <row r="622" spans="1:17" s="100" customFormat="1" x14ac:dyDescent="0.35">
      <c r="A622" s="221">
        <v>43521</v>
      </c>
      <c r="B622" s="222">
        <v>37.647209478601141</v>
      </c>
      <c r="C622"/>
      <c r="D622" s="221">
        <v>43521</v>
      </c>
      <c r="E622" s="222">
        <v>108.9781</v>
      </c>
      <c r="F622" s="222">
        <v>76.819100000000006</v>
      </c>
      <c r="G622" s="222">
        <v>88.808599999999998</v>
      </c>
      <c r="H622"/>
      <c r="I622" s="221">
        <v>43521</v>
      </c>
      <c r="J622" s="222">
        <v>76.819100000000006</v>
      </c>
      <c r="K622" s="222">
        <v>41.891800000000003</v>
      </c>
      <c r="L622"/>
      <c r="M622"/>
      <c r="N622"/>
      <c r="O622" s="221">
        <v>43521</v>
      </c>
      <c r="P622" s="224">
        <v>22.735900000000001</v>
      </c>
      <c r="Q622" s="224">
        <v>41.891800000000003</v>
      </c>
    </row>
    <row r="623" spans="1:17" s="100" customFormat="1" x14ac:dyDescent="0.35">
      <c r="A623" s="221">
        <v>43518</v>
      </c>
      <c r="B623" s="222">
        <v>37.502096641853946</v>
      </c>
      <c r="C623"/>
      <c r="D623" s="221">
        <v>43518</v>
      </c>
      <c r="E623" s="222">
        <v>107.62439999999999</v>
      </c>
      <c r="F623" s="222">
        <v>74.571399999999997</v>
      </c>
      <c r="G623" s="222">
        <v>88.804100000000005</v>
      </c>
      <c r="H623"/>
      <c r="I623" s="221">
        <v>43518</v>
      </c>
      <c r="J623" s="222">
        <v>74.571399999999997</v>
      </c>
      <c r="K623" s="222">
        <v>44.3489</v>
      </c>
      <c r="L623"/>
      <c r="M623"/>
      <c r="N623"/>
      <c r="O623" s="221">
        <v>43518</v>
      </c>
      <c r="P623" s="224">
        <v>21.213999999999999</v>
      </c>
      <c r="Q623" s="224">
        <v>44.3489</v>
      </c>
    </row>
    <row r="624" spans="1:17" s="100" customFormat="1" x14ac:dyDescent="0.35">
      <c r="A624" s="221">
        <v>43517</v>
      </c>
      <c r="B624" s="222">
        <v>37.35225178509571</v>
      </c>
      <c r="C624"/>
      <c r="D624" s="221">
        <v>43517</v>
      </c>
      <c r="E624" s="222">
        <v>105.9825</v>
      </c>
      <c r="F624" s="222">
        <v>71.619100000000003</v>
      </c>
      <c r="G624" s="222">
        <v>88.873599999999996</v>
      </c>
      <c r="H624"/>
      <c r="I624" s="221">
        <v>43517</v>
      </c>
      <c r="J624" s="222">
        <v>71.619100000000003</v>
      </c>
      <c r="K624" s="222">
        <v>48.005200000000002</v>
      </c>
      <c r="L624"/>
      <c r="M624"/>
      <c r="N624"/>
      <c r="O624" s="221">
        <v>43517</v>
      </c>
      <c r="P624" s="224">
        <v>19.270499999999998</v>
      </c>
      <c r="Q624" s="224">
        <v>48.005200000000002</v>
      </c>
    </row>
    <row r="625" spans="1:17" s="100" customFormat="1" x14ac:dyDescent="0.35">
      <c r="A625" s="221">
        <v>43516</v>
      </c>
      <c r="B625" s="222">
        <v>36.135390983314828</v>
      </c>
      <c r="C625"/>
      <c r="D625" s="221">
        <v>43516</v>
      </c>
      <c r="E625" s="222">
        <v>105.8036</v>
      </c>
      <c r="F625" s="222">
        <v>72.666700000000006</v>
      </c>
      <c r="G625" s="222">
        <v>88.904399999999995</v>
      </c>
      <c r="H625"/>
      <c r="I625" s="221">
        <v>43516</v>
      </c>
      <c r="J625" s="222">
        <v>72.666700000000006</v>
      </c>
      <c r="K625" s="222">
        <v>45.623800000000003</v>
      </c>
      <c r="L625"/>
      <c r="M625"/>
      <c r="N625"/>
      <c r="O625" s="221">
        <v>43516</v>
      </c>
      <c r="P625" s="224">
        <v>19.026700000000002</v>
      </c>
      <c r="Q625" s="224">
        <v>45.623800000000003</v>
      </c>
    </row>
    <row r="626" spans="1:17" s="100" customFormat="1" x14ac:dyDescent="0.35">
      <c r="A626" s="221">
        <v>43515</v>
      </c>
      <c r="B626" s="222">
        <v>35.799766762322626</v>
      </c>
      <c r="C626"/>
      <c r="D626" s="221">
        <v>43515</v>
      </c>
      <c r="E626" s="222">
        <v>105.8947</v>
      </c>
      <c r="F626" s="222">
        <v>73.276200000000003</v>
      </c>
      <c r="G626" s="222">
        <v>88.876800000000003</v>
      </c>
      <c r="H626"/>
      <c r="I626" s="221">
        <v>43515</v>
      </c>
      <c r="J626" s="222">
        <v>73.276200000000003</v>
      </c>
      <c r="K626" s="222">
        <v>44.535299999999999</v>
      </c>
      <c r="L626"/>
      <c r="M626"/>
      <c r="N626"/>
      <c r="O626" s="221">
        <v>43515</v>
      </c>
      <c r="P626" s="224">
        <v>19.164999999999999</v>
      </c>
      <c r="Q626" s="224">
        <v>44.535299999999999</v>
      </c>
    </row>
    <row r="627" spans="1:17" s="100" customFormat="1" x14ac:dyDescent="0.35">
      <c r="A627" s="221">
        <v>43514</v>
      </c>
      <c r="B627" s="222">
        <v>37.446850034631247</v>
      </c>
      <c r="C627"/>
      <c r="D627" s="221">
        <v>43514</v>
      </c>
      <c r="E627" s="222">
        <v>107.6408</v>
      </c>
      <c r="F627" s="222">
        <v>74.2667</v>
      </c>
      <c r="G627" s="222">
        <v>88.994799999999998</v>
      </c>
      <c r="H627"/>
      <c r="I627" s="221">
        <v>43514</v>
      </c>
      <c r="J627" s="222">
        <v>74.2667</v>
      </c>
      <c r="K627" s="222">
        <v>44.957299999999996</v>
      </c>
      <c r="L627"/>
      <c r="M627"/>
      <c r="N627"/>
      <c r="O627" s="221">
        <v>43514</v>
      </c>
      <c r="P627" s="224">
        <v>20.967700000000001</v>
      </c>
      <c r="Q627" s="224">
        <v>44.957299999999996</v>
      </c>
    </row>
    <row r="628" spans="1:17" s="100" customFormat="1" x14ac:dyDescent="0.35">
      <c r="A628" s="221">
        <v>43511</v>
      </c>
      <c r="B628" s="222">
        <v>40.702727131321105</v>
      </c>
      <c r="C628"/>
      <c r="D628" s="221">
        <v>43511</v>
      </c>
      <c r="E628" s="222">
        <v>106.989</v>
      </c>
      <c r="F628" s="222">
        <v>69.409499999999994</v>
      </c>
      <c r="G628" s="222">
        <v>88.966999999999999</v>
      </c>
      <c r="H628"/>
      <c r="I628" s="221">
        <v>43511</v>
      </c>
      <c r="J628" s="222">
        <v>69.409499999999994</v>
      </c>
      <c r="K628" s="222">
        <v>54.157600000000002</v>
      </c>
      <c r="L628"/>
      <c r="M628"/>
      <c r="N628"/>
      <c r="O628" s="221">
        <v>43511</v>
      </c>
      <c r="P628" s="224">
        <v>20.269300000000001</v>
      </c>
      <c r="Q628" s="224">
        <v>54.157600000000002</v>
      </c>
    </row>
    <row r="629" spans="1:17" s="100" customFormat="1" x14ac:dyDescent="0.35">
      <c r="A629" s="221">
        <v>43510</v>
      </c>
      <c r="B629" s="222">
        <v>39.869121556398071</v>
      </c>
      <c r="C629"/>
      <c r="D629" s="221">
        <v>43510</v>
      </c>
      <c r="E629" s="222">
        <v>107.1511</v>
      </c>
      <c r="F629" s="222">
        <v>70.723799999999997</v>
      </c>
      <c r="G629" s="222">
        <v>88.889099999999999</v>
      </c>
      <c r="H629"/>
      <c r="I629" s="221">
        <v>43510</v>
      </c>
      <c r="J629" s="222">
        <v>70.723799999999997</v>
      </c>
      <c r="K629" s="222">
        <v>51.520400000000002</v>
      </c>
      <c r="L629"/>
      <c r="M629"/>
      <c r="N629"/>
      <c r="O629" s="221">
        <v>43510</v>
      </c>
      <c r="P629" s="224">
        <v>20.555800000000001</v>
      </c>
      <c r="Q629" s="224">
        <v>51.520400000000002</v>
      </c>
    </row>
    <row r="630" spans="1:17" s="100" customFormat="1" x14ac:dyDescent="0.35">
      <c r="A630" s="221">
        <v>43509</v>
      </c>
      <c r="B630" s="222">
        <v>39.278312233229293</v>
      </c>
      <c r="C630"/>
      <c r="D630" s="221">
        <v>43509</v>
      </c>
      <c r="E630" s="222">
        <v>107.0112</v>
      </c>
      <c r="F630" s="222">
        <v>71.238100000000003</v>
      </c>
      <c r="G630" s="222">
        <v>88.818700000000007</v>
      </c>
      <c r="H630"/>
      <c r="I630" s="221">
        <v>43509</v>
      </c>
      <c r="J630" s="222">
        <v>71.238100000000003</v>
      </c>
      <c r="K630" s="222">
        <v>50.2286</v>
      </c>
      <c r="L630"/>
      <c r="M630"/>
      <c r="N630"/>
      <c r="O630" s="221">
        <v>43509</v>
      </c>
      <c r="P630" s="224">
        <v>20.492599999999999</v>
      </c>
      <c r="Q630" s="224">
        <v>50.2286</v>
      </c>
    </row>
    <row r="631" spans="1:17" s="100" customFormat="1" x14ac:dyDescent="0.35">
      <c r="A631" s="221">
        <v>43508</v>
      </c>
      <c r="B631" s="222">
        <v>41.347619570535556</v>
      </c>
      <c r="C631"/>
      <c r="D631" s="221">
        <v>43508</v>
      </c>
      <c r="E631" s="222">
        <v>105.8723</v>
      </c>
      <c r="F631" s="222">
        <v>66.971400000000003</v>
      </c>
      <c r="G631" s="222">
        <v>88.775499999999994</v>
      </c>
      <c r="H631"/>
      <c r="I631" s="221">
        <v>43508</v>
      </c>
      <c r="J631" s="222">
        <v>66.971400000000003</v>
      </c>
      <c r="K631" s="222">
        <v>58.097299999999997</v>
      </c>
      <c r="L631"/>
      <c r="M631"/>
      <c r="N631"/>
      <c r="O631" s="221">
        <v>43508</v>
      </c>
      <c r="P631" s="224">
        <v>19.267099999999999</v>
      </c>
      <c r="Q631" s="224">
        <v>58.097299999999997</v>
      </c>
    </row>
    <row r="632" spans="1:17" s="100" customFormat="1" x14ac:dyDescent="0.35">
      <c r="A632" s="221">
        <v>43507</v>
      </c>
      <c r="B632" s="222">
        <v>41.483588718236589</v>
      </c>
      <c r="C632"/>
      <c r="D632" s="221">
        <v>43507</v>
      </c>
      <c r="E632" s="222">
        <v>105.49339999999999</v>
      </c>
      <c r="F632" s="222">
        <v>66.1905</v>
      </c>
      <c r="G632" s="222">
        <v>88.719200000000001</v>
      </c>
      <c r="H632"/>
      <c r="I632" s="221">
        <v>43507</v>
      </c>
      <c r="J632" s="222">
        <v>66.1905</v>
      </c>
      <c r="K632" s="222">
        <v>59.388399999999997</v>
      </c>
      <c r="L632"/>
      <c r="M632"/>
      <c r="N632"/>
      <c r="O632" s="221">
        <v>43507</v>
      </c>
      <c r="P632" s="224">
        <v>18.9145</v>
      </c>
      <c r="Q632" s="224">
        <v>59.388399999999997</v>
      </c>
    </row>
    <row r="633" spans="1:17" s="100" customFormat="1" x14ac:dyDescent="0.35">
      <c r="A633" s="221">
        <v>43497</v>
      </c>
      <c r="B633" s="222">
        <v>42.376267477665017</v>
      </c>
      <c r="C633"/>
      <c r="D633" s="221">
        <v>43497</v>
      </c>
      <c r="E633" s="222">
        <v>104.5022</v>
      </c>
      <c r="F633" s="222">
        <v>63.276200000000003</v>
      </c>
      <c r="G633" s="222">
        <v>88.87</v>
      </c>
      <c r="H633"/>
      <c r="I633" s="221">
        <v>43497</v>
      </c>
      <c r="J633" s="222">
        <v>63.276200000000003</v>
      </c>
      <c r="K633" s="222">
        <v>65.465100000000007</v>
      </c>
      <c r="L633"/>
      <c r="M633"/>
      <c r="N633"/>
      <c r="O633" s="221">
        <v>43497</v>
      </c>
      <c r="P633" s="224">
        <v>17.8125</v>
      </c>
      <c r="Q633" s="224">
        <v>65.465100000000007</v>
      </c>
    </row>
    <row r="634" spans="1:17" s="100" customFormat="1" x14ac:dyDescent="0.35">
      <c r="A634" s="221">
        <v>43496</v>
      </c>
      <c r="B634" s="222">
        <v>40.099306159196416</v>
      </c>
      <c r="C634"/>
      <c r="D634" s="221">
        <v>43496</v>
      </c>
      <c r="E634" s="222">
        <v>101.6027</v>
      </c>
      <c r="F634" s="222">
        <v>60.133299999999998</v>
      </c>
      <c r="G634" s="222">
        <v>88.829099999999997</v>
      </c>
      <c r="H634"/>
      <c r="I634" s="221">
        <v>43496</v>
      </c>
      <c r="J634" s="222">
        <v>60.133299999999998</v>
      </c>
      <c r="K634" s="222">
        <v>69.290599999999998</v>
      </c>
      <c r="L634"/>
      <c r="M634"/>
      <c r="N634"/>
      <c r="O634" s="221">
        <v>43496</v>
      </c>
      <c r="P634" s="224">
        <v>14.6021</v>
      </c>
      <c r="Q634" s="224">
        <v>69.290599999999998</v>
      </c>
    </row>
    <row r="635" spans="1:17" s="100" customFormat="1" x14ac:dyDescent="0.35">
      <c r="A635" s="221">
        <v>43495</v>
      </c>
      <c r="B635" s="222">
        <v>40.021676579519507</v>
      </c>
      <c r="C635"/>
      <c r="D635" s="221">
        <v>43495</v>
      </c>
      <c r="E635" s="222">
        <v>100.9033</v>
      </c>
      <c r="F635" s="222">
        <v>58.761899999999997</v>
      </c>
      <c r="G635" s="222">
        <v>88.837599999999995</v>
      </c>
      <c r="H635"/>
      <c r="I635" s="221">
        <v>43495</v>
      </c>
      <c r="J635" s="222">
        <v>58.761899999999997</v>
      </c>
      <c r="K635" s="222">
        <v>72.050299999999993</v>
      </c>
      <c r="L635"/>
      <c r="M635"/>
      <c r="N635"/>
      <c r="O635" s="221">
        <v>43495</v>
      </c>
      <c r="P635" s="224">
        <v>13.8032</v>
      </c>
      <c r="Q635" s="224">
        <v>72.050299999999993</v>
      </c>
    </row>
    <row r="636" spans="1:17" s="100" customFormat="1" x14ac:dyDescent="0.35">
      <c r="A636" s="221">
        <v>43494</v>
      </c>
      <c r="B636" s="222">
        <v>39.648942211310803</v>
      </c>
      <c r="C636"/>
      <c r="D636" s="221">
        <v>43494</v>
      </c>
      <c r="E636" s="222">
        <v>100.70480000000001</v>
      </c>
      <c r="F636" s="222">
        <v>58.742899999999999</v>
      </c>
      <c r="G636" s="222">
        <v>88.835499999999996</v>
      </c>
      <c r="H636"/>
      <c r="I636" s="221">
        <v>43494</v>
      </c>
      <c r="J636" s="222">
        <v>58.742899999999999</v>
      </c>
      <c r="K636" s="222">
        <v>71.767099999999999</v>
      </c>
      <c r="L636"/>
      <c r="M636"/>
      <c r="N636"/>
      <c r="O636" s="221">
        <v>43494</v>
      </c>
      <c r="P636" s="224">
        <v>13.581799999999999</v>
      </c>
      <c r="Q636" s="224">
        <v>71.767099999999999</v>
      </c>
    </row>
    <row r="637" spans="1:17" s="100" customFormat="1" x14ac:dyDescent="0.35">
      <c r="A637" s="221">
        <v>43493</v>
      </c>
      <c r="B637" s="222">
        <v>39.545022875996153</v>
      </c>
      <c r="C637"/>
      <c r="D637" s="221">
        <v>43493</v>
      </c>
      <c r="E637" s="222">
        <v>101.3044</v>
      </c>
      <c r="F637" s="222">
        <v>60.1143</v>
      </c>
      <c r="G637" s="222">
        <v>88.838499999999996</v>
      </c>
      <c r="H637"/>
      <c r="I637" s="221">
        <v>43493</v>
      </c>
      <c r="J637" s="222">
        <v>60.1143</v>
      </c>
      <c r="K637" s="222">
        <v>68.844999999999999</v>
      </c>
      <c r="L637"/>
      <c r="M637"/>
      <c r="N637"/>
      <c r="O637" s="221">
        <v>43493</v>
      </c>
      <c r="P637" s="224">
        <v>14.2523</v>
      </c>
      <c r="Q637" s="224">
        <v>68.844999999999999</v>
      </c>
    </row>
    <row r="638" spans="1:17" s="100" customFormat="1" x14ac:dyDescent="0.35">
      <c r="A638" s="221">
        <v>43490</v>
      </c>
      <c r="B638" s="222">
        <v>40.239891127073506</v>
      </c>
      <c r="C638"/>
      <c r="D638" s="221">
        <v>43490</v>
      </c>
      <c r="E638" s="222">
        <v>101.316</v>
      </c>
      <c r="F638" s="222">
        <v>59.619100000000003</v>
      </c>
      <c r="G638" s="222">
        <v>88.688400000000001</v>
      </c>
      <c r="H638"/>
      <c r="I638" s="221">
        <v>43490</v>
      </c>
      <c r="J638" s="222">
        <v>59.619100000000003</v>
      </c>
      <c r="K638" s="222">
        <v>70.264200000000002</v>
      </c>
      <c r="L638"/>
      <c r="M638"/>
      <c r="N638"/>
      <c r="O638" s="221">
        <v>43490</v>
      </c>
      <c r="P638" s="224">
        <v>14.456899999999999</v>
      </c>
      <c r="Q638" s="224">
        <v>70.264200000000002</v>
      </c>
    </row>
    <row r="639" spans="1:17" s="100" customFormat="1" x14ac:dyDescent="0.35">
      <c r="A639" s="221">
        <v>43489</v>
      </c>
      <c r="B639" s="222">
        <v>41.125924918545152</v>
      </c>
      <c r="C639"/>
      <c r="D639" s="221">
        <v>43489</v>
      </c>
      <c r="E639" s="222">
        <v>100.6266</v>
      </c>
      <c r="F639" s="222">
        <v>57.295200000000001</v>
      </c>
      <c r="G639" s="222">
        <v>88.635400000000004</v>
      </c>
      <c r="H639"/>
      <c r="I639" s="221">
        <v>43489</v>
      </c>
      <c r="J639" s="222">
        <v>57.295200000000001</v>
      </c>
      <c r="K639" s="222">
        <v>75.965900000000005</v>
      </c>
      <c r="L639"/>
      <c r="M639"/>
      <c r="N639"/>
      <c r="O639" s="221">
        <v>43489</v>
      </c>
      <c r="P639" s="224">
        <v>13.7469</v>
      </c>
      <c r="Q639" s="224">
        <v>75.965900000000005</v>
      </c>
    </row>
    <row r="640" spans="1:17" s="100" customFormat="1" x14ac:dyDescent="0.35">
      <c r="A640" s="221">
        <v>43488</v>
      </c>
      <c r="B640" s="222">
        <v>40.664457842868664</v>
      </c>
      <c r="C640"/>
      <c r="D640" s="221">
        <v>43488</v>
      </c>
      <c r="E640" s="222">
        <v>100.3171</v>
      </c>
      <c r="F640" s="222">
        <v>57.142899999999997</v>
      </c>
      <c r="G640" s="222">
        <v>88.627300000000005</v>
      </c>
      <c r="H640"/>
      <c r="I640" s="221">
        <v>43488</v>
      </c>
      <c r="J640" s="222">
        <v>57.142899999999997</v>
      </c>
      <c r="K640" s="222">
        <v>75.892399999999995</v>
      </c>
      <c r="L640"/>
      <c r="M640"/>
      <c r="N640"/>
      <c r="O640" s="221">
        <v>43488</v>
      </c>
      <c r="P640" s="224">
        <v>13.407500000000001</v>
      </c>
      <c r="Q640" s="224">
        <v>75.892399999999995</v>
      </c>
    </row>
    <row r="641" spans="1:17" s="100" customFormat="1" x14ac:dyDescent="0.35">
      <c r="A641" s="221">
        <v>43487</v>
      </c>
      <c r="B641" s="222">
        <v>40.515104683940606</v>
      </c>
      <c r="C641"/>
      <c r="D641" s="221">
        <v>43487</v>
      </c>
      <c r="E641" s="222">
        <v>100.5077</v>
      </c>
      <c r="F641" s="222">
        <v>57.371400000000001</v>
      </c>
      <c r="G641" s="222">
        <v>88.787499999999994</v>
      </c>
      <c r="H641"/>
      <c r="I641" s="221">
        <v>43487</v>
      </c>
      <c r="J641" s="222">
        <v>57.371400000000001</v>
      </c>
      <c r="K641" s="222">
        <v>75.522999999999996</v>
      </c>
      <c r="L641"/>
      <c r="M641"/>
      <c r="N641"/>
      <c r="O641" s="221">
        <v>43487</v>
      </c>
      <c r="P641" s="224">
        <v>13.4169</v>
      </c>
      <c r="Q641" s="224">
        <v>75.522999999999996</v>
      </c>
    </row>
    <row r="642" spans="1:17" s="100" customFormat="1" x14ac:dyDescent="0.35">
      <c r="A642" s="221">
        <v>43486</v>
      </c>
      <c r="B642" s="222">
        <v>40.086094213957431</v>
      </c>
      <c r="C642"/>
      <c r="D642" s="221">
        <v>43486</v>
      </c>
      <c r="E642" s="222">
        <v>100.6062</v>
      </c>
      <c r="F642" s="222">
        <v>57.866700000000002</v>
      </c>
      <c r="G642" s="222">
        <v>88.859099999999998</v>
      </c>
      <c r="H642"/>
      <c r="I642" s="221">
        <v>43486</v>
      </c>
      <c r="J642" s="222">
        <v>57.866700000000002</v>
      </c>
      <c r="K642" s="222">
        <v>74.19</v>
      </c>
      <c r="L642"/>
      <c r="M642"/>
      <c r="N642"/>
      <c r="O642" s="221">
        <v>43486</v>
      </c>
      <c r="P642" s="224">
        <v>13.4358</v>
      </c>
      <c r="Q642" s="224">
        <v>74.19</v>
      </c>
    </row>
    <row r="643" spans="1:17" s="100" customFormat="1" x14ac:dyDescent="0.35">
      <c r="A643" s="221">
        <v>43483</v>
      </c>
      <c r="B643" s="222">
        <v>39.718687486060617</v>
      </c>
      <c r="C643"/>
      <c r="D643" s="221">
        <v>43483</v>
      </c>
      <c r="E643" s="222">
        <v>99.809899999999999</v>
      </c>
      <c r="F643" s="222">
        <v>56.933300000000003</v>
      </c>
      <c r="G643" s="222">
        <v>88.681100000000001</v>
      </c>
      <c r="H643"/>
      <c r="I643" s="221">
        <v>43483</v>
      </c>
      <c r="J643" s="222">
        <v>56.933300000000003</v>
      </c>
      <c r="K643" s="222">
        <v>75.644099999999995</v>
      </c>
      <c r="L643"/>
      <c r="M643"/>
      <c r="N643"/>
      <c r="O643" s="221">
        <v>43483</v>
      </c>
      <c r="P643" s="224">
        <v>12.7636</v>
      </c>
      <c r="Q643" s="224">
        <v>75.644099999999995</v>
      </c>
    </row>
    <row r="644" spans="1:17" s="100" customFormat="1" x14ac:dyDescent="0.35">
      <c r="A644" s="221">
        <v>43482</v>
      </c>
      <c r="B644" s="222">
        <v>40.949424914253996</v>
      </c>
      <c r="C644"/>
      <c r="D644" s="221">
        <v>43482</v>
      </c>
      <c r="E644" s="222">
        <v>99.506399999999999</v>
      </c>
      <c r="F644" s="222">
        <v>54.933300000000003</v>
      </c>
      <c r="G644" s="222">
        <v>88.658900000000003</v>
      </c>
      <c r="H644"/>
      <c r="I644" s="221">
        <v>43482</v>
      </c>
      <c r="J644" s="222">
        <v>54.933300000000003</v>
      </c>
      <c r="K644" s="222">
        <v>81.485500000000002</v>
      </c>
      <c r="L644"/>
      <c r="M644"/>
      <c r="N644"/>
      <c r="O644" s="221">
        <v>43482</v>
      </c>
      <c r="P644" s="224">
        <v>12.4489</v>
      </c>
      <c r="Q644" s="224">
        <v>81.485500000000002</v>
      </c>
    </row>
    <row r="645" spans="1:17" s="100" customFormat="1" x14ac:dyDescent="0.35">
      <c r="A645" s="221">
        <v>43481</v>
      </c>
      <c r="B645" s="222">
        <v>41.878563816964629</v>
      </c>
      <c r="C645"/>
      <c r="D645" s="221">
        <v>43481</v>
      </c>
      <c r="E645" s="222">
        <v>99.819000000000003</v>
      </c>
      <c r="F645" s="222">
        <v>54.609499999999997</v>
      </c>
      <c r="G645" s="222">
        <v>88.659899999999993</v>
      </c>
      <c r="H645"/>
      <c r="I645" s="221">
        <v>43481</v>
      </c>
      <c r="J645" s="222">
        <v>54.609499999999997</v>
      </c>
      <c r="K645" s="222">
        <v>83.132999999999996</v>
      </c>
      <c r="L645"/>
      <c r="M645"/>
      <c r="N645"/>
      <c r="O645" s="221">
        <v>43481</v>
      </c>
      <c r="P645" s="224">
        <v>12.7996</v>
      </c>
      <c r="Q645" s="224">
        <v>83.132999999999996</v>
      </c>
    </row>
    <row r="646" spans="1:17" s="100" customFormat="1" x14ac:dyDescent="0.35">
      <c r="A646" s="221">
        <v>43480</v>
      </c>
      <c r="B646" s="222">
        <v>41.22206770109937</v>
      </c>
      <c r="C646"/>
      <c r="D646" s="221">
        <v>43480</v>
      </c>
      <c r="E646" s="222">
        <v>99.9315</v>
      </c>
      <c r="F646" s="222">
        <v>55.428600000000003</v>
      </c>
      <c r="G646" s="222">
        <v>88.708299999999994</v>
      </c>
      <c r="H646"/>
      <c r="I646" s="221">
        <v>43480</v>
      </c>
      <c r="J646" s="222">
        <v>55.428600000000003</v>
      </c>
      <c r="K646" s="222">
        <v>80.628799999999998</v>
      </c>
      <c r="L646"/>
      <c r="M646"/>
      <c r="N646"/>
      <c r="O646" s="221">
        <v>43480</v>
      </c>
      <c r="P646" s="224">
        <v>12.8643</v>
      </c>
      <c r="Q646" s="224">
        <v>80.628799999999998</v>
      </c>
    </row>
    <row r="647" spans="1:17" s="100" customFormat="1" x14ac:dyDescent="0.35">
      <c r="A647" s="221">
        <v>43479</v>
      </c>
      <c r="B647" s="222">
        <v>42.816641738833525</v>
      </c>
      <c r="C647"/>
      <c r="D647" s="221">
        <v>43479</v>
      </c>
      <c r="E647" s="222">
        <v>99.312100000000001</v>
      </c>
      <c r="F647" s="222">
        <v>52.133299999999998</v>
      </c>
      <c r="G647" s="222">
        <v>88.828699999999998</v>
      </c>
      <c r="H647"/>
      <c r="I647" s="221">
        <v>43479</v>
      </c>
      <c r="J647" s="222">
        <v>52.133299999999998</v>
      </c>
      <c r="K647" s="222">
        <v>90.856899999999996</v>
      </c>
      <c r="L647"/>
      <c r="M647"/>
      <c r="N647"/>
      <c r="O647" s="221">
        <v>43479</v>
      </c>
      <c r="P647" s="224">
        <v>12.013299999999999</v>
      </c>
      <c r="Q647" s="224">
        <v>90.856899999999996</v>
      </c>
    </row>
    <row r="648" spans="1:17" s="100" customFormat="1" x14ac:dyDescent="0.35">
      <c r="A648" s="221">
        <v>43476</v>
      </c>
      <c r="B648" s="222">
        <v>40.733044813874479</v>
      </c>
      <c r="C648"/>
      <c r="D648" s="221">
        <v>43476</v>
      </c>
      <c r="E648" s="222">
        <v>99.5077</v>
      </c>
      <c r="F648" s="222">
        <v>54.685699999999997</v>
      </c>
      <c r="G648" s="222">
        <v>88.840299999999999</v>
      </c>
      <c r="H648"/>
      <c r="I648" s="221">
        <v>43476</v>
      </c>
      <c r="J648" s="222">
        <v>54.685699999999997</v>
      </c>
      <c r="K648" s="222">
        <v>82.303600000000003</v>
      </c>
      <c r="L648"/>
      <c r="M648"/>
      <c r="N648"/>
      <c r="O648" s="221">
        <v>43476</v>
      </c>
      <c r="P648" s="224">
        <v>12.2171</v>
      </c>
      <c r="Q648" s="224">
        <v>82.303600000000003</v>
      </c>
    </row>
    <row r="649" spans="1:17" s="100" customFormat="1" x14ac:dyDescent="0.35">
      <c r="A649" s="221">
        <v>43475</v>
      </c>
      <c r="B649" s="222">
        <v>39.239909137719948</v>
      </c>
      <c r="C649"/>
      <c r="D649" s="221">
        <v>43475</v>
      </c>
      <c r="E649" s="222">
        <v>98.8142</v>
      </c>
      <c r="F649" s="222">
        <v>54.780999999999999</v>
      </c>
      <c r="G649" s="222">
        <v>88.832300000000004</v>
      </c>
      <c r="H649"/>
      <c r="I649" s="221">
        <v>43475</v>
      </c>
      <c r="J649" s="222">
        <v>54.780999999999999</v>
      </c>
      <c r="K649" s="222">
        <v>80.7196</v>
      </c>
      <c r="L649"/>
      <c r="M649"/>
      <c r="N649"/>
      <c r="O649" s="221">
        <v>43475</v>
      </c>
      <c r="P649" s="224">
        <v>11.4459</v>
      </c>
      <c r="Q649" s="224">
        <v>80.7196</v>
      </c>
    </row>
    <row r="650" spans="1:17" s="100" customFormat="1" x14ac:dyDescent="0.35">
      <c r="A650" s="221">
        <v>43474</v>
      </c>
      <c r="B650" s="222">
        <v>38.281468658427606</v>
      </c>
      <c r="C650"/>
      <c r="D650" s="221">
        <v>43474</v>
      </c>
      <c r="E650" s="222">
        <v>98.314800000000005</v>
      </c>
      <c r="F650" s="222">
        <v>54.990499999999997</v>
      </c>
      <c r="G650" s="222">
        <v>88.705100000000002</v>
      </c>
      <c r="H650"/>
      <c r="I650" s="221">
        <v>43474</v>
      </c>
      <c r="J650" s="222">
        <v>54.990499999999997</v>
      </c>
      <c r="K650" s="222">
        <v>79.121799999999993</v>
      </c>
      <c r="L650"/>
      <c r="M650"/>
      <c r="N650"/>
      <c r="O650" s="221">
        <v>43474</v>
      </c>
      <c r="P650" s="224">
        <v>11.0421</v>
      </c>
      <c r="Q650" s="224">
        <v>79.121799999999993</v>
      </c>
    </row>
    <row r="651" spans="1:17" s="100" customFormat="1" x14ac:dyDescent="0.35">
      <c r="A651" s="221">
        <v>43473</v>
      </c>
      <c r="B651" s="222">
        <v>38.916503304486831</v>
      </c>
      <c r="C651"/>
      <c r="D651" s="221">
        <v>43473</v>
      </c>
      <c r="E651" s="222">
        <v>98.126300000000001</v>
      </c>
      <c r="F651" s="222">
        <v>54.590499999999999</v>
      </c>
      <c r="G651" s="222">
        <v>88.364999999999995</v>
      </c>
      <c r="H651"/>
      <c r="I651" s="221">
        <v>43473</v>
      </c>
      <c r="J651" s="222">
        <v>54.590499999999999</v>
      </c>
      <c r="K651" s="222">
        <v>80.088099999999997</v>
      </c>
      <c r="L651"/>
      <c r="M651"/>
      <c r="N651"/>
      <c r="O651" s="221">
        <v>43473</v>
      </c>
      <c r="P651" s="224">
        <v>11.255599999999999</v>
      </c>
      <c r="Q651" s="224">
        <v>80.088099999999997</v>
      </c>
    </row>
    <row r="652" spans="1:17" s="100" customFormat="1" x14ac:dyDescent="0.35">
      <c r="A652" s="221">
        <v>43472</v>
      </c>
      <c r="B652" s="222">
        <v>38.747094417188841</v>
      </c>
      <c r="C652"/>
      <c r="D652" s="221">
        <v>43472</v>
      </c>
      <c r="E652" s="222">
        <v>98.115899999999996</v>
      </c>
      <c r="F652" s="222">
        <v>54.990499999999997</v>
      </c>
      <c r="G652" s="222">
        <v>88.255700000000004</v>
      </c>
      <c r="H652"/>
      <c r="I652" s="221">
        <v>43472</v>
      </c>
      <c r="J652" s="222">
        <v>54.990499999999997</v>
      </c>
      <c r="K652" s="222">
        <v>78.758099999999999</v>
      </c>
      <c r="L652"/>
      <c r="M652"/>
      <c r="N652"/>
      <c r="O652" s="221">
        <v>43472</v>
      </c>
      <c r="P652" s="224">
        <v>11.3809</v>
      </c>
      <c r="Q652" s="224">
        <v>78.758099999999999</v>
      </c>
    </row>
    <row r="653" spans="1:17" s="100" customFormat="1" x14ac:dyDescent="0.35">
      <c r="A653" s="221">
        <v>43469</v>
      </c>
      <c r="B653" s="222">
        <v>39.974838626566154</v>
      </c>
      <c r="C653"/>
      <c r="D653" s="221">
        <v>43469</v>
      </c>
      <c r="E653" s="222">
        <v>97.527500000000003</v>
      </c>
      <c r="F653" s="222">
        <v>53.066699999999997</v>
      </c>
      <c r="G653" s="222">
        <v>87.897499999999994</v>
      </c>
      <c r="H653"/>
      <c r="I653" s="221">
        <v>43469</v>
      </c>
      <c r="J653" s="222">
        <v>53.066699999999997</v>
      </c>
      <c r="K653" s="222">
        <v>84.126800000000003</v>
      </c>
      <c r="L653"/>
      <c r="M653"/>
      <c r="N653"/>
      <c r="O653" s="221">
        <v>43469</v>
      </c>
      <c r="P653" s="224">
        <v>11.163600000000001</v>
      </c>
      <c r="Q653" s="224">
        <v>84.126800000000003</v>
      </c>
    </row>
    <row r="654" spans="1:17" s="100" customFormat="1" x14ac:dyDescent="0.35">
      <c r="A654" s="221">
        <v>43468</v>
      </c>
      <c r="B654" s="222">
        <v>40.845510584295184</v>
      </c>
      <c r="C654"/>
      <c r="D654" s="221">
        <v>43468</v>
      </c>
      <c r="E654" s="222">
        <v>97.408100000000005</v>
      </c>
      <c r="F654" s="222">
        <v>52.495199999999997</v>
      </c>
      <c r="G654" s="222">
        <v>87.63</v>
      </c>
      <c r="H654"/>
      <c r="I654" s="221">
        <v>43468</v>
      </c>
      <c r="J654" s="222">
        <v>52.495199999999997</v>
      </c>
      <c r="K654" s="222">
        <v>85.902699999999996</v>
      </c>
      <c r="L654"/>
      <c r="M654"/>
      <c r="N654"/>
      <c r="O654" s="221">
        <v>43468</v>
      </c>
      <c r="P654" s="224">
        <v>11.366</v>
      </c>
      <c r="Q654" s="224">
        <v>85.902699999999996</v>
      </c>
    </row>
    <row r="655" spans="1:17" s="100" customFormat="1" x14ac:dyDescent="0.35">
      <c r="A655" s="221">
        <v>43467</v>
      </c>
      <c r="B655" s="222">
        <v>38.28587934230621</v>
      </c>
      <c r="C655"/>
      <c r="D655" s="221">
        <v>43467</v>
      </c>
      <c r="E655" s="222">
        <v>97.331599999999995</v>
      </c>
      <c r="F655" s="222">
        <v>55.828600000000002</v>
      </c>
      <c r="G655" s="222">
        <v>87.303299999999993</v>
      </c>
      <c r="H655"/>
      <c r="I655" s="221">
        <v>43467</v>
      </c>
      <c r="J655" s="222">
        <v>55.828600000000002</v>
      </c>
      <c r="K655" s="222">
        <v>74.665000000000006</v>
      </c>
      <c r="L655"/>
      <c r="M655"/>
      <c r="N655"/>
      <c r="O655" s="221">
        <v>43467</v>
      </c>
      <c r="P655" s="224">
        <v>11.6945</v>
      </c>
      <c r="Q655" s="224">
        <v>74.665000000000006</v>
      </c>
    </row>
    <row r="656" spans="1:17" s="100" customFormat="1" x14ac:dyDescent="0.35">
      <c r="A656" s="221">
        <v>43462</v>
      </c>
      <c r="B656" s="222">
        <v>37.375592330215895</v>
      </c>
      <c r="C656"/>
      <c r="D656" s="221">
        <v>43462</v>
      </c>
      <c r="E656" s="222">
        <v>97.624399999999994</v>
      </c>
      <c r="F656" s="222">
        <v>57.828600000000002</v>
      </c>
      <c r="G656" s="222">
        <v>87.144000000000005</v>
      </c>
      <c r="H656"/>
      <c r="I656" s="221">
        <v>43462</v>
      </c>
      <c r="J656" s="222">
        <v>57.828600000000002</v>
      </c>
      <c r="K656" s="222">
        <v>69.125699999999995</v>
      </c>
      <c r="L656"/>
      <c r="M656"/>
      <c r="N656"/>
      <c r="O656" s="221">
        <v>43462</v>
      </c>
      <c r="P656" s="224">
        <v>12.2315</v>
      </c>
      <c r="Q656" s="224">
        <v>69.125699999999995</v>
      </c>
    </row>
    <row r="657" spans="1:17" s="100" customFormat="1" x14ac:dyDescent="0.35">
      <c r="A657" s="221">
        <v>43461</v>
      </c>
      <c r="B657" s="222">
        <v>37.47730133323914</v>
      </c>
      <c r="C657"/>
      <c r="D657" s="221">
        <v>43461</v>
      </c>
      <c r="E657" s="222">
        <v>97.331900000000005</v>
      </c>
      <c r="F657" s="222">
        <v>57.180999999999997</v>
      </c>
      <c r="G657" s="222">
        <v>87.087299999999999</v>
      </c>
      <c r="H657"/>
      <c r="I657" s="221">
        <v>43461</v>
      </c>
      <c r="J657" s="222">
        <v>57.180999999999997</v>
      </c>
      <c r="K657" s="222">
        <v>70.528700000000001</v>
      </c>
      <c r="L657"/>
      <c r="M657"/>
      <c r="N657"/>
      <c r="O657" s="221">
        <v>43461</v>
      </c>
      <c r="P657" s="224">
        <v>11.9681</v>
      </c>
      <c r="Q657" s="224">
        <v>70.528700000000001</v>
      </c>
    </row>
    <row r="658" spans="1:17" s="100" customFormat="1" x14ac:dyDescent="0.35">
      <c r="A658" s="221">
        <v>43460</v>
      </c>
      <c r="B658" s="222">
        <v>38.947116348965274</v>
      </c>
      <c r="C658"/>
      <c r="D658" s="221">
        <v>43460</v>
      </c>
      <c r="E658" s="222">
        <v>97.855500000000006</v>
      </c>
      <c r="F658" s="222">
        <v>56.857100000000003</v>
      </c>
      <c r="G658" s="222">
        <v>87.000799999999998</v>
      </c>
      <c r="H658"/>
      <c r="I658" s="221">
        <v>43460</v>
      </c>
      <c r="J658" s="222">
        <v>56.857100000000003</v>
      </c>
      <c r="K658" s="222">
        <v>72.42</v>
      </c>
      <c r="L658"/>
      <c r="M658"/>
      <c r="N658"/>
      <c r="O658" s="221">
        <v>43460</v>
      </c>
      <c r="P658" s="224">
        <v>12.6806</v>
      </c>
      <c r="Q658" s="224">
        <v>72.42</v>
      </c>
    </row>
    <row r="659" spans="1:17" s="100" customFormat="1" x14ac:dyDescent="0.35">
      <c r="A659" s="221">
        <v>43459</v>
      </c>
      <c r="B659" s="222">
        <v>38.959746161440997</v>
      </c>
      <c r="C659"/>
      <c r="D659" s="221">
        <v>43459</v>
      </c>
      <c r="E659" s="222">
        <v>98.075000000000003</v>
      </c>
      <c r="F659" s="222">
        <v>57.390500000000003</v>
      </c>
      <c r="G659" s="222">
        <v>86.968400000000003</v>
      </c>
      <c r="H659"/>
      <c r="I659" s="221">
        <v>43459</v>
      </c>
      <c r="J659" s="222">
        <v>57.390500000000003</v>
      </c>
      <c r="K659" s="222">
        <v>71.199100000000001</v>
      </c>
      <c r="L659"/>
      <c r="M659"/>
      <c r="N659"/>
      <c r="O659" s="221">
        <v>43459</v>
      </c>
      <c r="P659" s="224">
        <v>12.974399999999999</v>
      </c>
      <c r="Q659" s="224">
        <v>71.199100000000001</v>
      </c>
    </row>
    <row r="660" spans="1:17" s="100" customFormat="1" x14ac:dyDescent="0.35">
      <c r="A660" s="221">
        <v>43458</v>
      </c>
      <c r="B660" s="222">
        <v>39.198793964602359</v>
      </c>
      <c r="C660"/>
      <c r="D660" s="221">
        <v>43458</v>
      </c>
      <c r="E660" s="222">
        <v>98.373599999999996</v>
      </c>
      <c r="F660" s="222">
        <v>57.7333</v>
      </c>
      <c r="G660" s="222">
        <v>86.960899999999995</v>
      </c>
      <c r="H660"/>
      <c r="I660" s="221">
        <v>43458</v>
      </c>
      <c r="J660" s="222">
        <v>57.7333</v>
      </c>
      <c r="K660" s="222">
        <v>70.698700000000002</v>
      </c>
      <c r="L660"/>
      <c r="M660"/>
      <c r="N660"/>
      <c r="O660" s="221">
        <v>43458</v>
      </c>
      <c r="P660" s="224">
        <v>13.3268</v>
      </c>
      <c r="Q660" s="224">
        <v>70.698700000000002</v>
      </c>
    </row>
    <row r="661" spans="1:17" s="100" customFormat="1" x14ac:dyDescent="0.35">
      <c r="A661" s="221">
        <v>43455</v>
      </c>
      <c r="B661" s="222">
        <v>40.284422745130904</v>
      </c>
      <c r="C661"/>
      <c r="D661" s="221">
        <v>43455</v>
      </c>
      <c r="E661" s="222">
        <v>98.600200000000001</v>
      </c>
      <c r="F661" s="222">
        <v>57.314300000000003</v>
      </c>
      <c r="G661" s="222">
        <v>86.814999999999998</v>
      </c>
      <c r="H661"/>
      <c r="I661" s="221">
        <v>43455</v>
      </c>
      <c r="J661" s="222">
        <v>57.314300000000003</v>
      </c>
      <c r="K661" s="222">
        <v>72.339200000000005</v>
      </c>
      <c r="L661"/>
      <c r="M661"/>
      <c r="N661"/>
      <c r="O661" s="221">
        <v>43455</v>
      </c>
      <c r="P661" s="224">
        <v>13.776400000000001</v>
      </c>
      <c r="Q661" s="224">
        <v>72.339200000000005</v>
      </c>
    </row>
    <row r="662" spans="1:17" s="100" customFormat="1" x14ac:dyDescent="0.35">
      <c r="A662" s="221">
        <v>43454</v>
      </c>
      <c r="B662" s="222">
        <v>41.664444542670921</v>
      </c>
      <c r="C662"/>
      <c r="D662" s="221">
        <v>43454</v>
      </c>
      <c r="E662" s="222">
        <v>99.025800000000004</v>
      </c>
      <c r="F662" s="222">
        <v>56.857100000000003</v>
      </c>
      <c r="G662" s="222">
        <v>86.727199999999996</v>
      </c>
      <c r="H662"/>
      <c r="I662" s="221">
        <v>43454</v>
      </c>
      <c r="J662" s="222">
        <v>56.857100000000003</v>
      </c>
      <c r="K662" s="222">
        <v>74.472499999999997</v>
      </c>
      <c r="L662"/>
      <c r="M662"/>
      <c r="N662"/>
      <c r="O662" s="221">
        <v>43454</v>
      </c>
      <c r="P662" s="224">
        <v>14.381600000000001</v>
      </c>
      <c r="Q662" s="224">
        <v>74.472499999999997</v>
      </c>
    </row>
    <row r="663" spans="1:17" s="100" customFormat="1" x14ac:dyDescent="0.35">
      <c r="A663" s="221">
        <v>43453</v>
      </c>
      <c r="B663" s="222">
        <v>42.218072123747504</v>
      </c>
      <c r="C663"/>
      <c r="D663" s="221">
        <v>43453</v>
      </c>
      <c r="E663" s="222">
        <v>99.560299999999998</v>
      </c>
      <c r="F663" s="222">
        <v>57.447600000000001</v>
      </c>
      <c r="G663" s="222">
        <v>86.681899999999999</v>
      </c>
      <c r="H663"/>
      <c r="I663" s="221">
        <v>43453</v>
      </c>
      <c r="J663" s="222">
        <v>57.447600000000001</v>
      </c>
      <c r="K663" s="222">
        <v>73.608599999999996</v>
      </c>
      <c r="L663"/>
      <c r="M663"/>
      <c r="N663"/>
      <c r="O663" s="221">
        <v>43453</v>
      </c>
      <c r="P663" s="224">
        <v>15.057499999999999</v>
      </c>
      <c r="Q663" s="224">
        <v>73.608599999999996</v>
      </c>
    </row>
    <row r="664" spans="1:17" s="100" customFormat="1" x14ac:dyDescent="0.35">
      <c r="A664" s="221">
        <v>43452</v>
      </c>
      <c r="B664" s="222">
        <v>42.249047274372032</v>
      </c>
      <c r="C664"/>
      <c r="D664" s="221">
        <v>43452</v>
      </c>
      <c r="E664" s="222">
        <v>100.0568</v>
      </c>
      <c r="F664" s="222">
        <v>58.2286</v>
      </c>
      <c r="G664" s="222">
        <v>86.768500000000003</v>
      </c>
      <c r="H664"/>
      <c r="I664" s="221">
        <v>43452</v>
      </c>
      <c r="J664" s="222">
        <v>58.2286</v>
      </c>
      <c r="K664" s="222">
        <v>72.131900000000002</v>
      </c>
      <c r="L664"/>
      <c r="M664"/>
      <c r="N664"/>
      <c r="O664" s="221">
        <v>43452</v>
      </c>
      <c r="P664" s="224">
        <v>15.5143</v>
      </c>
      <c r="Q664" s="224">
        <v>72.131900000000002</v>
      </c>
    </row>
    <row r="665" spans="1:17" s="100" customFormat="1" x14ac:dyDescent="0.35">
      <c r="A665" s="221">
        <v>43451</v>
      </c>
      <c r="B665" s="222">
        <v>40.344880206472652</v>
      </c>
      <c r="C665"/>
      <c r="D665" s="221">
        <v>43451</v>
      </c>
      <c r="E665" s="222">
        <v>100.06440000000001</v>
      </c>
      <c r="F665" s="222">
        <v>59.9238</v>
      </c>
      <c r="G665" s="222">
        <v>86.956299999999999</v>
      </c>
      <c r="H665"/>
      <c r="I665" s="221">
        <v>43451</v>
      </c>
      <c r="J665" s="222">
        <v>59.9238</v>
      </c>
      <c r="K665" s="222">
        <v>67.274100000000004</v>
      </c>
      <c r="L665"/>
      <c r="M665"/>
      <c r="N665"/>
      <c r="O665" s="221">
        <v>43451</v>
      </c>
      <c r="P665" s="224">
        <v>15.2728</v>
      </c>
      <c r="Q665" s="224">
        <v>67.274100000000004</v>
      </c>
    </row>
    <row r="666" spans="1:17" s="100" customFormat="1" x14ac:dyDescent="0.35">
      <c r="A666" s="221">
        <v>43448</v>
      </c>
      <c r="B666" s="222">
        <v>40.221365185723329</v>
      </c>
      <c r="C666"/>
      <c r="D666" s="221">
        <v>43448</v>
      </c>
      <c r="E666" s="222">
        <v>100.35</v>
      </c>
      <c r="F666" s="222">
        <v>60.323799999999999</v>
      </c>
      <c r="G666" s="222">
        <v>87.080799999999996</v>
      </c>
      <c r="H666"/>
      <c r="I666" s="221">
        <v>43448</v>
      </c>
      <c r="J666" s="222">
        <v>60.323799999999999</v>
      </c>
      <c r="K666" s="222">
        <v>66.6357</v>
      </c>
      <c r="L666"/>
      <c r="M666"/>
      <c r="N666"/>
      <c r="O666" s="221">
        <v>43448</v>
      </c>
      <c r="P666" s="224">
        <v>15.434200000000001</v>
      </c>
      <c r="Q666" s="224">
        <v>66.6357</v>
      </c>
    </row>
    <row r="667" spans="1:17" s="100" customFormat="1" x14ac:dyDescent="0.35">
      <c r="A667" s="221">
        <v>43447</v>
      </c>
      <c r="B667" s="222">
        <v>39.190815531685516</v>
      </c>
      <c r="C667"/>
      <c r="D667" s="221">
        <v>43447</v>
      </c>
      <c r="E667" s="222">
        <v>100.5796</v>
      </c>
      <c r="F667" s="222">
        <v>61.8857</v>
      </c>
      <c r="G667" s="222">
        <v>87.101399999999998</v>
      </c>
      <c r="H667"/>
      <c r="I667" s="221">
        <v>43447</v>
      </c>
      <c r="J667" s="222">
        <v>61.8857</v>
      </c>
      <c r="K667" s="222">
        <v>62.8001</v>
      </c>
      <c r="L667"/>
      <c r="M667"/>
      <c r="N667"/>
      <c r="O667" s="221">
        <v>43447</v>
      </c>
      <c r="P667" s="224">
        <v>15.6698</v>
      </c>
      <c r="Q667" s="224">
        <v>62.8001</v>
      </c>
    </row>
    <row r="668" spans="1:17" s="100" customFormat="1" x14ac:dyDescent="0.35">
      <c r="A668" s="221">
        <v>43446</v>
      </c>
      <c r="B668" s="222">
        <v>40.661891602306156</v>
      </c>
      <c r="C668"/>
      <c r="D668" s="221">
        <v>43446</v>
      </c>
      <c r="E668" s="222">
        <v>100.4571</v>
      </c>
      <c r="F668" s="222">
        <v>60.1524</v>
      </c>
      <c r="G668" s="222">
        <v>87.021000000000001</v>
      </c>
      <c r="H668"/>
      <c r="I668" s="221">
        <v>43446</v>
      </c>
      <c r="J668" s="222">
        <v>60.1524</v>
      </c>
      <c r="K668" s="222">
        <v>67.286799999999999</v>
      </c>
      <c r="L668"/>
      <c r="M668"/>
      <c r="N668"/>
      <c r="O668" s="221">
        <v>43446</v>
      </c>
      <c r="P668" s="224">
        <v>15.635300000000001</v>
      </c>
      <c r="Q668" s="224">
        <v>67.286799999999999</v>
      </c>
    </row>
    <row r="669" spans="1:17" s="100" customFormat="1" x14ac:dyDescent="0.35">
      <c r="A669" s="221">
        <v>43445</v>
      </c>
      <c r="B669" s="222">
        <v>41.402446509534322</v>
      </c>
      <c r="C669"/>
      <c r="D669" s="221">
        <v>43445</v>
      </c>
      <c r="E669" s="222">
        <v>100.7307</v>
      </c>
      <c r="F669" s="222">
        <v>59.981000000000002</v>
      </c>
      <c r="G669" s="222">
        <v>86.967699999999994</v>
      </c>
      <c r="H669"/>
      <c r="I669" s="221">
        <v>43445</v>
      </c>
      <c r="J669" s="222">
        <v>59.981000000000002</v>
      </c>
      <c r="K669" s="222">
        <v>68.219899999999996</v>
      </c>
      <c r="L669"/>
      <c r="M669"/>
      <c r="N669"/>
      <c r="O669" s="221">
        <v>43445</v>
      </c>
      <c r="P669" s="224">
        <v>16.020099999999999</v>
      </c>
      <c r="Q669" s="224">
        <v>68.219899999999996</v>
      </c>
    </row>
    <row r="670" spans="1:17" s="100" customFormat="1" x14ac:dyDescent="0.35">
      <c r="A670" s="221">
        <v>43444</v>
      </c>
      <c r="B670" s="222">
        <v>40.860155563727986</v>
      </c>
      <c r="C670"/>
      <c r="D670" s="221">
        <v>43444</v>
      </c>
      <c r="E670" s="222">
        <v>101.63120000000001</v>
      </c>
      <c r="F670" s="222">
        <v>62.0762</v>
      </c>
      <c r="G670" s="222">
        <v>87.095399999999998</v>
      </c>
      <c r="H670"/>
      <c r="I670" s="221">
        <v>43444</v>
      </c>
      <c r="J670" s="222">
        <v>62.0762</v>
      </c>
      <c r="K670" s="222">
        <v>63.991999999999997</v>
      </c>
      <c r="L670"/>
      <c r="M670"/>
      <c r="N670"/>
      <c r="O670" s="221">
        <v>43444</v>
      </c>
      <c r="P670" s="224">
        <v>16.883299999999998</v>
      </c>
      <c r="Q670" s="224">
        <v>63.991999999999997</v>
      </c>
    </row>
    <row r="671" spans="1:17" s="100" customFormat="1" x14ac:dyDescent="0.35">
      <c r="A671" s="221">
        <v>43441</v>
      </c>
      <c r="B671" s="222">
        <v>40.757152097345219</v>
      </c>
      <c r="C671"/>
      <c r="D671" s="221">
        <v>43441</v>
      </c>
      <c r="E671" s="222">
        <v>101.8289</v>
      </c>
      <c r="F671" s="222">
        <v>62.8</v>
      </c>
      <c r="G671" s="222">
        <v>86.962999999999994</v>
      </c>
      <c r="H671"/>
      <c r="I671" s="221">
        <v>43441</v>
      </c>
      <c r="J671" s="222">
        <v>62.8</v>
      </c>
      <c r="K671" s="222">
        <v>62.414000000000001</v>
      </c>
      <c r="L671"/>
      <c r="M671"/>
      <c r="N671"/>
      <c r="O671" s="221">
        <v>43441</v>
      </c>
      <c r="P671" s="224">
        <v>17.2867</v>
      </c>
      <c r="Q671" s="224">
        <v>62.414000000000001</v>
      </c>
    </row>
    <row r="672" spans="1:17" s="100" customFormat="1" x14ac:dyDescent="0.35">
      <c r="A672" s="221">
        <v>43440</v>
      </c>
      <c r="B672" s="222">
        <v>41.791215385538557</v>
      </c>
      <c r="C672"/>
      <c r="D672" s="221">
        <v>43440</v>
      </c>
      <c r="E672" s="222">
        <v>102.1824</v>
      </c>
      <c r="F672" s="222">
        <v>62.647599999999997</v>
      </c>
      <c r="G672" s="222">
        <v>86.776799999999994</v>
      </c>
      <c r="H672"/>
      <c r="I672" s="221">
        <v>43440</v>
      </c>
      <c r="J672" s="222">
        <v>62.647599999999997</v>
      </c>
      <c r="K672" s="222">
        <v>63.372599999999998</v>
      </c>
      <c r="L672"/>
      <c r="M672"/>
      <c r="N672"/>
      <c r="O672" s="221">
        <v>43440</v>
      </c>
      <c r="P672" s="224">
        <v>17.9451</v>
      </c>
      <c r="Q672" s="224">
        <v>63.372599999999998</v>
      </c>
    </row>
    <row r="673" spans="1:17" s="100" customFormat="1" x14ac:dyDescent="0.35">
      <c r="A673" s="221">
        <v>43439</v>
      </c>
      <c r="B673" s="222">
        <v>39.192342662597071</v>
      </c>
      <c r="C673"/>
      <c r="D673" s="221">
        <v>43439</v>
      </c>
      <c r="E673" s="222">
        <v>102.03400000000001</v>
      </c>
      <c r="F673" s="222">
        <v>65.123800000000003</v>
      </c>
      <c r="G673" s="222">
        <v>86.844099999999997</v>
      </c>
      <c r="H673"/>
      <c r="I673" s="221">
        <v>43439</v>
      </c>
      <c r="J673" s="222">
        <v>65.123800000000003</v>
      </c>
      <c r="K673" s="222">
        <v>56.931899999999999</v>
      </c>
      <c r="L673"/>
      <c r="M673"/>
      <c r="N673"/>
      <c r="O673" s="221">
        <v>43439</v>
      </c>
      <c r="P673" s="224">
        <v>17.682099999999998</v>
      </c>
      <c r="Q673" s="224">
        <v>56.931899999999999</v>
      </c>
    </row>
    <row r="674" spans="1:17" s="100" customFormat="1" x14ac:dyDescent="0.35">
      <c r="A674" s="221">
        <v>43438</v>
      </c>
      <c r="B674" s="222">
        <v>38.402066775871162</v>
      </c>
      <c r="C674"/>
      <c r="D674" s="221">
        <v>43438</v>
      </c>
      <c r="E674" s="222">
        <v>102.0795</v>
      </c>
      <c r="F674" s="222">
        <v>66.1905</v>
      </c>
      <c r="G674" s="222">
        <v>86.8125</v>
      </c>
      <c r="H674"/>
      <c r="I674" s="221">
        <v>43438</v>
      </c>
      <c r="J674" s="222">
        <v>66.1905</v>
      </c>
      <c r="K674" s="222">
        <v>54.470799999999997</v>
      </c>
      <c r="L674"/>
      <c r="M674"/>
      <c r="N674"/>
      <c r="O674" s="221">
        <v>43438</v>
      </c>
      <c r="P674" s="224">
        <v>17.776800000000001</v>
      </c>
      <c r="Q674" s="224">
        <v>54.470799999999997</v>
      </c>
    </row>
    <row r="675" spans="1:17" s="100" customFormat="1" x14ac:dyDescent="0.35">
      <c r="A675" s="221">
        <v>43437</v>
      </c>
      <c r="B675" s="222">
        <v>37.983319761029385</v>
      </c>
      <c r="C675"/>
      <c r="D675" s="221">
        <v>43437</v>
      </c>
      <c r="E675" s="222">
        <v>102.13509999999999</v>
      </c>
      <c r="F675" s="222">
        <v>66.723799999999997</v>
      </c>
      <c r="G675" s="222">
        <v>86.812399999999997</v>
      </c>
      <c r="H675"/>
      <c r="I675" s="221">
        <v>43437</v>
      </c>
      <c r="J675" s="222">
        <v>66.723799999999997</v>
      </c>
      <c r="K675" s="222">
        <v>53.318600000000004</v>
      </c>
      <c r="L675"/>
      <c r="M675"/>
      <c r="N675"/>
      <c r="O675" s="221">
        <v>43437</v>
      </c>
      <c r="P675" s="224">
        <v>17.840299999999999</v>
      </c>
      <c r="Q675" s="224">
        <v>53.318600000000004</v>
      </c>
    </row>
    <row r="676" spans="1:17" s="100" customFormat="1" x14ac:dyDescent="0.35">
      <c r="A676" s="221">
        <v>43434</v>
      </c>
      <c r="B676" s="222">
        <v>37.970544444063769</v>
      </c>
      <c r="C676"/>
      <c r="D676" s="221">
        <v>43434</v>
      </c>
      <c r="E676" s="222">
        <v>100.7377</v>
      </c>
      <c r="F676" s="222">
        <v>64.0381</v>
      </c>
      <c r="G676" s="222">
        <v>86.785799999999995</v>
      </c>
      <c r="H676"/>
      <c r="I676" s="221">
        <v>43434</v>
      </c>
      <c r="J676" s="222">
        <v>64.0381</v>
      </c>
      <c r="K676" s="222">
        <v>57.564</v>
      </c>
      <c r="L676"/>
      <c r="M676"/>
      <c r="N676"/>
      <c r="O676" s="221">
        <v>43434</v>
      </c>
      <c r="P676" s="224">
        <v>16.264399999999998</v>
      </c>
      <c r="Q676" s="224">
        <v>57.564</v>
      </c>
    </row>
    <row r="677" spans="1:17" s="100" customFormat="1" x14ac:dyDescent="0.35">
      <c r="A677" s="221">
        <v>43433</v>
      </c>
      <c r="B677" s="222">
        <v>39.508387125944978</v>
      </c>
      <c r="C677"/>
      <c r="D677" s="221">
        <v>43433</v>
      </c>
      <c r="E677" s="222">
        <v>100.84829999999999</v>
      </c>
      <c r="F677" s="222">
        <v>62.285699999999999</v>
      </c>
      <c r="G677" s="222">
        <v>86.891000000000005</v>
      </c>
      <c r="H677"/>
      <c r="I677" s="221">
        <v>43433</v>
      </c>
      <c r="J677" s="222">
        <v>62.285699999999999</v>
      </c>
      <c r="K677" s="222">
        <v>62.173699999999997</v>
      </c>
      <c r="L677"/>
      <c r="M677"/>
      <c r="N677"/>
      <c r="O677" s="221">
        <v>43433</v>
      </c>
      <c r="P677" s="224">
        <v>16.2502</v>
      </c>
      <c r="Q677" s="224">
        <v>62.173699999999997</v>
      </c>
    </row>
    <row r="678" spans="1:17" s="100" customFormat="1" x14ac:dyDescent="0.35">
      <c r="A678" s="221">
        <v>43432</v>
      </c>
      <c r="B678" s="222">
        <v>38.897396607600307</v>
      </c>
      <c r="C678"/>
      <c r="D678" s="221">
        <v>43432</v>
      </c>
      <c r="E678" s="222">
        <v>100.9378</v>
      </c>
      <c r="F678" s="222">
        <v>63.066699999999997</v>
      </c>
      <c r="G678" s="222">
        <v>86.934200000000004</v>
      </c>
      <c r="H678"/>
      <c r="I678" s="221">
        <v>43432</v>
      </c>
      <c r="J678" s="222">
        <v>63.066699999999997</v>
      </c>
      <c r="K678" s="222">
        <v>60.3065</v>
      </c>
      <c r="L678"/>
      <c r="M678"/>
      <c r="N678"/>
      <c r="O678" s="221">
        <v>43432</v>
      </c>
      <c r="P678" s="224">
        <v>16.294899999999998</v>
      </c>
      <c r="Q678" s="224">
        <v>60.3065</v>
      </c>
    </row>
    <row r="679" spans="1:17" s="100" customFormat="1" x14ac:dyDescent="0.35">
      <c r="A679" s="221">
        <v>43431</v>
      </c>
      <c r="B679" s="222">
        <v>40.584769286114785</v>
      </c>
      <c r="C679"/>
      <c r="D679" s="221">
        <v>43431</v>
      </c>
      <c r="E679" s="222">
        <v>100.94840000000001</v>
      </c>
      <c r="F679" s="222">
        <v>61.219099999999997</v>
      </c>
      <c r="G679" s="222">
        <v>86.908900000000003</v>
      </c>
      <c r="H679"/>
      <c r="I679" s="221">
        <v>43431</v>
      </c>
      <c r="J679" s="222">
        <v>61.219099999999997</v>
      </c>
      <c r="K679" s="222">
        <v>65.160899999999998</v>
      </c>
      <c r="L679"/>
      <c r="M679"/>
      <c r="N679"/>
      <c r="O679" s="221">
        <v>43431</v>
      </c>
      <c r="P679" s="224">
        <v>16.340199999999999</v>
      </c>
      <c r="Q679" s="224">
        <v>65.160899999999998</v>
      </c>
    </row>
    <row r="680" spans="1:17" s="100" customFormat="1" x14ac:dyDescent="0.35">
      <c r="A680" s="221">
        <v>43430</v>
      </c>
      <c r="B680" s="222">
        <v>41.078737407918176</v>
      </c>
      <c r="C680"/>
      <c r="D680" s="221">
        <v>43430</v>
      </c>
      <c r="E680" s="222">
        <v>101.0389</v>
      </c>
      <c r="F680" s="222">
        <v>60.876199999999997</v>
      </c>
      <c r="G680" s="222">
        <v>86.892099999999999</v>
      </c>
      <c r="H680"/>
      <c r="I680" s="221">
        <v>43430</v>
      </c>
      <c r="J680" s="222">
        <v>60.876199999999997</v>
      </c>
      <c r="K680" s="222">
        <v>66.239000000000004</v>
      </c>
      <c r="L680"/>
      <c r="M680"/>
      <c r="N680"/>
      <c r="O680" s="221">
        <v>43430</v>
      </c>
      <c r="P680" s="224">
        <v>16.4663</v>
      </c>
      <c r="Q680" s="224">
        <v>66.239000000000004</v>
      </c>
    </row>
    <row r="681" spans="1:17" s="100" customFormat="1" x14ac:dyDescent="0.35">
      <c r="A681" s="221">
        <v>43427</v>
      </c>
      <c r="B681" s="222">
        <v>40.320057976931864</v>
      </c>
      <c r="C681"/>
      <c r="D681" s="221">
        <v>43427</v>
      </c>
      <c r="E681" s="222">
        <v>100.9405</v>
      </c>
      <c r="F681" s="222">
        <v>61.428600000000003</v>
      </c>
      <c r="G681" s="222">
        <v>86.903800000000004</v>
      </c>
      <c r="H681"/>
      <c r="I681" s="221">
        <v>43427</v>
      </c>
      <c r="J681" s="222">
        <v>61.428600000000003</v>
      </c>
      <c r="K681" s="222">
        <v>64.581299999999999</v>
      </c>
      <c r="L681"/>
      <c r="M681"/>
      <c r="N681"/>
      <c r="O681" s="221">
        <v>43427</v>
      </c>
      <c r="P681" s="224">
        <v>16.3355</v>
      </c>
      <c r="Q681" s="224">
        <v>64.581299999999999</v>
      </c>
    </row>
    <row r="682" spans="1:17" s="100" customFormat="1" x14ac:dyDescent="0.35">
      <c r="A682" s="221">
        <v>43426</v>
      </c>
      <c r="B682" s="222">
        <v>38.571705523421748</v>
      </c>
      <c r="C682"/>
      <c r="D682" s="221">
        <v>43426</v>
      </c>
      <c r="E682" s="222">
        <v>101.0411</v>
      </c>
      <c r="F682" s="222">
        <v>63.581000000000003</v>
      </c>
      <c r="G682" s="222">
        <v>86.910600000000002</v>
      </c>
      <c r="H682"/>
      <c r="I682" s="221">
        <v>43426</v>
      </c>
      <c r="J682" s="222">
        <v>63.581000000000003</v>
      </c>
      <c r="K682" s="222">
        <v>59.167000000000002</v>
      </c>
      <c r="L682"/>
      <c r="M682"/>
      <c r="N682"/>
      <c r="O682" s="221">
        <v>43426</v>
      </c>
      <c r="P682" s="224">
        <v>16.441500000000001</v>
      </c>
      <c r="Q682" s="224">
        <v>59.167000000000002</v>
      </c>
    </row>
    <row r="683" spans="1:17" s="100" customFormat="1" x14ac:dyDescent="0.35">
      <c r="A683" s="221">
        <v>43425</v>
      </c>
      <c r="B683" s="222">
        <v>38.701019059455845</v>
      </c>
      <c r="C683"/>
      <c r="D683" s="221">
        <v>43425</v>
      </c>
      <c r="E683" s="222">
        <v>101.44159999999999</v>
      </c>
      <c r="F683" s="222">
        <v>64.381</v>
      </c>
      <c r="G683" s="222">
        <v>86.828699999999998</v>
      </c>
      <c r="H683"/>
      <c r="I683" s="221">
        <v>43425</v>
      </c>
      <c r="J683" s="222">
        <v>64.381</v>
      </c>
      <c r="K683" s="222">
        <v>57.810499999999998</v>
      </c>
      <c r="L683"/>
      <c r="M683"/>
      <c r="N683"/>
      <c r="O683" s="221">
        <v>43425</v>
      </c>
      <c r="P683" s="224">
        <v>17.012</v>
      </c>
      <c r="Q683" s="224">
        <v>57.810499999999998</v>
      </c>
    </row>
    <row r="684" spans="1:17" s="100" customFormat="1" x14ac:dyDescent="0.35">
      <c r="A684" s="221">
        <v>43424</v>
      </c>
      <c r="B684" s="222">
        <v>38.804053921136564</v>
      </c>
      <c r="C684"/>
      <c r="D684" s="221">
        <v>43424</v>
      </c>
      <c r="E684" s="222">
        <v>101.23820000000001</v>
      </c>
      <c r="F684" s="222">
        <v>64</v>
      </c>
      <c r="G684" s="222">
        <v>86.760999999999996</v>
      </c>
      <c r="H684"/>
      <c r="I684" s="221">
        <v>43424</v>
      </c>
      <c r="J684" s="222">
        <v>64</v>
      </c>
      <c r="K684" s="222">
        <v>58.4313</v>
      </c>
      <c r="L684"/>
      <c r="M684"/>
      <c r="N684"/>
      <c r="O684" s="221">
        <v>43424</v>
      </c>
      <c r="P684" s="224">
        <v>16.868200000000002</v>
      </c>
      <c r="Q684" s="224">
        <v>58.4313</v>
      </c>
    </row>
    <row r="685" spans="1:17" s="100" customFormat="1" x14ac:dyDescent="0.35">
      <c r="A685" s="221">
        <v>43423</v>
      </c>
      <c r="B685" s="222">
        <v>39.856509939716048</v>
      </c>
      <c r="C685"/>
      <c r="D685" s="221">
        <v>43423</v>
      </c>
      <c r="E685" s="222">
        <v>103.3527</v>
      </c>
      <c r="F685" s="222">
        <v>67.314300000000003</v>
      </c>
      <c r="G685" s="222">
        <v>86.483599999999996</v>
      </c>
      <c r="H685"/>
      <c r="I685" s="221">
        <v>43423</v>
      </c>
      <c r="J685" s="222">
        <v>67.314300000000003</v>
      </c>
      <c r="K685" s="222">
        <v>53.7712</v>
      </c>
      <c r="L685"/>
      <c r="M685"/>
      <c r="N685"/>
      <c r="O685" s="221">
        <v>43423</v>
      </c>
      <c r="P685" s="224">
        <v>19.6874</v>
      </c>
      <c r="Q685" s="224">
        <v>53.7712</v>
      </c>
    </row>
    <row r="686" spans="1:17" s="100" customFormat="1" x14ac:dyDescent="0.35">
      <c r="A686" s="221">
        <v>43420</v>
      </c>
      <c r="B686" s="222">
        <v>39.479356321370375</v>
      </c>
      <c r="C686"/>
      <c r="D686" s="221">
        <v>43420</v>
      </c>
      <c r="E686" s="222">
        <v>102.7444</v>
      </c>
      <c r="F686" s="222">
        <v>66.914299999999997</v>
      </c>
      <c r="G686" s="222">
        <v>86.289000000000001</v>
      </c>
      <c r="H686"/>
      <c r="I686" s="221">
        <v>43420</v>
      </c>
      <c r="J686" s="222">
        <v>66.914299999999997</v>
      </c>
      <c r="K686" s="222">
        <v>53.778799999999997</v>
      </c>
      <c r="L686"/>
      <c r="M686"/>
      <c r="N686"/>
      <c r="O686" s="221">
        <v>43420</v>
      </c>
      <c r="P686" s="224">
        <v>19.250399999999999</v>
      </c>
      <c r="Q686" s="224">
        <v>53.778799999999997</v>
      </c>
    </row>
    <row r="687" spans="1:17" s="100" customFormat="1" x14ac:dyDescent="0.35">
      <c r="A687" s="221">
        <v>43419</v>
      </c>
      <c r="B687" s="222">
        <v>39.831952598854571</v>
      </c>
      <c r="C687"/>
      <c r="D687" s="221">
        <v>43419</v>
      </c>
      <c r="E687" s="222">
        <v>101.1249</v>
      </c>
      <c r="F687" s="222">
        <v>63.676200000000001</v>
      </c>
      <c r="G687" s="222">
        <v>86.168099999999995</v>
      </c>
      <c r="H687"/>
      <c r="I687" s="221">
        <v>43419</v>
      </c>
      <c r="J687" s="222">
        <v>63.676200000000001</v>
      </c>
      <c r="K687" s="222">
        <v>59.054699999999997</v>
      </c>
      <c r="L687"/>
      <c r="M687"/>
      <c r="N687"/>
      <c r="O687" s="221">
        <v>43419</v>
      </c>
      <c r="P687" s="224">
        <v>17.537700000000001</v>
      </c>
      <c r="Q687" s="224">
        <v>59.054699999999997</v>
      </c>
    </row>
    <row r="688" spans="1:17" s="100" customFormat="1" x14ac:dyDescent="0.35">
      <c r="A688" s="221">
        <v>43418</v>
      </c>
      <c r="B688" s="222">
        <v>38.748615438496813</v>
      </c>
      <c r="C688"/>
      <c r="D688" s="221">
        <v>43418</v>
      </c>
      <c r="E688" s="222">
        <v>100.0485</v>
      </c>
      <c r="F688" s="222">
        <v>62.971400000000003</v>
      </c>
      <c r="G688" s="222">
        <v>86.085899999999995</v>
      </c>
      <c r="H688"/>
      <c r="I688" s="221">
        <v>43418</v>
      </c>
      <c r="J688" s="222">
        <v>62.971400000000003</v>
      </c>
      <c r="K688" s="222">
        <v>59.124600000000001</v>
      </c>
      <c r="L688"/>
      <c r="M688"/>
      <c r="N688"/>
      <c r="O688" s="221">
        <v>43418</v>
      </c>
      <c r="P688" s="224">
        <v>16.398900000000001</v>
      </c>
      <c r="Q688" s="224">
        <v>59.124600000000001</v>
      </c>
    </row>
    <row r="689" spans="1:17" s="100" customFormat="1" x14ac:dyDescent="0.35">
      <c r="A689" s="221">
        <v>43417</v>
      </c>
      <c r="B689" s="222">
        <v>38.887324801743659</v>
      </c>
      <c r="C689"/>
      <c r="D689" s="221">
        <v>43417</v>
      </c>
      <c r="E689" s="222">
        <v>100.337</v>
      </c>
      <c r="F689" s="222">
        <v>63.752400000000002</v>
      </c>
      <c r="G689" s="222">
        <v>85.874300000000005</v>
      </c>
      <c r="H689"/>
      <c r="I689" s="221">
        <v>43417</v>
      </c>
      <c r="J689" s="222">
        <v>63.752400000000002</v>
      </c>
      <c r="K689" s="222">
        <v>57.627000000000002</v>
      </c>
      <c r="L689"/>
      <c r="M689"/>
      <c r="N689"/>
      <c r="O689" s="221">
        <v>43417</v>
      </c>
      <c r="P689" s="224">
        <v>17.021000000000001</v>
      </c>
      <c r="Q689" s="224">
        <v>57.627000000000002</v>
      </c>
    </row>
    <row r="690" spans="1:17" s="100" customFormat="1" x14ac:dyDescent="0.35">
      <c r="A690" s="221">
        <v>43416</v>
      </c>
      <c r="B690" s="222">
        <v>38.833700912920364</v>
      </c>
      <c r="C690"/>
      <c r="D690" s="221">
        <v>43416</v>
      </c>
      <c r="E690" s="222">
        <v>100.4526</v>
      </c>
      <c r="F690" s="222">
        <v>64.2667</v>
      </c>
      <c r="G690" s="222">
        <v>85.738</v>
      </c>
      <c r="H690"/>
      <c r="I690" s="221">
        <v>43416</v>
      </c>
      <c r="J690" s="222">
        <v>64.2667</v>
      </c>
      <c r="K690" s="222">
        <v>56.544499999999999</v>
      </c>
      <c r="L690"/>
      <c r="M690"/>
      <c r="N690"/>
      <c r="O690" s="221">
        <v>43416</v>
      </c>
      <c r="P690" s="224">
        <v>17.341200000000001</v>
      </c>
      <c r="Q690" s="224">
        <v>56.544499999999999</v>
      </c>
    </row>
    <row r="691" spans="1:17" s="100" customFormat="1" x14ac:dyDescent="0.35">
      <c r="A691" s="221">
        <v>43413</v>
      </c>
      <c r="B691" s="222">
        <v>39.342985626958601</v>
      </c>
      <c r="C691"/>
      <c r="D691" s="221">
        <v>43413</v>
      </c>
      <c r="E691" s="222">
        <v>99.751199999999997</v>
      </c>
      <c r="F691" s="222">
        <v>62.1524</v>
      </c>
      <c r="G691" s="222">
        <v>85.807900000000004</v>
      </c>
      <c r="H691"/>
      <c r="I691" s="221">
        <v>43413</v>
      </c>
      <c r="J691" s="222">
        <v>62.1524</v>
      </c>
      <c r="K691" s="222">
        <v>60.738799999999998</v>
      </c>
      <c r="L691"/>
      <c r="M691"/>
      <c r="N691"/>
      <c r="O691" s="221">
        <v>43413</v>
      </c>
      <c r="P691" s="224">
        <v>16.426300000000001</v>
      </c>
      <c r="Q691" s="224">
        <v>60.738799999999998</v>
      </c>
    </row>
    <row r="692" spans="1:17" s="100" customFormat="1" x14ac:dyDescent="0.35">
      <c r="A692" s="221">
        <v>43412</v>
      </c>
      <c r="B692" s="222">
        <v>39.896131774551947</v>
      </c>
      <c r="C692"/>
      <c r="D692" s="221">
        <v>43412</v>
      </c>
      <c r="E692" s="222">
        <v>100.0508</v>
      </c>
      <c r="F692" s="222">
        <v>62.1905</v>
      </c>
      <c r="G692" s="222">
        <v>85.767399999999995</v>
      </c>
      <c r="H692"/>
      <c r="I692" s="221">
        <v>43412</v>
      </c>
      <c r="J692" s="222">
        <v>62.1905</v>
      </c>
      <c r="K692" s="222">
        <v>61.121099999999998</v>
      </c>
      <c r="L692"/>
      <c r="M692"/>
      <c r="N692"/>
      <c r="O692" s="221">
        <v>43412</v>
      </c>
      <c r="P692" s="224">
        <v>16.829899999999999</v>
      </c>
      <c r="Q692" s="224">
        <v>61.121099999999998</v>
      </c>
    </row>
    <row r="693" spans="1:17" s="100" customFormat="1" x14ac:dyDescent="0.35">
      <c r="A693" s="221">
        <v>43411</v>
      </c>
      <c r="B693" s="222">
        <v>41.204392247962105</v>
      </c>
      <c r="C693"/>
      <c r="D693" s="221">
        <v>43411</v>
      </c>
      <c r="E693" s="222">
        <v>100.9003</v>
      </c>
      <c r="F693" s="222">
        <v>63.142899999999997</v>
      </c>
      <c r="G693" s="222">
        <v>85.364599999999996</v>
      </c>
      <c r="H693"/>
      <c r="I693" s="221">
        <v>43411</v>
      </c>
      <c r="J693" s="222">
        <v>63.142899999999997</v>
      </c>
      <c r="K693" s="222">
        <v>60.035400000000003</v>
      </c>
      <c r="L693"/>
      <c r="M693"/>
      <c r="N693"/>
      <c r="O693" s="221">
        <v>43411</v>
      </c>
      <c r="P693" s="224">
        <v>18.375800000000002</v>
      </c>
      <c r="Q693" s="224">
        <v>60.035400000000003</v>
      </c>
    </row>
    <row r="694" spans="1:17" s="100" customFormat="1" x14ac:dyDescent="0.35">
      <c r="A694" s="221">
        <v>43410</v>
      </c>
      <c r="B694" s="222">
        <v>39.644377865749256</v>
      </c>
      <c r="C694"/>
      <c r="D694" s="221">
        <v>43410</v>
      </c>
      <c r="E694" s="222">
        <v>100.07989999999999</v>
      </c>
      <c r="F694" s="222">
        <v>63.466700000000003</v>
      </c>
      <c r="G694" s="222">
        <v>85.281099999999995</v>
      </c>
      <c r="H694"/>
      <c r="I694" s="221">
        <v>43410</v>
      </c>
      <c r="J694" s="222">
        <v>63.466700000000003</v>
      </c>
      <c r="K694" s="222">
        <v>57.9253</v>
      </c>
      <c r="L694"/>
      <c r="M694"/>
      <c r="N694"/>
      <c r="O694" s="221">
        <v>43410</v>
      </c>
      <c r="P694" s="224">
        <v>17.529</v>
      </c>
      <c r="Q694" s="224">
        <v>57.9253</v>
      </c>
    </row>
    <row r="695" spans="1:17" s="100" customFormat="1" x14ac:dyDescent="0.35">
      <c r="A695" s="221">
        <v>43409</v>
      </c>
      <c r="B695" s="222">
        <v>38.409642377334265</v>
      </c>
      <c r="C695"/>
      <c r="D695" s="221">
        <v>43409</v>
      </c>
      <c r="E695" s="222">
        <v>100.0394</v>
      </c>
      <c r="F695" s="222">
        <v>64.761899999999997</v>
      </c>
      <c r="G695" s="222">
        <v>85.287499999999994</v>
      </c>
      <c r="H695"/>
      <c r="I695" s="221">
        <v>43409</v>
      </c>
      <c r="J695" s="222">
        <v>64.761899999999997</v>
      </c>
      <c r="K695" s="222">
        <v>54.703600000000002</v>
      </c>
      <c r="L695"/>
      <c r="M695"/>
      <c r="N695"/>
      <c r="O695" s="221">
        <v>43409</v>
      </c>
      <c r="P695" s="224">
        <v>17.472100000000001</v>
      </c>
      <c r="Q695" s="224">
        <v>54.703600000000002</v>
      </c>
    </row>
    <row r="696" spans="1:17" s="100" customFormat="1" x14ac:dyDescent="0.35">
      <c r="A696" s="221">
        <v>43406</v>
      </c>
      <c r="B696" s="222">
        <v>36.932918410728647</v>
      </c>
      <c r="C696"/>
      <c r="D696" s="221">
        <v>43406</v>
      </c>
      <c r="E696" s="222">
        <v>100.35209999999999</v>
      </c>
      <c r="F696" s="222">
        <v>67.047600000000003</v>
      </c>
      <c r="G696" s="222">
        <v>85.2744</v>
      </c>
      <c r="H696"/>
      <c r="I696" s="221">
        <v>43406</v>
      </c>
      <c r="J696" s="222">
        <v>67.047600000000003</v>
      </c>
      <c r="K696" s="222">
        <v>49.893500000000003</v>
      </c>
      <c r="L696"/>
      <c r="M696"/>
      <c r="N696"/>
      <c r="O696" s="221">
        <v>43406</v>
      </c>
      <c r="P696" s="224">
        <v>17.854800000000001</v>
      </c>
      <c r="Q696" s="224">
        <v>49.893500000000003</v>
      </c>
    </row>
    <row r="697" spans="1:17" s="100" customFormat="1" x14ac:dyDescent="0.35">
      <c r="A697" s="221">
        <v>43405</v>
      </c>
      <c r="B697" s="222">
        <v>38.467411315034013</v>
      </c>
      <c r="C697"/>
      <c r="D697" s="221">
        <v>43405</v>
      </c>
      <c r="E697" s="222">
        <v>98.164599999999993</v>
      </c>
      <c r="F697" s="222">
        <v>60.952399999999997</v>
      </c>
      <c r="G697" s="222">
        <v>85.246300000000005</v>
      </c>
      <c r="H697"/>
      <c r="I697" s="221">
        <v>43405</v>
      </c>
      <c r="J697" s="222">
        <v>60.952399999999997</v>
      </c>
      <c r="K697" s="222">
        <v>61.293100000000003</v>
      </c>
      <c r="L697"/>
      <c r="M697"/>
      <c r="N697"/>
      <c r="O697" s="221">
        <v>43405</v>
      </c>
      <c r="P697" s="224">
        <v>15.327</v>
      </c>
      <c r="Q697" s="224">
        <v>61.293100000000003</v>
      </c>
    </row>
    <row r="698" spans="1:17" s="100" customFormat="1" x14ac:dyDescent="0.35">
      <c r="A698" s="221">
        <v>43404</v>
      </c>
      <c r="B698" s="222">
        <v>37.763349676976979</v>
      </c>
      <c r="C698"/>
      <c r="D698" s="221">
        <v>43404</v>
      </c>
      <c r="E698" s="222">
        <v>97.181200000000004</v>
      </c>
      <c r="F698" s="222">
        <v>59.7333</v>
      </c>
      <c r="G698" s="222">
        <v>85.233800000000002</v>
      </c>
      <c r="H698"/>
      <c r="I698" s="221">
        <v>43404</v>
      </c>
      <c r="J698" s="222">
        <v>59.7333</v>
      </c>
      <c r="K698" s="222">
        <v>62.937600000000003</v>
      </c>
      <c r="L698"/>
      <c r="M698"/>
      <c r="N698"/>
      <c r="O698" s="221">
        <v>43404</v>
      </c>
      <c r="P698" s="224">
        <v>14.189399999999999</v>
      </c>
      <c r="Q698" s="224">
        <v>62.937600000000003</v>
      </c>
    </row>
    <row r="699" spans="1:17" s="100" customFormat="1" x14ac:dyDescent="0.35">
      <c r="A699" s="221">
        <v>43403</v>
      </c>
      <c r="B699" s="222">
        <v>39.976415500449001</v>
      </c>
      <c r="C699"/>
      <c r="D699" s="221">
        <v>43403</v>
      </c>
      <c r="E699" s="222">
        <v>97.473699999999994</v>
      </c>
      <c r="F699" s="222">
        <v>58.323799999999999</v>
      </c>
      <c r="G699" s="222">
        <v>85.004199999999997</v>
      </c>
      <c r="H699"/>
      <c r="I699" s="221">
        <v>43403</v>
      </c>
      <c r="J699" s="222">
        <v>58.323799999999999</v>
      </c>
      <c r="K699" s="222">
        <v>67.375900000000001</v>
      </c>
      <c r="L699"/>
      <c r="M699"/>
      <c r="N699"/>
      <c r="O699" s="221">
        <v>43403</v>
      </c>
      <c r="P699" s="224">
        <v>14.8414</v>
      </c>
      <c r="Q699" s="224">
        <v>67.375900000000001</v>
      </c>
    </row>
    <row r="700" spans="1:17" s="100" customFormat="1" x14ac:dyDescent="0.35">
      <c r="A700" s="221">
        <v>43402</v>
      </c>
      <c r="B700" s="222">
        <v>39.823561297858319</v>
      </c>
      <c r="C700"/>
      <c r="D700" s="221">
        <v>43402</v>
      </c>
      <c r="E700" s="222">
        <v>97.014200000000002</v>
      </c>
      <c r="F700" s="222">
        <v>57.238100000000003</v>
      </c>
      <c r="G700" s="222">
        <v>85.137699999999995</v>
      </c>
      <c r="H700"/>
      <c r="I700" s="221">
        <v>43402</v>
      </c>
      <c r="J700" s="222">
        <v>57.238100000000003</v>
      </c>
      <c r="K700" s="222">
        <v>69.747100000000003</v>
      </c>
      <c r="L700"/>
      <c r="M700"/>
      <c r="N700"/>
      <c r="O700" s="221">
        <v>43402</v>
      </c>
      <c r="P700" s="224">
        <v>14.121</v>
      </c>
      <c r="Q700" s="224">
        <v>69.747100000000003</v>
      </c>
    </row>
    <row r="701" spans="1:17" s="100" customFormat="1" x14ac:dyDescent="0.35">
      <c r="A701" s="221">
        <v>43399</v>
      </c>
      <c r="B701" s="222">
        <v>40.197603020411172</v>
      </c>
      <c r="C701"/>
      <c r="D701" s="221">
        <v>43399</v>
      </c>
      <c r="E701" s="222">
        <v>97.451899999999995</v>
      </c>
      <c r="F701" s="222">
        <v>57.428600000000003</v>
      </c>
      <c r="G701" s="222">
        <v>85.267200000000003</v>
      </c>
      <c r="H701"/>
      <c r="I701" s="221">
        <v>43399</v>
      </c>
      <c r="J701" s="222">
        <v>57.428600000000003</v>
      </c>
      <c r="K701" s="222">
        <v>69.943200000000004</v>
      </c>
      <c r="L701"/>
      <c r="M701"/>
      <c r="N701"/>
      <c r="O701" s="221">
        <v>43399</v>
      </c>
      <c r="P701" s="224">
        <v>14.459</v>
      </c>
      <c r="Q701" s="224">
        <v>69.943200000000004</v>
      </c>
    </row>
    <row r="702" spans="1:17" s="100" customFormat="1" x14ac:dyDescent="0.35">
      <c r="A702" s="221">
        <v>43398</v>
      </c>
      <c r="B702" s="222">
        <v>39.651703179725892</v>
      </c>
      <c r="C702"/>
      <c r="D702" s="221">
        <v>43398</v>
      </c>
      <c r="E702" s="222">
        <v>97.256399999999999</v>
      </c>
      <c r="F702" s="222">
        <v>57.676200000000001</v>
      </c>
      <c r="G702" s="222">
        <v>85.239199999999997</v>
      </c>
      <c r="H702"/>
      <c r="I702" s="221">
        <v>43398</v>
      </c>
      <c r="J702" s="222">
        <v>57.676200000000001</v>
      </c>
      <c r="K702" s="222">
        <v>68.873800000000003</v>
      </c>
      <c r="L702"/>
      <c r="M702"/>
      <c r="N702"/>
      <c r="O702" s="221">
        <v>43398</v>
      </c>
      <c r="P702" s="224">
        <v>14.2667</v>
      </c>
      <c r="Q702" s="224">
        <v>68.873800000000003</v>
      </c>
    </row>
    <row r="703" spans="1:17" s="100" customFormat="1" x14ac:dyDescent="0.35">
      <c r="A703" s="221">
        <v>43397</v>
      </c>
      <c r="B703" s="222">
        <v>38.86638426045419</v>
      </c>
      <c r="C703"/>
      <c r="D703" s="221">
        <v>43397</v>
      </c>
      <c r="E703" s="222">
        <v>97.966999999999999</v>
      </c>
      <c r="F703" s="222">
        <v>60.2286</v>
      </c>
      <c r="G703" s="222">
        <v>85.135999999999996</v>
      </c>
      <c r="H703"/>
      <c r="I703" s="221">
        <v>43397</v>
      </c>
      <c r="J703" s="222">
        <v>60.2286</v>
      </c>
      <c r="K703" s="222">
        <v>62.896000000000001</v>
      </c>
      <c r="L703"/>
      <c r="M703"/>
      <c r="N703"/>
      <c r="O703" s="221">
        <v>43397</v>
      </c>
      <c r="P703" s="224">
        <v>15.239100000000001</v>
      </c>
      <c r="Q703" s="224">
        <v>62.896000000000001</v>
      </c>
    </row>
    <row r="704" spans="1:17" s="100" customFormat="1" x14ac:dyDescent="0.35">
      <c r="A704" s="221">
        <v>43396</v>
      </c>
      <c r="B704" s="222">
        <v>37.628937609071386</v>
      </c>
      <c r="C704"/>
      <c r="D704" s="221">
        <v>43396</v>
      </c>
      <c r="E704" s="222">
        <v>98.456500000000005</v>
      </c>
      <c r="F704" s="222">
        <v>62.647599999999997</v>
      </c>
      <c r="G704" s="222">
        <v>85.129800000000003</v>
      </c>
      <c r="H704"/>
      <c r="I704" s="221">
        <v>43396</v>
      </c>
      <c r="J704" s="222">
        <v>62.647599999999997</v>
      </c>
      <c r="K704" s="222">
        <v>57.386699999999998</v>
      </c>
      <c r="L704"/>
      <c r="M704"/>
      <c r="N704"/>
      <c r="O704" s="221">
        <v>43396</v>
      </c>
      <c r="P704" s="224">
        <v>15.821999999999999</v>
      </c>
      <c r="Q704" s="224">
        <v>57.386699999999998</v>
      </c>
    </row>
    <row r="705" spans="1:17" s="100" customFormat="1" x14ac:dyDescent="0.35">
      <c r="A705" s="221">
        <v>43395</v>
      </c>
      <c r="B705" s="222">
        <v>35.195722075325499</v>
      </c>
      <c r="C705"/>
      <c r="D705" s="221">
        <v>43395</v>
      </c>
      <c r="E705" s="222">
        <v>99.238100000000003</v>
      </c>
      <c r="F705" s="222">
        <v>67.219099999999997</v>
      </c>
      <c r="G705" s="222">
        <v>85.071200000000005</v>
      </c>
      <c r="H705"/>
      <c r="I705" s="221">
        <v>43395</v>
      </c>
      <c r="J705" s="222">
        <v>67.219099999999997</v>
      </c>
      <c r="K705" s="222">
        <v>47.844900000000003</v>
      </c>
      <c r="L705"/>
      <c r="M705"/>
      <c r="N705"/>
      <c r="O705" s="221">
        <v>43395</v>
      </c>
      <c r="P705" s="224">
        <v>16.819800000000001</v>
      </c>
      <c r="Q705" s="224">
        <v>47.844900000000003</v>
      </c>
    </row>
    <row r="706" spans="1:17" s="100" customFormat="1" x14ac:dyDescent="0.35">
      <c r="A706" s="221">
        <v>43392</v>
      </c>
      <c r="B706" s="222">
        <v>37.594099224283326</v>
      </c>
      <c r="C706"/>
      <c r="D706" s="221">
        <v>43392</v>
      </c>
      <c r="E706" s="222">
        <v>99.953699999999998</v>
      </c>
      <c r="F706" s="222">
        <v>65.714299999999994</v>
      </c>
      <c r="G706" s="222">
        <v>85.069800000000001</v>
      </c>
      <c r="H706"/>
      <c r="I706" s="221">
        <v>43392</v>
      </c>
      <c r="J706" s="222">
        <v>65.714299999999994</v>
      </c>
      <c r="K706" s="222">
        <v>52.316899999999997</v>
      </c>
      <c r="L706"/>
      <c r="M706"/>
      <c r="N706"/>
      <c r="O706" s="221">
        <v>43392</v>
      </c>
      <c r="P706" s="224">
        <v>17.661000000000001</v>
      </c>
      <c r="Q706" s="224">
        <v>52.316899999999997</v>
      </c>
    </row>
    <row r="707" spans="1:17" s="100" customFormat="1" x14ac:dyDescent="0.35">
      <c r="A707" s="221">
        <v>43391</v>
      </c>
      <c r="B707" s="222">
        <v>35.388411900587144</v>
      </c>
      <c r="C707"/>
      <c r="D707" s="221">
        <v>43391</v>
      </c>
      <c r="E707" s="222">
        <v>99.930300000000003</v>
      </c>
      <c r="F707" s="222">
        <v>68.552400000000006</v>
      </c>
      <c r="G707" s="222">
        <v>84.942899999999995</v>
      </c>
      <c r="H707"/>
      <c r="I707" s="221">
        <v>43391</v>
      </c>
      <c r="J707" s="222">
        <v>68.552400000000006</v>
      </c>
      <c r="K707" s="222">
        <v>45.975900000000003</v>
      </c>
      <c r="L707"/>
      <c r="M707"/>
      <c r="N707"/>
      <c r="O707" s="221">
        <v>43391</v>
      </c>
      <c r="P707" s="224">
        <v>17.808599999999998</v>
      </c>
      <c r="Q707" s="224">
        <v>45.975900000000003</v>
      </c>
    </row>
    <row r="708" spans="1:17" s="100" customFormat="1" x14ac:dyDescent="0.35">
      <c r="A708" s="221">
        <v>43390</v>
      </c>
      <c r="B708" s="222">
        <v>35.889850419381119</v>
      </c>
      <c r="C708"/>
      <c r="D708" s="221">
        <v>43390</v>
      </c>
      <c r="E708" s="222">
        <v>100.3108</v>
      </c>
      <c r="F708" s="222">
        <v>68.895200000000003</v>
      </c>
      <c r="G708" s="222">
        <v>84.812700000000007</v>
      </c>
      <c r="H708"/>
      <c r="I708" s="221">
        <v>43390</v>
      </c>
      <c r="J708" s="222">
        <v>68.895200000000003</v>
      </c>
      <c r="K708" s="222">
        <v>45.801200000000001</v>
      </c>
      <c r="L708"/>
      <c r="M708"/>
      <c r="N708"/>
      <c r="O708" s="221">
        <v>43390</v>
      </c>
      <c r="P708" s="224">
        <v>18.4375</v>
      </c>
      <c r="Q708" s="224">
        <v>45.801200000000001</v>
      </c>
    </row>
    <row r="709" spans="1:17" s="100" customFormat="1" x14ac:dyDescent="0.35">
      <c r="A709" s="221">
        <v>43389</v>
      </c>
      <c r="B709" s="222">
        <v>36.671239637237164</v>
      </c>
      <c r="C709"/>
      <c r="D709" s="221">
        <v>43389</v>
      </c>
      <c r="E709" s="222">
        <v>99.961399999999998</v>
      </c>
      <c r="F709" s="222">
        <v>67.409499999999994</v>
      </c>
      <c r="G709" s="222">
        <v>84.742099999999994</v>
      </c>
      <c r="H709"/>
      <c r="I709" s="221">
        <v>43389</v>
      </c>
      <c r="J709" s="222">
        <v>67.409499999999994</v>
      </c>
      <c r="K709" s="222">
        <v>48.495399999999997</v>
      </c>
      <c r="L709"/>
      <c r="M709"/>
      <c r="N709"/>
      <c r="O709" s="221">
        <v>43389</v>
      </c>
      <c r="P709" s="224">
        <v>18.123100000000001</v>
      </c>
      <c r="Q709" s="224">
        <v>48.495399999999997</v>
      </c>
    </row>
    <row r="710" spans="1:17" s="100" customFormat="1" x14ac:dyDescent="0.35">
      <c r="A710" s="221">
        <v>43388</v>
      </c>
      <c r="B710" s="222">
        <v>36.7692919054209</v>
      </c>
      <c r="C710"/>
      <c r="D710" s="221">
        <v>43388</v>
      </c>
      <c r="E710" s="222">
        <v>100.4169</v>
      </c>
      <c r="F710" s="222">
        <v>68.590500000000006</v>
      </c>
      <c r="G710" s="222">
        <v>84.511300000000006</v>
      </c>
      <c r="H710"/>
      <c r="I710" s="221">
        <v>43388</v>
      </c>
      <c r="J710" s="222">
        <v>68.590500000000006</v>
      </c>
      <c r="K710" s="222">
        <v>46.601900000000001</v>
      </c>
      <c r="L710"/>
      <c r="M710"/>
      <c r="N710"/>
      <c r="O710" s="221">
        <v>43388</v>
      </c>
      <c r="P710" s="224">
        <v>18.984100000000002</v>
      </c>
      <c r="Q710" s="224">
        <v>46.601900000000001</v>
      </c>
    </row>
    <row r="711" spans="1:17" s="100" customFormat="1" x14ac:dyDescent="0.35">
      <c r="A711" s="221">
        <v>43385</v>
      </c>
      <c r="B711" s="222">
        <v>37.087762750489922</v>
      </c>
      <c r="C711"/>
      <c r="D711" s="221">
        <v>43385</v>
      </c>
      <c r="E711" s="222">
        <v>101.0646</v>
      </c>
      <c r="F711" s="222">
        <v>69.142899999999997</v>
      </c>
      <c r="G711" s="222">
        <v>84.64</v>
      </c>
      <c r="H711"/>
      <c r="I711" s="221">
        <v>43385</v>
      </c>
      <c r="J711" s="222">
        <v>69.142899999999997</v>
      </c>
      <c r="K711" s="222">
        <v>46.365000000000002</v>
      </c>
      <c r="L711"/>
      <c r="M711"/>
      <c r="N711"/>
      <c r="O711" s="221">
        <v>43385</v>
      </c>
      <c r="P711" s="224">
        <v>19.566400000000002</v>
      </c>
      <c r="Q711" s="224">
        <v>46.365000000000002</v>
      </c>
    </row>
    <row r="712" spans="1:17" s="100" customFormat="1" x14ac:dyDescent="0.35">
      <c r="A712" s="221">
        <v>43384</v>
      </c>
      <c r="B712" s="222">
        <v>37.554866719268745</v>
      </c>
      <c r="C712"/>
      <c r="D712" s="221">
        <v>43384</v>
      </c>
      <c r="E712" s="222">
        <v>100.6641</v>
      </c>
      <c r="F712" s="222">
        <v>67.942899999999995</v>
      </c>
      <c r="G712" s="222">
        <v>84.579300000000003</v>
      </c>
      <c r="H712"/>
      <c r="I712" s="221">
        <v>43384</v>
      </c>
      <c r="J712" s="222">
        <v>67.942899999999995</v>
      </c>
      <c r="K712" s="222">
        <v>48.359900000000003</v>
      </c>
      <c r="L712"/>
      <c r="M712"/>
      <c r="N712"/>
      <c r="O712" s="221">
        <v>43384</v>
      </c>
      <c r="P712" s="222">
        <v>19.178100000000001</v>
      </c>
      <c r="Q712" s="222">
        <v>48.359900000000003</v>
      </c>
    </row>
    <row r="713" spans="1:17" s="100" customFormat="1" x14ac:dyDescent="0.35">
      <c r="A713" s="221">
        <v>43383</v>
      </c>
      <c r="B713" s="222">
        <v>35.149159343560001</v>
      </c>
      <c r="C713"/>
      <c r="D713" s="221">
        <v>43383</v>
      </c>
      <c r="E713" s="222">
        <v>101.1657</v>
      </c>
      <c r="F713" s="222">
        <v>71.942899999999995</v>
      </c>
      <c r="G713" s="222">
        <v>84.474800000000002</v>
      </c>
      <c r="H713"/>
      <c r="I713" s="221">
        <v>43383</v>
      </c>
      <c r="J713" s="222">
        <v>71.942899999999995</v>
      </c>
      <c r="K713" s="222">
        <v>40.807499999999997</v>
      </c>
      <c r="L713"/>
      <c r="M713"/>
      <c r="N713"/>
      <c r="O713" s="221">
        <v>43383</v>
      </c>
      <c r="P713" s="222">
        <v>19.918600000000001</v>
      </c>
      <c r="Q713" s="222">
        <v>40.807499999999997</v>
      </c>
    </row>
    <row r="714" spans="1:17" s="100" customFormat="1" x14ac:dyDescent="0.35">
      <c r="A714" s="221">
        <v>43382</v>
      </c>
      <c r="B714" s="222">
        <v>35.695954001985349</v>
      </c>
      <c r="C714"/>
      <c r="D714" s="221">
        <v>43382</v>
      </c>
      <c r="E714" s="222">
        <v>101.84520000000001</v>
      </c>
      <c r="F714" s="222">
        <v>72.971400000000003</v>
      </c>
      <c r="G714" s="222">
        <v>84.224100000000007</v>
      </c>
      <c r="H714"/>
      <c r="I714" s="221">
        <v>43382</v>
      </c>
      <c r="J714" s="222">
        <v>72.971400000000003</v>
      </c>
      <c r="K714" s="222">
        <v>39.753399999999999</v>
      </c>
      <c r="L714"/>
      <c r="M714"/>
      <c r="N714"/>
      <c r="O714" s="221">
        <v>43382</v>
      </c>
      <c r="P714" s="222">
        <v>21.081700000000001</v>
      </c>
      <c r="Q714" s="222">
        <v>39.753399999999999</v>
      </c>
    </row>
    <row r="715" spans="1:17" s="100" customFormat="1" x14ac:dyDescent="0.35">
      <c r="A715" s="221">
        <v>43381</v>
      </c>
      <c r="B715" s="222">
        <v>35.624913461101656</v>
      </c>
      <c r="C715"/>
      <c r="D715" s="221">
        <v>43381</v>
      </c>
      <c r="E715" s="222">
        <v>103.2158</v>
      </c>
      <c r="F715" s="222">
        <v>75.619100000000003</v>
      </c>
      <c r="G715" s="222">
        <v>84.155100000000004</v>
      </c>
      <c r="H715"/>
      <c r="I715" s="221">
        <v>43381</v>
      </c>
      <c r="J715" s="222">
        <v>75.619100000000003</v>
      </c>
      <c r="K715" s="222">
        <v>36.671799999999998</v>
      </c>
      <c r="L715"/>
      <c r="M715"/>
      <c r="N715"/>
      <c r="O715" s="221">
        <v>43381</v>
      </c>
      <c r="P715" s="222">
        <v>22.809000000000001</v>
      </c>
      <c r="Q715" s="222">
        <v>36.671799999999998</v>
      </c>
    </row>
    <row r="716" spans="1:17" s="100" customFormat="1" x14ac:dyDescent="0.35">
      <c r="A716" s="221">
        <v>43371</v>
      </c>
      <c r="B716" s="222">
        <v>33.643209159092322</v>
      </c>
      <c r="C716"/>
      <c r="D716" s="221">
        <v>43371</v>
      </c>
      <c r="E716" s="222">
        <v>104.3712</v>
      </c>
      <c r="F716" s="222">
        <v>80.704800000000006</v>
      </c>
      <c r="G716" s="222">
        <v>83.702299999999994</v>
      </c>
      <c r="H716"/>
      <c r="I716" s="221">
        <v>43371</v>
      </c>
      <c r="J716" s="222">
        <v>80.704800000000006</v>
      </c>
      <c r="K716" s="222">
        <v>29.484200000000001</v>
      </c>
      <c r="L716"/>
      <c r="M716"/>
      <c r="N716"/>
      <c r="O716" s="221">
        <v>43371</v>
      </c>
      <c r="P716" s="222">
        <v>24.847200000000001</v>
      </c>
      <c r="Q716" s="222">
        <v>29.484200000000001</v>
      </c>
    </row>
    <row r="717" spans="1:17" s="100" customFormat="1" x14ac:dyDescent="0.35">
      <c r="A717" s="221">
        <v>43370</v>
      </c>
      <c r="B717" s="222">
        <v>34.635372040210306</v>
      </c>
      <c r="C717"/>
      <c r="D717" s="221">
        <v>43370</v>
      </c>
      <c r="E717" s="222">
        <v>104.37479999999999</v>
      </c>
      <c r="F717" s="222">
        <v>79.447599999999994</v>
      </c>
      <c r="G717" s="222">
        <v>83.716899999999995</v>
      </c>
      <c r="H717"/>
      <c r="I717" s="221">
        <v>43370</v>
      </c>
      <c r="J717" s="222">
        <v>79.447599999999994</v>
      </c>
      <c r="K717" s="222">
        <v>31.536999999999999</v>
      </c>
      <c r="L717"/>
      <c r="M717"/>
      <c r="N717"/>
      <c r="O717" s="221">
        <v>43370</v>
      </c>
      <c r="P717" s="222">
        <v>24.829000000000001</v>
      </c>
      <c r="Q717" s="222">
        <v>31.536999999999999</v>
      </c>
    </row>
    <row r="718" spans="1:17" s="100" customFormat="1" x14ac:dyDescent="0.35">
      <c r="A718" s="221">
        <v>43369</v>
      </c>
      <c r="B718" s="222">
        <v>33.82151360647164</v>
      </c>
      <c r="C718"/>
      <c r="D718" s="221">
        <v>43369</v>
      </c>
      <c r="E718" s="222">
        <v>104.8733</v>
      </c>
      <c r="F718" s="222">
        <v>81.523799999999994</v>
      </c>
      <c r="G718" s="222">
        <v>83.575900000000004</v>
      </c>
      <c r="H718"/>
      <c r="I718" s="221">
        <v>43369</v>
      </c>
      <c r="J718" s="222">
        <v>81.523799999999994</v>
      </c>
      <c r="K718" s="222">
        <v>28.797999999999998</v>
      </c>
      <c r="L718"/>
      <c r="M718"/>
      <c r="N718"/>
      <c r="O718" s="221">
        <v>43369</v>
      </c>
      <c r="P718" s="222">
        <v>25.6355</v>
      </c>
      <c r="Q718" s="222">
        <v>28.797999999999998</v>
      </c>
    </row>
    <row r="719" spans="1:17" s="100" customFormat="1" x14ac:dyDescent="0.35">
      <c r="A719" s="221">
        <v>43368</v>
      </c>
      <c r="B719" s="222">
        <v>34.013516758085174</v>
      </c>
      <c r="C719"/>
      <c r="D719" s="221">
        <v>43368</v>
      </c>
      <c r="E719" s="222">
        <v>104.6739</v>
      </c>
      <c r="F719" s="222">
        <v>80.761899999999997</v>
      </c>
      <c r="G719" s="222">
        <v>83.677999999999997</v>
      </c>
      <c r="H719"/>
      <c r="I719" s="221">
        <v>43368</v>
      </c>
      <c r="J719" s="222">
        <v>80.761899999999997</v>
      </c>
      <c r="K719" s="222">
        <v>29.7654</v>
      </c>
      <c r="L719"/>
      <c r="M719"/>
      <c r="N719"/>
      <c r="O719" s="221">
        <v>43368</v>
      </c>
      <c r="P719" s="222">
        <v>25.243200000000002</v>
      </c>
      <c r="Q719" s="222">
        <v>29.7654</v>
      </c>
    </row>
    <row r="720" spans="1:17" s="100" customFormat="1" x14ac:dyDescent="0.35">
      <c r="A720" s="221">
        <v>43364</v>
      </c>
      <c r="B720" s="222">
        <v>34.484817115922276</v>
      </c>
      <c r="C720"/>
      <c r="D720" s="221">
        <v>43364</v>
      </c>
      <c r="E720" s="222">
        <v>105.3751</v>
      </c>
      <c r="F720" s="222">
        <v>81.523799999999994</v>
      </c>
      <c r="G720" s="222">
        <v>83.538499999999999</v>
      </c>
      <c r="H720"/>
      <c r="I720" s="221">
        <v>43364</v>
      </c>
      <c r="J720" s="222">
        <v>81.523799999999994</v>
      </c>
      <c r="K720" s="222">
        <v>29.4101</v>
      </c>
      <c r="L720"/>
      <c r="M720"/>
      <c r="N720"/>
      <c r="O720" s="221">
        <v>43364</v>
      </c>
      <c r="P720" s="222">
        <v>26.289100000000001</v>
      </c>
      <c r="Q720" s="222">
        <v>29.4101</v>
      </c>
    </row>
    <row r="721" spans="1:17" s="100" customFormat="1" x14ac:dyDescent="0.35">
      <c r="A721" s="221">
        <v>43363</v>
      </c>
      <c r="B721" s="222">
        <v>35.660425108659773</v>
      </c>
      <c r="C721"/>
      <c r="D721" s="221">
        <v>43363</v>
      </c>
      <c r="E721" s="222">
        <v>104.9756</v>
      </c>
      <c r="F721" s="222">
        <v>79.409499999999994</v>
      </c>
      <c r="G721" s="222">
        <v>83.549400000000006</v>
      </c>
      <c r="H721"/>
      <c r="I721" s="221">
        <v>43363</v>
      </c>
      <c r="J721" s="222">
        <v>79.409499999999994</v>
      </c>
      <c r="K721" s="222">
        <v>32.351900000000001</v>
      </c>
      <c r="L721"/>
      <c r="M721"/>
      <c r="N721"/>
      <c r="O721" s="221">
        <v>43363</v>
      </c>
      <c r="P721" s="222">
        <v>25.793800000000001</v>
      </c>
      <c r="Q721" s="222">
        <v>32.351900000000001</v>
      </c>
    </row>
    <row r="722" spans="1:17" s="100" customFormat="1" x14ac:dyDescent="0.35">
      <c r="A722" s="221">
        <v>43362</v>
      </c>
      <c r="B722" s="222">
        <v>35.732820562565941</v>
      </c>
      <c r="C722"/>
      <c r="D722" s="221">
        <v>43362</v>
      </c>
      <c r="E722" s="222">
        <v>105.17619999999999</v>
      </c>
      <c r="F722" s="222">
        <v>79.409499999999994</v>
      </c>
      <c r="G722" s="222">
        <v>83.6905</v>
      </c>
      <c r="H722"/>
      <c r="I722" s="221">
        <v>43362</v>
      </c>
      <c r="J722" s="222">
        <v>79.409499999999994</v>
      </c>
      <c r="K722" s="222">
        <v>32.6038</v>
      </c>
      <c r="L722"/>
      <c r="M722"/>
      <c r="N722"/>
      <c r="O722" s="221">
        <v>43362</v>
      </c>
      <c r="P722" s="222">
        <v>25.820699999999999</v>
      </c>
      <c r="Q722" s="222">
        <v>32.6038</v>
      </c>
    </row>
    <row r="723" spans="1:17" s="100" customFormat="1" x14ac:dyDescent="0.35">
      <c r="A723" s="221">
        <v>43361</v>
      </c>
      <c r="B723" s="222">
        <v>37.073073686431563</v>
      </c>
      <c r="C723"/>
      <c r="D723" s="221">
        <v>43361</v>
      </c>
      <c r="E723" s="222">
        <v>105.1067</v>
      </c>
      <c r="F723" s="222">
        <v>77.714299999999994</v>
      </c>
      <c r="G723" s="222">
        <v>83.666799999999995</v>
      </c>
      <c r="H723"/>
      <c r="I723" s="221">
        <v>43361</v>
      </c>
      <c r="J723" s="222">
        <v>77.714299999999994</v>
      </c>
      <c r="K723" s="222">
        <v>35.406199999999998</v>
      </c>
      <c r="L723"/>
      <c r="M723"/>
      <c r="N723"/>
      <c r="O723" s="221">
        <v>43361</v>
      </c>
      <c r="P723" s="222">
        <v>25.7727</v>
      </c>
      <c r="Q723" s="222">
        <v>35.406199999999998</v>
      </c>
    </row>
    <row r="724" spans="1:17" s="100" customFormat="1" x14ac:dyDescent="0.35">
      <c r="A724" s="221">
        <v>43360</v>
      </c>
      <c r="B724" s="222">
        <v>37.710219264815329</v>
      </c>
      <c r="C724"/>
      <c r="D724" s="221">
        <v>43360</v>
      </c>
      <c r="E724" s="222">
        <v>105.1193</v>
      </c>
      <c r="F724" s="222">
        <v>76.590500000000006</v>
      </c>
      <c r="G724" s="222">
        <v>83.891599999999997</v>
      </c>
      <c r="H724"/>
      <c r="I724" s="221">
        <v>43360</v>
      </c>
      <c r="J724" s="222">
        <v>76.590500000000006</v>
      </c>
      <c r="K724" s="222">
        <v>37.408700000000003</v>
      </c>
      <c r="L724"/>
      <c r="M724"/>
      <c r="N724"/>
      <c r="O724" s="221">
        <v>43360</v>
      </c>
      <c r="P724" s="222">
        <v>25.45</v>
      </c>
      <c r="Q724" s="222">
        <v>37.408700000000003</v>
      </c>
    </row>
    <row r="725" spans="1:17" s="100" customFormat="1" x14ac:dyDescent="0.35">
      <c r="A725" s="221">
        <v>43357</v>
      </c>
      <c r="B725" s="222">
        <v>39.038874991103825</v>
      </c>
      <c r="C725"/>
      <c r="D725" s="221">
        <v>43357</v>
      </c>
      <c r="E725" s="222">
        <v>106.0459</v>
      </c>
      <c r="F725" s="222">
        <v>76.590500000000006</v>
      </c>
      <c r="G725" s="222">
        <v>83.876999999999995</v>
      </c>
      <c r="H725"/>
      <c r="I725" s="221">
        <v>43357</v>
      </c>
      <c r="J725" s="222">
        <v>76.590500000000006</v>
      </c>
      <c r="K725" s="222">
        <v>38.616399999999999</v>
      </c>
      <c r="L725"/>
      <c r="M725"/>
      <c r="N725"/>
      <c r="O725" s="221">
        <v>43357</v>
      </c>
      <c r="P725" s="222">
        <v>26.5746</v>
      </c>
      <c r="Q725" s="222">
        <v>38.616399999999999</v>
      </c>
    </row>
    <row r="726" spans="1:17" s="100" customFormat="1" x14ac:dyDescent="0.35">
      <c r="A726" s="221">
        <v>43356</v>
      </c>
      <c r="B726" s="222">
        <v>38.856250004091727</v>
      </c>
      <c r="C726"/>
      <c r="D726" s="221">
        <v>43356</v>
      </c>
      <c r="E726" s="222">
        <v>105.7805</v>
      </c>
      <c r="F726" s="222">
        <v>76.742900000000006</v>
      </c>
      <c r="G726" s="222">
        <v>83.637600000000006</v>
      </c>
      <c r="H726"/>
      <c r="I726" s="221">
        <v>43356</v>
      </c>
      <c r="J726" s="222">
        <v>76.742900000000006</v>
      </c>
      <c r="K726" s="222">
        <v>37.994500000000002</v>
      </c>
      <c r="L726"/>
      <c r="M726"/>
      <c r="N726"/>
      <c r="O726" s="221">
        <v>43356</v>
      </c>
      <c r="P726" s="222">
        <v>26.6189</v>
      </c>
      <c r="Q726" s="222">
        <v>37.994500000000002</v>
      </c>
    </row>
    <row r="727" spans="1:17" s="100" customFormat="1" x14ac:dyDescent="0.35">
      <c r="A727" s="221">
        <v>43355</v>
      </c>
      <c r="B727" s="222">
        <v>39.537077016292116</v>
      </c>
      <c r="C727"/>
      <c r="D727" s="221">
        <v>43355</v>
      </c>
      <c r="E727" s="222">
        <v>105.38200000000001</v>
      </c>
      <c r="F727" s="222">
        <v>75.276200000000003</v>
      </c>
      <c r="G727" s="222">
        <v>83.639499999999998</v>
      </c>
      <c r="H727"/>
      <c r="I727" s="221">
        <v>43355</v>
      </c>
      <c r="J727" s="222">
        <v>75.276200000000003</v>
      </c>
      <c r="K727" s="222">
        <v>40.153199999999998</v>
      </c>
      <c r="L727"/>
      <c r="M727"/>
      <c r="N727"/>
      <c r="O727" s="221">
        <v>43355</v>
      </c>
      <c r="P727" s="222">
        <v>26.138999999999999</v>
      </c>
      <c r="Q727" s="222">
        <v>40.153199999999998</v>
      </c>
    </row>
    <row r="728" spans="1:17" s="100" customFormat="1" x14ac:dyDescent="0.35">
      <c r="A728" s="221">
        <v>43354</v>
      </c>
      <c r="B728" s="222">
        <v>40.207650850049227</v>
      </c>
      <c r="C728"/>
      <c r="D728" s="221">
        <v>43354</v>
      </c>
      <c r="E728" s="222">
        <v>106.3775</v>
      </c>
      <c r="F728" s="222">
        <v>76.1524</v>
      </c>
      <c r="G728" s="222">
        <v>83.645399999999995</v>
      </c>
      <c r="H728"/>
      <c r="I728" s="221">
        <v>43354</v>
      </c>
      <c r="J728" s="222">
        <v>76.1524</v>
      </c>
      <c r="K728" s="222">
        <v>39.847200000000001</v>
      </c>
      <c r="L728"/>
      <c r="M728"/>
      <c r="N728"/>
      <c r="O728" s="221">
        <v>43354</v>
      </c>
      <c r="P728" s="222">
        <v>27.319600000000001</v>
      </c>
      <c r="Q728" s="222">
        <v>39.847200000000001</v>
      </c>
    </row>
    <row r="729" spans="1:17" s="100" customFormat="1" x14ac:dyDescent="0.35">
      <c r="A729" s="221">
        <v>43353</v>
      </c>
      <c r="B729" s="222">
        <v>39.892589677295014</v>
      </c>
      <c r="C729"/>
      <c r="D729" s="221">
        <v>43353</v>
      </c>
      <c r="E729" s="222">
        <v>106.00109999999999</v>
      </c>
      <c r="F729" s="222">
        <v>75.599999999999994</v>
      </c>
      <c r="G729" s="222">
        <v>83.807000000000002</v>
      </c>
      <c r="H729"/>
      <c r="I729" s="221">
        <v>43353</v>
      </c>
      <c r="J729" s="222">
        <v>75.599999999999994</v>
      </c>
      <c r="K729" s="222">
        <v>40.370399999999997</v>
      </c>
      <c r="L729"/>
      <c r="M729"/>
      <c r="N729"/>
      <c r="O729" s="221">
        <v>43353</v>
      </c>
      <c r="P729" s="222">
        <v>26.624300000000002</v>
      </c>
      <c r="Q729" s="222">
        <v>40.370399999999997</v>
      </c>
    </row>
    <row r="730" spans="1:17" s="100" customFormat="1" x14ac:dyDescent="0.35">
      <c r="A730" s="221">
        <v>43350</v>
      </c>
      <c r="B730" s="222">
        <v>38.31888682639871</v>
      </c>
      <c r="C730"/>
      <c r="D730" s="221">
        <v>43350</v>
      </c>
      <c r="E730" s="222">
        <v>106.9327</v>
      </c>
      <c r="F730" s="222">
        <v>79.047600000000003</v>
      </c>
      <c r="G730" s="222">
        <v>83.725899999999996</v>
      </c>
      <c r="H730"/>
      <c r="I730" s="221">
        <v>43350</v>
      </c>
      <c r="J730" s="222">
        <v>79.047600000000003</v>
      </c>
      <c r="K730" s="222">
        <v>35.424700000000001</v>
      </c>
      <c r="L730"/>
      <c r="M730"/>
      <c r="N730"/>
      <c r="O730" s="221">
        <v>43350</v>
      </c>
      <c r="P730" s="222">
        <v>27.857700000000001</v>
      </c>
      <c r="Q730" s="222">
        <v>35.424700000000001</v>
      </c>
    </row>
    <row r="731" spans="1:17" s="100" customFormat="1" x14ac:dyDescent="0.35">
      <c r="A731" s="221">
        <v>43349</v>
      </c>
      <c r="B731" s="222">
        <v>38.360227415787193</v>
      </c>
      <c r="C731"/>
      <c r="D731" s="221">
        <v>43349</v>
      </c>
      <c r="E731" s="222">
        <v>107.08329999999999</v>
      </c>
      <c r="F731" s="222">
        <v>79.104799999999997</v>
      </c>
      <c r="G731" s="222">
        <v>83.8035</v>
      </c>
      <c r="H731"/>
      <c r="I731" s="221">
        <v>43349</v>
      </c>
      <c r="J731" s="222">
        <v>79.104799999999997</v>
      </c>
      <c r="K731" s="222">
        <v>35.516399999999997</v>
      </c>
      <c r="L731"/>
      <c r="M731"/>
      <c r="N731"/>
      <c r="O731" s="221">
        <v>43349</v>
      </c>
      <c r="P731" s="222">
        <v>27.918299999999999</v>
      </c>
      <c r="Q731" s="222">
        <v>35.516399999999997</v>
      </c>
    </row>
    <row r="732" spans="1:17" s="100" customFormat="1" x14ac:dyDescent="0.35">
      <c r="A732" s="221">
        <v>43348</v>
      </c>
      <c r="B732" s="222">
        <v>37.490950194510113</v>
      </c>
      <c r="C732"/>
      <c r="D732" s="221">
        <v>43348</v>
      </c>
      <c r="E732" s="222">
        <v>107.0838</v>
      </c>
      <c r="F732" s="222">
        <v>79.904799999999994</v>
      </c>
      <c r="G732" s="222">
        <v>83.927899999999994</v>
      </c>
      <c r="H732"/>
      <c r="I732" s="221">
        <v>43348</v>
      </c>
      <c r="J732" s="222">
        <v>79.904799999999994</v>
      </c>
      <c r="K732" s="222">
        <v>34.159599999999998</v>
      </c>
      <c r="L732"/>
      <c r="M732"/>
      <c r="N732"/>
      <c r="O732" s="221">
        <v>43348</v>
      </c>
      <c r="P732" s="222">
        <v>27.7287</v>
      </c>
      <c r="Q732" s="222">
        <v>34.159599999999998</v>
      </c>
    </row>
    <row r="733" spans="1:17" s="100" customFormat="1" x14ac:dyDescent="0.35">
      <c r="A733" s="221">
        <v>43347</v>
      </c>
      <c r="B733" s="222">
        <v>35.402772543783158</v>
      </c>
      <c r="C733"/>
      <c r="D733" s="221">
        <v>43347</v>
      </c>
      <c r="E733" s="222">
        <v>107.09439999999999</v>
      </c>
      <c r="F733" s="222">
        <v>82.285700000000006</v>
      </c>
      <c r="G733" s="222">
        <v>83.998699999999999</v>
      </c>
      <c r="H733"/>
      <c r="I733" s="221">
        <v>43347</v>
      </c>
      <c r="J733" s="222">
        <v>82.285700000000006</v>
      </c>
      <c r="K733" s="222">
        <v>30.29</v>
      </c>
      <c r="L733"/>
      <c r="M733"/>
      <c r="N733"/>
      <c r="O733" s="221">
        <v>43347</v>
      </c>
      <c r="P733" s="222">
        <v>27.632899999999999</v>
      </c>
      <c r="Q733" s="222">
        <v>30.29</v>
      </c>
    </row>
    <row r="734" spans="1:17" s="100" customFormat="1" x14ac:dyDescent="0.35">
      <c r="A734" s="221">
        <v>43346</v>
      </c>
      <c r="B734" s="222">
        <v>36.047804630178753</v>
      </c>
      <c r="C734"/>
      <c r="D734" s="221">
        <v>43346</v>
      </c>
      <c r="E734" s="222">
        <v>106.9419</v>
      </c>
      <c r="F734" s="222">
        <v>81.466700000000003</v>
      </c>
      <c r="G734" s="222">
        <v>83.863399999999999</v>
      </c>
      <c r="H734"/>
      <c r="I734" s="221">
        <v>43346</v>
      </c>
      <c r="J734" s="222">
        <v>81.466700000000003</v>
      </c>
      <c r="K734" s="222">
        <v>31.411999999999999</v>
      </c>
      <c r="L734"/>
      <c r="M734"/>
      <c r="N734"/>
      <c r="O734" s="221">
        <v>43346</v>
      </c>
      <c r="P734" s="222">
        <v>27.656400000000001</v>
      </c>
      <c r="Q734" s="222">
        <v>31.411999999999999</v>
      </c>
    </row>
    <row r="735" spans="1:17" s="100" customFormat="1" x14ac:dyDescent="0.35">
      <c r="A735" s="221">
        <v>43343</v>
      </c>
      <c r="B735" s="222">
        <v>35.775107554315014</v>
      </c>
      <c r="C735"/>
      <c r="D735" s="221">
        <v>43343</v>
      </c>
      <c r="E735" s="222">
        <v>107.7196</v>
      </c>
      <c r="F735" s="222">
        <v>83.2</v>
      </c>
      <c r="G735" s="222">
        <v>83.756399999999999</v>
      </c>
      <c r="H735"/>
      <c r="I735" s="221">
        <v>43343</v>
      </c>
      <c r="J735" s="222">
        <v>83.2</v>
      </c>
      <c r="K735" s="222">
        <v>29.606999999999999</v>
      </c>
      <c r="L735"/>
      <c r="M735"/>
      <c r="N735"/>
      <c r="O735" s="221">
        <v>43343</v>
      </c>
      <c r="P735" s="222">
        <v>28.745999999999999</v>
      </c>
      <c r="Q735" s="222">
        <v>29.606999999999999</v>
      </c>
    </row>
    <row r="736" spans="1:17" s="100" customFormat="1" x14ac:dyDescent="0.35">
      <c r="A736" s="221">
        <v>43342</v>
      </c>
      <c r="B736" s="222">
        <v>34.373690650743441</v>
      </c>
      <c r="C736"/>
      <c r="D736" s="221">
        <v>43342</v>
      </c>
      <c r="E736" s="222">
        <v>107.8601</v>
      </c>
      <c r="F736" s="222">
        <v>85.161900000000003</v>
      </c>
      <c r="G736" s="222">
        <v>83.7273</v>
      </c>
      <c r="H736"/>
      <c r="I736" s="221">
        <v>43342</v>
      </c>
      <c r="J736" s="222">
        <v>85.161900000000003</v>
      </c>
      <c r="K736" s="222">
        <v>26.785599999999999</v>
      </c>
      <c r="L736"/>
      <c r="M736"/>
      <c r="N736"/>
      <c r="O736" s="221">
        <v>43342</v>
      </c>
      <c r="P736" s="222">
        <v>28.957899999999999</v>
      </c>
      <c r="Q736" s="222">
        <v>26.785599999999999</v>
      </c>
    </row>
    <row r="737" spans="1:17" s="100" customFormat="1" x14ac:dyDescent="0.35">
      <c r="A737" s="221">
        <v>43341</v>
      </c>
      <c r="B737" s="222">
        <v>36.046325068163952</v>
      </c>
      <c r="C737"/>
      <c r="D737" s="221">
        <v>43341</v>
      </c>
      <c r="E737" s="222">
        <v>108.9207</v>
      </c>
      <c r="F737" s="222">
        <v>84.761899999999997</v>
      </c>
      <c r="G737" s="222">
        <v>83.768500000000003</v>
      </c>
      <c r="H737"/>
      <c r="I737" s="221">
        <v>43341</v>
      </c>
      <c r="J737" s="222">
        <v>84.761899999999997</v>
      </c>
      <c r="K737" s="222">
        <v>28.634399999999999</v>
      </c>
      <c r="L737"/>
      <c r="M737"/>
      <c r="N737"/>
      <c r="O737" s="221">
        <v>43341</v>
      </c>
      <c r="P737" s="222">
        <v>30.1599</v>
      </c>
      <c r="Q737" s="222">
        <v>28.634399999999999</v>
      </c>
    </row>
    <row r="738" spans="1:17" s="100" customFormat="1" x14ac:dyDescent="0.35">
      <c r="A738" s="221">
        <v>43340</v>
      </c>
      <c r="B738" s="222">
        <v>35.462139958094753</v>
      </c>
      <c r="C738"/>
      <c r="D738" s="221">
        <v>43340</v>
      </c>
      <c r="E738" s="222">
        <v>109.24120000000001</v>
      </c>
      <c r="F738" s="222">
        <v>85.8476</v>
      </c>
      <c r="G738" s="222">
        <v>83.839699999999993</v>
      </c>
      <c r="H738"/>
      <c r="I738" s="221">
        <v>43340</v>
      </c>
      <c r="J738" s="222">
        <v>85.8476</v>
      </c>
      <c r="K738" s="222">
        <v>27.380400000000002</v>
      </c>
      <c r="L738"/>
      <c r="M738"/>
      <c r="N738"/>
      <c r="O738" s="221">
        <v>43340</v>
      </c>
      <c r="P738" s="222">
        <v>30.431000000000001</v>
      </c>
      <c r="Q738" s="222">
        <v>27.380400000000002</v>
      </c>
    </row>
    <row r="739" spans="1:17" s="100" customFormat="1" x14ac:dyDescent="0.35">
      <c r="A739" s="221">
        <v>43339</v>
      </c>
      <c r="B739" s="222">
        <v>34.844922891630262</v>
      </c>
      <c r="C739"/>
      <c r="D739" s="221">
        <v>43339</v>
      </c>
      <c r="E739" s="222">
        <v>108.3888</v>
      </c>
      <c r="F739" s="222">
        <v>85.428600000000003</v>
      </c>
      <c r="G739" s="222">
        <v>83.708799999999997</v>
      </c>
      <c r="H739"/>
      <c r="I739" s="221">
        <v>43339</v>
      </c>
      <c r="J739" s="222">
        <v>85.428600000000003</v>
      </c>
      <c r="K739" s="222">
        <v>27.006599999999999</v>
      </c>
      <c r="L739"/>
      <c r="M739"/>
      <c r="N739"/>
      <c r="O739" s="221">
        <v>43339</v>
      </c>
      <c r="P739" s="222">
        <v>29.616</v>
      </c>
      <c r="Q739" s="222">
        <v>27.006599999999999</v>
      </c>
    </row>
    <row r="740" spans="1:17" s="100" customFormat="1" x14ac:dyDescent="0.35">
      <c r="A740" s="221">
        <v>43336</v>
      </c>
      <c r="B740" s="222">
        <v>35.243426661945222</v>
      </c>
      <c r="C740"/>
      <c r="D740" s="221">
        <v>43336</v>
      </c>
      <c r="E740" s="222">
        <v>106.88039999999999</v>
      </c>
      <c r="F740" s="222">
        <v>82.742900000000006</v>
      </c>
      <c r="G740" s="222">
        <v>83.533500000000004</v>
      </c>
      <c r="H740"/>
      <c r="I740" s="221">
        <v>43336</v>
      </c>
      <c r="J740" s="222">
        <v>82.742900000000006</v>
      </c>
      <c r="K740" s="222">
        <v>29.304099999999998</v>
      </c>
      <c r="L740"/>
      <c r="M740"/>
      <c r="N740"/>
      <c r="O740" s="221">
        <v>43336</v>
      </c>
      <c r="P740" s="222">
        <v>28.080400000000001</v>
      </c>
      <c r="Q740" s="222">
        <v>29.304099999999998</v>
      </c>
    </row>
    <row r="741" spans="1:17" s="100" customFormat="1" x14ac:dyDescent="0.35">
      <c r="A741" s="221">
        <v>43335</v>
      </c>
      <c r="B741" s="222">
        <v>34.828755226304992</v>
      </c>
      <c r="C741"/>
      <c r="D741" s="221">
        <v>43335</v>
      </c>
      <c r="E741" s="222">
        <v>106.89100000000001</v>
      </c>
      <c r="F741" s="222">
        <v>83.561899999999994</v>
      </c>
      <c r="G741" s="222">
        <v>83.343500000000006</v>
      </c>
      <c r="H741"/>
      <c r="I741" s="221">
        <v>43335</v>
      </c>
      <c r="J741" s="222">
        <v>83.561899999999994</v>
      </c>
      <c r="K741" s="222">
        <v>28.0488</v>
      </c>
      <c r="L741"/>
      <c r="M741"/>
      <c r="N741"/>
      <c r="O741" s="221">
        <v>43335</v>
      </c>
      <c r="P741" s="222">
        <v>28.3843</v>
      </c>
      <c r="Q741" s="222">
        <v>28.0488</v>
      </c>
    </row>
    <row r="742" spans="1:17" s="100" customFormat="1" x14ac:dyDescent="0.35">
      <c r="A742" s="221">
        <v>43334</v>
      </c>
      <c r="B742" s="222">
        <v>34.735390876286658</v>
      </c>
      <c r="C742"/>
      <c r="D742" s="221">
        <v>43334</v>
      </c>
      <c r="E742" s="222">
        <v>106.89149999999999</v>
      </c>
      <c r="F742" s="222">
        <v>83.714299999999994</v>
      </c>
      <c r="G742" s="222">
        <v>83.312299999999993</v>
      </c>
      <c r="H742"/>
      <c r="I742" s="221">
        <v>43334</v>
      </c>
      <c r="J742" s="222">
        <v>83.714299999999994</v>
      </c>
      <c r="K742" s="222">
        <v>27.8157</v>
      </c>
      <c r="L742"/>
      <c r="M742"/>
      <c r="N742"/>
      <c r="O742" s="221">
        <v>43334</v>
      </c>
      <c r="P742" s="222">
        <v>28.432400000000001</v>
      </c>
      <c r="Q742" s="222">
        <v>27.8157</v>
      </c>
    </row>
    <row r="743" spans="1:17" s="100" customFormat="1" x14ac:dyDescent="0.35">
      <c r="A743" s="221">
        <v>43333</v>
      </c>
      <c r="B743" s="222">
        <v>33.0770662387229</v>
      </c>
      <c r="C743"/>
      <c r="D743" s="221">
        <v>43333</v>
      </c>
      <c r="E743" s="222">
        <v>106.8931</v>
      </c>
      <c r="F743" s="222">
        <v>85.523799999999994</v>
      </c>
      <c r="G743" s="222">
        <v>83.450100000000006</v>
      </c>
      <c r="H743"/>
      <c r="I743" s="221">
        <v>43333</v>
      </c>
      <c r="J743" s="222">
        <v>85.523799999999994</v>
      </c>
      <c r="K743" s="222">
        <v>25.112500000000001</v>
      </c>
      <c r="L743"/>
      <c r="M743"/>
      <c r="N743"/>
      <c r="O743" s="221">
        <v>43333</v>
      </c>
      <c r="P743" s="222">
        <v>28.221499999999999</v>
      </c>
      <c r="Q743" s="222">
        <v>25.112500000000001</v>
      </c>
    </row>
    <row r="744" spans="1:17" s="100" customFormat="1" x14ac:dyDescent="0.35">
      <c r="A744" s="221">
        <v>43332</v>
      </c>
      <c r="B744" s="222">
        <v>33.606349273480831</v>
      </c>
      <c r="C744"/>
      <c r="D744" s="221">
        <v>43332</v>
      </c>
      <c r="E744" s="222">
        <v>106.1926</v>
      </c>
      <c r="F744" s="222">
        <v>83.752399999999994</v>
      </c>
      <c r="G744" s="222">
        <v>83.421700000000001</v>
      </c>
      <c r="H744"/>
      <c r="I744" s="221">
        <v>43332</v>
      </c>
      <c r="J744" s="222">
        <v>83.752399999999994</v>
      </c>
      <c r="K744" s="222">
        <v>26.921700000000001</v>
      </c>
      <c r="L744"/>
      <c r="M744"/>
      <c r="N744"/>
      <c r="O744" s="221">
        <v>43332</v>
      </c>
      <c r="P744" s="222">
        <v>27.424900000000001</v>
      </c>
      <c r="Q744" s="222">
        <v>26.921700000000001</v>
      </c>
    </row>
    <row r="745" spans="1:17" s="100" customFormat="1" x14ac:dyDescent="0.35">
      <c r="A745" s="221">
        <v>43329</v>
      </c>
      <c r="B745" s="222">
        <v>34.946355264549048</v>
      </c>
      <c r="C745"/>
      <c r="D745" s="221">
        <v>43329</v>
      </c>
      <c r="E745" s="222">
        <v>105.9432</v>
      </c>
      <c r="F745" s="222">
        <v>80.952399999999997</v>
      </c>
      <c r="G745" s="222">
        <v>83.841499999999996</v>
      </c>
      <c r="H745"/>
      <c r="I745" s="221">
        <v>43329</v>
      </c>
      <c r="J745" s="222">
        <v>80.952399999999997</v>
      </c>
      <c r="K745" s="222">
        <v>31.0017</v>
      </c>
      <c r="L745"/>
      <c r="M745"/>
      <c r="N745"/>
      <c r="O745" s="221">
        <v>43329</v>
      </c>
      <c r="P745" s="222">
        <v>26.487500000000001</v>
      </c>
      <c r="Q745" s="222">
        <v>31.0017</v>
      </c>
    </row>
    <row r="746" spans="1:17" s="100" customFormat="1" x14ac:dyDescent="0.35">
      <c r="A746" s="221">
        <v>43328</v>
      </c>
      <c r="B746" s="222">
        <v>35.76444848426091</v>
      </c>
      <c r="C746"/>
      <c r="D746" s="221">
        <v>43328</v>
      </c>
      <c r="E746" s="222">
        <v>106.8048</v>
      </c>
      <c r="F746" s="222">
        <v>80.952399999999997</v>
      </c>
      <c r="G746" s="222">
        <v>84.097099999999998</v>
      </c>
      <c r="H746"/>
      <c r="I746" s="221">
        <v>43328</v>
      </c>
      <c r="J746" s="222">
        <v>80.952399999999997</v>
      </c>
      <c r="K746" s="222">
        <v>32.065300000000001</v>
      </c>
      <c r="L746"/>
      <c r="M746"/>
      <c r="N746"/>
      <c r="O746" s="221">
        <v>43328</v>
      </c>
      <c r="P746" s="222">
        <v>27.126899999999999</v>
      </c>
      <c r="Q746" s="222">
        <v>32.065300000000001</v>
      </c>
    </row>
    <row r="747" spans="1:17" s="100" customFormat="1" x14ac:dyDescent="0.35">
      <c r="A747" s="221">
        <v>43327</v>
      </c>
      <c r="B747" s="222">
        <v>33.889290604157672</v>
      </c>
      <c r="C747"/>
      <c r="D747" s="221">
        <v>43327</v>
      </c>
      <c r="E747" s="222">
        <v>106.2953</v>
      </c>
      <c r="F747" s="222">
        <v>82.1143</v>
      </c>
      <c r="G747" s="222">
        <v>84.261200000000002</v>
      </c>
      <c r="H747"/>
      <c r="I747" s="221">
        <v>43327</v>
      </c>
      <c r="J747" s="222">
        <v>82.1143</v>
      </c>
      <c r="K747" s="222">
        <v>29.575500000000002</v>
      </c>
      <c r="L747"/>
      <c r="M747"/>
      <c r="N747"/>
      <c r="O747" s="221">
        <v>43327</v>
      </c>
      <c r="P747" s="222">
        <v>26.274000000000001</v>
      </c>
      <c r="Q747" s="222">
        <v>29.575500000000002</v>
      </c>
    </row>
    <row r="748" spans="1:17" s="100" customFormat="1" x14ac:dyDescent="0.35">
      <c r="A748" s="221">
        <v>43326</v>
      </c>
      <c r="B748" s="222">
        <v>34.146071732718319</v>
      </c>
      <c r="C748"/>
      <c r="D748" s="221">
        <v>43326</v>
      </c>
      <c r="E748" s="222">
        <v>107.19589999999999</v>
      </c>
      <c r="F748" s="222">
        <v>83.523799999999994</v>
      </c>
      <c r="G748" s="222">
        <v>84.109800000000007</v>
      </c>
      <c r="H748"/>
      <c r="I748" s="221">
        <v>43326</v>
      </c>
      <c r="J748" s="222">
        <v>83.523799999999994</v>
      </c>
      <c r="K748" s="222">
        <v>28.4664</v>
      </c>
      <c r="L748"/>
      <c r="M748"/>
      <c r="N748"/>
      <c r="O748" s="221">
        <v>43326</v>
      </c>
      <c r="P748" s="223">
        <v>27.571300000000001</v>
      </c>
      <c r="Q748" s="223">
        <v>28.4664</v>
      </c>
    </row>
    <row r="749" spans="1:17" s="100" customFormat="1" x14ac:dyDescent="0.35">
      <c r="A749" s="221">
        <v>43325</v>
      </c>
      <c r="B749" s="222">
        <v>34.40213097023436</v>
      </c>
      <c r="C749"/>
      <c r="D749" s="221">
        <v>43325</v>
      </c>
      <c r="E749" s="222">
        <v>107.8964</v>
      </c>
      <c r="F749" s="222">
        <v>83.980999999999995</v>
      </c>
      <c r="G749" s="222">
        <v>84.329899999999995</v>
      </c>
      <c r="H749"/>
      <c r="I749" s="221">
        <v>43325</v>
      </c>
      <c r="J749" s="222">
        <v>83.980999999999995</v>
      </c>
      <c r="K749" s="222">
        <v>28.6005</v>
      </c>
      <c r="L749"/>
      <c r="M749"/>
      <c r="N749"/>
      <c r="O749" s="221">
        <v>43325</v>
      </c>
      <c r="P749" s="224">
        <v>28.0685</v>
      </c>
      <c r="Q749" s="224">
        <v>28.6005</v>
      </c>
    </row>
    <row r="750" spans="1:17" s="100" customFormat="1" x14ac:dyDescent="0.35">
      <c r="A750" s="221">
        <v>43322</v>
      </c>
      <c r="B750" s="222">
        <v>35.076031942978425</v>
      </c>
      <c r="C750"/>
      <c r="D750" s="221">
        <v>43322</v>
      </c>
      <c r="E750" s="222">
        <v>108.0231</v>
      </c>
      <c r="F750" s="222">
        <v>82.761899999999997</v>
      </c>
      <c r="G750" s="222">
        <v>84.674400000000006</v>
      </c>
      <c r="H750"/>
      <c r="I750" s="221">
        <v>43322</v>
      </c>
      <c r="J750" s="222">
        <v>82.761899999999997</v>
      </c>
      <c r="K750" s="222">
        <v>30.645900000000001</v>
      </c>
      <c r="L750"/>
      <c r="M750"/>
      <c r="N750"/>
      <c r="O750" s="221">
        <v>43322</v>
      </c>
      <c r="P750" s="224">
        <v>27.695</v>
      </c>
      <c r="Q750" s="224">
        <v>30.645900000000001</v>
      </c>
    </row>
    <row r="751" spans="1:17" s="100" customFormat="1" x14ac:dyDescent="0.35">
      <c r="A751" s="221">
        <v>43321</v>
      </c>
      <c r="B751" s="222">
        <v>37.925956424383017</v>
      </c>
      <c r="C751"/>
      <c r="D751" s="221">
        <v>43321</v>
      </c>
      <c r="E751" s="222">
        <v>108.4526</v>
      </c>
      <c r="F751" s="222">
        <v>80.171400000000006</v>
      </c>
      <c r="G751" s="222">
        <v>84.596000000000004</v>
      </c>
      <c r="H751"/>
      <c r="I751" s="221">
        <v>43321</v>
      </c>
      <c r="J751" s="222">
        <v>80.171400000000006</v>
      </c>
      <c r="K751" s="222">
        <v>35.4024</v>
      </c>
      <c r="L751"/>
      <c r="M751"/>
      <c r="N751"/>
      <c r="O751" s="221">
        <v>43321</v>
      </c>
      <c r="P751" s="224">
        <v>28.320499999999999</v>
      </c>
      <c r="Q751" s="224">
        <v>35.4024</v>
      </c>
    </row>
    <row r="752" spans="1:17" x14ac:dyDescent="0.35">
      <c r="A752" s="221">
        <v>43320</v>
      </c>
      <c r="B752" s="222">
        <v>36.92604334324956</v>
      </c>
      <c r="C752"/>
      <c r="D752" s="221">
        <v>43320</v>
      </c>
      <c r="E752" s="222">
        <v>105.6002</v>
      </c>
      <c r="F752" s="222">
        <v>76.209500000000006</v>
      </c>
      <c r="G752" s="222">
        <v>84.818700000000007</v>
      </c>
      <c r="H752"/>
      <c r="I752" s="221">
        <v>43320</v>
      </c>
      <c r="J752" s="222">
        <v>76.209500000000006</v>
      </c>
      <c r="K752" s="222">
        <v>38.697899999999997</v>
      </c>
      <c r="L752"/>
      <c r="M752"/>
      <c r="N752"/>
      <c r="O752" s="221">
        <v>43320</v>
      </c>
      <c r="P752" s="224">
        <v>24.619900000000001</v>
      </c>
      <c r="Q752" s="224">
        <v>38.697899999999997</v>
      </c>
    </row>
    <row r="753" spans="1:17" x14ac:dyDescent="0.35">
      <c r="A753" s="221">
        <v>43319</v>
      </c>
      <c r="B753" s="222">
        <v>36.013635852078856</v>
      </c>
      <c r="C753"/>
      <c r="D753" s="221">
        <v>43319</v>
      </c>
      <c r="E753" s="222">
        <v>107.4177</v>
      </c>
      <c r="F753" s="222">
        <v>80.571399999999997</v>
      </c>
      <c r="G753" s="222">
        <v>84.684700000000007</v>
      </c>
      <c r="H753"/>
      <c r="I753" s="221">
        <v>43319</v>
      </c>
      <c r="J753" s="222">
        <v>80.571399999999997</v>
      </c>
      <c r="K753" s="222">
        <v>33.444400000000002</v>
      </c>
      <c r="L753"/>
      <c r="M753"/>
      <c r="N753"/>
      <c r="O753" s="221">
        <v>43319</v>
      </c>
      <c r="P753" s="224">
        <v>26.962700000000002</v>
      </c>
      <c r="Q753" s="224">
        <v>33.444400000000002</v>
      </c>
    </row>
    <row r="754" spans="1:17" x14ac:dyDescent="0.35">
      <c r="A754" s="221">
        <v>43318</v>
      </c>
      <c r="B754" s="222">
        <v>36.758856824561171</v>
      </c>
      <c r="C754"/>
      <c r="D754" s="221">
        <v>43318</v>
      </c>
      <c r="E754" s="222">
        <v>106.0003</v>
      </c>
      <c r="F754" s="222">
        <v>77.542900000000003</v>
      </c>
      <c r="G754" s="222">
        <v>84.535600000000002</v>
      </c>
      <c r="H754"/>
      <c r="I754" s="221">
        <v>43318</v>
      </c>
      <c r="J754" s="222">
        <v>77.542900000000003</v>
      </c>
      <c r="K754" s="222">
        <v>36.827500000000001</v>
      </c>
      <c r="L754"/>
      <c r="M754"/>
      <c r="N754"/>
      <c r="O754" s="221">
        <v>43318</v>
      </c>
      <c r="P754" s="224">
        <v>25.5093</v>
      </c>
      <c r="Q754" s="224">
        <v>36.827500000000001</v>
      </c>
    </row>
    <row r="755" spans="1:17" x14ac:dyDescent="0.35">
      <c r="A755" s="221">
        <v>43315</v>
      </c>
      <c r="B755" s="222">
        <v>35.758948623891563</v>
      </c>
      <c r="C755"/>
      <c r="D755" s="221">
        <v>43315</v>
      </c>
      <c r="E755" s="222">
        <v>105.72190000000001</v>
      </c>
      <c r="F755" s="222">
        <v>78.381</v>
      </c>
      <c r="G755" s="222">
        <v>84.449700000000007</v>
      </c>
      <c r="H755"/>
      <c r="I755" s="221">
        <v>43315</v>
      </c>
      <c r="J755" s="222">
        <v>78.381</v>
      </c>
      <c r="K755" s="222">
        <v>35.007199999999997</v>
      </c>
      <c r="L755"/>
      <c r="M755"/>
      <c r="N755"/>
      <c r="O755" s="221">
        <v>43315</v>
      </c>
      <c r="P755" s="224">
        <v>25.305399999999999</v>
      </c>
      <c r="Q755" s="224">
        <v>35.007199999999997</v>
      </c>
    </row>
    <row r="756" spans="1:17" x14ac:dyDescent="0.35">
      <c r="A756" s="221">
        <v>43314</v>
      </c>
      <c r="B756" s="222">
        <v>33.980685169693587</v>
      </c>
      <c r="C756"/>
      <c r="D756" s="221">
        <v>43314</v>
      </c>
      <c r="E756" s="222">
        <v>107.35250000000001</v>
      </c>
      <c r="F756" s="222">
        <v>83.638099999999994</v>
      </c>
      <c r="G756" s="222">
        <v>84.224000000000004</v>
      </c>
      <c r="H756"/>
      <c r="I756" s="221">
        <v>43314</v>
      </c>
      <c r="J756" s="222">
        <v>83.638099999999994</v>
      </c>
      <c r="K756" s="222">
        <v>28.470199999999998</v>
      </c>
      <c r="L756"/>
      <c r="M756"/>
      <c r="N756"/>
      <c r="O756" s="221">
        <v>43314</v>
      </c>
      <c r="P756" s="224">
        <v>27.576499999999999</v>
      </c>
      <c r="Q756" s="224">
        <v>28.470199999999998</v>
      </c>
    </row>
    <row r="757" spans="1:17" x14ac:dyDescent="0.35">
      <c r="A757" s="221">
        <v>43313</v>
      </c>
      <c r="B757" s="222">
        <v>33.416312326457117</v>
      </c>
      <c r="C757"/>
      <c r="D757" s="221">
        <v>43313</v>
      </c>
      <c r="E757" s="222">
        <v>109.10299999999999</v>
      </c>
      <c r="F757" s="222">
        <v>87.314300000000003</v>
      </c>
      <c r="G757" s="222">
        <v>84.123999999999995</v>
      </c>
      <c r="H757"/>
      <c r="I757" s="221">
        <v>43313</v>
      </c>
      <c r="J757" s="222">
        <v>87.314300000000003</v>
      </c>
      <c r="K757" s="222">
        <v>25.0654</v>
      </c>
      <c r="L757"/>
      <c r="M757"/>
      <c r="N757"/>
      <c r="O757" s="221">
        <v>43313</v>
      </c>
      <c r="P757" s="224">
        <v>29.808399999999999</v>
      </c>
      <c r="Q757" s="224">
        <v>25.0654</v>
      </c>
    </row>
    <row r="758" spans="1:17" x14ac:dyDescent="0.35">
      <c r="A758" s="221">
        <v>43312</v>
      </c>
      <c r="B758" s="222">
        <v>31.14532090928337</v>
      </c>
      <c r="C758"/>
      <c r="D758" s="221">
        <v>43312</v>
      </c>
      <c r="E758" s="222">
        <v>110.0236</v>
      </c>
      <c r="F758" s="222">
        <v>91.790499999999994</v>
      </c>
      <c r="G758" s="222">
        <v>83.9863</v>
      </c>
      <c r="H758"/>
      <c r="I758" s="221">
        <v>43312</v>
      </c>
      <c r="J758" s="222">
        <v>91.790499999999994</v>
      </c>
      <c r="K758" s="222">
        <v>19.968800000000002</v>
      </c>
      <c r="L758"/>
      <c r="M758"/>
      <c r="N758"/>
      <c r="O758" s="221">
        <v>43312</v>
      </c>
      <c r="P758" s="222">
        <v>31.116599999999998</v>
      </c>
      <c r="Q758" s="222">
        <v>19.968800000000002</v>
      </c>
    </row>
    <row r="759" spans="1:17" x14ac:dyDescent="0.35">
      <c r="A759" s="221">
        <v>43311</v>
      </c>
      <c r="B759" s="222">
        <v>32.625220670076324</v>
      </c>
      <c r="C759"/>
      <c r="D759" s="221">
        <v>43311</v>
      </c>
      <c r="E759" s="222">
        <v>109.4341</v>
      </c>
      <c r="F759" s="222">
        <v>89.352400000000003</v>
      </c>
      <c r="G759" s="222">
        <v>83.771199999999993</v>
      </c>
      <c r="H759"/>
      <c r="I759" s="221">
        <v>43311</v>
      </c>
      <c r="J759" s="222">
        <v>89.352400000000003</v>
      </c>
      <c r="K759" s="222">
        <v>22.582000000000001</v>
      </c>
      <c r="L759"/>
      <c r="M759"/>
      <c r="N759"/>
      <c r="O759" s="221">
        <v>43311</v>
      </c>
      <c r="P759" s="222">
        <v>30.748999999999999</v>
      </c>
      <c r="Q759" s="222">
        <v>22.582000000000001</v>
      </c>
    </row>
    <row r="760" spans="1:17" x14ac:dyDescent="0.35">
      <c r="A760" s="221">
        <v>43308</v>
      </c>
      <c r="B760" s="222">
        <v>30.695729615069379</v>
      </c>
      <c r="C760"/>
      <c r="D760" s="221">
        <v>43308</v>
      </c>
      <c r="E760" s="222">
        <v>109.7658</v>
      </c>
      <c r="F760" s="222">
        <v>92.361900000000006</v>
      </c>
      <c r="G760" s="222">
        <v>83.700599999999994</v>
      </c>
      <c r="H760"/>
      <c r="I760" s="221">
        <v>43308</v>
      </c>
      <c r="J760" s="222">
        <v>92.361900000000006</v>
      </c>
      <c r="K760" s="222">
        <v>18.9451</v>
      </c>
      <c r="L760"/>
      <c r="M760"/>
      <c r="N760"/>
      <c r="O760" s="221">
        <v>43308</v>
      </c>
      <c r="P760" s="222">
        <v>31.253499999999999</v>
      </c>
      <c r="Q760" s="222">
        <v>18.9451</v>
      </c>
    </row>
    <row r="761" spans="1:17" x14ac:dyDescent="0.35">
      <c r="A761" s="221">
        <v>43307</v>
      </c>
      <c r="B761" s="222">
        <v>33.554536736675111</v>
      </c>
      <c r="C761"/>
      <c r="D761" s="221">
        <v>43307</v>
      </c>
      <c r="E761" s="222">
        <v>110.70529999999999</v>
      </c>
      <c r="F761" s="222">
        <v>90.781000000000006</v>
      </c>
      <c r="G761" s="222">
        <v>83.358699999999999</v>
      </c>
      <c r="H761"/>
      <c r="I761" s="221">
        <v>43307</v>
      </c>
      <c r="J761" s="222">
        <v>90.781000000000006</v>
      </c>
      <c r="K761" s="222">
        <v>22.050899999999999</v>
      </c>
      <c r="L761"/>
      <c r="M761"/>
      <c r="N761"/>
      <c r="O761" s="221">
        <v>43307</v>
      </c>
      <c r="P761" s="222">
        <v>32.918300000000002</v>
      </c>
      <c r="Q761" s="222">
        <v>22.050899999999999</v>
      </c>
    </row>
    <row r="762" spans="1:17" x14ac:dyDescent="0.35">
      <c r="A762" s="221">
        <v>43306</v>
      </c>
      <c r="B762" s="222">
        <v>33.957641695515655</v>
      </c>
      <c r="C762"/>
      <c r="D762" s="221">
        <v>43306</v>
      </c>
      <c r="E762" s="222">
        <v>113.8378</v>
      </c>
      <c r="F762" s="222">
        <v>95.2</v>
      </c>
      <c r="G762" s="222">
        <v>83.245599999999996</v>
      </c>
      <c r="H762"/>
      <c r="I762" s="221">
        <v>43306</v>
      </c>
      <c r="J762" s="222">
        <v>95.2</v>
      </c>
      <c r="K762" s="222">
        <v>19.6754</v>
      </c>
      <c r="L762"/>
      <c r="M762"/>
      <c r="N762"/>
      <c r="O762" s="221">
        <v>43306</v>
      </c>
      <c r="P762" s="222">
        <v>36.8613</v>
      </c>
      <c r="Q762" s="222">
        <v>19.6754</v>
      </c>
    </row>
    <row r="763" spans="1:17" x14ac:dyDescent="0.35">
      <c r="A763" s="221">
        <v>43305</v>
      </c>
      <c r="B763" s="222">
        <v>33.273844851520401</v>
      </c>
      <c r="C763"/>
      <c r="D763" s="221">
        <v>43305</v>
      </c>
      <c r="E763" s="222">
        <v>114.4074</v>
      </c>
      <c r="F763" s="222">
        <v>96.914299999999997</v>
      </c>
      <c r="G763" s="222">
        <v>83.210300000000004</v>
      </c>
      <c r="H763"/>
      <c r="I763" s="221">
        <v>43305</v>
      </c>
      <c r="J763" s="222">
        <v>96.914299999999997</v>
      </c>
      <c r="K763" s="222">
        <v>18.145600000000002</v>
      </c>
      <c r="L763"/>
      <c r="M763"/>
      <c r="N763"/>
      <c r="O763" s="221">
        <v>43305</v>
      </c>
      <c r="P763" s="222">
        <v>37.603200000000001</v>
      </c>
      <c r="Q763" s="222">
        <v>18.145600000000002</v>
      </c>
    </row>
    <row r="764" spans="1:17" x14ac:dyDescent="0.35">
      <c r="A764" s="221">
        <v>43304</v>
      </c>
      <c r="B764" s="222">
        <v>33.929452734983499</v>
      </c>
      <c r="C764"/>
      <c r="D764" s="221">
        <v>43304</v>
      </c>
      <c r="E764" s="222">
        <v>114.7089</v>
      </c>
      <c r="F764" s="222">
        <v>96.685699999999997</v>
      </c>
      <c r="G764" s="222">
        <v>83.120599999999996</v>
      </c>
      <c r="H764"/>
      <c r="I764" s="221">
        <v>43304</v>
      </c>
      <c r="J764" s="222">
        <v>96.685699999999997</v>
      </c>
      <c r="K764" s="222">
        <v>18.7363</v>
      </c>
      <c r="L764"/>
      <c r="M764"/>
      <c r="N764"/>
      <c r="O764" s="221">
        <v>43304</v>
      </c>
      <c r="P764" s="222">
        <v>38.113799999999998</v>
      </c>
      <c r="Q764" s="222">
        <v>18.7363</v>
      </c>
    </row>
    <row r="765" spans="1:17" x14ac:dyDescent="0.35">
      <c r="A765" s="221">
        <v>43301</v>
      </c>
      <c r="B765" s="222">
        <v>33.141666719533909</v>
      </c>
      <c r="C765"/>
      <c r="D765" s="221">
        <v>43301</v>
      </c>
      <c r="E765" s="222">
        <v>113.80759999999999</v>
      </c>
      <c r="F765" s="222">
        <v>96.609499999999997</v>
      </c>
      <c r="G765" s="222">
        <v>82.889499999999998</v>
      </c>
      <c r="H765"/>
      <c r="I765" s="221">
        <v>43301</v>
      </c>
      <c r="J765" s="222">
        <v>96.609499999999997</v>
      </c>
      <c r="K765" s="222">
        <v>17.895199999999999</v>
      </c>
      <c r="L765"/>
      <c r="M765"/>
      <c r="N765"/>
      <c r="O765" s="221">
        <v>43301</v>
      </c>
      <c r="P765" s="222">
        <v>37.409399999999998</v>
      </c>
      <c r="Q765" s="222">
        <v>17.895199999999999</v>
      </c>
    </row>
    <row r="766" spans="1:17" x14ac:dyDescent="0.35">
      <c r="A766" s="221">
        <v>43300</v>
      </c>
      <c r="B766" s="222">
        <v>34.942025419234369</v>
      </c>
      <c r="C766"/>
      <c r="D766" s="221">
        <v>43300</v>
      </c>
      <c r="E766" s="222">
        <v>113.2611</v>
      </c>
      <c r="F766" s="222">
        <v>93.6952</v>
      </c>
      <c r="G766" s="222">
        <v>82.831199999999995</v>
      </c>
      <c r="H766"/>
      <c r="I766" s="221">
        <v>43300</v>
      </c>
      <c r="J766" s="222">
        <v>93.6952</v>
      </c>
      <c r="K766" s="222">
        <v>20.978400000000001</v>
      </c>
      <c r="L766"/>
      <c r="M766"/>
      <c r="N766"/>
      <c r="O766" s="221">
        <v>43300</v>
      </c>
      <c r="P766" s="222">
        <v>36.845799999999997</v>
      </c>
      <c r="Q766" s="222">
        <v>20.978400000000001</v>
      </c>
    </row>
    <row r="767" spans="1:17" x14ac:dyDescent="0.35">
      <c r="A767" s="221">
        <v>43299</v>
      </c>
      <c r="B767" s="222">
        <v>33.743308920596107</v>
      </c>
      <c r="C767"/>
      <c r="D767" s="221">
        <v>43299</v>
      </c>
      <c r="E767" s="222">
        <v>113.3107</v>
      </c>
      <c r="F767" s="222">
        <v>95.238100000000003</v>
      </c>
      <c r="G767" s="222">
        <v>82.806200000000004</v>
      </c>
      <c r="H767"/>
      <c r="I767" s="221">
        <v>43299</v>
      </c>
      <c r="J767" s="222">
        <v>95.238100000000003</v>
      </c>
      <c r="K767" s="222">
        <v>19.07</v>
      </c>
      <c r="L767"/>
      <c r="M767"/>
      <c r="N767"/>
      <c r="O767" s="221">
        <v>43299</v>
      </c>
      <c r="P767" s="222">
        <v>36.946300000000001</v>
      </c>
      <c r="Q767" s="222">
        <v>19.07</v>
      </c>
    </row>
    <row r="768" spans="1:17" x14ac:dyDescent="0.35">
      <c r="A768" s="221">
        <v>43298</v>
      </c>
      <c r="B768" s="222">
        <v>32.305018343923983</v>
      </c>
      <c r="C768"/>
      <c r="D768" s="221">
        <v>43298</v>
      </c>
      <c r="E768" s="222">
        <v>113.6232</v>
      </c>
      <c r="F768" s="222">
        <v>97.504800000000003</v>
      </c>
      <c r="G768" s="222">
        <v>82.763000000000005</v>
      </c>
      <c r="H768"/>
      <c r="I768" s="221">
        <v>43298</v>
      </c>
      <c r="J768" s="222">
        <v>97.504800000000003</v>
      </c>
      <c r="K768" s="222">
        <v>16.622</v>
      </c>
      <c r="L768"/>
      <c r="M768"/>
      <c r="N768"/>
      <c r="O768" s="221">
        <v>43298</v>
      </c>
      <c r="P768" s="222">
        <v>37.3947</v>
      </c>
      <c r="Q768" s="222">
        <v>16.622</v>
      </c>
    </row>
    <row r="769" spans="1:17" x14ac:dyDescent="0.35">
      <c r="A769" s="221">
        <v>43297</v>
      </c>
      <c r="B769" s="222">
        <v>32.556508059245424</v>
      </c>
      <c r="C769"/>
      <c r="D769" s="221">
        <v>43297</v>
      </c>
      <c r="E769" s="222">
        <v>114.53279999999999</v>
      </c>
      <c r="F769" s="222">
        <v>98.609499999999997</v>
      </c>
      <c r="G769" s="222">
        <v>82.705299999999994</v>
      </c>
      <c r="H769"/>
      <c r="I769" s="221">
        <v>43297</v>
      </c>
      <c r="J769" s="222">
        <v>98.609499999999997</v>
      </c>
      <c r="K769" s="222">
        <v>16.237300000000001</v>
      </c>
      <c r="L769"/>
      <c r="M769"/>
      <c r="N769"/>
      <c r="O769" s="221">
        <v>43297</v>
      </c>
      <c r="P769" s="222">
        <v>38.589700000000001</v>
      </c>
      <c r="Q769" s="222">
        <v>16.237300000000001</v>
      </c>
    </row>
    <row r="770" spans="1:17" x14ac:dyDescent="0.35">
      <c r="A770" s="221">
        <v>43294</v>
      </c>
      <c r="B770" s="222">
        <v>32.238574065110711</v>
      </c>
      <c r="C770"/>
      <c r="D770" s="221">
        <v>43294</v>
      </c>
      <c r="E770" s="222">
        <v>114.7234</v>
      </c>
      <c r="F770" s="222">
        <v>99.2</v>
      </c>
      <c r="G770" s="222">
        <v>82.730999999999995</v>
      </c>
      <c r="H770"/>
      <c r="I770" s="221">
        <v>43294</v>
      </c>
      <c r="J770" s="222">
        <v>99.2</v>
      </c>
      <c r="K770" s="222">
        <v>15.735900000000001</v>
      </c>
      <c r="L770"/>
      <c r="M770"/>
      <c r="N770"/>
      <c r="O770" s="221">
        <v>43294</v>
      </c>
      <c r="P770" s="222">
        <v>38.775100000000002</v>
      </c>
      <c r="Q770" s="222">
        <v>15.735900000000001</v>
      </c>
    </row>
    <row r="771" spans="1:17" x14ac:dyDescent="0.35">
      <c r="A771" s="221">
        <v>43293</v>
      </c>
      <c r="B771" s="222">
        <v>34.207970112328105</v>
      </c>
      <c r="C771"/>
      <c r="D771" s="221">
        <v>43293</v>
      </c>
      <c r="E771" s="222">
        <v>114.664</v>
      </c>
      <c r="F771" s="222">
        <v>96.781000000000006</v>
      </c>
      <c r="G771" s="222">
        <v>82.686800000000005</v>
      </c>
      <c r="H771"/>
      <c r="I771" s="221">
        <v>43293</v>
      </c>
      <c r="J771" s="222">
        <v>96.781000000000006</v>
      </c>
      <c r="K771" s="222">
        <v>18.566700000000001</v>
      </c>
      <c r="L771"/>
      <c r="M771"/>
      <c r="N771"/>
      <c r="O771" s="221">
        <v>43293</v>
      </c>
      <c r="P771" s="222">
        <v>38.776699999999998</v>
      </c>
      <c r="Q771" s="222">
        <v>18.566700000000001</v>
      </c>
    </row>
    <row r="772" spans="1:17" x14ac:dyDescent="0.35">
      <c r="A772" s="221">
        <v>43292</v>
      </c>
      <c r="B772" s="222">
        <v>34.113619258758064</v>
      </c>
      <c r="C772"/>
      <c r="D772" s="221">
        <v>43292</v>
      </c>
      <c r="E772" s="222">
        <v>111.8995</v>
      </c>
      <c r="F772" s="222">
        <v>92.8</v>
      </c>
      <c r="G772" s="222">
        <v>82.658900000000003</v>
      </c>
      <c r="H772"/>
      <c r="I772" s="221">
        <v>43292</v>
      </c>
      <c r="J772" s="222">
        <v>92.8</v>
      </c>
      <c r="K772" s="222">
        <v>20.673500000000001</v>
      </c>
      <c r="L772"/>
      <c r="M772"/>
      <c r="N772"/>
      <c r="O772" s="221">
        <v>43292</v>
      </c>
      <c r="P772" s="222">
        <v>35.478499999999997</v>
      </c>
      <c r="Q772" s="222">
        <v>20.673500000000001</v>
      </c>
    </row>
    <row r="773" spans="1:17" x14ac:dyDescent="0.35">
      <c r="A773" s="221">
        <v>43291</v>
      </c>
      <c r="B773" s="222">
        <v>32.453470247318819</v>
      </c>
      <c r="C773"/>
      <c r="D773" s="221">
        <v>43291</v>
      </c>
      <c r="E773" s="222">
        <v>112.0681</v>
      </c>
      <c r="F773" s="222">
        <v>94.971400000000003</v>
      </c>
      <c r="G773" s="222">
        <v>82.724800000000002</v>
      </c>
      <c r="H773"/>
      <c r="I773" s="221">
        <v>43291</v>
      </c>
      <c r="J773" s="222">
        <v>94.971400000000003</v>
      </c>
      <c r="K773" s="222">
        <v>18.0913</v>
      </c>
      <c r="L773"/>
      <c r="M773"/>
      <c r="N773"/>
      <c r="O773" s="221">
        <v>43291</v>
      </c>
      <c r="P773" s="222">
        <v>35.573599999999999</v>
      </c>
      <c r="Q773" s="222">
        <v>18.0913</v>
      </c>
    </row>
    <row r="774" spans="1:17" x14ac:dyDescent="0.35">
      <c r="A774" s="221">
        <v>43290</v>
      </c>
      <c r="B774" s="222">
        <v>32.897442914412927</v>
      </c>
      <c r="C774"/>
      <c r="D774" s="221">
        <v>43290</v>
      </c>
      <c r="E774" s="222">
        <v>111.9156</v>
      </c>
      <c r="F774" s="222">
        <v>94.133300000000006</v>
      </c>
      <c r="G774" s="222">
        <v>82.758300000000006</v>
      </c>
      <c r="H774"/>
      <c r="I774" s="221">
        <v>43290</v>
      </c>
      <c r="J774" s="222">
        <v>94.133300000000006</v>
      </c>
      <c r="K774" s="222">
        <v>18.9802</v>
      </c>
      <c r="L774"/>
      <c r="M774"/>
      <c r="N774"/>
      <c r="O774" s="221">
        <v>43290</v>
      </c>
      <c r="P774" s="222">
        <v>35.3339</v>
      </c>
      <c r="Q774" s="222">
        <v>18.9802</v>
      </c>
    </row>
    <row r="775" spans="1:17" x14ac:dyDescent="0.35">
      <c r="A775" s="221">
        <v>43287</v>
      </c>
      <c r="B775" s="222">
        <v>34.202574731066662</v>
      </c>
      <c r="C775"/>
      <c r="D775" s="221">
        <v>43287</v>
      </c>
      <c r="E775" s="222">
        <v>109.3873</v>
      </c>
      <c r="F775" s="222">
        <v>88.8</v>
      </c>
      <c r="G775" s="222">
        <v>82.636499999999998</v>
      </c>
      <c r="H775"/>
      <c r="I775" s="221">
        <v>43287</v>
      </c>
      <c r="J775" s="222">
        <v>88.8</v>
      </c>
      <c r="K775" s="222">
        <v>23.277000000000001</v>
      </c>
      <c r="L775"/>
      <c r="M775"/>
      <c r="N775"/>
      <c r="O775" s="221">
        <v>43287</v>
      </c>
      <c r="P775" s="222">
        <v>32.471699999999998</v>
      </c>
      <c r="Q775" s="222">
        <v>23.277000000000001</v>
      </c>
    </row>
    <row r="776" spans="1:17" x14ac:dyDescent="0.35">
      <c r="A776" s="221">
        <v>43286</v>
      </c>
      <c r="B776" s="222">
        <v>33.570328146269986</v>
      </c>
      <c r="C776"/>
      <c r="D776" s="221">
        <v>43286</v>
      </c>
      <c r="E776" s="222">
        <v>108.5558</v>
      </c>
      <c r="F776" s="222">
        <v>88.476200000000006</v>
      </c>
      <c r="G776" s="222">
        <v>82.499600000000001</v>
      </c>
      <c r="H776"/>
      <c r="I776" s="221">
        <v>43286</v>
      </c>
      <c r="J776" s="222">
        <v>88.476200000000006</v>
      </c>
      <c r="K776" s="222">
        <v>22.787800000000001</v>
      </c>
      <c r="L776"/>
      <c r="M776"/>
      <c r="N776"/>
      <c r="O776" s="221">
        <v>43286</v>
      </c>
      <c r="P776" s="222">
        <v>31.6831</v>
      </c>
      <c r="Q776" s="222">
        <v>22.787800000000001</v>
      </c>
    </row>
    <row r="777" spans="1:17" x14ac:dyDescent="0.35">
      <c r="A777" s="221">
        <v>43285</v>
      </c>
      <c r="B777" s="222">
        <v>32.739799381137679</v>
      </c>
      <c r="C777"/>
      <c r="D777" s="221">
        <v>43285</v>
      </c>
      <c r="E777" s="222">
        <v>108.75839999999999</v>
      </c>
      <c r="F777" s="222">
        <v>90.095200000000006</v>
      </c>
      <c r="G777" s="222">
        <v>82.318100000000001</v>
      </c>
      <c r="H777"/>
      <c r="I777" s="221">
        <v>43285</v>
      </c>
      <c r="J777" s="222">
        <v>90.095200000000006</v>
      </c>
      <c r="K777" s="222">
        <v>20.805499999999999</v>
      </c>
      <c r="L777"/>
      <c r="M777"/>
      <c r="N777"/>
      <c r="O777" s="221">
        <v>43285</v>
      </c>
      <c r="P777" s="222">
        <v>32.218800000000002</v>
      </c>
      <c r="Q777" s="222">
        <v>20.805499999999999</v>
      </c>
    </row>
    <row r="778" spans="1:17" x14ac:dyDescent="0.35">
      <c r="A778" s="221">
        <v>43284</v>
      </c>
      <c r="B778" s="222">
        <v>31.397273252738657</v>
      </c>
      <c r="C778"/>
      <c r="D778" s="221">
        <v>43284</v>
      </c>
      <c r="E778" s="222">
        <v>110.2189</v>
      </c>
      <c r="F778" s="222">
        <v>94.2286</v>
      </c>
      <c r="G778" s="222">
        <v>82.173199999999994</v>
      </c>
      <c r="H778"/>
      <c r="I778" s="221">
        <v>43284</v>
      </c>
      <c r="J778" s="222">
        <v>94.2286</v>
      </c>
      <c r="K778" s="222">
        <v>17.055800000000001</v>
      </c>
      <c r="L778"/>
      <c r="M778"/>
      <c r="N778"/>
      <c r="O778" s="221">
        <v>43284</v>
      </c>
      <c r="P778" s="222">
        <v>34.228700000000003</v>
      </c>
      <c r="Q778" s="222">
        <v>17.055800000000001</v>
      </c>
    </row>
    <row r="779" spans="1:17" x14ac:dyDescent="0.35">
      <c r="A779" s="221">
        <v>43283</v>
      </c>
      <c r="B779" s="222">
        <v>31.486224115730604</v>
      </c>
      <c r="C779"/>
      <c r="D779" s="221">
        <v>43283</v>
      </c>
      <c r="E779" s="222">
        <v>111.89149999999999</v>
      </c>
      <c r="F779" s="222">
        <v>96.933300000000003</v>
      </c>
      <c r="G779" s="222">
        <v>81.967200000000005</v>
      </c>
      <c r="H779"/>
      <c r="I779" s="221">
        <v>43283</v>
      </c>
      <c r="J779" s="222">
        <v>96.933300000000003</v>
      </c>
      <c r="K779" s="222">
        <v>15.5145</v>
      </c>
      <c r="L779"/>
      <c r="M779"/>
      <c r="N779"/>
      <c r="O779" s="221">
        <v>43283</v>
      </c>
      <c r="P779" s="222">
        <v>36.605899999999998</v>
      </c>
      <c r="Q779" s="222">
        <v>15.5145</v>
      </c>
    </row>
    <row r="780" spans="1:17" x14ac:dyDescent="0.35">
      <c r="A780" s="221">
        <v>43280</v>
      </c>
      <c r="B780" s="222">
        <v>31.442360394220426</v>
      </c>
      <c r="C780"/>
      <c r="D780" s="221">
        <v>43280</v>
      </c>
      <c r="E780" s="222">
        <v>114.7811</v>
      </c>
      <c r="F780" s="222">
        <v>101.3143</v>
      </c>
      <c r="G780" s="222">
        <v>81.876099999999994</v>
      </c>
      <c r="H780"/>
      <c r="I780" s="221">
        <v>43280</v>
      </c>
      <c r="J780" s="222">
        <v>101.3143</v>
      </c>
      <c r="K780" s="222">
        <v>13.37</v>
      </c>
      <c r="L780"/>
      <c r="M780"/>
      <c r="N780"/>
      <c r="O780" s="221">
        <v>43280</v>
      </c>
      <c r="P780" s="222">
        <v>40.2851</v>
      </c>
      <c r="Q780" s="222">
        <v>13.37</v>
      </c>
    </row>
    <row r="781" spans="1:17" x14ac:dyDescent="0.35">
      <c r="A781" s="221">
        <v>43279</v>
      </c>
      <c r="B781" s="222">
        <v>32.569580000678975</v>
      </c>
      <c r="C781"/>
      <c r="D781" s="221">
        <v>43279</v>
      </c>
      <c r="E781" s="222">
        <v>112.2216</v>
      </c>
      <c r="F781" s="222">
        <v>96.476200000000006</v>
      </c>
      <c r="G781" s="222">
        <v>81.674899999999994</v>
      </c>
      <c r="H781"/>
      <c r="I781" s="221">
        <v>43279</v>
      </c>
      <c r="J781" s="222">
        <v>96.476200000000006</v>
      </c>
      <c r="K781" s="222">
        <v>16.401800000000001</v>
      </c>
      <c r="L781"/>
      <c r="M781"/>
      <c r="N781"/>
      <c r="O781" s="221">
        <v>43279</v>
      </c>
      <c r="P781" s="222">
        <v>37.496299999999998</v>
      </c>
      <c r="Q781" s="222">
        <v>16.401800000000001</v>
      </c>
    </row>
    <row r="782" spans="1:17" x14ac:dyDescent="0.35">
      <c r="A782" s="221">
        <v>43278</v>
      </c>
      <c r="B782" s="222">
        <v>32.058822323459253</v>
      </c>
      <c r="C782"/>
      <c r="D782" s="221">
        <v>43278</v>
      </c>
      <c r="E782" s="222">
        <v>111.2222</v>
      </c>
      <c r="F782" s="222">
        <v>95.619100000000003</v>
      </c>
      <c r="G782" s="222">
        <v>81.661900000000003</v>
      </c>
      <c r="H782"/>
      <c r="I782" s="221">
        <v>43278</v>
      </c>
      <c r="J782" s="222">
        <v>95.619100000000003</v>
      </c>
      <c r="K782" s="222">
        <v>16.3993</v>
      </c>
      <c r="L782"/>
      <c r="M782"/>
      <c r="N782"/>
      <c r="O782" s="221">
        <v>43278</v>
      </c>
      <c r="P782" s="222">
        <v>36.293700000000001</v>
      </c>
      <c r="Q782" s="222">
        <v>16.3993</v>
      </c>
    </row>
    <row r="783" spans="1:17" x14ac:dyDescent="0.35">
      <c r="A783" s="221">
        <v>43277</v>
      </c>
      <c r="B783" s="222">
        <v>31.867456516484054</v>
      </c>
      <c r="C783"/>
      <c r="D783" s="221">
        <v>43277</v>
      </c>
      <c r="E783" s="222">
        <v>113.6087</v>
      </c>
      <c r="F783" s="222">
        <v>99.333299999999994</v>
      </c>
      <c r="G783" s="222">
        <v>81.688900000000004</v>
      </c>
      <c r="H783"/>
      <c r="I783" s="221">
        <v>43277</v>
      </c>
      <c r="J783" s="222">
        <v>99.333299999999994</v>
      </c>
      <c r="K783" s="222">
        <v>14.449</v>
      </c>
      <c r="L783"/>
      <c r="M783"/>
      <c r="N783"/>
      <c r="O783" s="221">
        <v>43277</v>
      </c>
      <c r="P783" s="222">
        <v>39.169499999999999</v>
      </c>
      <c r="Q783" s="222">
        <v>14.449</v>
      </c>
    </row>
    <row r="784" spans="1:17" x14ac:dyDescent="0.35">
      <c r="A784" s="221">
        <v>43276</v>
      </c>
      <c r="B784" s="222">
        <v>32.796947861101181</v>
      </c>
      <c r="C784"/>
      <c r="D784" s="221">
        <v>43276</v>
      </c>
      <c r="E784" s="222">
        <v>113.59829999999999</v>
      </c>
      <c r="F784" s="222">
        <v>98.209500000000006</v>
      </c>
      <c r="G784" s="222">
        <v>81.662400000000005</v>
      </c>
      <c r="H784"/>
      <c r="I784" s="221">
        <v>43276</v>
      </c>
      <c r="J784" s="222">
        <v>98.209500000000006</v>
      </c>
      <c r="K784" s="222">
        <v>15.7475</v>
      </c>
      <c r="L784"/>
      <c r="M784"/>
      <c r="N784"/>
      <c r="O784" s="221">
        <v>43276</v>
      </c>
      <c r="P784" s="222">
        <v>39.2012</v>
      </c>
      <c r="Q784" s="222">
        <v>15.7475</v>
      </c>
    </row>
    <row r="785" spans="1:17" x14ac:dyDescent="0.35">
      <c r="A785" s="221">
        <v>43273</v>
      </c>
      <c r="B785" s="222">
        <v>31.900269376866074</v>
      </c>
      <c r="C785"/>
      <c r="D785" s="221">
        <v>43273</v>
      </c>
      <c r="E785" s="222">
        <v>113.81489999999999</v>
      </c>
      <c r="F785" s="222">
        <v>99.6571</v>
      </c>
      <c r="G785" s="222">
        <v>81.611699999999999</v>
      </c>
      <c r="H785"/>
      <c r="I785" s="221">
        <v>43273</v>
      </c>
      <c r="J785" s="222">
        <v>99.6571</v>
      </c>
      <c r="K785" s="222">
        <v>14.2819</v>
      </c>
      <c r="L785"/>
      <c r="M785"/>
      <c r="N785"/>
      <c r="O785" s="221">
        <v>43273</v>
      </c>
      <c r="P785" s="222">
        <v>39.551099999999998</v>
      </c>
      <c r="Q785" s="222">
        <v>14.2819</v>
      </c>
    </row>
    <row r="786" spans="1:17" x14ac:dyDescent="0.35">
      <c r="A786" s="221">
        <v>43272</v>
      </c>
      <c r="B786" s="222">
        <v>32.647200340547592</v>
      </c>
      <c r="C786"/>
      <c r="D786" s="221">
        <v>43272</v>
      </c>
      <c r="E786" s="222">
        <v>113.2955</v>
      </c>
      <c r="F786" s="222">
        <v>98.057100000000005</v>
      </c>
      <c r="G786" s="222">
        <v>81.553799999999995</v>
      </c>
      <c r="H786"/>
      <c r="I786" s="221">
        <v>43272</v>
      </c>
      <c r="J786" s="222">
        <v>98.057100000000005</v>
      </c>
      <c r="K786" s="222">
        <v>15.616300000000001</v>
      </c>
      <c r="L786"/>
      <c r="M786"/>
      <c r="N786"/>
      <c r="O786" s="221">
        <v>43272</v>
      </c>
      <c r="P786" s="222">
        <v>39.012500000000003</v>
      </c>
      <c r="Q786" s="222">
        <v>15.616300000000001</v>
      </c>
    </row>
    <row r="787" spans="1:17" x14ac:dyDescent="0.35">
      <c r="A787" s="221">
        <v>43271</v>
      </c>
      <c r="B787" s="222">
        <v>29.517119995136753</v>
      </c>
      <c r="C787"/>
      <c r="D787" s="221">
        <v>43271</v>
      </c>
      <c r="E787" s="222">
        <v>113.426</v>
      </c>
      <c r="F787" s="222">
        <v>102.09520000000001</v>
      </c>
      <c r="G787" s="222">
        <v>81.542400000000001</v>
      </c>
      <c r="H787"/>
      <c r="I787" s="221">
        <v>43271</v>
      </c>
      <c r="J787" s="222">
        <v>102.09520000000001</v>
      </c>
      <c r="K787" s="222">
        <v>11.1708</v>
      </c>
      <c r="L787"/>
      <c r="M787"/>
      <c r="N787"/>
      <c r="O787" s="221">
        <v>43271</v>
      </c>
      <c r="P787" s="222">
        <v>39.191400000000002</v>
      </c>
      <c r="Q787" s="222">
        <v>11.1708</v>
      </c>
    </row>
    <row r="788" spans="1:17" x14ac:dyDescent="0.35">
      <c r="A788" s="221">
        <v>43270</v>
      </c>
      <c r="B788" s="222">
        <v>30.209560657062756</v>
      </c>
      <c r="C788"/>
      <c r="D788" s="221">
        <v>43270</v>
      </c>
      <c r="E788" s="222">
        <v>113.3266</v>
      </c>
      <c r="F788" s="222">
        <v>101.1238</v>
      </c>
      <c r="G788" s="222">
        <v>81.503299999999996</v>
      </c>
      <c r="H788"/>
      <c r="I788" s="221">
        <v>43270</v>
      </c>
      <c r="J788" s="222">
        <v>101.1238</v>
      </c>
      <c r="K788" s="222">
        <v>12.139799999999999</v>
      </c>
      <c r="L788"/>
      <c r="M788"/>
      <c r="N788"/>
      <c r="O788" s="221">
        <v>43270</v>
      </c>
      <c r="P788" s="222">
        <v>39.1355</v>
      </c>
      <c r="Q788" s="222">
        <v>12.139799999999999</v>
      </c>
    </row>
    <row r="789" spans="1:17" x14ac:dyDescent="0.35">
      <c r="A789" s="221">
        <v>43266</v>
      </c>
      <c r="B789" s="222">
        <v>31.201907029290982</v>
      </c>
      <c r="C789"/>
      <c r="D789" s="221">
        <v>43266</v>
      </c>
      <c r="E789" s="222">
        <v>117.8188</v>
      </c>
      <c r="F789" s="222">
        <v>106.32380000000001</v>
      </c>
      <c r="G789" s="222">
        <v>81.480400000000003</v>
      </c>
      <c r="H789"/>
      <c r="I789" s="221">
        <v>43266</v>
      </c>
      <c r="J789" s="222">
        <v>106.32380000000001</v>
      </c>
      <c r="K789" s="222">
        <v>10.878299999999999</v>
      </c>
      <c r="L789"/>
      <c r="M789"/>
      <c r="N789"/>
      <c r="O789" s="221">
        <v>43266</v>
      </c>
      <c r="P789" s="222">
        <v>44.685099999999998</v>
      </c>
      <c r="Q789" s="222">
        <v>10.878299999999999</v>
      </c>
    </row>
    <row r="790" spans="1:17" x14ac:dyDescent="0.35">
      <c r="A790" s="221">
        <v>43265</v>
      </c>
      <c r="B790" s="222">
        <v>30.138876600852644</v>
      </c>
      <c r="C790"/>
      <c r="D790" s="221">
        <v>43265</v>
      </c>
      <c r="E790" s="222">
        <v>118.1193</v>
      </c>
      <c r="F790" s="222">
        <v>108.09520000000001</v>
      </c>
      <c r="G790" s="222">
        <v>81.394000000000005</v>
      </c>
      <c r="H790"/>
      <c r="I790" s="221">
        <v>43265</v>
      </c>
      <c r="J790" s="222">
        <v>108.09520000000001</v>
      </c>
      <c r="K790" s="222">
        <v>9.3388000000000009</v>
      </c>
      <c r="L790"/>
      <c r="M790"/>
      <c r="N790"/>
      <c r="O790" s="221">
        <v>43265</v>
      </c>
      <c r="P790" s="222">
        <v>45.207299999999996</v>
      </c>
      <c r="Q790" s="222">
        <v>9.3388000000000009</v>
      </c>
    </row>
    <row r="791" spans="1:17" x14ac:dyDescent="0.35">
      <c r="A791" s="221">
        <v>43264</v>
      </c>
      <c r="B791" s="222">
        <v>31.166286972110385</v>
      </c>
      <c r="C791"/>
      <c r="D791" s="221">
        <v>43264</v>
      </c>
      <c r="E791" s="222">
        <v>118.90989999999999</v>
      </c>
      <c r="F791" s="222">
        <v>105.71429999999999</v>
      </c>
      <c r="G791" s="222">
        <v>83.015600000000006</v>
      </c>
      <c r="H791"/>
      <c r="I791" s="221">
        <v>43264</v>
      </c>
      <c r="J791" s="222">
        <v>105.71429999999999</v>
      </c>
      <c r="K791" s="222">
        <v>12.5486</v>
      </c>
      <c r="L791"/>
      <c r="M791"/>
      <c r="N791"/>
      <c r="O791" s="221">
        <v>43264</v>
      </c>
      <c r="P791" s="222">
        <v>43.322499999999998</v>
      </c>
      <c r="Q791" s="222">
        <v>12.5486</v>
      </c>
    </row>
    <row r="792" spans="1:17" x14ac:dyDescent="0.35">
      <c r="A792" s="221">
        <v>43263</v>
      </c>
      <c r="B792" s="222">
        <v>28.271121597527394</v>
      </c>
      <c r="C792"/>
      <c r="D792" s="221">
        <v>43263</v>
      </c>
      <c r="E792" s="222">
        <v>120.1084</v>
      </c>
      <c r="F792" s="222">
        <v>110.8571</v>
      </c>
      <c r="G792" s="222">
        <v>83.0047</v>
      </c>
      <c r="H792"/>
      <c r="I792" s="221">
        <v>43263</v>
      </c>
      <c r="J792" s="222">
        <v>110.8571</v>
      </c>
      <c r="K792" s="222">
        <v>8.4079999999999995</v>
      </c>
      <c r="L792"/>
      <c r="M792"/>
      <c r="N792"/>
      <c r="O792" s="221">
        <v>43263</v>
      </c>
      <c r="P792" s="222">
        <v>44.784599999999998</v>
      </c>
      <c r="Q792" s="222">
        <v>8.4079999999999995</v>
      </c>
    </row>
    <row r="793" spans="1:17" x14ac:dyDescent="0.35">
      <c r="A793" s="221">
        <v>43262</v>
      </c>
      <c r="B793" s="222">
        <v>26.172444049785483</v>
      </c>
      <c r="C793"/>
      <c r="D793" s="221">
        <v>43262</v>
      </c>
      <c r="E793" s="222">
        <v>118.631</v>
      </c>
      <c r="F793" s="222">
        <v>111.33329999999999</v>
      </c>
      <c r="G793" s="222">
        <v>82.993700000000004</v>
      </c>
      <c r="H793"/>
      <c r="I793" s="221">
        <v>43262</v>
      </c>
      <c r="J793" s="222">
        <v>111.33329999999999</v>
      </c>
      <c r="K793" s="222">
        <v>6.6167999999999996</v>
      </c>
      <c r="L793"/>
      <c r="M793"/>
      <c r="N793"/>
      <c r="O793" s="221">
        <v>43262</v>
      </c>
      <c r="P793" s="222">
        <v>43.0229</v>
      </c>
      <c r="Q793" s="222">
        <v>6.6167999999999996</v>
      </c>
    </row>
    <row r="794" spans="1:17" x14ac:dyDescent="0.35">
      <c r="A794" s="221">
        <v>43259</v>
      </c>
      <c r="B794" s="222">
        <v>24.290116496972072</v>
      </c>
      <c r="C794"/>
      <c r="D794" s="221">
        <v>43259</v>
      </c>
      <c r="E794" s="222">
        <v>119.07259999999999</v>
      </c>
      <c r="F794" s="222">
        <v>114.09520000000001</v>
      </c>
      <c r="G794" s="222">
        <v>83.018299999999996</v>
      </c>
      <c r="H794"/>
      <c r="I794" s="221">
        <v>43259</v>
      </c>
      <c r="J794" s="222">
        <v>114.09520000000001</v>
      </c>
      <c r="K794" s="222">
        <v>4.4215999999999998</v>
      </c>
      <c r="L794"/>
      <c r="M794"/>
      <c r="N794"/>
      <c r="O794" s="221">
        <v>43259</v>
      </c>
      <c r="P794" s="222">
        <v>43.5105</v>
      </c>
      <c r="Q794" s="222">
        <v>4.4215999999999998</v>
      </c>
    </row>
    <row r="795" spans="1:17" x14ac:dyDescent="0.35">
      <c r="A795" s="221">
        <v>43258</v>
      </c>
      <c r="B795" s="222">
        <v>27.367546245471789</v>
      </c>
      <c r="C795"/>
      <c r="D795" s="221">
        <v>43258</v>
      </c>
      <c r="E795" s="222">
        <v>119.1332</v>
      </c>
      <c r="F795" s="222">
        <v>110.5333</v>
      </c>
      <c r="G795" s="222">
        <v>83.01</v>
      </c>
      <c r="H795"/>
      <c r="I795" s="221">
        <v>43258</v>
      </c>
      <c r="J795" s="222">
        <v>110.5333</v>
      </c>
      <c r="K795" s="222">
        <v>7.8407999999999998</v>
      </c>
      <c r="L795"/>
      <c r="M795"/>
      <c r="N795"/>
      <c r="O795" s="221">
        <v>43258</v>
      </c>
      <c r="P795" s="222">
        <v>43.597200000000001</v>
      </c>
      <c r="Q795" s="222">
        <v>7.8407999999999998</v>
      </c>
    </row>
    <row r="796" spans="1:17" x14ac:dyDescent="0.35">
      <c r="A796" s="221">
        <v>43257</v>
      </c>
      <c r="B796" s="222">
        <v>28.438400177326894</v>
      </c>
      <c r="C796"/>
      <c r="D796" s="221">
        <v>43257</v>
      </c>
      <c r="E796" s="222">
        <v>119.8837</v>
      </c>
      <c r="F796" s="222">
        <v>110.09520000000001</v>
      </c>
      <c r="G796" s="222">
        <v>83.136399999999995</v>
      </c>
      <c r="H796"/>
      <c r="I796" s="221">
        <v>43257</v>
      </c>
      <c r="J796" s="222">
        <v>110.09520000000001</v>
      </c>
      <c r="K796" s="222">
        <v>8.9512</v>
      </c>
      <c r="L796"/>
      <c r="M796"/>
      <c r="N796"/>
      <c r="O796" s="221">
        <v>43257</v>
      </c>
      <c r="P796" s="222">
        <v>44.280999999999999</v>
      </c>
      <c r="Q796" s="222">
        <v>8.9512</v>
      </c>
    </row>
    <row r="797" spans="1:17" x14ac:dyDescent="0.35">
      <c r="A797" s="221">
        <v>43256</v>
      </c>
      <c r="B797" s="222">
        <v>29.300340970393833</v>
      </c>
      <c r="C797"/>
      <c r="D797" s="221">
        <v>43256</v>
      </c>
      <c r="E797" s="222">
        <v>120.7842</v>
      </c>
      <c r="F797" s="222">
        <v>110.47620000000001</v>
      </c>
      <c r="G797" s="222">
        <v>83.005099999999999</v>
      </c>
      <c r="H797"/>
      <c r="I797" s="221">
        <v>43256</v>
      </c>
      <c r="J797" s="222">
        <v>110.47620000000001</v>
      </c>
      <c r="K797" s="222">
        <v>9.3901000000000003</v>
      </c>
      <c r="L797"/>
      <c r="M797"/>
      <c r="N797"/>
      <c r="O797" s="221">
        <v>43256</v>
      </c>
      <c r="P797" s="222">
        <v>45.593499999999999</v>
      </c>
      <c r="Q797" s="222">
        <v>9.3901000000000003</v>
      </c>
    </row>
    <row r="798" spans="1:17" x14ac:dyDescent="0.35">
      <c r="A798" s="221">
        <v>43255</v>
      </c>
      <c r="B798" s="222">
        <v>27.902508279009808</v>
      </c>
      <c r="C798"/>
      <c r="D798" s="221">
        <v>43255</v>
      </c>
      <c r="E798" s="222">
        <v>116.02379999999999</v>
      </c>
      <c r="F798" s="222">
        <v>105.5429</v>
      </c>
      <c r="G798" s="222">
        <v>82.9833</v>
      </c>
      <c r="H798"/>
      <c r="I798" s="221">
        <v>43255</v>
      </c>
      <c r="J798" s="222">
        <v>105.5429</v>
      </c>
      <c r="K798" s="222">
        <v>9.9922000000000004</v>
      </c>
      <c r="L798"/>
      <c r="M798"/>
      <c r="N798"/>
      <c r="O798" s="221">
        <v>43255</v>
      </c>
      <c r="P798" s="222">
        <v>39.894399999999997</v>
      </c>
      <c r="Q798" s="222">
        <v>9.9922000000000004</v>
      </c>
    </row>
    <row r="799" spans="1:17" x14ac:dyDescent="0.35">
      <c r="A799" s="221">
        <v>43252</v>
      </c>
      <c r="B799" s="222">
        <v>31.169885029161971</v>
      </c>
      <c r="C799"/>
      <c r="D799" s="221">
        <v>43252</v>
      </c>
      <c r="E799" s="222">
        <v>116.7364</v>
      </c>
      <c r="F799" s="222">
        <v>102.5714</v>
      </c>
      <c r="G799" s="222">
        <v>82.953400000000002</v>
      </c>
      <c r="H799"/>
      <c r="I799" s="221">
        <v>43252</v>
      </c>
      <c r="J799" s="222">
        <v>102.5714</v>
      </c>
      <c r="K799" s="222">
        <v>13.8719</v>
      </c>
      <c r="L799"/>
      <c r="M799"/>
      <c r="N799"/>
      <c r="O799" s="221">
        <v>43252</v>
      </c>
      <c r="P799" s="222">
        <v>40.801900000000003</v>
      </c>
      <c r="Q799" s="222">
        <v>13.8719</v>
      </c>
    </row>
    <row r="800" spans="1:17" x14ac:dyDescent="0.35">
      <c r="A800" s="221">
        <v>43251</v>
      </c>
      <c r="B800" s="222">
        <v>29.791131493841888</v>
      </c>
      <c r="C800"/>
      <c r="D800" s="221">
        <v>43251</v>
      </c>
      <c r="E800" s="222">
        <v>117.087</v>
      </c>
      <c r="F800" s="222">
        <v>104.7619</v>
      </c>
      <c r="G800" s="222">
        <v>82.938999999999993</v>
      </c>
      <c r="H800"/>
      <c r="I800" s="221">
        <v>43251</v>
      </c>
      <c r="J800" s="222">
        <v>104.7619</v>
      </c>
      <c r="K800" s="222">
        <v>11.824999999999999</v>
      </c>
      <c r="L800"/>
      <c r="M800"/>
      <c r="N800"/>
      <c r="O800" s="221">
        <v>43251</v>
      </c>
      <c r="P800" s="222">
        <v>41.248399999999997</v>
      </c>
      <c r="Q800" s="222">
        <v>11.824999999999999</v>
      </c>
    </row>
    <row r="801" spans="1:17" x14ac:dyDescent="0.35">
      <c r="A801" s="221">
        <v>43250</v>
      </c>
      <c r="B801" s="222">
        <v>31.109263518100565</v>
      </c>
      <c r="C801"/>
      <c r="D801" s="221">
        <v>43250</v>
      </c>
      <c r="E801" s="222">
        <v>115.3875</v>
      </c>
      <c r="F801" s="222">
        <v>100.7619</v>
      </c>
      <c r="G801" s="222">
        <v>82.895600000000002</v>
      </c>
      <c r="H801"/>
      <c r="I801" s="221">
        <v>43250</v>
      </c>
      <c r="J801" s="222">
        <v>100.7619</v>
      </c>
      <c r="K801" s="222">
        <v>14.577</v>
      </c>
      <c r="L801"/>
      <c r="M801"/>
      <c r="N801"/>
      <c r="O801" s="221">
        <v>43250</v>
      </c>
      <c r="P801" s="222">
        <v>39.271599999999999</v>
      </c>
      <c r="Q801" s="222">
        <v>14.577</v>
      </c>
    </row>
    <row r="802" spans="1:17" x14ac:dyDescent="0.35">
      <c r="A802" s="221">
        <v>43249</v>
      </c>
      <c r="B802" s="222">
        <v>30.205114659415667</v>
      </c>
      <c r="C802"/>
      <c r="D802" s="221">
        <v>43249</v>
      </c>
      <c r="E802" s="222">
        <v>116.9181</v>
      </c>
      <c r="F802" s="222">
        <v>104.1143</v>
      </c>
      <c r="G802" s="222">
        <v>82.850999999999999</v>
      </c>
      <c r="H802"/>
      <c r="I802" s="221">
        <v>43249</v>
      </c>
      <c r="J802" s="222">
        <v>104.1143</v>
      </c>
      <c r="K802" s="222">
        <v>12.3573</v>
      </c>
      <c r="L802"/>
      <c r="M802"/>
      <c r="N802"/>
      <c r="O802" s="221">
        <v>43249</v>
      </c>
      <c r="P802" s="222">
        <v>41.193199999999997</v>
      </c>
      <c r="Q802" s="222">
        <v>12.3573</v>
      </c>
    </row>
    <row r="803" spans="1:17" x14ac:dyDescent="0.35">
      <c r="A803" s="221">
        <v>43248</v>
      </c>
      <c r="B803" s="222">
        <v>29.513833529179539</v>
      </c>
      <c r="C803"/>
      <c r="D803" s="221">
        <v>43248</v>
      </c>
      <c r="E803" s="222">
        <v>116.98860000000001</v>
      </c>
      <c r="F803" s="222">
        <v>105.1048</v>
      </c>
      <c r="G803" s="222">
        <v>82.804199999999994</v>
      </c>
      <c r="H803"/>
      <c r="I803" s="221">
        <v>43248</v>
      </c>
      <c r="J803" s="222">
        <v>105.1048</v>
      </c>
      <c r="K803" s="222">
        <v>11.365</v>
      </c>
      <c r="L803"/>
      <c r="M803"/>
      <c r="N803"/>
      <c r="O803" s="221">
        <v>43248</v>
      </c>
      <c r="P803" s="222">
        <v>41.357599999999998</v>
      </c>
      <c r="Q803" s="222">
        <v>11.365</v>
      </c>
    </row>
    <row r="804" spans="1:17" x14ac:dyDescent="0.35">
      <c r="A804" s="221">
        <v>43245</v>
      </c>
      <c r="B804" s="222">
        <v>31.513318696508318</v>
      </c>
      <c r="C804"/>
      <c r="D804" s="221">
        <v>43245</v>
      </c>
      <c r="E804" s="222">
        <v>116.8253</v>
      </c>
      <c r="F804" s="222">
        <v>102.51430000000001</v>
      </c>
      <c r="G804" s="222">
        <v>82.730699999999999</v>
      </c>
      <c r="H804"/>
      <c r="I804" s="221">
        <v>43245</v>
      </c>
      <c r="J804" s="222">
        <v>102.51430000000001</v>
      </c>
      <c r="K804" s="222">
        <v>14.0182</v>
      </c>
      <c r="L804"/>
      <c r="M804"/>
      <c r="N804"/>
      <c r="O804" s="221">
        <v>43245</v>
      </c>
      <c r="P804" s="222">
        <v>41.283700000000003</v>
      </c>
      <c r="Q804" s="222">
        <v>14.0182</v>
      </c>
    </row>
    <row r="805" spans="1:17" x14ac:dyDescent="0.35">
      <c r="A805" s="221">
        <v>43244</v>
      </c>
      <c r="B805" s="222">
        <v>31.768794118550847</v>
      </c>
      <c r="C805"/>
      <c r="D805" s="221">
        <v>43244</v>
      </c>
      <c r="E805" s="222">
        <v>116.6028</v>
      </c>
      <c r="F805" s="222">
        <v>101.90479999999999</v>
      </c>
      <c r="G805" s="222">
        <v>82.706999999999994</v>
      </c>
      <c r="H805"/>
      <c r="I805" s="221">
        <v>43244</v>
      </c>
      <c r="J805" s="222">
        <v>101.90479999999999</v>
      </c>
      <c r="K805" s="222">
        <v>14.481400000000001</v>
      </c>
      <c r="L805"/>
      <c r="M805"/>
      <c r="N805"/>
      <c r="O805" s="221">
        <v>43244</v>
      </c>
      <c r="P805" s="222">
        <v>41.054600000000001</v>
      </c>
      <c r="Q805" s="222">
        <v>14.481400000000001</v>
      </c>
    </row>
    <row r="806" spans="1:17" x14ac:dyDescent="0.35">
      <c r="A806" s="221">
        <v>43243</v>
      </c>
      <c r="B806" s="222">
        <v>29.149873528942464</v>
      </c>
      <c r="C806"/>
      <c r="D806" s="221">
        <v>43243</v>
      </c>
      <c r="E806" s="222">
        <v>117.1264</v>
      </c>
      <c r="F806" s="222">
        <v>105.86669999999999</v>
      </c>
      <c r="G806" s="222">
        <v>82.683800000000005</v>
      </c>
      <c r="H806"/>
      <c r="I806" s="221">
        <v>43243</v>
      </c>
      <c r="J806" s="222">
        <v>105.86669999999999</v>
      </c>
      <c r="K806" s="222">
        <v>10.6911</v>
      </c>
      <c r="L806"/>
      <c r="M806"/>
      <c r="N806"/>
      <c r="O806" s="221">
        <v>43243</v>
      </c>
      <c r="P806" s="222">
        <v>41.726700000000001</v>
      </c>
      <c r="Q806" s="222">
        <v>10.6911</v>
      </c>
    </row>
    <row r="807" spans="1:17" x14ac:dyDescent="0.35">
      <c r="A807" s="221">
        <v>43242</v>
      </c>
      <c r="B807" s="222">
        <v>30.282156831394254</v>
      </c>
      <c r="C807"/>
      <c r="D807" s="221">
        <v>43242</v>
      </c>
      <c r="E807" s="222">
        <v>117.5519</v>
      </c>
      <c r="F807" s="222">
        <v>105.2762</v>
      </c>
      <c r="G807" s="222">
        <v>82.535200000000003</v>
      </c>
      <c r="H807"/>
      <c r="I807" s="221">
        <v>43242</v>
      </c>
      <c r="J807" s="222">
        <v>105.2762</v>
      </c>
      <c r="K807" s="222">
        <v>11.7157</v>
      </c>
      <c r="L807"/>
      <c r="M807"/>
      <c r="N807"/>
      <c r="O807" s="221">
        <v>43242</v>
      </c>
      <c r="P807" s="222">
        <v>42.4968</v>
      </c>
      <c r="Q807" s="222">
        <v>11.7157</v>
      </c>
    </row>
    <row r="808" spans="1:17" x14ac:dyDescent="0.35">
      <c r="A808" s="221">
        <v>43241</v>
      </c>
      <c r="B808" s="222">
        <v>31.454335684044327</v>
      </c>
      <c r="C808"/>
      <c r="D808" s="221">
        <v>43241</v>
      </c>
      <c r="E808" s="222">
        <v>117.74250000000001</v>
      </c>
      <c r="F808" s="222">
        <v>104.0381</v>
      </c>
      <c r="G808" s="222">
        <v>82.591899999999995</v>
      </c>
      <c r="H808"/>
      <c r="I808" s="221">
        <v>43241</v>
      </c>
      <c r="J808" s="222">
        <v>104.0381</v>
      </c>
      <c r="K808" s="222">
        <v>13.2278</v>
      </c>
      <c r="L808"/>
      <c r="M808"/>
      <c r="N808"/>
      <c r="O808" s="221">
        <v>43241</v>
      </c>
      <c r="P808" s="222">
        <v>42.628999999999998</v>
      </c>
      <c r="Q808" s="222">
        <v>13.2278</v>
      </c>
    </row>
    <row r="809" spans="1:17" x14ac:dyDescent="0.35">
      <c r="A809" s="221">
        <v>43238</v>
      </c>
      <c r="B809" s="222">
        <v>31.726833498002193</v>
      </c>
      <c r="C809"/>
      <c r="D809" s="221">
        <v>43238</v>
      </c>
      <c r="E809" s="222">
        <v>116.8741</v>
      </c>
      <c r="F809" s="222">
        <v>102.46680000000001</v>
      </c>
      <c r="G809" s="222">
        <v>82.5702</v>
      </c>
      <c r="H809"/>
      <c r="I809" s="221">
        <v>43238</v>
      </c>
      <c r="J809" s="222">
        <v>102.46680000000001</v>
      </c>
      <c r="K809" s="222">
        <v>14.115</v>
      </c>
      <c r="L809"/>
      <c r="M809"/>
      <c r="N809"/>
      <c r="O809" s="221">
        <v>43238</v>
      </c>
      <c r="P809" s="222">
        <v>41.6128</v>
      </c>
      <c r="Q809" s="222">
        <v>14.115</v>
      </c>
    </row>
    <row r="810" spans="1:17" x14ac:dyDescent="0.35">
      <c r="A810" s="221">
        <v>43237</v>
      </c>
      <c r="B810" s="222">
        <v>32.088482598229554</v>
      </c>
      <c r="C810"/>
      <c r="D810" s="221">
        <v>43237</v>
      </c>
      <c r="E810" s="222">
        <v>117.3437</v>
      </c>
      <c r="F810" s="222">
        <v>102.7894</v>
      </c>
      <c r="G810" s="222">
        <v>82.496600000000001</v>
      </c>
      <c r="H810"/>
      <c r="I810" s="221">
        <v>43237</v>
      </c>
      <c r="J810" s="222">
        <v>102.7894</v>
      </c>
      <c r="K810" s="222">
        <v>14.213100000000001</v>
      </c>
      <c r="L810"/>
      <c r="M810"/>
      <c r="N810"/>
      <c r="O810" s="221">
        <v>43237</v>
      </c>
      <c r="P810" s="222">
        <v>42.307699999999997</v>
      </c>
      <c r="Q810" s="222">
        <v>14.213100000000001</v>
      </c>
    </row>
    <row r="811" spans="1:17" x14ac:dyDescent="0.35">
      <c r="A811" s="221">
        <v>43236</v>
      </c>
      <c r="B811" s="222">
        <v>31.764920755665464</v>
      </c>
      <c r="C811"/>
      <c r="D811" s="221">
        <v>43236</v>
      </c>
      <c r="E811" s="222">
        <v>116.4952</v>
      </c>
      <c r="F811" s="222">
        <v>102.06829999999999</v>
      </c>
      <c r="G811" s="222">
        <v>82.420400000000001</v>
      </c>
      <c r="H811"/>
      <c r="I811" s="221">
        <v>43236</v>
      </c>
      <c r="J811" s="222">
        <v>102.06829999999999</v>
      </c>
      <c r="K811" s="222">
        <v>14.1882</v>
      </c>
      <c r="L811"/>
      <c r="M811"/>
      <c r="N811"/>
      <c r="O811" s="221">
        <v>43236</v>
      </c>
      <c r="P811" s="222">
        <v>41.409199999999998</v>
      </c>
      <c r="Q811" s="222">
        <v>14.1882</v>
      </c>
    </row>
    <row r="812" spans="1:17" x14ac:dyDescent="0.35">
      <c r="A812" s="221">
        <v>43235</v>
      </c>
      <c r="B812" s="222">
        <v>33.433812008259046</v>
      </c>
      <c r="C812"/>
      <c r="D812" s="221">
        <v>43235</v>
      </c>
      <c r="E812" s="222">
        <v>116.5458</v>
      </c>
      <c r="F812" s="222">
        <v>100.1708</v>
      </c>
      <c r="G812" s="222">
        <v>82.371899999999997</v>
      </c>
      <c r="H812"/>
      <c r="I812" s="221">
        <v>43235</v>
      </c>
      <c r="J812" s="222">
        <v>100.1708</v>
      </c>
      <c r="K812" s="222">
        <v>16.401199999999999</v>
      </c>
      <c r="L812"/>
      <c r="M812"/>
      <c r="N812"/>
      <c r="O812" s="221">
        <v>43235</v>
      </c>
      <c r="P812" s="222">
        <v>41.553100000000001</v>
      </c>
      <c r="Q812" s="222">
        <v>16.401199999999999</v>
      </c>
    </row>
    <row r="813" spans="1:17" x14ac:dyDescent="0.35">
      <c r="A813" s="221">
        <v>43234</v>
      </c>
      <c r="B813" s="222">
        <v>34.848552047184086</v>
      </c>
      <c r="C813"/>
      <c r="D813" s="221">
        <v>43234</v>
      </c>
      <c r="E813" s="222">
        <v>117.4263</v>
      </c>
      <c r="F813" s="222">
        <v>100</v>
      </c>
      <c r="G813" s="222">
        <v>82.179100000000005</v>
      </c>
      <c r="H813"/>
      <c r="I813" s="221">
        <v>43234</v>
      </c>
      <c r="J813" s="222">
        <v>100</v>
      </c>
      <c r="K813" s="222">
        <v>17.48</v>
      </c>
      <c r="L813"/>
      <c r="M813"/>
      <c r="N813"/>
      <c r="O813" s="221">
        <v>43234</v>
      </c>
      <c r="P813" s="222">
        <v>42.956099999999999</v>
      </c>
      <c r="Q813" s="222">
        <v>17.48</v>
      </c>
    </row>
    <row r="814" spans="1:17" x14ac:dyDescent="0.35">
      <c r="A814" s="221">
        <v>43231</v>
      </c>
      <c r="B814" s="222">
        <v>35.430879494608838</v>
      </c>
      <c r="C814"/>
      <c r="D814" s="221">
        <v>43231</v>
      </c>
      <c r="E814" s="222">
        <v>116.8479</v>
      </c>
      <c r="F814" s="222">
        <v>98.330200000000005</v>
      </c>
      <c r="G814" s="222">
        <v>82.251599999999996</v>
      </c>
      <c r="H814"/>
      <c r="I814" s="221">
        <v>43231</v>
      </c>
      <c r="J814" s="222">
        <v>98.330200000000005</v>
      </c>
      <c r="K814" s="222">
        <v>18.885100000000001</v>
      </c>
      <c r="L814"/>
      <c r="M814"/>
      <c r="N814"/>
      <c r="O814" s="221">
        <v>43231</v>
      </c>
      <c r="P814" s="222">
        <v>42.124899999999997</v>
      </c>
      <c r="Q814" s="222">
        <v>18.885100000000001</v>
      </c>
    </row>
    <row r="815" spans="1:17" x14ac:dyDescent="0.35">
      <c r="A815" s="221">
        <v>43230</v>
      </c>
      <c r="B815" s="222">
        <v>34.999017398319694</v>
      </c>
      <c r="C815"/>
      <c r="D815" s="221">
        <v>43230</v>
      </c>
      <c r="E815" s="222">
        <v>116.85850000000001</v>
      </c>
      <c r="F815" s="222">
        <v>98.444000000000003</v>
      </c>
      <c r="G815" s="222">
        <v>82.532499999999999</v>
      </c>
      <c r="H815"/>
      <c r="I815" s="221">
        <v>43230</v>
      </c>
      <c r="J815" s="222">
        <v>98.444000000000003</v>
      </c>
      <c r="K815" s="222">
        <v>18.757899999999999</v>
      </c>
      <c r="L815"/>
      <c r="M815"/>
      <c r="N815"/>
      <c r="O815" s="221">
        <v>43230</v>
      </c>
      <c r="P815" s="222">
        <v>41.653300000000002</v>
      </c>
      <c r="Q815" s="222">
        <v>18.757899999999999</v>
      </c>
    </row>
    <row r="816" spans="1:17" x14ac:dyDescent="0.35">
      <c r="A816" s="221">
        <v>43229</v>
      </c>
      <c r="B816" s="222">
        <v>34.575702895685595</v>
      </c>
      <c r="C816"/>
      <c r="D816" s="221">
        <v>43229</v>
      </c>
      <c r="E816" s="222">
        <v>116.866</v>
      </c>
      <c r="F816" s="222">
        <v>98.671700000000001</v>
      </c>
      <c r="G816" s="222">
        <v>82.7256</v>
      </c>
      <c r="H816"/>
      <c r="I816" s="221">
        <v>43229</v>
      </c>
      <c r="J816" s="222">
        <v>98.671700000000001</v>
      </c>
      <c r="K816" s="222">
        <v>18.4909</v>
      </c>
      <c r="L816"/>
      <c r="M816"/>
      <c r="N816"/>
      <c r="O816" s="221">
        <v>43229</v>
      </c>
      <c r="P816" s="222">
        <v>41.331099999999999</v>
      </c>
      <c r="Q816" s="222">
        <v>18.4909</v>
      </c>
    </row>
    <row r="817" spans="1:17" x14ac:dyDescent="0.35">
      <c r="A817" s="221">
        <v>43228</v>
      </c>
      <c r="B817" s="222">
        <v>35.400268301602928</v>
      </c>
      <c r="C817"/>
      <c r="D817" s="221">
        <v>43228</v>
      </c>
      <c r="E817" s="222">
        <v>117.11960000000001</v>
      </c>
      <c r="F817" s="222">
        <v>97.950699999999998</v>
      </c>
      <c r="G817" s="222">
        <v>82.784899999999993</v>
      </c>
      <c r="H817"/>
      <c r="I817" s="221">
        <v>43228</v>
      </c>
      <c r="J817" s="222">
        <v>97.950699999999998</v>
      </c>
      <c r="K817" s="222">
        <v>19.621400000000001</v>
      </c>
      <c r="L817"/>
      <c r="M817"/>
      <c r="N817"/>
      <c r="O817" s="221">
        <v>43228</v>
      </c>
      <c r="P817" s="222">
        <v>41.535499999999999</v>
      </c>
      <c r="Q817" s="222">
        <v>19.621400000000001</v>
      </c>
    </row>
    <row r="818" spans="1:17" x14ac:dyDescent="0.35">
      <c r="A818" s="221">
        <v>43227</v>
      </c>
      <c r="B818" s="222">
        <v>37.214088111194968</v>
      </c>
      <c r="C818"/>
      <c r="D818" s="221">
        <v>43227</v>
      </c>
      <c r="E818" s="222">
        <v>116.45010000000001</v>
      </c>
      <c r="F818" s="222">
        <v>94.800700000000006</v>
      </c>
      <c r="G818" s="222">
        <v>82.794899999999998</v>
      </c>
      <c r="H818"/>
      <c r="I818" s="221">
        <v>43227</v>
      </c>
      <c r="J818" s="222">
        <v>94.800700000000006</v>
      </c>
      <c r="K818" s="222">
        <v>22.889399999999998</v>
      </c>
      <c r="L818"/>
      <c r="M818"/>
      <c r="N818"/>
      <c r="O818" s="221">
        <v>43227</v>
      </c>
      <c r="P818" s="222">
        <v>40.709099999999999</v>
      </c>
      <c r="Q818" s="222">
        <v>22.889399999999998</v>
      </c>
    </row>
    <row r="819" spans="1:17" x14ac:dyDescent="0.35">
      <c r="A819" s="221">
        <v>43224</v>
      </c>
      <c r="B819" s="222">
        <v>38.784197894184324</v>
      </c>
      <c r="C819"/>
      <c r="D819" s="221">
        <v>43224</v>
      </c>
      <c r="E819" s="222">
        <v>116.0518</v>
      </c>
      <c r="F819" s="222">
        <v>92.390900000000002</v>
      </c>
      <c r="G819" s="222">
        <v>82.762500000000003</v>
      </c>
      <c r="H819"/>
      <c r="I819" s="221">
        <v>43224</v>
      </c>
      <c r="J819" s="222">
        <v>92.390900000000002</v>
      </c>
      <c r="K819" s="222">
        <v>25.6617</v>
      </c>
      <c r="L819"/>
      <c r="M819"/>
      <c r="N819"/>
      <c r="O819" s="221">
        <v>43224</v>
      </c>
      <c r="P819" s="222">
        <v>40.280900000000003</v>
      </c>
      <c r="Q819" s="222">
        <v>25.6617</v>
      </c>
    </row>
    <row r="820" spans="1:17" x14ac:dyDescent="0.35">
      <c r="A820" s="221">
        <v>43223</v>
      </c>
      <c r="B820" s="222">
        <v>37.41937378159205</v>
      </c>
      <c r="C820"/>
      <c r="D820" s="221">
        <v>43223</v>
      </c>
      <c r="E820" s="222">
        <v>115.6523</v>
      </c>
      <c r="F820" s="222">
        <v>92.979100000000003</v>
      </c>
      <c r="G820" s="222">
        <v>83.038899999999998</v>
      </c>
      <c r="H820"/>
      <c r="I820" s="221">
        <v>43223</v>
      </c>
      <c r="J820" s="222">
        <v>92.979100000000003</v>
      </c>
      <c r="K820" s="222">
        <v>24.436599999999999</v>
      </c>
      <c r="L820"/>
      <c r="M820"/>
      <c r="N820"/>
      <c r="O820" s="221">
        <v>43223</v>
      </c>
      <c r="P820" s="222">
        <v>39.332299999999996</v>
      </c>
      <c r="Q820" s="222">
        <v>24.436599999999999</v>
      </c>
    </row>
    <row r="821" spans="1:17" x14ac:dyDescent="0.35">
      <c r="A821" s="221">
        <v>43222</v>
      </c>
      <c r="B821" s="222">
        <v>38.524150707702219</v>
      </c>
      <c r="C821"/>
      <c r="D821" s="221">
        <v>43222</v>
      </c>
      <c r="E821" s="222">
        <v>114.1529</v>
      </c>
      <c r="F821" s="222">
        <v>89.582499999999996</v>
      </c>
      <c r="G821" s="222">
        <v>82.947699999999998</v>
      </c>
      <c r="H821"/>
      <c r="I821" s="221">
        <v>43222</v>
      </c>
      <c r="J821" s="222">
        <v>89.582499999999996</v>
      </c>
      <c r="K821" s="222">
        <v>27.4803</v>
      </c>
      <c r="L821"/>
      <c r="M821"/>
      <c r="N821"/>
      <c r="O821" s="221">
        <v>43222</v>
      </c>
      <c r="P821" s="222">
        <v>37.677100000000003</v>
      </c>
      <c r="Q821" s="222">
        <v>27.4803</v>
      </c>
    </row>
    <row r="822" spans="1:17" x14ac:dyDescent="0.35">
      <c r="A822" s="221">
        <v>43217</v>
      </c>
      <c r="B822" s="222">
        <v>40.954796934291643</v>
      </c>
      <c r="C822"/>
      <c r="D822" s="221">
        <v>43217</v>
      </c>
      <c r="E822" s="222">
        <v>115.4556</v>
      </c>
      <c r="F822" s="222">
        <v>88.614800000000002</v>
      </c>
      <c r="G822" s="222">
        <v>82.9726</v>
      </c>
      <c r="H822"/>
      <c r="I822" s="221">
        <v>43217</v>
      </c>
      <c r="J822" s="222">
        <v>88.614800000000002</v>
      </c>
      <c r="K822" s="222">
        <v>30.339400000000001</v>
      </c>
      <c r="L822"/>
      <c r="M822"/>
      <c r="N822"/>
      <c r="O822" s="221">
        <v>43217</v>
      </c>
      <c r="P822" s="222">
        <v>39.202599999999997</v>
      </c>
      <c r="Q822" s="222">
        <v>30.339400000000001</v>
      </c>
    </row>
    <row r="823" spans="1:17" x14ac:dyDescent="0.35">
      <c r="A823" s="221">
        <v>43216</v>
      </c>
      <c r="B823" s="222">
        <v>37.429348949744693</v>
      </c>
      <c r="C823"/>
      <c r="D823" s="221">
        <v>43216</v>
      </c>
      <c r="E823" s="222">
        <v>113.5462</v>
      </c>
      <c r="F823" s="222">
        <v>89.715400000000002</v>
      </c>
      <c r="G823" s="222">
        <v>83.057400000000001</v>
      </c>
      <c r="H823"/>
      <c r="I823" s="221">
        <v>43216</v>
      </c>
      <c r="J823" s="222">
        <v>89.715400000000002</v>
      </c>
      <c r="K823" s="222">
        <v>26.611499999999999</v>
      </c>
      <c r="L823"/>
      <c r="M823"/>
      <c r="N823"/>
      <c r="O823" s="221">
        <v>43216</v>
      </c>
      <c r="P823" s="222">
        <v>36.760800000000003</v>
      </c>
      <c r="Q823" s="222">
        <v>26.611499999999999</v>
      </c>
    </row>
    <row r="824" spans="1:17" x14ac:dyDescent="0.35">
      <c r="A824" s="221">
        <v>43215</v>
      </c>
      <c r="B824" s="222">
        <v>37.354587660566125</v>
      </c>
      <c r="C824"/>
      <c r="D824" s="221">
        <v>43215</v>
      </c>
      <c r="E824" s="222">
        <v>113.8687</v>
      </c>
      <c r="F824" s="222">
        <v>90.284599999999998</v>
      </c>
      <c r="G824" s="222">
        <v>83.047799999999995</v>
      </c>
      <c r="H824"/>
      <c r="I824" s="221">
        <v>43215</v>
      </c>
      <c r="J824" s="222">
        <v>90.284599999999998</v>
      </c>
      <c r="K824" s="222">
        <v>26.169899999999998</v>
      </c>
      <c r="L824"/>
      <c r="M824"/>
      <c r="N824"/>
      <c r="O824" s="221">
        <v>43215</v>
      </c>
      <c r="P824" s="222">
        <v>37.164400000000001</v>
      </c>
      <c r="Q824" s="222">
        <v>26.169899999999998</v>
      </c>
    </row>
    <row r="825" spans="1:17" x14ac:dyDescent="0.35">
      <c r="A825" s="221">
        <v>43214</v>
      </c>
      <c r="B825" s="222">
        <v>36.171090206008998</v>
      </c>
      <c r="C825"/>
      <c r="D825" s="221">
        <v>43214</v>
      </c>
      <c r="E825" s="222">
        <v>114.8663</v>
      </c>
      <c r="F825" s="222">
        <v>92.979100000000003</v>
      </c>
      <c r="G825" s="222">
        <v>83.176299999999998</v>
      </c>
      <c r="H825"/>
      <c r="I825" s="221">
        <v>43214</v>
      </c>
      <c r="J825" s="222">
        <v>92.979100000000003</v>
      </c>
      <c r="K825" s="222">
        <v>23.585799999999999</v>
      </c>
      <c r="L825"/>
      <c r="M825"/>
      <c r="N825"/>
      <c r="O825" s="221">
        <v>43214</v>
      </c>
      <c r="P825" s="222">
        <v>38.1511</v>
      </c>
      <c r="Q825" s="222">
        <v>23.585799999999999</v>
      </c>
    </row>
    <row r="826" spans="1:17" x14ac:dyDescent="0.35">
      <c r="A826" s="221">
        <v>43213</v>
      </c>
      <c r="B826" s="222">
        <v>35.481201235790564</v>
      </c>
      <c r="C826"/>
      <c r="D826" s="221">
        <v>43213</v>
      </c>
      <c r="E826" s="222">
        <v>114.15779999999999</v>
      </c>
      <c r="F826" s="222">
        <v>92.6755</v>
      </c>
      <c r="G826" s="222">
        <v>83.218500000000006</v>
      </c>
      <c r="H826"/>
      <c r="I826" s="221">
        <v>43213</v>
      </c>
      <c r="J826" s="222">
        <v>92.6755</v>
      </c>
      <c r="K826" s="222">
        <v>23.2257</v>
      </c>
      <c r="L826"/>
      <c r="M826"/>
      <c r="N826"/>
      <c r="O826" s="221">
        <v>43213</v>
      </c>
      <c r="P826" s="222">
        <v>37.229100000000003</v>
      </c>
      <c r="Q826" s="222">
        <v>23.2257</v>
      </c>
    </row>
    <row r="827" spans="1:17" x14ac:dyDescent="0.35">
      <c r="A827" s="221">
        <v>43210</v>
      </c>
      <c r="B827" s="222">
        <v>33.860890896137789</v>
      </c>
      <c r="C827"/>
      <c r="D827" s="221">
        <v>43210</v>
      </c>
      <c r="E827" s="222">
        <v>117.45950000000001</v>
      </c>
      <c r="F827" s="222">
        <v>99.487700000000004</v>
      </c>
      <c r="G827" s="222">
        <v>83.183499999999995</v>
      </c>
      <c r="H827"/>
      <c r="I827" s="221">
        <v>43210</v>
      </c>
      <c r="J827" s="222">
        <v>99.487700000000004</v>
      </c>
      <c r="K827" s="222">
        <v>18.1051</v>
      </c>
      <c r="L827"/>
      <c r="M827"/>
      <c r="N827"/>
      <c r="O827" s="221">
        <v>43210</v>
      </c>
      <c r="P827" s="222">
        <v>41.253999999999998</v>
      </c>
      <c r="Q827" s="222">
        <v>18.1051</v>
      </c>
    </row>
    <row r="828" spans="1:17" x14ac:dyDescent="0.35">
      <c r="A828" s="221">
        <v>43209</v>
      </c>
      <c r="B828" s="222">
        <v>33.765346737418959</v>
      </c>
      <c r="C828"/>
      <c r="D828" s="221">
        <v>43209</v>
      </c>
      <c r="E828" s="222">
        <v>117.661</v>
      </c>
      <c r="F828" s="222">
        <v>99.905100000000004</v>
      </c>
      <c r="G828" s="222">
        <v>83.165599999999998</v>
      </c>
      <c r="H828"/>
      <c r="I828" s="221">
        <v>43209</v>
      </c>
      <c r="J828" s="222">
        <v>99.905100000000004</v>
      </c>
      <c r="K828" s="222">
        <v>17.812799999999999</v>
      </c>
      <c r="L828"/>
      <c r="M828"/>
      <c r="N828"/>
      <c r="O828" s="221">
        <v>43209</v>
      </c>
      <c r="P828" s="222">
        <v>41.5261</v>
      </c>
      <c r="Q828" s="222">
        <v>17.812799999999999</v>
      </c>
    </row>
    <row r="829" spans="1:17" x14ac:dyDescent="0.35">
      <c r="A829" s="221">
        <v>43208</v>
      </c>
      <c r="B829" s="222">
        <v>33.544816927868524</v>
      </c>
      <c r="C829"/>
      <c r="D829" s="221">
        <v>43208</v>
      </c>
      <c r="E829" s="222">
        <v>115.6705</v>
      </c>
      <c r="F829" s="222">
        <v>97.191599999999994</v>
      </c>
      <c r="G829" s="222">
        <v>83.225499999999997</v>
      </c>
      <c r="H829"/>
      <c r="I829" s="221">
        <v>43208</v>
      </c>
      <c r="J829" s="222">
        <v>97.191599999999994</v>
      </c>
      <c r="K829" s="222">
        <v>19.0535</v>
      </c>
      <c r="L829"/>
      <c r="M829"/>
      <c r="N829"/>
      <c r="O829" s="221">
        <v>43208</v>
      </c>
      <c r="P829" s="222">
        <v>39.0319</v>
      </c>
      <c r="Q829" s="222">
        <v>19.0535</v>
      </c>
    </row>
    <row r="830" spans="1:17" x14ac:dyDescent="0.35">
      <c r="A830" s="221">
        <v>43207</v>
      </c>
      <c r="B830" s="222">
        <v>34.858694429969326</v>
      </c>
      <c r="C830"/>
      <c r="D830" s="221">
        <v>43207</v>
      </c>
      <c r="E830" s="222">
        <v>115.6611</v>
      </c>
      <c r="F830" s="222">
        <v>96.963899999999995</v>
      </c>
      <c r="G830" s="222">
        <v>82.269499999999994</v>
      </c>
      <c r="H830"/>
      <c r="I830" s="221">
        <v>43207</v>
      </c>
      <c r="J830" s="222">
        <v>96.963899999999995</v>
      </c>
      <c r="K830" s="222">
        <v>19.322800000000001</v>
      </c>
      <c r="L830"/>
      <c r="M830"/>
      <c r="N830"/>
      <c r="O830" s="221">
        <v>43207</v>
      </c>
      <c r="P830" s="222">
        <v>40.635399999999997</v>
      </c>
      <c r="Q830" s="222">
        <v>19.322800000000001</v>
      </c>
    </row>
    <row r="831" spans="1:17" x14ac:dyDescent="0.35">
      <c r="A831" s="221">
        <v>43206</v>
      </c>
      <c r="B831" s="222">
        <v>31.442446753749209</v>
      </c>
      <c r="C831"/>
      <c r="D831" s="221">
        <v>43206</v>
      </c>
      <c r="E831" s="222">
        <v>117.9716</v>
      </c>
      <c r="F831" s="222">
        <v>104.74379999999999</v>
      </c>
      <c r="G831" s="222">
        <v>82.032799999999995</v>
      </c>
      <c r="H831"/>
      <c r="I831" s="221">
        <v>43206</v>
      </c>
      <c r="J831" s="222">
        <v>104.74379999999999</v>
      </c>
      <c r="K831" s="222">
        <v>12.6654</v>
      </c>
      <c r="L831"/>
      <c r="M831"/>
      <c r="N831"/>
      <c r="O831" s="221">
        <v>43206</v>
      </c>
      <c r="P831" s="222">
        <v>43.857100000000003</v>
      </c>
      <c r="Q831" s="222">
        <v>12.6654</v>
      </c>
    </row>
    <row r="832" spans="1:17" x14ac:dyDescent="0.35">
      <c r="A832" s="221">
        <v>43203</v>
      </c>
      <c r="B832" s="222">
        <v>33.286675479124924</v>
      </c>
      <c r="C832"/>
      <c r="D832" s="221">
        <v>43203</v>
      </c>
      <c r="E832" s="222">
        <v>117.6433</v>
      </c>
      <c r="F832" s="222">
        <v>104.4212</v>
      </c>
      <c r="G832" s="222">
        <v>80.320800000000006</v>
      </c>
      <c r="H832"/>
      <c r="I832" s="221">
        <v>43203</v>
      </c>
      <c r="J832" s="222">
        <v>104.4212</v>
      </c>
      <c r="K832" s="222">
        <v>12.6974</v>
      </c>
      <c r="L832"/>
      <c r="M832"/>
      <c r="N832"/>
      <c r="O832" s="221">
        <v>43203</v>
      </c>
      <c r="P832" s="222">
        <v>46.512500000000003</v>
      </c>
      <c r="Q832" s="222">
        <v>12.6974</v>
      </c>
    </row>
    <row r="833" spans="1:17" x14ac:dyDescent="0.35">
      <c r="A833" s="221">
        <v>43202</v>
      </c>
      <c r="B833" s="222">
        <v>32.34122831606421</v>
      </c>
      <c r="C833"/>
      <c r="D833" s="221">
        <v>43202</v>
      </c>
      <c r="E833" s="222">
        <v>118.47880000000001</v>
      </c>
      <c r="F833" s="222">
        <v>104.55410000000001</v>
      </c>
      <c r="G833" s="222">
        <v>81.864999999999995</v>
      </c>
      <c r="H833"/>
      <c r="I833" s="221">
        <v>43202</v>
      </c>
      <c r="J833" s="222">
        <v>104.55410000000001</v>
      </c>
      <c r="K833" s="222">
        <v>13.3528</v>
      </c>
      <c r="L833"/>
      <c r="M833"/>
      <c r="N833"/>
      <c r="O833" s="221">
        <v>43202</v>
      </c>
      <c r="P833" s="222">
        <v>44.768799999999999</v>
      </c>
      <c r="Q833" s="222">
        <v>13.3528</v>
      </c>
    </row>
    <row r="834" spans="1:17" x14ac:dyDescent="0.35">
      <c r="A834" s="221">
        <v>43201</v>
      </c>
      <c r="B834" s="222">
        <v>32.873592029585595</v>
      </c>
      <c r="C834"/>
      <c r="D834" s="221">
        <v>43201</v>
      </c>
      <c r="E834" s="222">
        <v>118.9644</v>
      </c>
      <c r="F834" s="222">
        <v>104.55410000000001</v>
      </c>
      <c r="G834" s="222">
        <v>81.883499999999998</v>
      </c>
      <c r="H834"/>
      <c r="I834" s="221">
        <v>43201</v>
      </c>
      <c r="J834" s="222">
        <v>104.55410000000001</v>
      </c>
      <c r="K834" s="222">
        <v>13.816700000000001</v>
      </c>
      <c r="L834"/>
      <c r="M834"/>
      <c r="N834"/>
      <c r="O834" s="221">
        <v>43201</v>
      </c>
      <c r="P834" s="222">
        <v>45.328400000000002</v>
      </c>
      <c r="Q834" s="222">
        <v>13.816700000000001</v>
      </c>
    </row>
    <row r="835" spans="1:17" x14ac:dyDescent="0.35">
      <c r="A835" s="221">
        <v>43200</v>
      </c>
      <c r="B835" s="222">
        <v>33.272501184930746</v>
      </c>
      <c r="C835"/>
      <c r="D835" s="221">
        <v>43200</v>
      </c>
      <c r="E835" s="222">
        <v>118.4729</v>
      </c>
      <c r="F835" s="222">
        <v>103.3776</v>
      </c>
      <c r="G835" s="222">
        <v>81.88</v>
      </c>
      <c r="H835"/>
      <c r="I835" s="221">
        <v>43200</v>
      </c>
      <c r="J835" s="222">
        <v>103.3776</v>
      </c>
      <c r="K835" s="222">
        <v>14.636100000000001</v>
      </c>
      <c r="L835"/>
      <c r="M835"/>
      <c r="N835"/>
      <c r="O835" s="221">
        <v>43200</v>
      </c>
      <c r="P835" s="222">
        <v>44.733800000000002</v>
      </c>
      <c r="Q835" s="222">
        <v>14.636100000000001</v>
      </c>
    </row>
    <row r="836" spans="1:17" x14ac:dyDescent="0.35">
      <c r="A836" s="221">
        <v>43199</v>
      </c>
      <c r="B836" s="222">
        <v>35.076826746486525</v>
      </c>
      <c r="C836"/>
      <c r="D836" s="221">
        <v>43199</v>
      </c>
      <c r="E836" s="222">
        <v>117.87949999999999</v>
      </c>
      <c r="F836" s="222">
        <v>100.5692</v>
      </c>
      <c r="G836" s="222">
        <v>81.7303</v>
      </c>
      <c r="H836"/>
      <c r="I836" s="221">
        <v>43199</v>
      </c>
      <c r="J836" s="222">
        <v>100.5692</v>
      </c>
      <c r="K836" s="222">
        <v>17.246600000000001</v>
      </c>
      <c r="L836"/>
      <c r="M836"/>
      <c r="N836"/>
      <c r="O836" s="221">
        <v>43199</v>
      </c>
      <c r="P836" s="222">
        <v>44.272100000000002</v>
      </c>
      <c r="Q836" s="222">
        <v>17.246600000000001</v>
      </c>
    </row>
    <row r="837" spans="1:17" x14ac:dyDescent="0.35">
      <c r="A837" s="221">
        <v>43194</v>
      </c>
      <c r="B837" s="222">
        <v>35.760941825798461</v>
      </c>
      <c r="C837"/>
      <c r="D837" s="221">
        <v>43194</v>
      </c>
      <c r="E837" s="222">
        <v>118.5582</v>
      </c>
      <c r="F837" s="222">
        <v>100.6641</v>
      </c>
      <c r="G837" s="222">
        <v>81.720699999999994</v>
      </c>
      <c r="H837"/>
      <c r="I837" s="221">
        <v>43194</v>
      </c>
      <c r="J837" s="222">
        <v>100.6641</v>
      </c>
      <c r="K837" s="222">
        <v>17.807600000000001</v>
      </c>
      <c r="L837"/>
      <c r="M837"/>
      <c r="N837"/>
      <c r="O837" s="221">
        <v>43194</v>
      </c>
      <c r="P837" s="222">
        <v>45.116199999999999</v>
      </c>
      <c r="Q837" s="222">
        <v>17.807600000000001</v>
      </c>
    </row>
    <row r="838" spans="1:17" x14ac:dyDescent="0.35">
      <c r="A838" s="221">
        <v>43193</v>
      </c>
      <c r="B838" s="222">
        <v>33.665098693522822</v>
      </c>
      <c r="C838"/>
      <c r="D838" s="221">
        <v>43193</v>
      </c>
      <c r="E838" s="222">
        <v>118.5488</v>
      </c>
      <c r="F838" s="222">
        <v>103.41549999999999</v>
      </c>
      <c r="G838" s="222">
        <v>81.529700000000005</v>
      </c>
      <c r="H838"/>
      <c r="I838" s="221">
        <v>43193</v>
      </c>
      <c r="J838" s="222">
        <v>103.41549999999999</v>
      </c>
      <c r="K838" s="222">
        <v>14.6637</v>
      </c>
      <c r="L838"/>
      <c r="M838"/>
      <c r="N838"/>
      <c r="O838" s="221">
        <v>43193</v>
      </c>
      <c r="P838" s="222">
        <v>45.443899999999999</v>
      </c>
      <c r="Q838" s="222">
        <v>14.6637</v>
      </c>
    </row>
    <row r="839" spans="1:17" x14ac:dyDescent="0.35">
      <c r="A839" s="221">
        <v>43192</v>
      </c>
      <c r="B839" s="222">
        <v>33.608359638309139</v>
      </c>
      <c r="C839"/>
      <c r="D839" s="221">
        <v>43192</v>
      </c>
      <c r="E839" s="222">
        <v>118.4593</v>
      </c>
      <c r="F839" s="222">
        <v>103.6812</v>
      </c>
      <c r="G839" s="222">
        <v>81.292100000000005</v>
      </c>
      <c r="H839"/>
      <c r="I839" s="221">
        <v>43192</v>
      </c>
      <c r="J839" s="222">
        <v>103.6812</v>
      </c>
      <c r="K839" s="222">
        <v>14.282999999999999</v>
      </c>
      <c r="L839"/>
      <c r="M839"/>
      <c r="N839"/>
      <c r="O839" s="221">
        <v>43192</v>
      </c>
      <c r="P839" s="222">
        <v>45.758299999999998</v>
      </c>
      <c r="Q839" s="222">
        <v>14.282999999999999</v>
      </c>
    </row>
    <row r="840" spans="1:17" x14ac:dyDescent="0.35">
      <c r="A840" s="221">
        <v>43189</v>
      </c>
      <c r="B840" s="222">
        <v>31.798591837548951</v>
      </c>
      <c r="C840"/>
      <c r="D840" s="221">
        <v>43189</v>
      </c>
      <c r="E840" s="222">
        <v>117.071</v>
      </c>
      <c r="F840" s="222">
        <v>103.79510000000001</v>
      </c>
      <c r="G840" s="222">
        <v>81.352500000000006</v>
      </c>
      <c r="H840"/>
      <c r="I840" s="221">
        <v>43189</v>
      </c>
      <c r="J840" s="222">
        <v>103.79510000000001</v>
      </c>
      <c r="K840" s="222">
        <v>12.8184</v>
      </c>
      <c r="L840"/>
      <c r="M840"/>
      <c r="N840"/>
      <c r="O840" s="221">
        <v>43189</v>
      </c>
      <c r="P840" s="222">
        <v>43.941499999999998</v>
      </c>
      <c r="Q840" s="222">
        <v>12.8184</v>
      </c>
    </row>
    <row r="841" spans="1:17" x14ac:dyDescent="0.35">
      <c r="A841" s="221">
        <v>43188</v>
      </c>
      <c r="B841" s="222">
        <v>31.988702190606844</v>
      </c>
      <c r="C841"/>
      <c r="D841" s="221">
        <v>43188</v>
      </c>
      <c r="E841" s="222">
        <v>114.7715</v>
      </c>
      <c r="F841" s="222">
        <v>100.37949999999999</v>
      </c>
      <c r="G841" s="222">
        <v>81.274299999999997</v>
      </c>
      <c r="H841"/>
      <c r="I841" s="221">
        <v>43188</v>
      </c>
      <c r="J841" s="222">
        <v>100.37949999999999</v>
      </c>
      <c r="K841" s="222">
        <v>14.366</v>
      </c>
      <c r="L841"/>
      <c r="M841"/>
      <c r="N841"/>
      <c r="O841" s="221">
        <v>43188</v>
      </c>
      <c r="P841" s="222">
        <v>41.250100000000003</v>
      </c>
      <c r="Q841" s="222">
        <v>14.366</v>
      </c>
    </row>
    <row r="842" spans="1:17" x14ac:dyDescent="0.35">
      <c r="A842" s="221">
        <v>43187</v>
      </c>
      <c r="B842" s="222">
        <v>32.290130178933559</v>
      </c>
      <c r="C842"/>
      <c r="D842" s="221">
        <v>43187</v>
      </c>
      <c r="E842" s="222">
        <v>115.0271</v>
      </c>
      <c r="F842" s="222">
        <v>100.37949999999999</v>
      </c>
      <c r="G842" s="222">
        <v>81.264200000000002</v>
      </c>
      <c r="H842"/>
      <c r="I842" s="221">
        <v>43187</v>
      </c>
      <c r="J842" s="222">
        <v>100.37949999999999</v>
      </c>
      <c r="K842" s="222">
        <v>14.62</v>
      </c>
      <c r="L842"/>
      <c r="M842"/>
      <c r="N842"/>
      <c r="O842" s="221">
        <v>43187</v>
      </c>
      <c r="P842" s="222">
        <v>41.581400000000002</v>
      </c>
      <c r="Q842" s="222">
        <v>14.62</v>
      </c>
    </row>
    <row r="843" spans="1:17" x14ac:dyDescent="0.35">
      <c r="A843" s="221">
        <v>43186</v>
      </c>
      <c r="B843" s="222">
        <v>32.202371882917262</v>
      </c>
      <c r="C843"/>
      <c r="D843" s="221">
        <v>43186</v>
      </c>
      <c r="E843" s="222">
        <v>117.5226</v>
      </c>
      <c r="F843" s="222">
        <v>104.0607</v>
      </c>
      <c r="G843" s="222">
        <v>81.241200000000006</v>
      </c>
      <c r="H843"/>
      <c r="I843" s="221">
        <v>43186</v>
      </c>
      <c r="J843" s="222">
        <v>104.0607</v>
      </c>
      <c r="K843" s="222">
        <v>12.962899999999999</v>
      </c>
      <c r="L843"/>
      <c r="M843"/>
      <c r="N843"/>
      <c r="O843" s="221">
        <v>43186</v>
      </c>
      <c r="P843" s="222">
        <v>44.692599999999999</v>
      </c>
      <c r="Q843" s="222">
        <v>12.962899999999999</v>
      </c>
    </row>
    <row r="844" spans="1:17" x14ac:dyDescent="0.35">
      <c r="A844" s="221">
        <v>43185</v>
      </c>
      <c r="B844" s="222">
        <v>32.708468154269077</v>
      </c>
      <c r="C844"/>
      <c r="D844" s="221">
        <v>43185</v>
      </c>
      <c r="E844" s="222">
        <v>116.72320000000001</v>
      </c>
      <c r="F844" s="222">
        <v>102.18219999999999</v>
      </c>
      <c r="G844" s="222">
        <v>81.325500000000005</v>
      </c>
      <c r="H844"/>
      <c r="I844" s="221">
        <v>43185</v>
      </c>
      <c r="J844" s="222">
        <v>102.18219999999999</v>
      </c>
      <c r="K844" s="222">
        <v>14.2567</v>
      </c>
      <c r="L844"/>
      <c r="M844"/>
      <c r="N844"/>
      <c r="O844" s="221">
        <v>43185</v>
      </c>
      <c r="P844" s="222">
        <v>43.558900000000001</v>
      </c>
      <c r="Q844" s="222">
        <v>14.2567</v>
      </c>
    </row>
    <row r="845" spans="1:17" x14ac:dyDescent="0.35">
      <c r="A845" s="221">
        <v>43182</v>
      </c>
      <c r="B845" s="222">
        <v>34.172330423270751</v>
      </c>
      <c r="C845"/>
      <c r="D845" s="221">
        <v>43182</v>
      </c>
      <c r="E845" s="222">
        <v>115.8548</v>
      </c>
      <c r="F845" s="222">
        <v>99.146100000000004</v>
      </c>
      <c r="G845" s="222">
        <v>81.310699999999997</v>
      </c>
      <c r="H845"/>
      <c r="I845" s="221">
        <v>43182</v>
      </c>
      <c r="J845" s="222">
        <v>99.146100000000004</v>
      </c>
      <c r="K845" s="222">
        <v>16.878</v>
      </c>
      <c r="L845"/>
      <c r="M845"/>
      <c r="N845"/>
      <c r="O845" s="221">
        <v>43182</v>
      </c>
      <c r="P845" s="222">
        <v>42.515099999999997</v>
      </c>
      <c r="Q845" s="222">
        <v>16.878</v>
      </c>
    </row>
    <row r="846" spans="1:17" x14ac:dyDescent="0.35">
      <c r="A846" s="221">
        <v>43181</v>
      </c>
      <c r="B846" s="222">
        <v>34.265086125199865</v>
      </c>
      <c r="C846"/>
      <c r="D846" s="221">
        <v>43181</v>
      </c>
      <c r="E846" s="222">
        <v>117.4753</v>
      </c>
      <c r="F846" s="222">
        <v>102.18219999999999</v>
      </c>
      <c r="G846" s="222">
        <v>80.715500000000006</v>
      </c>
      <c r="H846"/>
      <c r="I846" s="221">
        <v>43181</v>
      </c>
      <c r="J846" s="222">
        <v>102.18219999999999</v>
      </c>
      <c r="K846" s="222">
        <v>14.9907</v>
      </c>
      <c r="L846"/>
      <c r="M846"/>
      <c r="N846"/>
      <c r="O846" s="221">
        <v>43181</v>
      </c>
      <c r="P846" s="222">
        <v>45.573</v>
      </c>
      <c r="Q846" s="222">
        <v>14.9907</v>
      </c>
    </row>
    <row r="847" spans="1:17" x14ac:dyDescent="0.35">
      <c r="A847" s="221">
        <v>43180</v>
      </c>
      <c r="B847" s="222">
        <v>31.968741540798305</v>
      </c>
      <c r="C847"/>
      <c r="D847" s="221">
        <v>43180</v>
      </c>
      <c r="E847" s="222">
        <v>118.8959</v>
      </c>
      <c r="F847" s="222">
        <v>107.2865</v>
      </c>
      <c r="G847" s="222">
        <v>80.453000000000003</v>
      </c>
      <c r="H847"/>
      <c r="I847" s="221">
        <v>43180</v>
      </c>
      <c r="J847" s="222">
        <v>107.2865</v>
      </c>
      <c r="K847" s="222">
        <v>10.843400000000001</v>
      </c>
      <c r="L847"/>
      <c r="M847"/>
      <c r="N847"/>
      <c r="O847" s="221">
        <v>43180</v>
      </c>
      <c r="P847" s="222">
        <v>47.813000000000002</v>
      </c>
      <c r="Q847" s="222">
        <v>10.843400000000001</v>
      </c>
    </row>
    <row r="848" spans="1:17" x14ac:dyDescent="0.35">
      <c r="A848" s="221">
        <v>43179</v>
      </c>
      <c r="B848" s="222">
        <v>31.527169948473627</v>
      </c>
      <c r="C848"/>
      <c r="D848" s="221">
        <v>43179</v>
      </c>
      <c r="E848" s="222">
        <v>119.0964</v>
      </c>
      <c r="F848" s="222">
        <v>108.1973</v>
      </c>
      <c r="G848" s="222">
        <v>80.370900000000006</v>
      </c>
      <c r="H848"/>
      <c r="I848" s="221">
        <v>43179</v>
      </c>
      <c r="J848" s="222">
        <v>108.1973</v>
      </c>
      <c r="K848" s="222">
        <v>10.0952</v>
      </c>
      <c r="L848"/>
      <c r="M848"/>
      <c r="N848"/>
      <c r="O848" s="221">
        <v>43179</v>
      </c>
      <c r="P848" s="222">
        <v>48.212800000000001</v>
      </c>
      <c r="Q848" s="222">
        <v>10.0952</v>
      </c>
    </row>
    <row r="849" spans="1:17" x14ac:dyDescent="0.35">
      <c r="A849" s="221">
        <v>43178</v>
      </c>
      <c r="B849" s="222">
        <v>32.468683650058203</v>
      </c>
      <c r="C849"/>
      <c r="D849" s="221">
        <v>43178</v>
      </c>
      <c r="E849" s="222">
        <v>119.685</v>
      </c>
      <c r="F849" s="222">
        <v>107.9696</v>
      </c>
      <c r="G849" s="222">
        <v>80.294399999999996</v>
      </c>
      <c r="H849"/>
      <c r="I849" s="221">
        <v>43178</v>
      </c>
      <c r="J849" s="222">
        <v>107.9696</v>
      </c>
      <c r="K849" s="222">
        <v>10.8719</v>
      </c>
      <c r="L849"/>
      <c r="M849"/>
      <c r="N849"/>
      <c r="O849" s="221">
        <v>43178</v>
      </c>
      <c r="P849" s="222">
        <v>49.086399999999998</v>
      </c>
      <c r="Q849" s="222">
        <v>10.8719</v>
      </c>
    </row>
    <row r="850" spans="1:17" x14ac:dyDescent="0.35">
      <c r="A850" s="221">
        <v>43175</v>
      </c>
      <c r="B850" s="222">
        <v>32.647742475732791</v>
      </c>
      <c r="C850"/>
      <c r="D850" s="221">
        <v>43175</v>
      </c>
      <c r="E850" s="222">
        <v>119.87860000000001</v>
      </c>
      <c r="F850" s="222">
        <v>107.9696</v>
      </c>
      <c r="G850" s="222">
        <v>80.306100000000001</v>
      </c>
      <c r="H850"/>
      <c r="I850" s="221">
        <v>43175</v>
      </c>
      <c r="J850" s="222">
        <v>107.9696</v>
      </c>
      <c r="K850" s="222">
        <v>11.049799999999999</v>
      </c>
      <c r="L850"/>
      <c r="M850"/>
      <c r="N850"/>
      <c r="O850" s="221">
        <v>43175</v>
      </c>
      <c r="P850" s="222">
        <v>49.303699999999999</v>
      </c>
      <c r="Q850" s="222">
        <v>11.049799999999999</v>
      </c>
    </row>
    <row r="851" spans="1:17" x14ac:dyDescent="0.35">
      <c r="A851" s="221">
        <v>43174</v>
      </c>
      <c r="B851" s="222">
        <v>30.417587141562059</v>
      </c>
      <c r="C851"/>
      <c r="D851" s="221">
        <v>43174</v>
      </c>
      <c r="E851" s="222">
        <v>119.5292</v>
      </c>
      <c r="F851" s="222">
        <v>110.03789999999999</v>
      </c>
      <c r="G851" s="222">
        <v>80.409400000000005</v>
      </c>
      <c r="H851"/>
      <c r="I851" s="221">
        <v>43174</v>
      </c>
      <c r="J851" s="222">
        <v>110.03789999999999</v>
      </c>
      <c r="K851" s="222">
        <v>8.6443999999999992</v>
      </c>
      <c r="L851"/>
      <c r="M851"/>
      <c r="N851"/>
      <c r="O851" s="221">
        <v>43174</v>
      </c>
      <c r="P851" s="222">
        <v>48.676600000000001</v>
      </c>
      <c r="Q851" s="222">
        <v>8.6443999999999992</v>
      </c>
    </row>
    <row r="852" spans="1:17" x14ac:dyDescent="0.35">
      <c r="A852" s="221">
        <v>43173</v>
      </c>
      <c r="B852" s="222">
        <v>29.425943975331208</v>
      </c>
      <c r="C852"/>
      <c r="D852" s="221">
        <v>43173</v>
      </c>
      <c r="E852" s="222">
        <v>119.1297</v>
      </c>
      <c r="F852" s="222">
        <v>110.6641</v>
      </c>
      <c r="G852" s="222">
        <v>80.401300000000006</v>
      </c>
      <c r="H852"/>
      <c r="I852" s="221">
        <v>43173</v>
      </c>
      <c r="J852" s="222">
        <v>110.6641</v>
      </c>
      <c r="K852" s="222">
        <v>7.6681999999999997</v>
      </c>
      <c r="L852"/>
      <c r="M852"/>
      <c r="N852"/>
      <c r="O852" s="221">
        <v>43173</v>
      </c>
      <c r="P852" s="222">
        <v>48.194099999999999</v>
      </c>
      <c r="Q852" s="222">
        <v>7.6681999999999997</v>
      </c>
    </row>
    <row r="853" spans="1:17" x14ac:dyDescent="0.35">
      <c r="A853" s="221">
        <v>43172</v>
      </c>
      <c r="B853" s="222">
        <v>29.956580487754426</v>
      </c>
      <c r="C853"/>
      <c r="D853" s="221">
        <v>43172</v>
      </c>
      <c r="E853" s="222">
        <v>118.9803</v>
      </c>
      <c r="F853" s="222">
        <v>109.8861</v>
      </c>
      <c r="G853" s="222">
        <v>80.363500000000002</v>
      </c>
      <c r="H853"/>
      <c r="I853" s="221">
        <v>43172</v>
      </c>
      <c r="J853" s="222">
        <v>109.8861</v>
      </c>
      <c r="K853" s="222">
        <v>8.2940000000000005</v>
      </c>
      <c r="L853"/>
      <c r="M853"/>
      <c r="N853"/>
      <c r="O853" s="221">
        <v>43172</v>
      </c>
      <c r="P853" s="222">
        <v>48.077199999999998</v>
      </c>
      <c r="Q853" s="222">
        <v>8.2940000000000005</v>
      </c>
    </row>
    <row r="854" spans="1:17" x14ac:dyDescent="0.35">
      <c r="A854" s="221">
        <v>43171</v>
      </c>
      <c r="B854" s="222">
        <v>28.93598744605675</v>
      </c>
      <c r="C854"/>
      <c r="D854" s="221">
        <v>43171</v>
      </c>
      <c r="E854" s="222">
        <v>119.71080000000001</v>
      </c>
      <c r="F854" s="222">
        <v>112.1442</v>
      </c>
      <c r="G854" s="222">
        <v>80.309600000000003</v>
      </c>
      <c r="H854"/>
      <c r="I854" s="221">
        <v>43171</v>
      </c>
      <c r="J854" s="222">
        <v>112.1442</v>
      </c>
      <c r="K854" s="222">
        <v>6.7643000000000004</v>
      </c>
      <c r="L854"/>
      <c r="M854"/>
      <c r="N854"/>
      <c r="O854" s="221">
        <v>43171</v>
      </c>
      <c r="P854" s="222">
        <v>49.085500000000003</v>
      </c>
      <c r="Q854" s="222">
        <v>6.7643000000000004</v>
      </c>
    </row>
    <row r="855" spans="1:17" x14ac:dyDescent="0.35">
      <c r="A855" s="221">
        <v>43168</v>
      </c>
      <c r="B855" s="222">
        <v>27.83587605263169</v>
      </c>
      <c r="C855"/>
      <c r="D855" s="221">
        <v>43168</v>
      </c>
      <c r="E855" s="222">
        <v>118.5625</v>
      </c>
      <c r="F855" s="222">
        <v>112.12520000000001</v>
      </c>
      <c r="G855" s="222">
        <v>80.142399999999995</v>
      </c>
      <c r="H855"/>
      <c r="I855" s="221">
        <v>43168</v>
      </c>
      <c r="J855" s="222">
        <v>112.12520000000001</v>
      </c>
      <c r="K855" s="222">
        <v>5.7568000000000001</v>
      </c>
      <c r="L855"/>
      <c r="M855"/>
      <c r="N855"/>
      <c r="O855" s="221">
        <v>43168</v>
      </c>
      <c r="P855" s="222">
        <v>47.961599999999997</v>
      </c>
      <c r="Q855" s="222">
        <v>5.7568000000000001</v>
      </c>
    </row>
    <row r="856" spans="1:17" x14ac:dyDescent="0.35">
      <c r="A856" s="221">
        <v>43167</v>
      </c>
      <c r="B856" s="222">
        <v>30.2989754606301</v>
      </c>
      <c r="C856"/>
      <c r="D856" s="221">
        <v>43167</v>
      </c>
      <c r="E856" s="222">
        <v>116.30800000000001</v>
      </c>
      <c r="F856" s="222">
        <v>106.0911</v>
      </c>
      <c r="G856" s="222">
        <v>80.074100000000001</v>
      </c>
      <c r="H856"/>
      <c r="I856" s="221">
        <v>43167</v>
      </c>
      <c r="J856" s="222">
        <v>106.0911</v>
      </c>
      <c r="K856" s="222">
        <v>9.6463000000000001</v>
      </c>
      <c r="L856"/>
      <c r="M856"/>
      <c r="N856"/>
      <c r="O856" s="221">
        <v>43167</v>
      </c>
      <c r="P856" s="222">
        <v>45.271700000000003</v>
      </c>
      <c r="Q856" s="222">
        <v>9.6463000000000001</v>
      </c>
    </row>
    <row r="857" spans="1:17" x14ac:dyDescent="0.35">
      <c r="A857" s="221">
        <v>43166</v>
      </c>
      <c r="B857" s="222">
        <v>31.063795035499332</v>
      </c>
      <c r="C857"/>
      <c r="D857" s="221">
        <v>43166</v>
      </c>
      <c r="E857" s="222">
        <v>116.0136</v>
      </c>
      <c r="F857" s="222">
        <v>104.8766</v>
      </c>
      <c r="G857" s="222">
        <v>79.969499999999996</v>
      </c>
      <c r="H857"/>
      <c r="I857" s="221">
        <v>43166</v>
      </c>
      <c r="J857" s="222">
        <v>104.8766</v>
      </c>
      <c r="K857" s="222">
        <v>10.6348</v>
      </c>
      <c r="L857"/>
      <c r="M857"/>
      <c r="N857"/>
      <c r="O857" s="221">
        <v>43166</v>
      </c>
      <c r="P857" s="222">
        <v>45.092799999999997</v>
      </c>
      <c r="Q857" s="222">
        <v>10.6348</v>
      </c>
    </row>
    <row r="858" spans="1:17" x14ac:dyDescent="0.35">
      <c r="A858" s="221">
        <v>43165</v>
      </c>
      <c r="B858" s="222">
        <v>30.99216081373531</v>
      </c>
      <c r="C858"/>
      <c r="D858" s="221">
        <v>43165</v>
      </c>
      <c r="E858" s="222">
        <v>116.7841</v>
      </c>
      <c r="F858" s="222">
        <v>106.0911</v>
      </c>
      <c r="G858" s="222">
        <v>79.9268</v>
      </c>
      <c r="H858"/>
      <c r="I858" s="221">
        <v>43165</v>
      </c>
      <c r="J858" s="222">
        <v>106.0911</v>
      </c>
      <c r="K858" s="222">
        <v>10.094099999999999</v>
      </c>
      <c r="L858"/>
      <c r="M858"/>
      <c r="N858"/>
      <c r="O858" s="221">
        <v>43165</v>
      </c>
      <c r="P858" s="222">
        <v>46.133699999999997</v>
      </c>
      <c r="Q858" s="222">
        <v>10.094099999999999</v>
      </c>
    </row>
    <row r="859" spans="1:17" x14ac:dyDescent="0.35">
      <c r="A859" s="221">
        <v>43164</v>
      </c>
      <c r="B859" s="222">
        <v>30.259835724285487</v>
      </c>
      <c r="C859"/>
      <c r="D859" s="221">
        <v>43164</v>
      </c>
      <c r="E859" s="222">
        <v>116.32470000000001</v>
      </c>
      <c r="F859" s="222">
        <v>106.4516</v>
      </c>
      <c r="G859" s="222">
        <v>79.8416</v>
      </c>
      <c r="H859"/>
      <c r="I859" s="221">
        <v>43164</v>
      </c>
      <c r="J859" s="222">
        <v>106.4516</v>
      </c>
      <c r="K859" s="222">
        <v>9.2890999999999995</v>
      </c>
      <c r="L859"/>
      <c r="M859"/>
      <c r="N859"/>
      <c r="O859" s="221">
        <v>43164</v>
      </c>
      <c r="P859" s="222">
        <v>45.713500000000003</v>
      </c>
      <c r="Q859" s="222">
        <v>9.2890999999999995</v>
      </c>
    </row>
    <row r="860" spans="1:17" x14ac:dyDescent="0.35">
      <c r="B860" s="222"/>
      <c r="C860"/>
      <c r="E860" s="222"/>
      <c r="F860" s="222"/>
      <c r="G860" s="222"/>
      <c r="H860"/>
      <c r="J860" s="222"/>
      <c r="K860" s="222"/>
      <c r="L860"/>
      <c r="M860"/>
      <c r="N860"/>
      <c r="P860" s="222">
        <v>18.517299999999999</v>
      </c>
      <c r="Q860" s="222">
        <v>53.513599999999997</v>
      </c>
    </row>
    <row r="861" spans="1:17" x14ac:dyDescent="0.35">
      <c r="B861" s="222"/>
      <c r="C861"/>
      <c r="E861" s="222"/>
      <c r="F861" s="222"/>
      <c r="G861" s="222"/>
      <c r="H861"/>
      <c r="J861" s="222"/>
      <c r="K861" s="222"/>
      <c r="L861"/>
      <c r="M861"/>
      <c r="N861"/>
      <c r="P861" s="222">
        <v>17.7577</v>
      </c>
      <c r="Q861" s="222">
        <v>52.712699999999998</v>
      </c>
    </row>
    <row r="862" spans="1:17" x14ac:dyDescent="0.35">
      <c r="B862" s="222"/>
      <c r="C862"/>
      <c r="E862" s="222"/>
      <c r="F862" s="222"/>
      <c r="G862" s="222"/>
      <c r="H862"/>
      <c r="J862" s="222"/>
      <c r="K862" s="222"/>
      <c r="L862"/>
      <c r="M862"/>
      <c r="N862"/>
      <c r="P862" s="222">
        <v>17.755099999999999</v>
      </c>
      <c r="Q862" s="222">
        <v>51.975099999999998</v>
      </c>
    </row>
    <row r="863" spans="1:17" x14ac:dyDescent="0.35">
      <c r="B863" s="222"/>
      <c r="C863"/>
      <c r="E863" s="222"/>
      <c r="F863" s="222"/>
      <c r="G863" s="222"/>
      <c r="H863"/>
      <c r="J863" s="222"/>
      <c r="K863" s="222"/>
      <c r="L863"/>
      <c r="M863"/>
      <c r="N863"/>
      <c r="P863" s="222">
        <v>17.790299999999998</v>
      </c>
      <c r="Q863" s="222">
        <v>51.871699999999997</v>
      </c>
    </row>
    <row r="864" spans="1:17" x14ac:dyDescent="0.35">
      <c r="B864" s="222"/>
      <c r="C864"/>
      <c r="E864" s="222"/>
      <c r="F864" s="222"/>
      <c r="G864" s="222"/>
      <c r="H864"/>
      <c r="J864" s="222"/>
      <c r="K864" s="222"/>
      <c r="L864"/>
      <c r="M864"/>
      <c r="N864"/>
      <c r="P864" s="222">
        <v>17.715299999999999</v>
      </c>
      <c r="Q864" s="222">
        <v>51.585700000000003</v>
      </c>
    </row>
    <row r="865" spans="2:17" x14ac:dyDescent="0.35">
      <c r="B865" s="222"/>
      <c r="C865"/>
      <c r="E865" s="222"/>
      <c r="F865" s="222"/>
      <c r="G865" s="222"/>
      <c r="H865"/>
      <c r="J865" s="222"/>
      <c r="K865" s="222"/>
      <c r="L865"/>
      <c r="M865"/>
      <c r="N865"/>
      <c r="P865" s="222">
        <v>17.019300000000001</v>
      </c>
      <c r="Q865" s="222">
        <v>50.811900000000001</v>
      </c>
    </row>
    <row r="866" spans="2:17" x14ac:dyDescent="0.35">
      <c r="B866" s="222"/>
      <c r="C866"/>
      <c r="E866" s="222"/>
      <c r="F866" s="222"/>
      <c r="G866" s="222"/>
      <c r="H866"/>
      <c r="J866" s="222"/>
      <c r="K866" s="222"/>
      <c r="L866"/>
      <c r="M866"/>
      <c r="N866"/>
      <c r="P866" s="222">
        <v>17.017700000000001</v>
      </c>
      <c r="Q866" s="222">
        <v>51.241199999999999</v>
      </c>
    </row>
    <row r="867" spans="2:17" x14ac:dyDescent="0.35">
      <c r="B867" s="222"/>
      <c r="C867"/>
      <c r="E867" s="222"/>
      <c r="F867" s="222"/>
      <c r="G867" s="222"/>
      <c r="H867"/>
      <c r="J867" s="222"/>
      <c r="K867" s="222"/>
      <c r="L867"/>
      <c r="M867"/>
      <c r="N867"/>
      <c r="P867" s="222">
        <v>16.89</v>
      </c>
      <c r="Q867" s="222">
        <v>51.012099999999997</v>
      </c>
    </row>
    <row r="868" spans="2:17" x14ac:dyDescent="0.35">
      <c r="B868" s="222"/>
      <c r="C868"/>
      <c r="E868" s="222"/>
      <c r="F868" s="222"/>
      <c r="G868" s="222"/>
      <c r="H868"/>
      <c r="J868" s="222"/>
      <c r="K868" s="222"/>
      <c r="L868"/>
      <c r="M868"/>
      <c r="N868"/>
      <c r="P868" s="222">
        <v>16.4925</v>
      </c>
      <c r="Q868" s="222">
        <v>51.4084</v>
      </c>
    </row>
    <row r="869" spans="2:17" x14ac:dyDescent="0.35">
      <c r="B869" s="222"/>
      <c r="C869"/>
      <c r="E869" s="222"/>
      <c r="F869" s="222"/>
      <c r="G869" s="222"/>
      <c r="H869"/>
      <c r="J869" s="222"/>
      <c r="K869" s="222"/>
      <c r="L869"/>
      <c r="M869"/>
      <c r="N869"/>
      <c r="P869" s="222">
        <v>15.844099999999999</v>
      </c>
      <c r="Q869" s="222">
        <v>52.061900000000001</v>
      </c>
    </row>
    <row r="870" spans="2:17" x14ac:dyDescent="0.35">
      <c r="B870" s="222"/>
      <c r="C870"/>
      <c r="E870" s="222"/>
      <c r="F870" s="222"/>
      <c r="G870" s="222"/>
      <c r="H870"/>
      <c r="J870" s="222"/>
      <c r="K870" s="222"/>
      <c r="L870"/>
      <c r="M870"/>
      <c r="N870"/>
      <c r="P870" s="222">
        <v>15.9122</v>
      </c>
      <c r="Q870" s="222">
        <v>50.580599999999997</v>
      </c>
    </row>
    <row r="871" spans="2:17" x14ac:dyDescent="0.35">
      <c r="B871" s="222"/>
      <c r="C871"/>
      <c r="E871" s="222"/>
      <c r="F871" s="222"/>
      <c r="G871" s="222"/>
      <c r="H871"/>
      <c r="J871" s="222"/>
      <c r="K871" s="222"/>
      <c r="L871"/>
      <c r="M871"/>
      <c r="N871"/>
      <c r="P871" s="222">
        <v>16.019500000000001</v>
      </c>
      <c r="Q871" s="222">
        <v>50.665399999999998</v>
      </c>
    </row>
    <row r="872" spans="2:17" x14ac:dyDescent="0.35">
      <c r="B872" s="222"/>
      <c r="C872"/>
      <c r="E872" s="222"/>
      <c r="F872" s="222"/>
      <c r="G872" s="222"/>
      <c r="H872"/>
      <c r="J872" s="222"/>
      <c r="K872" s="222"/>
      <c r="L872"/>
      <c r="M872"/>
      <c r="N872"/>
      <c r="P872" s="222">
        <v>15.9719</v>
      </c>
      <c r="Q872" s="222">
        <v>50.150599999999997</v>
      </c>
    </row>
    <row r="873" spans="2:17" x14ac:dyDescent="0.35">
      <c r="B873" s="222"/>
      <c r="C873"/>
      <c r="E873" s="222"/>
      <c r="F873" s="222"/>
      <c r="G873" s="222"/>
      <c r="H873"/>
      <c r="J873" s="222"/>
      <c r="K873" s="222"/>
      <c r="L873"/>
      <c r="M873"/>
      <c r="N873"/>
      <c r="P873" s="222">
        <v>16.111499999999999</v>
      </c>
      <c r="Q873" s="222">
        <v>50.178800000000003</v>
      </c>
    </row>
    <row r="874" spans="2:17" x14ac:dyDescent="0.35">
      <c r="B874" s="222"/>
      <c r="C874"/>
      <c r="E874" s="222"/>
      <c r="F874" s="222"/>
      <c r="G874" s="222"/>
      <c r="H874"/>
      <c r="J874" s="222"/>
      <c r="K874" s="222"/>
      <c r="L874"/>
      <c r="M874"/>
      <c r="N874"/>
      <c r="P874" s="222">
        <v>15.983000000000001</v>
      </c>
      <c r="Q874" s="222">
        <v>51.5869</v>
      </c>
    </row>
    <row r="875" spans="2:17" x14ac:dyDescent="0.35">
      <c r="B875" s="222"/>
      <c r="C875"/>
      <c r="E875" s="222"/>
      <c r="F875" s="222"/>
      <c r="G875" s="222"/>
      <c r="H875"/>
      <c r="J875" s="222"/>
      <c r="K875" s="222"/>
      <c r="L875"/>
      <c r="M875"/>
      <c r="N875"/>
      <c r="P875" s="222">
        <v>15.9444</v>
      </c>
      <c r="Q875" s="222">
        <v>50.767499999999998</v>
      </c>
    </row>
    <row r="876" spans="2:17" x14ac:dyDescent="0.35">
      <c r="B876" s="222"/>
      <c r="C876"/>
      <c r="E876" s="222"/>
      <c r="F876" s="222"/>
      <c r="G876" s="222"/>
      <c r="H876"/>
      <c r="J876" s="222"/>
      <c r="K876" s="222"/>
      <c r="L876"/>
      <c r="M876"/>
      <c r="N876"/>
      <c r="P876" s="222">
        <v>15.674899999999999</v>
      </c>
      <c r="Q876" s="222">
        <v>51.018099999999997</v>
      </c>
    </row>
    <row r="877" spans="2:17" x14ac:dyDescent="0.35">
      <c r="B877" s="222"/>
      <c r="C877"/>
      <c r="E877" s="222"/>
      <c r="F877" s="222"/>
      <c r="G877" s="222"/>
      <c r="H877"/>
      <c r="J877" s="222"/>
      <c r="K877" s="222"/>
      <c r="L877"/>
      <c r="M877"/>
      <c r="N877"/>
      <c r="P877" s="222">
        <v>15.6158</v>
      </c>
      <c r="Q877" s="222">
        <v>51.3673</v>
      </c>
    </row>
    <row r="878" spans="2:17" x14ac:dyDescent="0.35">
      <c r="B878" s="222"/>
      <c r="C878"/>
      <c r="E878" s="222"/>
      <c r="F878" s="222"/>
      <c r="G878" s="222"/>
      <c r="H878"/>
      <c r="J878" s="222"/>
      <c r="K878" s="222"/>
      <c r="L878"/>
      <c r="M878"/>
      <c r="N878"/>
      <c r="P878" s="222">
        <v>15.098100000000001</v>
      </c>
      <c r="Q878" s="222">
        <v>52.303600000000003</v>
      </c>
    </row>
    <row r="879" spans="2:17" x14ac:dyDescent="0.35">
      <c r="B879" s="222"/>
      <c r="C879"/>
      <c r="E879" s="222"/>
      <c r="F879" s="222"/>
      <c r="G879" s="222"/>
      <c r="H879"/>
      <c r="J879" s="222"/>
      <c r="K879" s="222"/>
      <c r="L879"/>
      <c r="M879"/>
      <c r="N879"/>
      <c r="P879" s="222">
        <v>15.425800000000001</v>
      </c>
      <c r="Q879" s="222">
        <v>51.110599999999998</v>
      </c>
    </row>
    <row r="880" spans="2:17" x14ac:dyDescent="0.35">
      <c r="B880" s="222"/>
      <c r="C880"/>
      <c r="E880" s="222"/>
      <c r="F880" s="222"/>
      <c r="G880" s="222"/>
      <c r="H880"/>
      <c r="J880" s="222"/>
      <c r="K880" s="222"/>
      <c r="L880"/>
      <c r="M880"/>
      <c r="N880"/>
      <c r="P880" s="222">
        <v>16.3643</v>
      </c>
      <c r="Q880" s="222">
        <v>50.814900000000002</v>
      </c>
    </row>
    <row r="881" spans="2:17" x14ac:dyDescent="0.35">
      <c r="B881" s="222"/>
      <c r="C881"/>
      <c r="E881" s="222"/>
      <c r="F881" s="222"/>
      <c r="G881" s="222"/>
      <c r="H881"/>
      <c r="J881" s="222"/>
      <c r="K881" s="222"/>
      <c r="L881"/>
      <c r="M881"/>
      <c r="N881"/>
      <c r="P881" s="222">
        <v>16.816199999999998</v>
      </c>
      <c r="Q881" s="222">
        <v>52.514200000000002</v>
      </c>
    </row>
    <row r="882" spans="2:17" x14ac:dyDescent="0.35">
      <c r="B882" s="222"/>
      <c r="C882"/>
      <c r="E882" s="222"/>
      <c r="F882" s="222"/>
      <c r="G882" s="222"/>
      <c r="H882"/>
      <c r="J882" s="222"/>
      <c r="K882" s="222"/>
      <c r="L882"/>
      <c r="M882"/>
      <c r="N882"/>
      <c r="P882" s="222">
        <v>17.2226</v>
      </c>
      <c r="Q882" s="222">
        <v>53.5137</v>
      </c>
    </row>
    <row r="883" spans="2:17" x14ac:dyDescent="0.35">
      <c r="B883" s="222"/>
      <c r="C883"/>
      <c r="E883" s="222"/>
      <c r="F883" s="222"/>
      <c r="G883" s="222"/>
      <c r="H883"/>
      <c r="J883" s="222"/>
      <c r="K883" s="222"/>
      <c r="L883"/>
      <c r="M883"/>
      <c r="N883"/>
      <c r="P883" s="222">
        <v>17.7561</v>
      </c>
      <c r="Q883" s="222">
        <v>54.804900000000004</v>
      </c>
    </row>
    <row r="884" spans="2:17" x14ac:dyDescent="0.35">
      <c r="B884" s="222"/>
      <c r="C884"/>
      <c r="E884" s="222"/>
      <c r="F884" s="222"/>
      <c r="G884" s="222"/>
      <c r="H884"/>
      <c r="J884" s="222"/>
      <c r="K884" s="222"/>
      <c r="L884"/>
      <c r="M884"/>
      <c r="N884"/>
      <c r="P884" s="222">
        <v>17.952400000000001</v>
      </c>
      <c r="Q884" s="222">
        <v>54.402500000000003</v>
      </c>
    </row>
    <row r="885" spans="2:17" x14ac:dyDescent="0.35">
      <c r="B885" s="222"/>
      <c r="C885"/>
      <c r="E885" s="222"/>
      <c r="F885" s="222"/>
      <c r="G885" s="222"/>
      <c r="H885"/>
      <c r="J885" s="222"/>
      <c r="K885" s="222"/>
      <c r="L885"/>
      <c r="M885"/>
      <c r="N885"/>
      <c r="P885" s="222">
        <v>17.740300000000001</v>
      </c>
      <c r="Q885" s="222">
        <v>53.251899999999999</v>
      </c>
    </row>
    <row r="886" spans="2:17" x14ac:dyDescent="0.35">
      <c r="B886" s="222"/>
      <c r="C886"/>
      <c r="E886" s="222"/>
      <c r="F886" s="222"/>
      <c r="G886" s="222"/>
      <c r="H886"/>
      <c r="J886" s="222"/>
      <c r="K886" s="222"/>
      <c r="L886"/>
      <c r="M886"/>
      <c r="N886"/>
      <c r="P886" s="222">
        <v>17.6448</v>
      </c>
      <c r="Q886" s="222">
        <v>52.012099999999997</v>
      </c>
    </row>
    <row r="887" spans="2:17" x14ac:dyDescent="0.35">
      <c r="B887" s="222"/>
      <c r="C887"/>
      <c r="E887" s="222"/>
      <c r="F887" s="222"/>
      <c r="G887" s="222"/>
      <c r="H887"/>
      <c r="J887" s="222"/>
      <c r="K887" s="222"/>
      <c r="L887"/>
      <c r="M887"/>
      <c r="N887"/>
      <c r="P887" s="222">
        <v>17.904499999999999</v>
      </c>
      <c r="Q887" s="222">
        <v>54.416699999999999</v>
      </c>
    </row>
    <row r="888" spans="2:17" x14ac:dyDescent="0.35">
      <c r="B888" s="222"/>
      <c r="C888"/>
      <c r="E888" s="222"/>
      <c r="F888" s="222"/>
      <c r="G888" s="222"/>
      <c r="H888"/>
      <c r="J888" s="222"/>
      <c r="K888" s="222"/>
      <c r="L888"/>
      <c r="M888"/>
      <c r="N888"/>
      <c r="P888" s="222">
        <v>15.9214</v>
      </c>
      <c r="Q888" s="222">
        <v>52.748600000000003</v>
      </c>
    </row>
    <row r="889" spans="2:17" x14ac:dyDescent="0.35">
      <c r="B889" s="222"/>
      <c r="C889"/>
      <c r="E889" s="222"/>
      <c r="F889" s="222"/>
      <c r="G889" s="222"/>
      <c r="H889"/>
      <c r="J889" s="222"/>
      <c r="K889" s="222"/>
      <c r="L889"/>
      <c r="M889"/>
      <c r="N889"/>
      <c r="P889" s="222">
        <v>15.8269</v>
      </c>
      <c r="Q889" s="222">
        <v>52.137599999999999</v>
      </c>
    </row>
    <row r="890" spans="2:17" x14ac:dyDescent="0.35">
      <c r="B890" s="222"/>
      <c r="C890"/>
      <c r="E890" s="222"/>
      <c r="F890" s="222"/>
      <c r="G890" s="222"/>
      <c r="H890"/>
      <c r="J890" s="222"/>
      <c r="K890" s="222"/>
      <c r="L890"/>
      <c r="M890"/>
      <c r="N890"/>
      <c r="P890" s="222">
        <v>15.131</v>
      </c>
      <c r="Q890" s="222">
        <v>53.514800000000001</v>
      </c>
    </row>
    <row r="891" spans="2:17" x14ac:dyDescent="0.35">
      <c r="B891" s="222"/>
      <c r="C891"/>
      <c r="E891" s="222"/>
      <c r="F891" s="222"/>
      <c r="G891" s="222"/>
      <c r="H891"/>
      <c r="J891" s="222"/>
      <c r="K891" s="222"/>
      <c r="L891"/>
      <c r="M891"/>
      <c r="N891"/>
      <c r="P891" s="222">
        <v>15.0229</v>
      </c>
      <c r="Q891" s="222">
        <v>52.909199999999998</v>
      </c>
    </row>
    <row r="892" spans="2:17" x14ac:dyDescent="0.35">
      <c r="B892" s="222"/>
      <c r="C892"/>
      <c r="E892" s="222"/>
      <c r="F892" s="222"/>
      <c r="G892" s="222"/>
      <c r="H892"/>
      <c r="J892" s="222"/>
      <c r="K892" s="222"/>
      <c r="L892"/>
      <c r="M892"/>
      <c r="N892"/>
      <c r="P892" s="222">
        <v>16.787299999999998</v>
      </c>
      <c r="Q892" s="222">
        <v>53.714100000000002</v>
      </c>
    </row>
    <row r="893" spans="2:17" x14ac:dyDescent="0.35">
      <c r="B893" s="222"/>
      <c r="C893"/>
      <c r="E893" s="222"/>
      <c r="F893" s="222"/>
      <c r="G893" s="222"/>
      <c r="H893"/>
      <c r="J893" s="222"/>
      <c r="K893" s="222"/>
      <c r="L893"/>
      <c r="M893"/>
      <c r="N893"/>
      <c r="P893" s="222">
        <v>15.5373</v>
      </c>
      <c r="Q893" s="222">
        <v>52.7179</v>
      </c>
    </row>
    <row r="894" spans="2:17" x14ac:dyDescent="0.35">
      <c r="B894" s="222"/>
      <c r="C894"/>
      <c r="E894" s="222"/>
      <c r="F894" s="222"/>
      <c r="G894" s="222"/>
      <c r="H894"/>
      <c r="J894" s="222"/>
      <c r="K894" s="222"/>
      <c r="L894"/>
      <c r="M894"/>
      <c r="N894"/>
      <c r="P894" s="222">
        <v>14.4582</v>
      </c>
      <c r="Q894" s="222">
        <v>51.928699999999999</v>
      </c>
    </row>
    <row r="895" spans="2:17" x14ac:dyDescent="0.35">
      <c r="B895" s="222"/>
      <c r="C895"/>
      <c r="E895" s="222"/>
      <c r="F895" s="222"/>
      <c r="G895" s="222"/>
      <c r="H895"/>
      <c r="J895" s="222"/>
      <c r="K895" s="222"/>
      <c r="L895"/>
      <c r="M895"/>
      <c r="N895"/>
      <c r="P895" s="222">
        <v>14.2737</v>
      </c>
      <c r="Q895" s="222">
        <v>51.611499999999999</v>
      </c>
    </row>
    <row r="896" spans="2:17" x14ac:dyDescent="0.35">
      <c r="B896" s="222"/>
      <c r="C896"/>
      <c r="E896" s="222"/>
      <c r="F896" s="222"/>
      <c r="G896" s="222"/>
      <c r="H896"/>
      <c r="J896" s="222"/>
      <c r="K896" s="222"/>
      <c r="L896"/>
      <c r="M896"/>
      <c r="N896"/>
      <c r="P896" s="222">
        <v>14.1465</v>
      </c>
      <c r="Q896" s="222">
        <v>53.041699999999999</v>
      </c>
    </row>
    <row r="897" spans="2:17" x14ac:dyDescent="0.35">
      <c r="B897" s="222"/>
      <c r="C897"/>
      <c r="E897" s="222"/>
      <c r="F897" s="222"/>
      <c r="G897" s="222"/>
      <c r="H897"/>
      <c r="J897" s="222"/>
      <c r="K897" s="222"/>
      <c r="L897"/>
      <c r="M897"/>
      <c r="N897"/>
      <c r="P897" s="222">
        <v>14.1525</v>
      </c>
      <c r="Q897" s="222">
        <v>53.779499999999999</v>
      </c>
    </row>
    <row r="898" spans="2:17" x14ac:dyDescent="0.35">
      <c r="B898" s="222"/>
      <c r="C898"/>
      <c r="E898" s="222"/>
      <c r="F898" s="222"/>
      <c r="G898" s="222"/>
      <c r="H898"/>
      <c r="J898" s="222"/>
      <c r="K898" s="222"/>
      <c r="L898"/>
      <c r="M898"/>
      <c r="N898"/>
      <c r="P898" s="222">
        <v>14.414400000000001</v>
      </c>
      <c r="Q898" s="222">
        <v>46.363500000000002</v>
      </c>
    </row>
    <row r="899" spans="2:17" x14ac:dyDescent="0.35">
      <c r="B899" s="222"/>
      <c r="C899"/>
      <c r="E899" s="222"/>
      <c r="F899" s="222"/>
      <c r="G899" s="222"/>
      <c r="H899"/>
      <c r="J899" s="222"/>
      <c r="K899" s="222"/>
      <c r="L899"/>
      <c r="M899"/>
      <c r="N899"/>
      <c r="P899" s="222">
        <v>14.291399999999999</v>
      </c>
      <c r="Q899" s="222">
        <v>45.478499999999997</v>
      </c>
    </row>
    <row r="900" spans="2:17" x14ac:dyDescent="0.35">
      <c r="B900" s="222"/>
      <c r="C900"/>
      <c r="E900" s="222"/>
      <c r="F900" s="222"/>
      <c r="G900" s="222"/>
      <c r="H900"/>
      <c r="J900" s="222"/>
      <c r="K900" s="222"/>
      <c r="L900"/>
      <c r="M900"/>
      <c r="N900"/>
      <c r="P900" s="222">
        <v>13.868</v>
      </c>
      <c r="Q900" s="222">
        <v>45.237900000000003</v>
      </c>
    </row>
    <row r="901" spans="2:17" x14ac:dyDescent="0.35">
      <c r="B901" s="222"/>
      <c r="C901"/>
      <c r="E901" s="222"/>
      <c r="F901" s="222"/>
      <c r="G901" s="222"/>
      <c r="H901"/>
      <c r="J901" s="222"/>
      <c r="K901" s="222"/>
      <c r="L901"/>
      <c r="M901"/>
      <c r="N901"/>
      <c r="P901" s="222">
        <v>14.2346</v>
      </c>
      <c r="Q901" s="222">
        <v>43.4602</v>
      </c>
    </row>
    <row r="902" spans="2:17" x14ac:dyDescent="0.35">
      <c r="B902" s="222"/>
      <c r="C902"/>
      <c r="E902" s="222"/>
      <c r="F902" s="222"/>
      <c r="G902" s="222"/>
      <c r="H902"/>
      <c r="J902" s="222"/>
      <c r="K902" s="222"/>
      <c r="L902"/>
      <c r="M902"/>
      <c r="N902"/>
      <c r="P902" s="222">
        <v>14.618600000000001</v>
      </c>
      <c r="Q902" s="222">
        <v>42.712899999999998</v>
      </c>
    </row>
    <row r="903" spans="2:17" x14ac:dyDescent="0.35">
      <c r="B903" s="222"/>
      <c r="C903"/>
      <c r="E903" s="222"/>
      <c r="F903" s="222"/>
      <c r="G903" s="222"/>
      <c r="H903"/>
      <c r="J903" s="222"/>
      <c r="K903" s="222"/>
      <c r="L903"/>
      <c r="M903"/>
      <c r="N903"/>
      <c r="P903" s="222">
        <v>14.9285</v>
      </c>
      <c r="Q903" s="222">
        <v>43.219799999999999</v>
      </c>
    </row>
    <row r="904" spans="2:17" x14ac:dyDescent="0.35">
      <c r="B904" s="222"/>
      <c r="C904"/>
      <c r="E904" s="222"/>
      <c r="F904" s="222"/>
      <c r="G904" s="222"/>
      <c r="H904"/>
      <c r="J904" s="222"/>
      <c r="K904" s="222"/>
      <c r="L904"/>
      <c r="M904"/>
      <c r="N904"/>
      <c r="P904" s="222">
        <v>14.569100000000001</v>
      </c>
      <c r="Q904" s="222">
        <v>42.645099999999999</v>
      </c>
    </row>
    <row r="905" spans="2:17" x14ac:dyDescent="0.35">
      <c r="B905" s="222"/>
      <c r="C905"/>
      <c r="E905" s="222"/>
      <c r="F905" s="222"/>
      <c r="G905" s="222"/>
      <c r="H905"/>
      <c r="J905" s="222"/>
      <c r="K905" s="222"/>
      <c r="L905"/>
      <c r="M905"/>
      <c r="N905"/>
      <c r="P905" s="222">
        <v>14.561299999999999</v>
      </c>
      <c r="Q905" s="222">
        <v>41.381300000000003</v>
      </c>
    </row>
    <row r="906" spans="2:17" x14ac:dyDescent="0.35">
      <c r="B906" s="222"/>
      <c r="C906"/>
      <c r="E906" s="222"/>
      <c r="F906" s="222"/>
      <c r="G906" s="222"/>
      <c r="H906"/>
      <c r="J906" s="222"/>
      <c r="K906" s="222"/>
      <c r="L906"/>
      <c r="M906"/>
      <c r="N906"/>
      <c r="P906" s="222">
        <v>14.273</v>
      </c>
      <c r="Q906" s="222">
        <v>41.673000000000002</v>
      </c>
    </row>
    <row r="907" spans="2:17" x14ac:dyDescent="0.35">
      <c r="B907" s="222"/>
      <c r="C907"/>
      <c r="E907" s="222"/>
      <c r="F907" s="222"/>
      <c r="G907" s="222"/>
      <c r="H907"/>
      <c r="J907" s="222"/>
      <c r="K907" s="222"/>
      <c r="L907"/>
      <c r="M907"/>
      <c r="N907"/>
      <c r="P907" s="222">
        <v>14.5482</v>
      </c>
      <c r="Q907" s="222">
        <v>41.983400000000003</v>
      </c>
    </row>
    <row r="908" spans="2:17" x14ac:dyDescent="0.35">
      <c r="B908" s="222"/>
      <c r="C908"/>
      <c r="E908" s="222"/>
      <c r="F908" s="222"/>
      <c r="G908" s="222"/>
      <c r="H908"/>
      <c r="J908" s="222"/>
      <c r="K908" s="222"/>
      <c r="L908"/>
      <c r="M908"/>
      <c r="N908"/>
      <c r="P908" s="222">
        <v>13.973699999999999</v>
      </c>
      <c r="Q908" s="222">
        <v>41.462800000000001</v>
      </c>
    </row>
    <row r="909" spans="2:17" x14ac:dyDescent="0.35">
      <c r="B909" s="222"/>
      <c r="C909"/>
      <c r="E909" s="222"/>
      <c r="F909" s="222"/>
      <c r="G909" s="222"/>
      <c r="H909"/>
      <c r="J909" s="222"/>
      <c r="K909" s="222"/>
      <c r="L909"/>
      <c r="M909"/>
      <c r="N909"/>
      <c r="P909" s="222">
        <v>15.26</v>
      </c>
      <c r="Q909" s="222">
        <v>42.523400000000002</v>
      </c>
    </row>
    <row r="910" spans="2:17" x14ac:dyDescent="0.35">
      <c r="B910" s="222"/>
      <c r="C910"/>
      <c r="E910" s="222"/>
      <c r="F910" s="222"/>
      <c r="G910" s="222"/>
      <c r="H910"/>
      <c r="J910" s="222"/>
      <c r="K910" s="222"/>
      <c r="L910"/>
      <c r="M910"/>
      <c r="N910"/>
      <c r="P910" s="222">
        <v>16.1539</v>
      </c>
      <c r="Q910" s="222">
        <v>44.530500000000004</v>
      </c>
    </row>
    <row r="911" spans="2:17" x14ac:dyDescent="0.35">
      <c r="B911" s="222"/>
      <c r="C911"/>
      <c r="E911" s="222"/>
      <c r="F911" s="222"/>
      <c r="G911" s="222"/>
      <c r="H911"/>
      <c r="J911" s="222"/>
      <c r="K911" s="222"/>
      <c r="L911"/>
      <c r="M911"/>
      <c r="N911"/>
      <c r="P911" s="222">
        <v>16.989599999999999</v>
      </c>
      <c r="Q911" s="222">
        <v>43.972900000000003</v>
      </c>
    </row>
    <row r="912" spans="2:17" x14ac:dyDescent="0.35">
      <c r="B912" s="222"/>
      <c r="C912"/>
      <c r="E912" s="222"/>
      <c r="F912" s="222"/>
      <c r="G912" s="222"/>
      <c r="H912"/>
      <c r="J912" s="222"/>
      <c r="K912" s="222"/>
      <c r="L912"/>
      <c r="M912"/>
      <c r="N912"/>
      <c r="P912" s="222">
        <v>17.439499999999999</v>
      </c>
      <c r="Q912" s="222">
        <v>44.587600000000002</v>
      </c>
    </row>
    <row r="913" spans="2:17" x14ac:dyDescent="0.35">
      <c r="B913" s="222"/>
      <c r="C913"/>
      <c r="E913" s="222"/>
      <c r="F913" s="222"/>
      <c r="G913" s="222"/>
      <c r="H913"/>
      <c r="J913" s="222"/>
      <c r="K913" s="222"/>
      <c r="L913"/>
      <c r="M913"/>
      <c r="N913"/>
      <c r="P913" s="222">
        <v>16.474299999999999</v>
      </c>
      <c r="Q913" s="222">
        <v>45.546700000000001</v>
      </c>
    </row>
    <row r="914" spans="2:17" x14ac:dyDescent="0.35">
      <c r="B914" s="222"/>
      <c r="C914"/>
      <c r="E914" s="222"/>
      <c r="F914" s="222"/>
      <c r="G914" s="222"/>
      <c r="H914"/>
      <c r="J914" s="222"/>
      <c r="K914" s="222"/>
      <c r="L914"/>
      <c r="M914"/>
      <c r="N914"/>
      <c r="P914" s="222">
        <v>16.8338</v>
      </c>
      <c r="Q914" s="222">
        <v>46.617199999999997</v>
      </c>
    </row>
    <row r="915" spans="2:17" x14ac:dyDescent="0.35">
      <c r="B915" s="222"/>
      <c r="C915"/>
      <c r="E915" s="222"/>
      <c r="F915" s="222"/>
      <c r="G915" s="222"/>
      <c r="H915"/>
      <c r="J915" s="222"/>
      <c r="K915" s="222"/>
      <c r="L915"/>
      <c r="M915"/>
      <c r="N915"/>
      <c r="P915" s="222">
        <v>17.523599999999998</v>
      </c>
      <c r="Q915" s="222">
        <v>44.2014</v>
      </c>
    </row>
    <row r="916" spans="2:17" x14ac:dyDescent="0.35">
      <c r="B916" s="222"/>
      <c r="C916"/>
      <c r="E916" s="222"/>
      <c r="F916" s="222"/>
      <c r="G916" s="222"/>
      <c r="H916"/>
      <c r="J916" s="222"/>
      <c r="K916" s="222"/>
      <c r="L916"/>
      <c r="M916"/>
      <c r="N916"/>
      <c r="P916" s="222">
        <v>17.582100000000001</v>
      </c>
      <c r="Q916" s="222">
        <v>44.461599999999997</v>
      </c>
    </row>
    <row r="917" spans="2:17" x14ac:dyDescent="0.35">
      <c r="B917" s="222"/>
      <c r="C917"/>
      <c r="E917" s="222"/>
      <c r="F917" s="222"/>
      <c r="G917" s="222"/>
      <c r="H917"/>
      <c r="J917" s="222"/>
      <c r="K917" s="222"/>
      <c r="L917"/>
      <c r="M917"/>
      <c r="N917"/>
      <c r="P917" s="222">
        <v>17.305299999999999</v>
      </c>
      <c r="Q917" s="222">
        <v>43.788499999999999</v>
      </c>
    </row>
    <row r="918" spans="2:17" x14ac:dyDescent="0.35">
      <c r="B918" s="222"/>
      <c r="C918"/>
      <c r="E918" s="222"/>
      <c r="F918" s="222"/>
      <c r="G918" s="222"/>
      <c r="H918"/>
      <c r="J918" s="222"/>
      <c r="K918" s="222"/>
      <c r="L918"/>
      <c r="M918"/>
      <c r="N918"/>
      <c r="P918" s="222">
        <v>16.358799999999999</v>
      </c>
      <c r="Q918" s="222">
        <v>43.346400000000003</v>
      </c>
    </row>
    <row r="919" spans="2:17" x14ac:dyDescent="0.35">
      <c r="B919" s="222"/>
      <c r="C919"/>
      <c r="E919" s="222"/>
      <c r="F919" s="222"/>
      <c r="G919" s="222"/>
      <c r="H919"/>
      <c r="J919" s="222"/>
      <c r="K919" s="222"/>
      <c r="L919"/>
      <c r="M919"/>
      <c r="N919"/>
      <c r="P919" s="222">
        <v>16.1068</v>
      </c>
      <c r="Q919" s="222">
        <v>42.418900000000001</v>
      </c>
    </row>
    <row r="920" spans="2:17" x14ac:dyDescent="0.35">
      <c r="B920" s="222"/>
      <c r="C920"/>
      <c r="E920" s="222"/>
      <c r="F920" s="222"/>
      <c r="G920" s="222"/>
      <c r="H920"/>
      <c r="J920" s="222"/>
      <c r="K920" s="222"/>
      <c r="L920"/>
      <c r="M920"/>
      <c r="N920"/>
      <c r="P920" s="222">
        <v>16.242599999999999</v>
      </c>
      <c r="Q920" s="222">
        <v>43.895099999999999</v>
      </c>
    </row>
    <row r="921" spans="2:17" x14ac:dyDescent="0.35">
      <c r="B921" s="222"/>
      <c r="C921"/>
      <c r="E921" s="222"/>
      <c r="F921" s="222"/>
      <c r="G921" s="222"/>
      <c r="H921"/>
      <c r="J921" s="222"/>
      <c r="K921" s="222"/>
      <c r="L921"/>
      <c r="M921"/>
      <c r="N921"/>
      <c r="P921" s="222">
        <v>16.357399999999998</v>
      </c>
      <c r="Q921" s="222">
        <v>43.301499999999997</v>
      </c>
    </row>
    <row r="922" spans="2:17" x14ac:dyDescent="0.35">
      <c r="B922" s="222"/>
      <c r="C922"/>
      <c r="E922" s="222"/>
      <c r="F922" s="222"/>
      <c r="G922" s="222"/>
      <c r="H922"/>
      <c r="J922" s="222"/>
      <c r="K922" s="222"/>
      <c r="L922"/>
      <c r="M922"/>
      <c r="N922"/>
      <c r="P922" s="222">
        <v>16.213100000000001</v>
      </c>
      <c r="Q922" s="222">
        <v>43.725000000000001</v>
      </c>
    </row>
    <row r="923" spans="2:17" x14ac:dyDescent="0.35">
      <c r="B923" s="222"/>
      <c r="C923"/>
      <c r="E923" s="222"/>
      <c r="F923" s="222"/>
      <c r="G923" s="222"/>
      <c r="H923"/>
      <c r="J923" s="222"/>
      <c r="K923" s="222"/>
      <c r="L923"/>
      <c r="M923"/>
      <c r="N923"/>
      <c r="P923" s="222">
        <v>16.091899999999999</v>
      </c>
      <c r="Q923" s="222">
        <v>42.496200000000002</v>
      </c>
    </row>
    <row r="924" spans="2:17" x14ac:dyDescent="0.35">
      <c r="B924" s="222"/>
      <c r="C924"/>
      <c r="E924" s="222"/>
      <c r="F924" s="222"/>
      <c r="G924" s="222"/>
      <c r="H924"/>
      <c r="J924" s="222"/>
      <c r="K924" s="222"/>
      <c r="L924"/>
      <c r="M924"/>
      <c r="N924"/>
      <c r="P924" s="222">
        <v>16.1296</v>
      </c>
      <c r="Q924" s="222">
        <v>42.360199999999999</v>
      </c>
    </row>
    <row r="925" spans="2:17" x14ac:dyDescent="0.35">
      <c r="B925" s="222"/>
      <c r="C925"/>
      <c r="E925" s="222"/>
      <c r="F925" s="222"/>
      <c r="G925" s="222"/>
      <c r="H925"/>
      <c r="J925" s="222"/>
      <c r="K925" s="222"/>
      <c r="L925"/>
      <c r="M925"/>
      <c r="N925"/>
      <c r="P925" s="222">
        <v>15.463100000000001</v>
      </c>
      <c r="Q925" s="222">
        <v>40.892600000000002</v>
      </c>
    </row>
    <row r="926" spans="2:17" x14ac:dyDescent="0.35">
      <c r="B926" s="222"/>
      <c r="C926"/>
      <c r="E926" s="222"/>
      <c r="F926" s="222"/>
      <c r="G926" s="222"/>
      <c r="H926"/>
      <c r="J926" s="222"/>
      <c r="K926" s="222"/>
      <c r="L926"/>
      <c r="M926"/>
      <c r="N926"/>
      <c r="P926" s="222">
        <v>14.837999999999999</v>
      </c>
      <c r="Q926" s="222">
        <v>43.284199999999998</v>
      </c>
    </row>
    <row r="927" spans="2:17" x14ac:dyDescent="0.35">
      <c r="B927" s="222"/>
      <c r="C927"/>
      <c r="E927" s="222"/>
      <c r="F927" s="222"/>
      <c r="G927" s="222"/>
      <c r="H927"/>
      <c r="J927" s="222"/>
      <c r="K927" s="222"/>
      <c r="L927"/>
      <c r="M927"/>
      <c r="N927"/>
      <c r="P927" s="222">
        <v>14.218999999999999</v>
      </c>
      <c r="Q927" s="222">
        <v>43.8386</v>
      </c>
    </row>
    <row r="928" spans="2:17" x14ac:dyDescent="0.35">
      <c r="B928" s="222"/>
      <c r="C928"/>
      <c r="E928" s="222"/>
      <c r="F928" s="222"/>
      <c r="G928" s="222"/>
      <c r="H928"/>
      <c r="J928" s="222"/>
      <c r="K928" s="222"/>
      <c r="L928"/>
      <c r="M928"/>
      <c r="N928"/>
      <c r="P928" s="222">
        <v>14.152799999999999</v>
      </c>
      <c r="Q928" s="222">
        <v>43.313899999999997</v>
      </c>
    </row>
    <row r="929" spans="2:17" x14ac:dyDescent="0.35">
      <c r="B929" s="222"/>
      <c r="C929"/>
      <c r="E929" s="222"/>
      <c r="F929" s="222"/>
      <c r="G929" s="222"/>
      <c r="H929"/>
      <c r="J929" s="222"/>
      <c r="K929" s="222"/>
      <c r="L929"/>
      <c r="M929"/>
      <c r="N929"/>
      <c r="P929" s="222">
        <v>14.440899999999999</v>
      </c>
      <c r="Q929" s="222">
        <v>42.256999999999998</v>
      </c>
    </row>
    <row r="930" spans="2:17" x14ac:dyDescent="0.35">
      <c r="B930" s="222"/>
      <c r="C930"/>
      <c r="E930" s="222"/>
      <c r="F930" s="222"/>
      <c r="G930" s="222"/>
      <c r="H930"/>
      <c r="J930" s="222"/>
      <c r="K930" s="222"/>
      <c r="L930"/>
      <c r="M930"/>
      <c r="N930"/>
      <c r="P930" s="222">
        <v>14.684900000000001</v>
      </c>
      <c r="Q930" s="222">
        <v>39.6584</v>
      </c>
    </row>
    <row r="931" spans="2:17" x14ac:dyDescent="0.35">
      <c r="B931" s="222"/>
      <c r="C931"/>
      <c r="E931" s="222"/>
      <c r="F931" s="222"/>
      <c r="G931" s="222"/>
      <c r="H931"/>
      <c r="J931" s="222"/>
      <c r="K931" s="222"/>
      <c r="L931"/>
      <c r="M931"/>
      <c r="N931"/>
      <c r="P931" s="222">
        <v>14.850199999999999</v>
      </c>
      <c r="Q931" s="222">
        <v>39.257100000000001</v>
      </c>
    </row>
    <row r="932" spans="2:17" x14ac:dyDescent="0.35">
      <c r="B932" s="222"/>
      <c r="C932"/>
      <c r="E932" s="222"/>
      <c r="F932" s="222"/>
      <c r="G932" s="222"/>
      <c r="H932"/>
      <c r="J932" s="222"/>
      <c r="K932" s="222"/>
      <c r="L932"/>
      <c r="M932"/>
      <c r="N932"/>
      <c r="P932" s="222">
        <v>14.8582</v>
      </c>
      <c r="Q932" s="222">
        <v>39.2301</v>
      </c>
    </row>
    <row r="933" spans="2:17" x14ac:dyDescent="0.35">
      <c r="B933" s="222"/>
      <c r="C933"/>
      <c r="E933" s="222"/>
      <c r="F933" s="222"/>
      <c r="G933" s="222"/>
      <c r="H933"/>
      <c r="J933" s="222"/>
      <c r="K933" s="222"/>
      <c r="L933"/>
      <c r="M933"/>
      <c r="N933"/>
      <c r="P933" s="222">
        <v>14.754799999999999</v>
      </c>
      <c r="Q933" s="222">
        <v>39.348999999999997</v>
      </c>
    </row>
    <row r="934" spans="2:17" x14ac:dyDescent="0.35">
      <c r="B934" s="222"/>
      <c r="C934"/>
      <c r="E934" s="222"/>
      <c r="F934" s="222"/>
      <c r="G934" s="222"/>
      <c r="H934"/>
      <c r="J934" s="222"/>
      <c r="K934" s="222"/>
      <c r="L934"/>
      <c r="M934"/>
      <c r="N934"/>
      <c r="P934" s="222">
        <v>14.8018</v>
      </c>
      <c r="Q934" s="222">
        <v>36.252899999999997</v>
      </c>
    </row>
    <row r="935" spans="2:17" x14ac:dyDescent="0.35">
      <c r="B935" s="222"/>
      <c r="C935"/>
      <c r="E935" s="222"/>
      <c r="F935" s="222"/>
      <c r="G935" s="222"/>
      <c r="H935"/>
      <c r="J935" s="222"/>
      <c r="K935" s="222"/>
      <c r="L935"/>
      <c r="M935"/>
      <c r="N935"/>
      <c r="P935" s="222">
        <v>15.072900000000001</v>
      </c>
      <c r="Q935" s="222">
        <v>38.861400000000003</v>
      </c>
    </row>
    <row r="936" spans="2:17" x14ac:dyDescent="0.35">
      <c r="B936" s="222"/>
      <c r="C936"/>
      <c r="E936" s="222"/>
      <c r="F936" s="222"/>
      <c r="G936" s="222"/>
      <c r="H936"/>
      <c r="J936" s="222"/>
      <c r="K936" s="222"/>
      <c r="L936"/>
      <c r="M936"/>
      <c r="N936"/>
      <c r="P936" s="222">
        <v>15.614599999999999</v>
      </c>
      <c r="Q936" s="222">
        <v>38.620100000000001</v>
      </c>
    </row>
    <row r="937" spans="2:17" x14ac:dyDescent="0.35">
      <c r="B937" s="222"/>
      <c r="C937"/>
      <c r="E937" s="222"/>
      <c r="F937" s="222"/>
      <c r="G937" s="222"/>
      <c r="H937"/>
      <c r="J937" s="222"/>
      <c r="K937" s="222"/>
      <c r="L937"/>
      <c r="M937"/>
      <c r="N937"/>
      <c r="P937" s="222">
        <v>15.5646</v>
      </c>
      <c r="Q937" s="222">
        <v>37.782499999999999</v>
      </c>
    </row>
    <row r="938" spans="2:17" x14ac:dyDescent="0.35">
      <c r="B938" s="222"/>
      <c r="C938"/>
      <c r="E938" s="222"/>
      <c r="F938" s="222"/>
      <c r="G938" s="222"/>
      <c r="H938"/>
      <c r="J938" s="222"/>
      <c r="K938" s="222"/>
      <c r="L938"/>
      <c r="M938"/>
      <c r="N938"/>
      <c r="P938" s="222">
        <v>15.486000000000001</v>
      </c>
      <c r="Q938" s="222">
        <v>38.693300000000001</v>
      </c>
    </row>
    <row r="939" spans="2:17" x14ac:dyDescent="0.35">
      <c r="B939" s="222"/>
      <c r="C939"/>
      <c r="E939" s="222"/>
      <c r="F939" s="222"/>
      <c r="G939" s="222"/>
      <c r="H939"/>
      <c r="J939" s="222"/>
      <c r="K939" s="222"/>
      <c r="L939"/>
      <c r="M939"/>
      <c r="N939"/>
      <c r="P939" s="222">
        <v>15.4619</v>
      </c>
      <c r="Q939" s="222">
        <v>38.312199999999997</v>
      </c>
    </row>
    <row r="940" spans="2:17" x14ac:dyDescent="0.35">
      <c r="B940" s="222"/>
      <c r="C940"/>
      <c r="E940" s="222"/>
      <c r="F940" s="222"/>
      <c r="G940" s="222"/>
      <c r="H940"/>
      <c r="J940" s="222"/>
      <c r="K940" s="222"/>
      <c r="L940"/>
      <c r="M940"/>
      <c r="N940"/>
      <c r="P940" s="222">
        <v>15.741400000000001</v>
      </c>
      <c r="Q940" s="222">
        <v>41.629300000000001</v>
      </c>
    </row>
    <row r="941" spans="2:17" x14ac:dyDescent="0.35">
      <c r="B941" s="222"/>
      <c r="C941"/>
      <c r="E941" s="222"/>
      <c r="F941" s="222"/>
      <c r="G941" s="222"/>
      <c r="H941"/>
      <c r="J941" s="222"/>
      <c r="K941" s="222"/>
      <c r="L941"/>
      <c r="M941"/>
      <c r="N941"/>
      <c r="P941" s="222">
        <v>15.6465</v>
      </c>
      <c r="Q941" s="222">
        <v>41.054400000000001</v>
      </c>
    </row>
    <row r="942" spans="2:17" x14ac:dyDescent="0.35">
      <c r="B942" s="222"/>
      <c r="C942"/>
      <c r="E942" s="222"/>
      <c r="F942" s="222"/>
      <c r="G942" s="222"/>
      <c r="H942"/>
      <c r="J942" s="222"/>
      <c r="K942" s="222"/>
      <c r="L942"/>
      <c r="M942"/>
      <c r="N942"/>
      <c r="P942" s="222">
        <v>15.107100000000001</v>
      </c>
      <c r="Q942" s="222">
        <v>40.128500000000003</v>
      </c>
    </row>
    <row r="943" spans="2:17" x14ac:dyDescent="0.35">
      <c r="B943" s="222"/>
      <c r="C943"/>
      <c r="E943" s="222"/>
      <c r="F943" s="222"/>
      <c r="G943" s="222"/>
      <c r="H943"/>
      <c r="J943" s="222"/>
      <c r="K943" s="222"/>
      <c r="L943"/>
      <c r="M943"/>
      <c r="N943"/>
      <c r="P943" s="222">
        <v>15.555400000000001</v>
      </c>
      <c r="Q943" s="222">
        <v>39.375399999999999</v>
      </c>
    </row>
    <row r="944" spans="2:17" x14ac:dyDescent="0.35">
      <c r="B944" s="222"/>
      <c r="C944"/>
      <c r="E944" s="222"/>
      <c r="F944" s="222"/>
      <c r="G944" s="222"/>
      <c r="H944"/>
      <c r="J944" s="222"/>
      <c r="K944" s="222"/>
      <c r="L944"/>
      <c r="M944"/>
      <c r="N944"/>
      <c r="P944" s="222">
        <v>15.3925</v>
      </c>
      <c r="Q944" s="222">
        <v>39.402299999999997</v>
      </c>
    </row>
    <row r="945" spans="2:17" x14ac:dyDescent="0.35">
      <c r="B945" s="222"/>
      <c r="C945"/>
      <c r="E945" s="222"/>
      <c r="F945" s="222"/>
      <c r="G945" s="222"/>
      <c r="H945"/>
      <c r="J945" s="222"/>
      <c r="K945" s="222"/>
      <c r="L945"/>
      <c r="M945"/>
      <c r="N945"/>
      <c r="P945" s="222">
        <v>15.550800000000001</v>
      </c>
      <c r="Q945" s="222">
        <v>40.261499999999998</v>
      </c>
    </row>
    <row r="946" spans="2:17" x14ac:dyDescent="0.35">
      <c r="B946" s="222"/>
      <c r="C946"/>
      <c r="E946" s="222"/>
      <c r="F946" s="222"/>
      <c r="G946" s="222"/>
      <c r="H946"/>
      <c r="J946" s="222"/>
      <c r="K946" s="222"/>
      <c r="L946"/>
      <c r="M946"/>
      <c r="N946"/>
      <c r="P946" s="222">
        <v>16.075600000000001</v>
      </c>
      <c r="Q946" s="222">
        <v>37.470100000000002</v>
      </c>
    </row>
    <row r="947" spans="2:17" x14ac:dyDescent="0.35">
      <c r="B947" s="222"/>
      <c r="C947"/>
      <c r="E947" s="222"/>
      <c r="F947" s="222"/>
      <c r="G947" s="222"/>
      <c r="H947"/>
      <c r="J947" s="222"/>
      <c r="K947" s="222"/>
      <c r="L947"/>
      <c r="M947"/>
      <c r="N947"/>
      <c r="P947" s="222">
        <v>16.709900000000001</v>
      </c>
      <c r="Q947" s="222">
        <v>36.619999999999997</v>
      </c>
    </row>
    <row r="948" spans="2:17" x14ac:dyDescent="0.35">
      <c r="B948" s="222"/>
      <c r="C948"/>
      <c r="E948" s="222"/>
      <c r="F948" s="222"/>
      <c r="G948" s="222"/>
      <c r="H948"/>
      <c r="J948" s="222"/>
      <c r="K948" s="222"/>
      <c r="L948"/>
      <c r="M948"/>
      <c r="N948"/>
      <c r="P948" s="222">
        <v>17.5593</v>
      </c>
      <c r="Q948" s="222">
        <v>36.406399999999998</v>
      </c>
    </row>
    <row r="949" spans="2:17" x14ac:dyDescent="0.35">
      <c r="B949" s="222"/>
      <c r="C949"/>
      <c r="E949" s="222"/>
      <c r="F949" s="222"/>
      <c r="G949" s="222"/>
      <c r="H949"/>
      <c r="J949" s="222"/>
      <c r="K949" s="222"/>
      <c r="L949"/>
      <c r="M949"/>
      <c r="N949"/>
      <c r="P949" s="222">
        <v>17.5364</v>
      </c>
      <c r="Q949" s="222">
        <v>36.092700000000001</v>
      </c>
    </row>
    <row r="950" spans="2:17" x14ac:dyDescent="0.35">
      <c r="B950" s="222"/>
      <c r="C950"/>
      <c r="E950" s="222"/>
      <c r="F950" s="222"/>
      <c r="G950" s="222"/>
      <c r="H950"/>
      <c r="J950" s="222"/>
      <c r="K950" s="222"/>
      <c r="L950"/>
      <c r="M950"/>
      <c r="N950"/>
      <c r="P950" s="222">
        <v>17.4054</v>
      </c>
      <c r="Q950" s="222">
        <v>33.906599999999997</v>
      </c>
    </row>
    <row r="951" spans="2:17" x14ac:dyDescent="0.35">
      <c r="B951" s="222"/>
      <c r="C951"/>
      <c r="E951" s="222"/>
      <c r="F951" s="222"/>
      <c r="G951" s="222"/>
      <c r="H951"/>
      <c r="J951" s="222"/>
      <c r="K951" s="222"/>
      <c r="L951"/>
      <c r="M951"/>
      <c r="N951"/>
      <c r="P951" s="222">
        <v>17.1602</v>
      </c>
      <c r="Q951" s="222">
        <v>32.289000000000001</v>
      </c>
    </row>
    <row r="952" spans="2:17" x14ac:dyDescent="0.35">
      <c r="B952" s="222"/>
      <c r="C952"/>
      <c r="E952" s="222"/>
      <c r="F952" s="222"/>
      <c r="G952" s="222"/>
      <c r="H952"/>
      <c r="J952" s="222"/>
      <c r="K952" s="222"/>
      <c r="L952"/>
      <c r="M952"/>
      <c r="N952"/>
      <c r="P952" s="222">
        <v>17.6568</v>
      </c>
      <c r="Q952" s="222">
        <v>33.037799999999997</v>
      </c>
    </row>
    <row r="953" spans="2:17" x14ac:dyDescent="0.35">
      <c r="B953" s="222"/>
      <c r="C953"/>
      <c r="E953" s="222"/>
      <c r="F953" s="222"/>
      <c r="G953" s="222"/>
      <c r="H953"/>
      <c r="J953" s="222"/>
      <c r="K953" s="222"/>
      <c r="L953"/>
      <c r="M953"/>
      <c r="N953"/>
      <c r="P953" s="222">
        <v>18.047799999999999</v>
      </c>
      <c r="Q953" s="222">
        <v>34.362200000000001</v>
      </c>
    </row>
    <row r="954" spans="2:17" x14ac:dyDescent="0.35">
      <c r="B954" s="222"/>
      <c r="C954"/>
      <c r="E954" s="222"/>
      <c r="F954" s="222"/>
      <c r="G954" s="222"/>
      <c r="H954"/>
      <c r="J954" s="222"/>
      <c r="K954" s="222"/>
      <c r="L954"/>
      <c r="M954"/>
      <c r="N954"/>
      <c r="P954" s="222">
        <v>18.232500000000002</v>
      </c>
      <c r="Q954" s="222">
        <v>33.858600000000003</v>
      </c>
    </row>
    <row r="955" spans="2:17" x14ac:dyDescent="0.35">
      <c r="B955" s="222"/>
      <c r="C955"/>
      <c r="E955" s="222"/>
      <c r="F955" s="222"/>
      <c r="G955" s="222"/>
      <c r="H955"/>
      <c r="J955" s="222"/>
      <c r="K955" s="222"/>
      <c r="L955"/>
      <c r="M955"/>
      <c r="N955"/>
      <c r="P955" s="222">
        <v>19.215199999999999</v>
      </c>
      <c r="Q955" s="222">
        <v>29.036000000000001</v>
      </c>
    </row>
    <row r="956" spans="2:17" x14ac:dyDescent="0.35">
      <c r="B956" s="222"/>
      <c r="C956"/>
      <c r="E956" s="222"/>
      <c r="F956" s="222"/>
      <c r="G956" s="222"/>
      <c r="H956"/>
      <c r="J956" s="222"/>
      <c r="K956" s="222"/>
      <c r="L956"/>
      <c r="M956"/>
      <c r="N956"/>
      <c r="P956" s="222">
        <v>18.711400000000001</v>
      </c>
      <c r="Q956" s="222">
        <v>29.2378</v>
      </c>
    </row>
    <row r="957" spans="2:17" x14ac:dyDescent="0.35">
      <c r="B957" s="222"/>
      <c r="C957"/>
      <c r="E957" s="222"/>
      <c r="F957" s="222"/>
      <c r="G957" s="222"/>
      <c r="H957"/>
      <c r="J957" s="222"/>
      <c r="K957" s="222"/>
      <c r="L957"/>
      <c r="M957"/>
      <c r="N957"/>
      <c r="P957" s="222">
        <v>18.394400000000001</v>
      </c>
      <c r="Q957" s="222">
        <v>28.3613</v>
      </c>
    </row>
    <row r="958" spans="2:17" x14ac:dyDescent="0.35">
      <c r="B958" s="222"/>
      <c r="C958"/>
      <c r="E958" s="222"/>
      <c r="F958" s="222"/>
      <c r="G958" s="222"/>
      <c r="H958"/>
      <c r="J958" s="222"/>
      <c r="K958" s="222"/>
      <c r="L958"/>
      <c r="M958"/>
      <c r="N958"/>
      <c r="P958" s="222">
        <v>18.581199999999999</v>
      </c>
      <c r="Q958" s="222">
        <v>26.194299999999998</v>
      </c>
    </row>
    <row r="959" spans="2:17" x14ac:dyDescent="0.35">
      <c r="B959" s="222"/>
      <c r="C959"/>
      <c r="E959" s="222"/>
      <c r="F959" s="222"/>
      <c r="G959" s="222"/>
      <c r="H959"/>
      <c r="J959" s="222"/>
      <c r="K959" s="222"/>
      <c r="L959"/>
      <c r="M959"/>
      <c r="N959"/>
      <c r="P959" s="222">
        <v>18.621700000000001</v>
      </c>
      <c r="Q959" s="222">
        <v>24.9392</v>
      </c>
    </row>
    <row r="960" spans="2:17" x14ac:dyDescent="0.35">
      <c r="B960" s="222"/>
      <c r="C960"/>
      <c r="E960" s="222"/>
      <c r="F960" s="222"/>
      <c r="G960" s="222"/>
      <c r="H960"/>
      <c r="J960" s="222"/>
      <c r="K960" s="222"/>
      <c r="L960"/>
      <c r="M960"/>
      <c r="N960"/>
      <c r="P960" s="222">
        <v>18.801300000000001</v>
      </c>
      <c r="Q960" s="222">
        <v>23.917300000000001</v>
      </c>
    </row>
    <row r="961" spans="2:17" x14ac:dyDescent="0.35">
      <c r="B961" s="222"/>
      <c r="C961"/>
      <c r="E961" s="222"/>
      <c r="F961" s="222"/>
      <c r="G961" s="222"/>
      <c r="H961"/>
      <c r="J961" s="222"/>
      <c r="K961" s="222"/>
      <c r="L961"/>
      <c r="M961"/>
      <c r="N961"/>
      <c r="P961" s="222">
        <v>19.6311</v>
      </c>
      <c r="Q961" s="222">
        <v>22.028500000000001</v>
      </c>
    </row>
    <row r="962" spans="2:17" x14ac:dyDescent="0.35">
      <c r="B962" s="222"/>
      <c r="C962"/>
      <c r="E962" s="222"/>
      <c r="F962" s="222"/>
      <c r="G962" s="222"/>
      <c r="H962"/>
      <c r="J962" s="222"/>
      <c r="K962" s="222"/>
      <c r="L962"/>
      <c r="M962"/>
      <c r="N962"/>
      <c r="P962" s="222">
        <v>19.838699999999999</v>
      </c>
      <c r="Q962" s="222">
        <v>23.994499999999999</v>
      </c>
    </row>
    <row r="963" spans="2:17" x14ac:dyDescent="0.35">
      <c r="B963" s="222"/>
      <c r="C963"/>
      <c r="E963" s="222"/>
      <c r="F963" s="222"/>
      <c r="G963" s="222"/>
      <c r="H963"/>
      <c r="J963" s="222"/>
      <c r="K963" s="222"/>
      <c r="L963"/>
      <c r="M963"/>
      <c r="N963"/>
      <c r="P963" s="222">
        <v>19.782800000000002</v>
      </c>
      <c r="Q963" s="222">
        <v>22.700099999999999</v>
      </c>
    </row>
    <row r="964" spans="2:17" x14ac:dyDescent="0.35">
      <c r="B964" s="222"/>
      <c r="C964"/>
      <c r="E964" s="222"/>
      <c r="F964" s="222"/>
      <c r="G964" s="222"/>
      <c r="H964"/>
      <c r="J964" s="222"/>
      <c r="K964" s="222"/>
      <c r="L964"/>
      <c r="M964"/>
      <c r="N964"/>
      <c r="P964" s="222">
        <v>20.018599999999999</v>
      </c>
      <c r="Q964" s="222">
        <v>23.762799999999999</v>
      </c>
    </row>
    <row r="965" spans="2:17" x14ac:dyDescent="0.35">
      <c r="B965" s="222"/>
      <c r="C965"/>
      <c r="E965" s="222"/>
      <c r="F965" s="222"/>
      <c r="G965" s="222"/>
      <c r="H965"/>
      <c r="J965" s="222"/>
      <c r="K965" s="222"/>
      <c r="L965"/>
      <c r="M965"/>
      <c r="N965"/>
      <c r="P965" s="222">
        <v>20.174299999999999</v>
      </c>
      <c r="Q965" s="222">
        <v>24.035699999999999</v>
      </c>
    </row>
    <row r="966" spans="2:17" x14ac:dyDescent="0.35">
      <c r="B966" s="222"/>
      <c r="C966"/>
      <c r="E966" s="222"/>
      <c r="F966" s="222"/>
      <c r="G966" s="222"/>
      <c r="H966"/>
      <c r="J966" s="222"/>
      <c r="K966" s="222"/>
      <c r="L966"/>
      <c r="M966"/>
      <c r="N966"/>
      <c r="P966" s="222">
        <v>20.448599999999999</v>
      </c>
      <c r="Q966" s="222">
        <v>26.098600000000001</v>
      </c>
    </row>
    <row r="967" spans="2:17" x14ac:dyDescent="0.35">
      <c r="B967" s="222"/>
      <c r="C967"/>
      <c r="E967" s="222"/>
      <c r="F967" s="222"/>
      <c r="G967" s="222"/>
      <c r="H967"/>
      <c r="J967" s="222"/>
      <c r="K967" s="222"/>
      <c r="L967"/>
      <c r="M967"/>
      <c r="N967"/>
      <c r="P967" s="222">
        <v>20.308700000000002</v>
      </c>
      <c r="Q967" s="222">
        <v>24.773299999999999</v>
      </c>
    </row>
    <row r="968" spans="2:17" x14ac:dyDescent="0.35">
      <c r="B968" s="222"/>
      <c r="C968"/>
      <c r="E968" s="222"/>
      <c r="F968" s="222"/>
      <c r="G968" s="222"/>
      <c r="H968"/>
      <c r="J968" s="222"/>
      <c r="K968" s="222"/>
      <c r="L968"/>
      <c r="M968"/>
      <c r="N968"/>
      <c r="P968" s="222">
        <v>20.1327</v>
      </c>
      <c r="Q968" s="222">
        <v>27.052299999999999</v>
      </c>
    </row>
    <row r="969" spans="2:17" x14ac:dyDescent="0.35">
      <c r="B969" s="222"/>
      <c r="C969"/>
      <c r="E969" s="222"/>
      <c r="F969" s="222"/>
      <c r="G969" s="222"/>
      <c r="H969"/>
      <c r="J969" s="222"/>
      <c r="K969" s="222"/>
      <c r="L969"/>
      <c r="M969"/>
      <c r="N969"/>
      <c r="P969" s="222">
        <v>20.403400000000001</v>
      </c>
      <c r="Q969" s="222">
        <v>27.127700000000001</v>
      </c>
    </row>
    <row r="970" spans="2:17" x14ac:dyDescent="0.35">
      <c r="B970" s="222"/>
      <c r="C970"/>
      <c r="E970" s="222"/>
      <c r="F970" s="222"/>
      <c r="G970" s="222"/>
      <c r="H970"/>
      <c r="J970" s="222"/>
      <c r="K970" s="222"/>
      <c r="L970"/>
      <c r="M970"/>
      <c r="N970"/>
      <c r="P970" s="222">
        <v>20.621500000000001</v>
      </c>
      <c r="Q970" s="222">
        <v>24.812799999999999</v>
      </c>
    </row>
    <row r="971" spans="2:17" x14ac:dyDescent="0.35">
      <c r="B971" s="222"/>
      <c r="C971"/>
      <c r="E971" s="222"/>
      <c r="F971" s="222"/>
      <c r="G971" s="222"/>
      <c r="H971"/>
      <c r="J971" s="222"/>
      <c r="K971" s="222"/>
      <c r="L971"/>
      <c r="M971"/>
      <c r="N971"/>
      <c r="P971" s="222">
        <v>20.726800000000001</v>
      </c>
      <c r="Q971" s="222">
        <v>23.157</v>
      </c>
    </row>
    <row r="972" spans="2:17" x14ac:dyDescent="0.35">
      <c r="B972" s="222"/>
      <c r="C972"/>
      <c r="E972" s="222"/>
      <c r="F972" s="222"/>
      <c r="G972" s="222"/>
      <c r="H972"/>
      <c r="J972" s="222"/>
      <c r="K972" s="222"/>
      <c r="L972"/>
      <c r="M972"/>
      <c r="N972"/>
      <c r="P972" s="222">
        <v>19.806000000000001</v>
      </c>
      <c r="Q972" s="222">
        <v>27.203600000000002</v>
      </c>
    </row>
    <row r="973" spans="2:17" x14ac:dyDescent="0.35">
      <c r="B973" s="222"/>
      <c r="C973"/>
      <c r="E973" s="222"/>
      <c r="F973" s="222"/>
      <c r="G973" s="222"/>
      <c r="H973"/>
      <c r="J973" s="222"/>
      <c r="K973" s="222"/>
      <c r="L973"/>
      <c r="M973"/>
      <c r="N973"/>
      <c r="P973" s="222">
        <v>19.12</v>
      </c>
      <c r="Q973" s="222">
        <v>28.124300000000002</v>
      </c>
    </row>
    <row r="974" spans="2:17" x14ac:dyDescent="0.35">
      <c r="B974" s="222"/>
      <c r="C974"/>
      <c r="E974" s="222"/>
      <c r="F974" s="222"/>
      <c r="G974" s="222"/>
      <c r="H974"/>
      <c r="J974" s="222"/>
      <c r="K974" s="222"/>
      <c r="L974"/>
      <c r="M974"/>
      <c r="N974"/>
      <c r="P974" s="222">
        <v>19.035399999999999</v>
      </c>
      <c r="Q974" s="222">
        <v>28.0608</v>
      </c>
    </row>
    <row r="975" spans="2:17" x14ac:dyDescent="0.35">
      <c r="B975" s="222"/>
      <c r="C975"/>
      <c r="E975" s="222"/>
      <c r="F975" s="222"/>
      <c r="G975" s="222"/>
      <c r="H975"/>
      <c r="J975" s="222"/>
      <c r="K975" s="222"/>
      <c r="L975"/>
      <c r="M975"/>
      <c r="N975"/>
      <c r="P975" s="222">
        <v>18.865600000000001</v>
      </c>
      <c r="Q975" s="222">
        <v>26.731400000000001</v>
      </c>
    </row>
    <row r="976" spans="2:17" x14ac:dyDescent="0.35">
      <c r="B976" s="222"/>
      <c r="C976"/>
      <c r="E976" s="222"/>
      <c r="F976" s="222"/>
      <c r="G976" s="222"/>
      <c r="H976"/>
      <c r="J976" s="222"/>
      <c r="K976" s="222"/>
      <c r="L976"/>
      <c r="M976"/>
      <c r="N976"/>
      <c r="P976" s="222">
        <v>19.284400000000002</v>
      </c>
      <c r="Q976" s="222">
        <v>25.929600000000001</v>
      </c>
    </row>
    <row r="977" spans="2:17" x14ac:dyDescent="0.35">
      <c r="B977" s="222"/>
      <c r="C977"/>
      <c r="E977" s="222"/>
      <c r="F977" s="222"/>
      <c r="G977" s="222"/>
      <c r="H977"/>
      <c r="J977" s="222"/>
      <c r="K977" s="222"/>
      <c r="L977"/>
      <c r="M977"/>
      <c r="N977"/>
      <c r="P977" s="222">
        <v>19.6008</v>
      </c>
      <c r="Q977" s="222">
        <v>25.2483</v>
      </c>
    </row>
    <row r="978" spans="2:17" x14ac:dyDescent="0.35">
      <c r="B978" s="222"/>
      <c r="C978"/>
      <c r="E978" s="222"/>
      <c r="F978" s="222"/>
      <c r="G978" s="222"/>
      <c r="H978"/>
      <c r="J978" s="222"/>
      <c r="K978" s="222"/>
      <c r="L978"/>
      <c r="M978"/>
      <c r="N978"/>
      <c r="P978" s="222">
        <v>20.366599999999998</v>
      </c>
      <c r="Q978" s="222">
        <v>28.4983</v>
      </c>
    </row>
    <row r="979" spans="2:17" x14ac:dyDescent="0.35">
      <c r="B979" s="222"/>
      <c r="C979"/>
      <c r="E979" s="222"/>
      <c r="F979" s="222"/>
      <c r="G979" s="222"/>
      <c r="H979"/>
      <c r="J979" s="222"/>
      <c r="K979" s="222"/>
      <c r="L979"/>
      <c r="M979"/>
      <c r="N979"/>
      <c r="P979" s="222">
        <v>21.618300000000001</v>
      </c>
      <c r="Q979" s="222">
        <v>29.222000000000001</v>
      </c>
    </row>
    <row r="980" spans="2:17" x14ac:dyDescent="0.35">
      <c r="B980" s="222"/>
      <c r="C980"/>
      <c r="E980" s="222"/>
      <c r="F980" s="222"/>
      <c r="G980" s="222"/>
      <c r="H980"/>
      <c r="J980" s="222"/>
      <c r="K980" s="222"/>
      <c r="L980"/>
      <c r="M980"/>
      <c r="N980"/>
      <c r="P980" s="222">
        <v>22.061399999999999</v>
      </c>
      <c r="Q980" s="222">
        <v>30.988</v>
      </c>
    </row>
    <row r="981" spans="2:17" x14ac:dyDescent="0.35">
      <c r="B981" s="222"/>
      <c r="C981"/>
      <c r="E981" s="222"/>
      <c r="F981" s="222"/>
      <c r="G981" s="222"/>
      <c r="H981"/>
      <c r="J981" s="222"/>
      <c r="K981" s="222"/>
      <c r="L981"/>
      <c r="M981"/>
      <c r="N981"/>
      <c r="P981" s="222">
        <v>22.642700000000001</v>
      </c>
      <c r="Q981" s="222">
        <v>31.4114</v>
      </c>
    </row>
    <row r="982" spans="2:17" x14ac:dyDescent="0.35">
      <c r="B982" s="222"/>
      <c r="C982"/>
      <c r="E982" s="222"/>
      <c r="F982" s="222"/>
      <c r="G982" s="222"/>
      <c r="H982"/>
      <c r="J982" s="222"/>
      <c r="K982" s="222"/>
      <c r="L982"/>
      <c r="M982"/>
      <c r="N982"/>
      <c r="P982" s="222">
        <v>22.707100000000001</v>
      </c>
      <c r="Q982" s="222">
        <v>30.412199999999999</v>
      </c>
    </row>
    <row r="983" spans="2:17" x14ac:dyDescent="0.35">
      <c r="B983" s="222"/>
      <c r="C983"/>
      <c r="E983" s="222"/>
      <c r="F983" s="222"/>
      <c r="G983" s="222"/>
      <c r="H983"/>
      <c r="J983" s="222"/>
      <c r="K983" s="222"/>
      <c r="L983"/>
      <c r="M983"/>
      <c r="N983"/>
      <c r="P983" s="222">
        <v>22.7303</v>
      </c>
      <c r="Q983" s="222">
        <v>30.921600000000002</v>
      </c>
    </row>
    <row r="984" spans="2:17" x14ac:dyDescent="0.35">
      <c r="B984" s="222"/>
      <c r="C984"/>
      <c r="E984" s="222"/>
      <c r="F984" s="222"/>
      <c r="G984" s="222"/>
      <c r="H984"/>
      <c r="J984" s="222"/>
      <c r="K984" s="222"/>
      <c r="L984"/>
      <c r="M984"/>
      <c r="N984"/>
      <c r="P984" s="222">
        <v>23.7456</v>
      </c>
      <c r="Q984" s="222">
        <v>31.832999999999998</v>
      </c>
    </row>
    <row r="985" spans="2:17" x14ac:dyDescent="0.35">
      <c r="B985" s="222"/>
      <c r="C985"/>
      <c r="E985" s="222"/>
      <c r="F985" s="222"/>
      <c r="G985" s="222"/>
      <c r="H985"/>
      <c r="J985" s="222"/>
      <c r="K985" s="222"/>
      <c r="L985"/>
      <c r="M985"/>
      <c r="N985"/>
      <c r="P985" s="222">
        <v>23.8443</v>
      </c>
      <c r="Q985" s="222">
        <v>30.280799999999999</v>
      </c>
    </row>
    <row r="986" spans="2:17" x14ac:dyDescent="0.35">
      <c r="B986" s="222"/>
      <c r="C986"/>
      <c r="E986" s="222"/>
      <c r="F986" s="222"/>
      <c r="G986" s="222"/>
      <c r="H986"/>
      <c r="J986" s="222"/>
      <c r="K986" s="222"/>
      <c r="L986"/>
      <c r="M986"/>
      <c r="N986"/>
      <c r="P986" s="222">
        <v>24.206700000000001</v>
      </c>
      <c r="Q986" s="222">
        <v>30.366199999999999</v>
      </c>
    </row>
    <row r="987" spans="2:17" x14ac:dyDescent="0.35">
      <c r="B987" s="222"/>
      <c r="C987"/>
      <c r="E987" s="222"/>
      <c r="F987" s="222"/>
      <c r="G987" s="222"/>
      <c r="H987"/>
      <c r="J987" s="222"/>
      <c r="K987" s="222"/>
      <c r="L987"/>
      <c r="M987"/>
      <c r="N987"/>
      <c r="P987" s="222">
        <v>23.693899999999999</v>
      </c>
      <c r="Q987" s="222">
        <v>31.531400000000001</v>
      </c>
    </row>
    <row r="988" spans="2:17" x14ac:dyDescent="0.35">
      <c r="B988" s="222"/>
      <c r="C988"/>
      <c r="E988" s="222"/>
      <c r="F988" s="222"/>
      <c r="G988" s="222"/>
      <c r="H988"/>
      <c r="J988" s="222"/>
      <c r="K988" s="222"/>
      <c r="L988"/>
      <c r="M988"/>
      <c r="N988"/>
      <c r="P988" s="222">
        <v>23.788</v>
      </c>
      <c r="Q988" s="222">
        <v>32.462800000000001</v>
      </c>
    </row>
    <row r="989" spans="2:17" x14ac:dyDescent="0.35">
      <c r="B989" s="222"/>
      <c r="C989"/>
      <c r="E989" s="222"/>
      <c r="F989" s="222"/>
      <c r="G989" s="222"/>
      <c r="H989"/>
      <c r="J989" s="222"/>
      <c r="K989" s="222"/>
      <c r="L989"/>
      <c r="M989"/>
      <c r="N989"/>
      <c r="P989" s="222">
        <v>24.3779</v>
      </c>
      <c r="Q989" s="222">
        <v>31.8094</v>
      </c>
    </row>
    <row r="990" spans="2:17" x14ac:dyDescent="0.35">
      <c r="B990" s="222"/>
      <c r="C990"/>
      <c r="E990" s="222"/>
      <c r="F990" s="222"/>
      <c r="G990" s="222"/>
      <c r="H990"/>
      <c r="J990" s="222"/>
      <c r="K990" s="222"/>
      <c r="L990"/>
      <c r="M990"/>
      <c r="N990"/>
      <c r="P990" s="222">
        <v>23.906300000000002</v>
      </c>
      <c r="Q990" s="222">
        <v>30.566500000000001</v>
      </c>
    </row>
    <row r="991" spans="2:17" x14ac:dyDescent="0.35">
      <c r="B991" s="222"/>
      <c r="C991"/>
      <c r="E991" s="222"/>
      <c r="F991" s="222"/>
      <c r="G991" s="222"/>
      <c r="H991"/>
      <c r="J991" s="222"/>
      <c r="K991" s="222"/>
      <c r="L991"/>
      <c r="M991"/>
      <c r="N991"/>
      <c r="P991" s="222">
        <v>23.986599999999999</v>
      </c>
      <c r="Q991" s="222">
        <v>30.7378</v>
      </c>
    </row>
    <row r="992" spans="2:17" x14ac:dyDescent="0.35">
      <c r="B992" s="222"/>
      <c r="C992"/>
      <c r="E992" s="222"/>
      <c r="F992" s="222"/>
      <c r="G992" s="222"/>
      <c r="H992"/>
      <c r="J992" s="222"/>
      <c r="K992" s="222"/>
      <c r="L992"/>
      <c r="M992"/>
      <c r="N992"/>
      <c r="P992" s="222">
        <v>23.957599999999999</v>
      </c>
      <c r="Q992" s="222">
        <v>32.851799999999997</v>
      </c>
    </row>
    <row r="993" spans="2:17" x14ac:dyDescent="0.35">
      <c r="B993" s="222"/>
      <c r="C993"/>
      <c r="E993" s="222"/>
      <c r="F993" s="222"/>
      <c r="G993" s="222"/>
      <c r="H993"/>
      <c r="J993" s="222"/>
      <c r="K993" s="222"/>
      <c r="L993"/>
      <c r="M993"/>
      <c r="N993"/>
      <c r="P993" s="222">
        <v>24.442499999999999</v>
      </c>
      <c r="Q993" s="222">
        <v>32.157600000000002</v>
      </c>
    </row>
    <row r="994" spans="2:17" x14ac:dyDescent="0.35">
      <c r="B994" s="222"/>
      <c r="C994"/>
      <c r="E994" s="222"/>
      <c r="F994" s="222"/>
      <c r="G994" s="222"/>
      <c r="H994"/>
      <c r="J994" s="222"/>
      <c r="K994" s="222"/>
      <c r="L994"/>
      <c r="M994"/>
      <c r="N994"/>
      <c r="P994" s="222">
        <v>24.508900000000001</v>
      </c>
      <c r="Q994" s="222">
        <v>30.230699999999999</v>
      </c>
    </row>
    <row r="995" spans="2:17" x14ac:dyDescent="0.35">
      <c r="B995" s="222"/>
      <c r="C995"/>
      <c r="E995" s="222"/>
      <c r="F995" s="222"/>
      <c r="G995" s="222"/>
      <c r="H995"/>
      <c r="J995" s="222"/>
      <c r="K995" s="222"/>
      <c r="L995"/>
      <c r="M995"/>
      <c r="N995"/>
      <c r="P995" s="222">
        <v>24.199000000000002</v>
      </c>
      <c r="Q995" s="222">
        <v>30.248100000000001</v>
      </c>
    </row>
    <row r="996" spans="2:17" x14ac:dyDescent="0.35">
      <c r="B996" s="222"/>
      <c r="C996"/>
      <c r="E996" s="222"/>
      <c r="F996" s="222"/>
      <c r="G996" s="222"/>
      <c r="H996"/>
      <c r="J996" s="222"/>
      <c r="K996" s="222"/>
      <c r="L996"/>
      <c r="M996"/>
      <c r="N996"/>
      <c r="P996" s="222">
        <v>23.722799999999999</v>
      </c>
      <c r="Q996" s="222">
        <v>31.902799999999999</v>
      </c>
    </row>
    <row r="997" spans="2:17" x14ac:dyDescent="0.35">
      <c r="B997" s="222"/>
      <c r="C997"/>
      <c r="E997" s="222"/>
      <c r="F997" s="222"/>
      <c r="G997" s="222"/>
      <c r="H997"/>
      <c r="J997" s="222"/>
      <c r="K997" s="222"/>
      <c r="L997"/>
      <c r="M997"/>
      <c r="N997"/>
      <c r="P997" s="222">
        <v>24.2651</v>
      </c>
      <c r="Q997" s="222">
        <v>32.053600000000003</v>
      </c>
    </row>
    <row r="998" spans="2:17" x14ac:dyDescent="0.35">
      <c r="B998" s="222"/>
      <c r="C998"/>
      <c r="E998" s="222"/>
      <c r="F998" s="222"/>
      <c r="G998" s="222"/>
      <c r="H998"/>
      <c r="J998" s="222"/>
      <c r="K998" s="222"/>
      <c r="L998"/>
      <c r="M998"/>
      <c r="N998"/>
      <c r="P998" s="222">
        <v>24.217199999999998</v>
      </c>
      <c r="Q998" s="222">
        <v>35.988799999999998</v>
      </c>
    </row>
    <row r="999" spans="2:17" x14ac:dyDescent="0.35">
      <c r="B999" s="222"/>
      <c r="C999"/>
      <c r="E999" s="222"/>
      <c r="F999" s="222"/>
      <c r="G999" s="222"/>
      <c r="H999"/>
      <c r="J999" s="222"/>
      <c r="K999" s="222"/>
      <c r="L999"/>
      <c r="M999"/>
      <c r="N999"/>
      <c r="P999" s="222">
        <v>24.853999999999999</v>
      </c>
      <c r="Q999" s="222">
        <v>35.268700000000003</v>
      </c>
    </row>
    <row r="1000" spans="2:17" x14ac:dyDescent="0.35">
      <c r="B1000" s="222"/>
      <c r="C1000"/>
      <c r="E1000" s="222"/>
      <c r="F1000" s="222"/>
      <c r="G1000" s="222"/>
      <c r="H1000"/>
      <c r="J1000" s="222"/>
      <c r="K1000" s="222"/>
      <c r="L1000"/>
      <c r="M1000"/>
      <c r="N1000"/>
      <c r="P1000" s="222">
        <v>24.771000000000001</v>
      </c>
      <c r="Q1000" s="222">
        <v>36.672899999999998</v>
      </c>
    </row>
    <row r="1001" spans="2:17" x14ac:dyDescent="0.35">
      <c r="B1001" s="222"/>
      <c r="C1001"/>
      <c r="E1001" s="222"/>
      <c r="F1001" s="222"/>
      <c r="G1001" s="222"/>
      <c r="H1001"/>
      <c r="J1001" s="222"/>
      <c r="K1001" s="222"/>
      <c r="L1001"/>
      <c r="M1001"/>
      <c r="N1001"/>
      <c r="P1001" s="222">
        <v>25.624400000000001</v>
      </c>
      <c r="Q1001" s="222">
        <v>37.185200000000002</v>
      </c>
    </row>
    <row r="1002" spans="2:17" x14ac:dyDescent="0.35">
      <c r="B1002" s="222"/>
      <c r="C1002"/>
      <c r="E1002" s="222"/>
      <c r="F1002" s="222"/>
      <c r="G1002" s="222"/>
      <c r="H1002"/>
      <c r="J1002" s="222"/>
      <c r="K1002" s="222"/>
      <c r="L1002"/>
      <c r="M1002"/>
      <c r="N1002"/>
      <c r="P1002" s="222">
        <v>24.474699999999999</v>
      </c>
      <c r="Q1002" s="222">
        <v>36.480899999999998</v>
      </c>
    </row>
    <row r="1003" spans="2:17" x14ac:dyDescent="0.35">
      <c r="B1003" s="222"/>
      <c r="C1003"/>
      <c r="E1003" s="222"/>
      <c r="F1003" s="222"/>
      <c r="G1003" s="222"/>
      <c r="H1003"/>
      <c r="J1003" s="222"/>
      <c r="K1003" s="222"/>
      <c r="L1003"/>
      <c r="M1003"/>
      <c r="N1003"/>
      <c r="P1003" s="222">
        <v>23.6706</v>
      </c>
      <c r="Q1003" s="222">
        <v>35.934199999999997</v>
      </c>
    </row>
    <row r="1004" spans="2:17" x14ac:dyDescent="0.35">
      <c r="B1004" s="222"/>
      <c r="C1004"/>
      <c r="E1004" s="222"/>
      <c r="F1004" s="222"/>
      <c r="G1004" s="222"/>
      <c r="H1004"/>
      <c r="J1004" s="222"/>
      <c r="K1004" s="222"/>
      <c r="L1004"/>
      <c r="M1004"/>
      <c r="N1004"/>
      <c r="P1004" s="222">
        <v>23.597899999999999</v>
      </c>
      <c r="Q1004" s="222">
        <v>35.4559</v>
      </c>
    </row>
    <row r="1005" spans="2:17" x14ac:dyDescent="0.35">
      <c r="B1005" s="222"/>
      <c r="C1005"/>
      <c r="E1005" s="222"/>
      <c r="F1005" s="222"/>
      <c r="G1005" s="222"/>
      <c r="H1005"/>
      <c r="J1005" s="222"/>
      <c r="K1005" s="222"/>
      <c r="L1005"/>
      <c r="M1005"/>
      <c r="N1005"/>
      <c r="P1005" s="222">
        <v>22.355599999999999</v>
      </c>
      <c r="Q1005" s="222">
        <v>36.4084</v>
      </c>
    </row>
    <row r="1006" spans="2:17" x14ac:dyDescent="0.35">
      <c r="B1006" s="222"/>
      <c r="C1006"/>
      <c r="E1006" s="222"/>
      <c r="F1006" s="222"/>
      <c r="G1006" s="222"/>
      <c r="H1006"/>
      <c r="J1006" s="222"/>
      <c r="K1006" s="222"/>
      <c r="L1006"/>
      <c r="M1006"/>
      <c r="N1006"/>
      <c r="P1006" s="222">
        <v>21.805900000000001</v>
      </c>
      <c r="Q1006" s="222">
        <v>36.676600000000001</v>
      </c>
    </row>
    <row r="1007" spans="2:17" x14ac:dyDescent="0.35">
      <c r="B1007" s="222"/>
      <c r="C1007"/>
      <c r="E1007" s="222"/>
      <c r="F1007" s="222"/>
      <c r="G1007" s="222"/>
      <c r="H1007"/>
      <c r="J1007" s="222"/>
      <c r="K1007" s="222"/>
      <c r="L1007"/>
      <c r="M1007"/>
      <c r="N1007"/>
      <c r="P1007" s="222">
        <v>21.426100000000002</v>
      </c>
      <c r="Q1007" s="222">
        <v>36.147300000000001</v>
      </c>
    </row>
    <row r="1008" spans="2:17" x14ac:dyDescent="0.35">
      <c r="B1008" s="222"/>
      <c r="C1008"/>
      <c r="E1008" s="222"/>
      <c r="F1008" s="222"/>
      <c r="G1008" s="222"/>
      <c r="H1008"/>
      <c r="J1008" s="222"/>
      <c r="K1008" s="222"/>
      <c r="L1008"/>
      <c r="M1008"/>
      <c r="N1008"/>
      <c r="P1008" s="222">
        <v>21.463899999999999</v>
      </c>
      <c r="Q1008" s="222">
        <v>37.731400000000001</v>
      </c>
    </row>
    <row r="1009" spans="2:17" x14ac:dyDescent="0.35">
      <c r="B1009" s="222"/>
      <c r="C1009"/>
      <c r="E1009" s="222"/>
      <c r="F1009" s="222"/>
      <c r="G1009" s="222"/>
      <c r="H1009"/>
      <c r="J1009" s="222"/>
      <c r="K1009" s="222"/>
      <c r="L1009"/>
      <c r="M1009"/>
      <c r="N1009"/>
      <c r="P1009" s="222">
        <v>22.212900000000001</v>
      </c>
      <c r="Q1009" s="222">
        <v>37.988799999999998</v>
      </c>
    </row>
    <row r="1010" spans="2:17" x14ac:dyDescent="0.35">
      <c r="B1010" s="222"/>
      <c r="C1010"/>
      <c r="E1010" s="222"/>
      <c r="F1010" s="222"/>
      <c r="G1010" s="222"/>
      <c r="H1010"/>
      <c r="J1010" s="222"/>
      <c r="K1010" s="222"/>
      <c r="L1010"/>
      <c r="M1010"/>
      <c r="N1010"/>
      <c r="P1010" s="222">
        <v>21.906199999999998</v>
      </c>
      <c r="Q1010" s="222">
        <v>38.335500000000003</v>
      </c>
    </row>
    <row r="1011" spans="2:17" x14ac:dyDescent="0.35">
      <c r="B1011" s="222"/>
      <c r="C1011"/>
      <c r="E1011" s="222"/>
      <c r="F1011" s="222"/>
      <c r="G1011" s="222"/>
      <c r="H1011"/>
      <c r="J1011" s="222"/>
      <c r="K1011" s="222"/>
      <c r="L1011"/>
      <c r="M1011"/>
      <c r="N1011"/>
      <c r="P1011" s="222">
        <v>22.061</v>
      </c>
      <c r="Q1011" s="222">
        <v>38.580300000000001</v>
      </c>
    </row>
    <row r="1012" spans="2:17" x14ac:dyDescent="0.35">
      <c r="B1012" s="222"/>
      <c r="C1012"/>
      <c r="E1012" s="222"/>
      <c r="F1012" s="222"/>
      <c r="G1012" s="222"/>
      <c r="H1012"/>
      <c r="J1012" s="222"/>
      <c r="K1012" s="222"/>
      <c r="L1012"/>
      <c r="M1012"/>
      <c r="N1012"/>
      <c r="P1012" s="222">
        <v>22.655799999999999</v>
      </c>
      <c r="Q1012" s="222">
        <v>36.055199999999999</v>
      </c>
    </row>
    <row r="1013" spans="2:17" x14ac:dyDescent="0.35">
      <c r="B1013" s="222"/>
      <c r="C1013"/>
      <c r="E1013" s="222"/>
      <c r="F1013" s="222"/>
      <c r="G1013" s="222"/>
      <c r="H1013"/>
      <c r="J1013" s="222"/>
      <c r="K1013" s="222"/>
      <c r="L1013"/>
      <c r="M1013"/>
      <c r="N1013"/>
      <c r="P1013" s="222">
        <v>22.5562</v>
      </c>
      <c r="Q1013" s="222">
        <v>35.142200000000003</v>
      </c>
    </row>
    <row r="1014" spans="2:17" x14ac:dyDescent="0.35">
      <c r="B1014" s="222"/>
      <c r="C1014"/>
      <c r="E1014" s="222"/>
      <c r="F1014" s="222"/>
      <c r="G1014" s="222"/>
      <c r="H1014"/>
      <c r="J1014" s="222"/>
      <c r="K1014" s="222"/>
      <c r="L1014"/>
      <c r="M1014"/>
      <c r="N1014"/>
      <c r="P1014" s="222">
        <v>21.831</v>
      </c>
      <c r="Q1014" s="222">
        <v>34.211300000000001</v>
      </c>
    </row>
    <row r="1015" spans="2:17" x14ac:dyDescent="0.35">
      <c r="B1015" s="222"/>
      <c r="C1015"/>
      <c r="E1015" s="222"/>
      <c r="F1015" s="222"/>
      <c r="G1015" s="222"/>
      <c r="H1015"/>
      <c r="J1015" s="222"/>
      <c r="K1015" s="222"/>
      <c r="L1015"/>
      <c r="M1015"/>
      <c r="N1015"/>
      <c r="P1015" s="222">
        <v>20.616099999999999</v>
      </c>
      <c r="Q1015" s="222">
        <v>39.741399999999999</v>
      </c>
    </row>
    <row r="1016" spans="2:17" x14ac:dyDescent="0.35">
      <c r="B1016" s="222"/>
      <c r="C1016"/>
      <c r="E1016" s="222"/>
      <c r="F1016" s="222"/>
      <c r="G1016" s="222"/>
      <c r="H1016"/>
      <c r="J1016" s="222"/>
      <c r="K1016" s="222"/>
      <c r="L1016"/>
      <c r="M1016"/>
      <c r="N1016"/>
      <c r="P1016" s="222">
        <v>20.981400000000001</v>
      </c>
      <c r="Q1016" s="222">
        <v>40.464300000000001</v>
      </c>
    </row>
    <row r="1017" spans="2:17" x14ac:dyDescent="0.35">
      <c r="B1017" s="222"/>
      <c r="C1017"/>
      <c r="E1017" s="222"/>
      <c r="F1017" s="222"/>
      <c r="G1017" s="222"/>
      <c r="H1017"/>
      <c r="J1017" s="222"/>
      <c r="K1017" s="222"/>
      <c r="L1017"/>
      <c r="M1017"/>
      <c r="N1017"/>
      <c r="P1017" s="222">
        <v>20.989000000000001</v>
      </c>
      <c r="Q1017" s="222">
        <v>40.441299999999998</v>
      </c>
    </row>
    <row r="1018" spans="2:17" x14ac:dyDescent="0.35">
      <c r="B1018" s="222"/>
      <c r="C1018"/>
      <c r="E1018" s="222"/>
      <c r="F1018" s="222"/>
      <c r="G1018" s="222"/>
      <c r="H1018"/>
      <c r="J1018" s="222"/>
      <c r="K1018" s="222"/>
      <c r="L1018"/>
      <c r="M1018"/>
      <c r="N1018"/>
      <c r="P1018" s="222">
        <v>21.912800000000001</v>
      </c>
      <c r="Q1018" s="222">
        <v>38.231999999999999</v>
      </c>
    </row>
    <row r="1019" spans="2:17" x14ac:dyDescent="0.35">
      <c r="B1019" s="222"/>
      <c r="C1019"/>
      <c r="E1019" s="222"/>
      <c r="F1019" s="222"/>
      <c r="G1019" s="222"/>
      <c r="H1019"/>
      <c r="J1019" s="222"/>
      <c r="K1019" s="222"/>
      <c r="L1019"/>
      <c r="M1019"/>
      <c r="N1019"/>
      <c r="P1019" s="222">
        <v>22.779599999999999</v>
      </c>
      <c r="Q1019" s="222">
        <v>37.604599999999998</v>
      </c>
    </row>
    <row r="1020" spans="2:17" x14ac:dyDescent="0.35">
      <c r="B1020" s="222"/>
      <c r="C1020"/>
      <c r="E1020" s="222"/>
      <c r="F1020" s="222"/>
      <c r="G1020" s="222"/>
      <c r="H1020"/>
      <c r="J1020" s="222"/>
      <c r="K1020" s="222"/>
      <c r="L1020"/>
      <c r="M1020"/>
      <c r="N1020"/>
      <c r="P1020" s="222">
        <v>23.269400000000001</v>
      </c>
      <c r="Q1020" s="222">
        <v>37.318899999999999</v>
      </c>
    </row>
    <row r="1021" spans="2:17" x14ac:dyDescent="0.35">
      <c r="B1021" s="222"/>
      <c r="C1021"/>
      <c r="E1021" s="222"/>
      <c r="F1021" s="222"/>
      <c r="G1021" s="222"/>
      <c r="H1021"/>
      <c r="J1021" s="222"/>
      <c r="K1021" s="222"/>
      <c r="L1021"/>
      <c r="M1021"/>
      <c r="N1021"/>
      <c r="P1021" s="222">
        <v>23.996400000000001</v>
      </c>
      <c r="Q1021" s="222">
        <v>36.397500000000001</v>
      </c>
    </row>
    <row r="1022" spans="2:17" x14ac:dyDescent="0.35">
      <c r="B1022" s="222"/>
      <c r="C1022"/>
      <c r="E1022" s="222"/>
      <c r="F1022" s="222"/>
      <c r="G1022" s="222"/>
      <c r="H1022"/>
      <c r="J1022" s="222"/>
      <c r="K1022" s="222"/>
      <c r="L1022"/>
      <c r="M1022"/>
      <c r="N1022"/>
      <c r="P1022" s="222">
        <v>24.9405</v>
      </c>
      <c r="Q1022" s="222">
        <v>35.905200000000001</v>
      </c>
    </row>
    <row r="1023" spans="2:17" x14ac:dyDescent="0.35">
      <c r="B1023" s="222"/>
      <c r="C1023"/>
      <c r="E1023" s="222"/>
      <c r="F1023" s="222"/>
      <c r="G1023" s="222"/>
      <c r="H1023"/>
      <c r="J1023" s="222"/>
      <c r="K1023" s="222"/>
      <c r="L1023"/>
      <c r="M1023"/>
      <c r="N1023"/>
      <c r="P1023" s="222">
        <v>24.456</v>
      </c>
      <c r="Q1023" s="222">
        <v>37.273800000000001</v>
      </c>
    </row>
    <row r="1024" spans="2:17" x14ac:dyDescent="0.35">
      <c r="B1024" s="222"/>
      <c r="C1024"/>
      <c r="E1024" s="222"/>
      <c r="F1024" s="222"/>
      <c r="G1024" s="222"/>
      <c r="H1024"/>
      <c r="J1024" s="222"/>
      <c r="K1024" s="222"/>
      <c r="L1024"/>
      <c r="M1024"/>
      <c r="N1024"/>
      <c r="P1024" s="222">
        <v>24.7578</v>
      </c>
      <c r="Q1024" s="222">
        <v>37.701999999999998</v>
      </c>
    </row>
    <row r="1025" spans="2:17" x14ac:dyDescent="0.35">
      <c r="B1025" s="222"/>
      <c r="C1025"/>
      <c r="E1025" s="222"/>
      <c r="F1025" s="222"/>
      <c r="G1025" s="222"/>
      <c r="H1025"/>
      <c r="J1025" s="222"/>
      <c r="K1025" s="222"/>
      <c r="L1025"/>
      <c r="M1025"/>
      <c r="N1025"/>
      <c r="P1025" s="222">
        <v>24.577999999999999</v>
      </c>
      <c r="Q1025" s="222">
        <v>38.502699999999997</v>
      </c>
    </row>
    <row r="1026" spans="2:17" x14ac:dyDescent="0.35">
      <c r="B1026" s="222"/>
      <c r="C1026"/>
      <c r="E1026" s="222"/>
      <c r="F1026" s="222"/>
      <c r="G1026" s="222"/>
      <c r="H1026"/>
      <c r="J1026" s="222"/>
      <c r="K1026" s="222"/>
      <c r="L1026"/>
      <c r="M1026"/>
      <c r="N1026"/>
      <c r="P1026" s="222">
        <v>24.470600000000001</v>
      </c>
      <c r="Q1026" s="222">
        <v>38.495800000000003</v>
      </c>
    </row>
    <row r="1027" spans="2:17" x14ac:dyDescent="0.35">
      <c r="B1027" s="222"/>
      <c r="C1027"/>
      <c r="E1027" s="222"/>
      <c r="F1027" s="222"/>
      <c r="G1027" s="222"/>
      <c r="H1027"/>
      <c r="J1027" s="222"/>
      <c r="K1027" s="222"/>
      <c r="L1027"/>
      <c r="M1027"/>
      <c r="N1027"/>
      <c r="P1027" s="222">
        <v>24.1921</v>
      </c>
      <c r="Q1027" s="222">
        <v>39.1875</v>
      </c>
    </row>
    <row r="1028" spans="2:17" x14ac:dyDescent="0.35">
      <c r="B1028" s="222"/>
      <c r="C1028"/>
      <c r="E1028" s="222"/>
      <c r="F1028" s="222"/>
      <c r="G1028" s="222"/>
      <c r="H1028"/>
      <c r="J1028" s="222"/>
      <c r="K1028" s="222"/>
      <c r="L1028"/>
      <c r="M1028"/>
      <c r="N1028"/>
      <c r="P1028" s="222">
        <v>23.582599999999999</v>
      </c>
      <c r="Q1028" s="222">
        <v>38.809699999999999</v>
      </c>
    </row>
    <row r="1029" spans="2:17" x14ac:dyDescent="0.35">
      <c r="B1029" s="222"/>
      <c r="C1029"/>
      <c r="E1029" s="222"/>
      <c r="F1029" s="222"/>
      <c r="G1029" s="222"/>
      <c r="H1029"/>
      <c r="J1029" s="222"/>
      <c r="K1029" s="222"/>
      <c r="L1029"/>
      <c r="M1029"/>
      <c r="N1029"/>
      <c r="P1029" s="222">
        <v>22.987100000000002</v>
      </c>
      <c r="Q1029" s="222">
        <v>38.041699999999999</v>
      </c>
    </row>
    <row r="1030" spans="2:17" x14ac:dyDescent="0.35">
      <c r="B1030" s="222"/>
      <c r="C1030"/>
      <c r="E1030" s="222"/>
      <c r="F1030" s="222"/>
      <c r="G1030" s="222"/>
      <c r="H1030"/>
      <c r="J1030" s="222"/>
      <c r="K1030" s="222"/>
      <c r="L1030"/>
      <c r="M1030"/>
      <c r="N1030"/>
      <c r="P1030" s="222">
        <v>24.133700000000001</v>
      </c>
      <c r="Q1030" s="222">
        <v>38.368000000000002</v>
      </c>
    </row>
    <row r="1031" spans="2:17" x14ac:dyDescent="0.35">
      <c r="B1031" s="222"/>
      <c r="C1031"/>
      <c r="E1031" s="222"/>
      <c r="F1031" s="222"/>
      <c r="G1031" s="222"/>
      <c r="H1031"/>
      <c r="J1031" s="222"/>
      <c r="K1031" s="222"/>
      <c r="L1031"/>
      <c r="M1031"/>
      <c r="N1031"/>
      <c r="P1031" s="222">
        <v>24.425599999999999</v>
      </c>
      <c r="Q1031" s="222">
        <v>40.511099999999999</v>
      </c>
    </row>
    <row r="1032" spans="2:17" x14ac:dyDescent="0.35">
      <c r="B1032" s="222"/>
      <c r="C1032"/>
      <c r="E1032" s="222"/>
      <c r="F1032" s="222"/>
      <c r="G1032" s="222"/>
      <c r="H1032"/>
      <c r="J1032" s="222"/>
      <c r="K1032" s="222"/>
      <c r="L1032"/>
      <c r="M1032"/>
      <c r="N1032"/>
      <c r="P1032" s="222">
        <v>25.177299999999999</v>
      </c>
      <c r="Q1032" s="222">
        <v>38.6616</v>
      </c>
    </row>
    <row r="1033" spans="2:17" x14ac:dyDescent="0.35">
      <c r="B1033" s="222"/>
      <c r="C1033"/>
      <c r="E1033" s="222"/>
      <c r="F1033" s="222"/>
      <c r="G1033" s="222"/>
      <c r="H1033"/>
      <c r="J1033" s="222"/>
      <c r="K1033" s="222"/>
      <c r="L1033"/>
      <c r="M1033"/>
      <c r="N1033"/>
      <c r="P1033" s="222">
        <v>25.153700000000001</v>
      </c>
      <c r="Q1033" s="222">
        <v>36.905200000000001</v>
      </c>
    </row>
    <row r="1034" spans="2:17" x14ac:dyDescent="0.35">
      <c r="B1034" s="222"/>
      <c r="C1034"/>
      <c r="E1034" s="222"/>
      <c r="F1034" s="222"/>
      <c r="G1034" s="222"/>
      <c r="H1034"/>
      <c r="J1034" s="222"/>
      <c r="K1034" s="222"/>
      <c r="L1034"/>
      <c r="M1034"/>
      <c r="N1034"/>
      <c r="P1034" s="222">
        <v>22.4268</v>
      </c>
      <c r="Q1034" s="222">
        <v>33.469299999999997</v>
      </c>
    </row>
    <row r="1035" spans="2:17" x14ac:dyDescent="0.35">
      <c r="B1035" s="222"/>
      <c r="C1035"/>
      <c r="E1035" s="222"/>
      <c r="F1035" s="222"/>
      <c r="G1035" s="222"/>
      <c r="H1035"/>
      <c r="J1035" s="222"/>
      <c r="K1035" s="222"/>
      <c r="L1035"/>
      <c r="M1035"/>
      <c r="N1035"/>
      <c r="P1035" s="222">
        <v>20.2624</v>
      </c>
      <c r="Q1035" s="222">
        <v>34.336300000000001</v>
      </c>
    </row>
    <row r="1036" spans="2:17" x14ac:dyDescent="0.35">
      <c r="B1036" s="222"/>
      <c r="C1036"/>
      <c r="E1036" s="222"/>
      <c r="F1036" s="222"/>
      <c r="G1036" s="222"/>
      <c r="H1036"/>
      <c r="J1036" s="222"/>
      <c r="K1036" s="222"/>
      <c r="L1036"/>
      <c r="M1036"/>
      <c r="N1036"/>
      <c r="P1036" s="222">
        <v>21.296600000000002</v>
      </c>
      <c r="Q1036" s="222">
        <v>35.878900000000002</v>
      </c>
    </row>
    <row r="1037" spans="2:17" x14ac:dyDescent="0.35">
      <c r="B1037" s="222"/>
      <c r="C1037"/>
      <c r="E1037" s="222"/>
      <c r="F1037" s="222"/>
      <c r="G1037" s="222"/>
      <c r="H1037"/>
      <c r="J1037" s="222"/>
      <c r="K1037" s="222"/>
      <c r="L1037"/>
      <c r="M1037"/>
      <c r="N1037"/>
      <c r="P1037" s="222">
        <v>24.513100000000001</v>
      </c>
      <c r="Q1037" s="222">
        <v>38.1218</v>
      </c>
    </row>
    <row r="1038" spans="2:17" x14ac:dyDescent="0.35">
      <c r="B1038" s="222"/>
      <c r="C1038"/>
      <c r="E1038" s="222"/>
      <c r="F1038" s="222"/>
      <c r="G1038" s="222"/>
      <c r="H1038"/>
      <c r="J1038" s="222"/>
      <c r="K1038" s="222"/>
      <c r="L1038"/>
      <c r="M1038"/>
      <c r="N1038"/>
      <c r="P1038" s="222">
        <v>24.131499999999999</v>
      </c>
      <c r="Q1038" s="222">
        <v>38.8459</v>
      </c>
    </row>
    <row r="1039" spans="2:17" x14ac:dyDescent="0.35">
      <c r="B1039" s="222"/>
      <c r="C1039"/>
      <c r="E1039" s="222"/>
      <c r="F1039" s="222"/>
      <c r="G1039" s="222"/>
      <c r="H1039"/>
      <c r="J1039" s="222"/>
      <c r="K1039" s="222"/>
      <c r="L1039"/>
      <c r="M1039"/>
      <c r="N1039"/>
      <c r="P1039" s="222">
        <v>25.302099999999999</v>
      </c>
      <c r="Q1039" s="222">
        <v>41.064799999999998</v>
      </c>
    </row>
    <row r="1040" spans="2:17" x14ac:dyDescent="0.35">
      <c r="B1040" s="222"/>
      <c r="C1040"/>
      <c r="E1040" s="222"/>
      <c r="F1040" s="222"/>
      <c r="G1040" s="222"/>
      <c r="H1040"/>
      <c r="J1040" s="222"/>
      <c r="K1040" s="222"/>
      <c r="L1040"/>
      <c r="M1040"/>
      <c r="N1040"/>
      <c r="P1040" s="222">
        <v>27.48</v>
      </c>
      <c r="Q1040" s="222">
        <v>42.434100000000001</v>
      </c>
    </row>
    <row r="1041" spans="2:17" x14ac:dyDescent="0.35">
      <c r="B1041" s="222"/>
      <c r="C1041"/>
      <c r="E1041" s="222"/>
      <c r="F1041" s="222"/>
      <c r="G1041" s="222"/>
      <c r="H1041"/>
      <c r="J1041" s="222"/>
      <c r="K1041" s="222"/>
      <c r="L1041"/>
      <c r="M1041"/>
      <c r="N1041"/>
      <c r="P1041" s="222">
        <v>27.849499999999999</v>
      </c>
      <c r="Q1041" s="222">
        <v>42.030200000000001</v>
      </c>
    </row>
    <row r="1042" spans="2:17" x14ac:dyDescent="0.35">
      <c r="B1042" s="222"/>
      <c r="C1042"/>
      <c r="E1042" s="222"/>
      <c r="F1042" s="222"/>
      <c r="G1042" s="222"/>
      <c r="H1042"/>
      <c r="J1042" s="222"/>
      <c r="K1042" s="222"/>
      <c r="L1042"/>
      <c r="M1042"/>
      <c r="N1042"/>
      <c r="P1042" s="222">
        <v>27.7563</v>
      </c>
      <c r="Q1042" s="222">
        <v>33.877000000000002</v>
      </c>
    </row>
    <row r="1043" spans="2:17" x14ac:dyDescent="0.35">
      <c r="B1043" s="222"/>
      <c r="C1043"/>
      <c r="E1043" s="222"/>
      <c r="F1043" s="222"/>
      <c r="G1043" s="222"/>
      <c r="H1043"/>
      <c r="J1043" s="222"/>
      <c r="K1043" s="222"/>
      <c r="L1043"/>
      <c r="M1043"/>
      <c r="N1043"/>
      <c r="P1043" s="222">
        <v>27.990500000000001</v>
      </c>
      <c r="Q1043" s="222">
        <v>32.950899999999997</v>
      </c>
    </row>
    <row r="1044" spans="2:17" x14ac:dyDescent="0.35">
      <c r="B1044" s="222"/>
      <c r="C1044"/>
      <c r="E1044" s="222"/>
      <c r="F1044" s="222"/>
      <c r="G1044" s="222"/>
      <c r="H1044"/>
      <c r="J1044" s="222"/>
      <c r="K1044" s="222"/>
      <c r="L1044"/>
      <c r="M1044"/>
      <c r="N1044"/>
      <c r="P1044" s="222">
        <v>28.343800000000002</v>
      </c>
      <c r="Q1044" s="222">
        <v>32.247999999999998</v>
      </c>
    </row>
    <row r="1045" spans="2:17" x14ac:dyDescent="0.35">
      <c r="B1045" s="222"/>
      <c r="C1045"/>
      <c r="E1045" s="222"/>
      <c r="F1045" s="222"/>
      <c r="G1045" s="222"/>
      <c r="H1045"/>
      <c r="J1045" s="222"/>
      <c r="K1045" s="222"/>
      <c r="L1045"/>
      <c r="M1045"/>
      <c r="N1045"/>
      <c r="P1045" s="222">
        <v>27.5352</v>
      </c>
      <c r="Q1045" s="222">
        <v>32.630699999999997</v>
      </c>
    </row>
    <row r="1046" spans="2:17" x14ac:dyDescent="0.35">
      <c r="B1046" s="222"/>
      <c r="C1046"/>
      <c r="E1046" s="222"/>
      <c r="F1046" s="222"/>
      <c r="G1046" s="222"/>
      <c r="H1046"/>
      <c r="J1046" s="222"/>
      <c r="K1046" s="222"/>
      <c r="L1046"/>
      <c r="M1046"/>
      <c r="N1046"/>
      <c r="P1046" s="222">
        <v>28.214200000000002</v>
      </c>
      <c r="Q1046" s="222">
        <v>35.226799999999997</v>
      </c>
    </row>
    <row r="1047" spans="2:17" x14ac:dyDescent="0.35">
      <c r="B1047" s="222"/>
      <c r="C1047"/>
      <c r="E1047" s="222"/>
      <c r="F1047" s="222"/>
      <c r="G1047" s="222"/>
      <c r="H1047"/>
      <c r="J1047" s="222"/>
      <c r="K1047" s="222"/>
      <c r="L1047"/>
      <c r="M1047"/>
      <c r="N1047"/>
      <c r="P1047" s="222">
        <v>30.226400000000002</v>
      </c>
      <c r="Q1047" s="222">
        <v>37.249600000000001</v>
      </c>
    </row>
    <row r="1048" spans="2:17" x14ac:dyDescent="0.35">
      <c r="B1048" s="222"/>
      <c r="C1048"/>
      <c r="E1048" s="222"/>
      <c r="F1048" s="222"/>
      <c r="G1048" s="222"/>
      <c r="H1048"/>
      <c r="J1048" s="222"/>
      <c r="K1048" s="222"/>
      <c r="L1048"/>
      <c r="M1048"/>
      <c r="N1048"/>
      <c r="P1048" s="222">
        <v>31.992599999999999</v>
      </c>
      <c r="Q1048" s="222">
        <v>37.476399999999998</v>
      </c>
    </row>
    <row r="1049" spans="2:17" x14ac:dyDescent="0.35">
      <c r="B1049" s="222"/>
      <c r="C1049"/>
      <c r="E1049" s="222"/>
      <c r="F1049" s="222"/>
      <c r="G1049" s="222"/>
      <c r="H1049"/>
      <c r="J1049" s="222"/>
      <c r="K1049" s="222"/>
      <c r="L1049"/>
      <c r="M1049"/>
      <c r="N1049"/>
      <c r="P1049" s="222">
        <v>32.143599999999999</v>
      </c>
      <c r="Q1049" s="222">
        <v>38.109000000000002</v>
      </c>
    </row>
    <row r="1050" spans="2:17" x14ac:dyDescent="0.35">
      <c r="B1050" s="222"/>
      <c r="C1050"/>
      <c r="E1050" s="222"/>
      <c r="F1050" s="222"/>
      <c r="G1050" s="222"/>
      <c r="H1050"/>
      <c r="J1050" s="222"/>
      <c r="K1050" s="222"/>
      <c r="L1050"/>
      <c r="M1050"/>
      <c r="N1050"/>
      <c r="P1050" s="222">
        <v>32.911299999999997</v>
      </c>
      <c r="Q1050" s="222">
        <v>39.816699999999997</v>
      </c>
    </row>
    <row r="1051" spans="2:17" x14ac:dyDescent="0.35">
      <c r="B1051" s="222"/>
      <c r="C1051"/>
      <c r="E1051" s="222"/>
      <c r="F1051" s="222"/>
      <c r="G1051" s="222"/>
      <c r="H1051"/>
      <c r="J1051" s="222"/>
      <c r="K1051" s="222"/>
      <c r="L1051"/>
      <c r="M1051"/>
      <c r="N1051"/>
      <c r="P1051" s="222">
        <v>33.306600000000003</v>
      </c>
      <c r="Q1051" s="222">
        <v>38.887999999999998</v>
      </c>
    </row>
    <row r="1052" spans="2:17" x14ac:dyDescent="0.35">
      <c r="B1052" s="222"/>
      <c r="C1052"/>
      <c r="E1052" s="222"/>
      <c r="F1052" s="222"/>
      <c r="G1052" s="222"/>
      <c r="H1052"/>
      <c r="J1052" s="222"/>
      <c r="K1052" s="222"/>
      <c r="L1052"/>
      <c r="M1052"/>
      <c r="N1052"/>
      <c r="P1052" s="222">
        <v>33.2485</v>
      </c>
      <c r="Q1052" s="222">
        <v>39.3538</v>
      </c>
    </row>
    <row r="1053" spans="2:17" x14ac:dyDescent="0.35">
      <c r="B1053" s="222"/>
      <c r="C1053"/>
      <c r="E1053" s="222"/>
      <c r="F1053" s="222"/>
      <c r="G1053" s="222"/>
      <c r="H1053"/>
      <c r="J1053" s="222"/>
      <c r="K1053" s="222"/>
      <c r="L1053"/>
      <c r="M1053"/>
      <c r="N1053"/>
      <c r="P1053" s="222">
        <v>33.743299999999998</v>
      </c>
      <c r="Q1053" s="222">
        <v>39.774099999999997</v>
      </c>
    </row>
    <row r="1054" spans="2:17" x14ac:dyDescent="0.35">
      <c r="B1054" s="222"/>
      <c r="C1054"/>
      <c r="E1054" s="222"/>
      <c r="F1054" s="222"/>
      <c r="G1054" s="222"/>
      <c r="H1054"/>
      <c r="J1054" s="222"/>
      <c r="K1054" s="222"/>
      <c r="L1054"/>
      <c r="M1054"/>
      <c r="N1054"/>
      <c r="P1054" s="222">
        <v>33.624899999999997</v>
      </c>
      <c r="Q1054" s="222">
        <v>38.158200000000001</v>
      </c>
    </row>
    <row r="1055" spans="2:17" x14ac:dyDescent="0.35">
      <c r="B1055" s="222"/>
      <c r="C1055"/>
      <c r="E1055" s="222"/>
      <c r="F1055" s="222"/>
      <c r="G1055" s="222"/>
      <c r="H1055"/>
      <c r="J1055" s="222"/>
      <c r="K1055" s="222"/>
      <c r="L1055"/>
      <c r="M1055"/>
      <c r="N1055"/>
      <c r="P1055" s="222">
        <v>34.267499999999998</v>
      </c>
      <c r="Q1055" s="222">
        <v>38.382199999999997</v>
      </c>
    </row>
    <row r="1056" spans="2:17" x14ac:dyDescent="0.35">
      <c r="B1056" s="222"/>
      <c r="C1056"/>
      <c r="E1056" s="222"/>
      <c r="F1056" s="222"/>
      <c r="G1056" s="222"/>
      <c r="H1056"/>
      <c r="J1056" s="222"/>
      <c r="K1056" s="222"/>
      <c r="L1056"/>
      <c r="M1056"/>
      <c r="N1056"/>
      <c r="P1056" s="222">
        <v>34.250599999999999</v>
      </c>
      <c r="Q1056" s="222">
        <v>38.969200000000001</v>
      </c>
    </row>
    <row r="1057" spans="2:17" x14ac:dyDescent="0.35">
      <c r="B1057" s="222"/>
      <c r="C1057"/>
      <c r="E1057" s="222"/>
      <c r="F1057" s="222"/>
      <c r="G1057" s="222"/>
      <c r="H1057"/>
      <c r="J1057" s="222"/>
      <c r="K1057" s="222"/>
      <c r="L1057"/>
      <c r="M1057"/>
      <c r="N1057"/>
      <c r="P1057" s="222">
        <v>34.565600000000003</v>
      </c>
      <c r="Q1057" s="222">
        <v>38.707799999999999</v>
      </c>
    </row>
    <row r="1058" spans="2:17" x14ac:dyDescent="0.35">
      <c r="B1058" s="222"/>
      <c r="C1058"/>
      <c r="E1058" s="222"/>
      <c r="F1058" s="222"/>
      <c r="G1058" s="222"/>
      <c r="H1058"/>
      <c r="J1058" s="222"/>
      <c r="K1058" s="222"/>
      <c r="L1058"/>
      <c r="M1058"/>
      <c r="N1058"/>
      <c r="P1058" s="222">
        <v>33.383499999999998</v>
      </c>
      <c r="Q1058" s="222">
        <v>38.318199999999997</v>
      </c>
    </row>
    <row r="1059" spans="2:17" x14ac:dyDescent="0.35">
      <c r="B1059" s="222"/>
      <c r="C1059"/>
      <c r="E1059" s="222"/>
      <c r="F1059" s="222"/>
      <c r="G1059" s="222"/>
      <c r="H1059"/>
      <c r="J1059" s="222"/>
      <c r="K1059" s="222"/>
      <c r="L1059"/>
      <c r="M1059"/>
      <c r="N1059"/>
      <c r="P1059" s="222">
        <v>33.350099999999998</v>
      </c>
      <c r="Q1059" s="222">
        <v>38.226999999999997</v>
      </c>
    </row>
    <row r="1060" spans="2:17" x14ac:dyDescent="0.35">
      <c r="B1060" s="222"/>
      <c r="C1060"/>
      <c r="E1060" s="222"/>
      <c r="F1060" s="222"/>
      <c r="G1060" s="222"/>
      <c r="H1060"/>
      <c r="J1060" s="222"/>
      <c r="K1060" s="222"/>
      <c r="L1060"/>
      <c r="M1060"/>
      <c r="N1060"/>
      <c r="P1060" s="222">
        <v>33.545900000000003</v>
      </c>
      <c r="Q1060" s="222">
        <v>38.868099999999998</v>
      </c>
    </row>
    <row r="1061" spans="2:17" x14ac:dyDescent="0.35">
      <c r="B1061" s="222"/>
      <c r="C1061"/>
      <c r="E1061" s="222"/>
      <c r="F1061" s="222"/>
      <c r="G1061" s="222"/>
      <c r="H1061"/>
      <c r="J1061" s="222"/>
      <c r="K1061" s="222"/>
      <c r="L1061"/>
      <c r="M1061"/>
      <c r="N1061"/>
      <c r="P1061" s="222">
        <v>33.235599999999998</v>
      </c>
      <c r="Q1061" s="222">
        <v>39.512500000000003</v>
      </c>
    </row>
    <row r="1062" spans="2:17" x14ac:dyDescent="0.35">
      <c r="B1062" s="222"/>
      <c r="C1062"/>
      <c r="E1062" s="222"/>
      <c r="F1062" s="222"/>
      <c r="G1062" s="222"/>
      <c r="H1062"/>
      <c r="J1062" s="222"/>
      <c r="K1062" s="222"/>
      <c r="L1062"/>
      <c r="M1062"/>
      <c r="N1062"/>
      <c r="P1062" s="222">
        <v>32.684899999999999</v>
      </c>
      <c r="Q1062" s="222">
        <v>39.830800000000004</v>
      </c>
    </row>
    <row r="1063" spans="2:17" x14ac:dyDescent="0.35">
      <c r="B1063" s="222"/>
      <c r="C1063"/>
      <c r="E1063" s="222"/>
      <c r="F1063" s="222"/>
      <c r="G1063" s="222"/>
      <c r="H1063"/>
      <c r="J1063" s="222"/>
      <c r="K1063" s="222"/>
      <c r="L1063"/>
      <c r="M1063"/>
      <c r="N1063"/>
      <c r="P1063" s="222">
        <v>32.987499999999997</v>
      </c>
      <c r="Q1063" s="222">
        <v>41.072699999999998</v>
      </c>
    </row>
    <row r="1064" spans="2:17" x14ac:dyDescent="0.35">
      <c r="B1064" s="222"/>
      <c r="C1064"/>
      <c r="E1064" s="222"/>
      <c r="F1064" s="222"/>
      <c r="G1064" s="222"/>
      <c r="H1064"/>
      <c r="J1064" s="222"/>
      <c r="K1064" s="222"/>
      <c r="L1064"/>
      <c r="M1064"/>
      <c r="N1064"/>
      <c r="P1064" s="222">
        <v>32.222900000000003</v>
      </c>
      <c r="Q1064" s="222">
        <v>40.916600000000003</v>
      </c>
    </row>
    <row r="1065" spans="2:17" x14ac:dyDescent="0.35">
      <c r="B1065" s="222"/>
      <c r="C1065"/>
      <c r="E1065" s="222"/>
      <c r="F1065" s="222"/>
      <c r="G1065" s="222"/>
      <c r="H1065"/>
      <c r="J1065" s="222"/>
      <c r="K1065" s="222"/>
      <c r="L1065"/>
      <c r="M1065"/>
      <c r="N1065"/>
      <c r="P1065" s="222">
        <v>33.424599999999998</v>
      </c>
      <c r="Q1065" s="222">
        <v>39.0854</v>
      </c>
    </row>
    <row r="1066" spans="2:17" x14ac:dyDescent="0.35">
      <c r="B1066" s="222"/>
      <c r="C1066"/>
      <c r="E1066" s="222"/>
      <c r="F1066" s="222"/>
      <c r="G1066" s="222"/>
      <c r="H1066"/>
      <c r="J1066" s="222"/>
      <c r="K1066" s="222"/>
      <c r="L1066"/>
      <c r="M1066"/>
      <c r="N1066"/>
      <c r="P1066" s="222">
        <v>34.221499999999999</v>
      </c>
      <c r="Q1066" s="222">
        <v>40.365699999999997</v>
      </c>
    </row>
    <row r="1067" spans="2:17" x14ac:dyDescent="0.35">
      <c r="B1067" s="222"/>
      <c r="C1067"/>
      <c r="E1067" s="222"/>
      <c r="F1067" s="222"/>
      <c r="G1067" s="222"/>
      <c r="H1067"/>
      <c r="J1067" s="222"/>
      <c r="K1067" s="222"/>
      <c r="L1067"/>
      <c r="M1067"/>
      <c r="N1067"/>
      <c r="P1067" s="222">
        <v>34.406799999999997</v>
      </c>
      <c r="Q1067" s="222">
        <v>39.666400000000003</v>
      </c>
    </row>
    <row r="1068" spans="2:17" x14ac:dyDescent="0.35">
      <c r="B1068" s="222"/>
      <c r="C1068"/>
      <c r="E1068" s="222"/>
      <c r="F1068" s="222"/>
      <c r="G1068" s="222"/>
      <c r="H1068"/>
      <c r="J1068" s="222"/>
      <c r="K1068" s="222"/>
      <c r="L1068"/>
      <c r="M1068"/>
      <c r="N1068"/>
      <c r="P1068" s="222">
        <v>33.548499999999997</v>
      </c>
      <c r="Q1068" s="222">
        <v>38.995100000000001</v>
      </c>
    </row>
    <row r="1069" spans="2:17" x14ac:dyDescent="0.35">
      <c r="B1069" s="222"/>
      <c r="C1069"/>
      <c r="E1069" s="222"/>
      <c r="F1069" s="222"/>
      <c r="G1069" s="222"/>
      <c r="H1069"/>
      <c r="J1069" s="222"/>
      <c r="K1069" s="222"/>
      <c r="L1069"/>
      <c r="M1069"/>
      <c r="N1069"/>
      <c r="P1069" s="222">
        <v>33.872199999999999</v>
      </c>
      <c r="Q1069" s="222">
        <v>39.146700000000003</v>
      </c>
    </row>
    <row r="1070" spans="2:17" x14ac:dyDescent="0.35">
      <c r="B1070" s="222"/>
      <c r="C1070"/>
      <c r="E1070" s="222"/>
      <c r="F1070" s="222"/>
      <c r="G1070" s="222"/>
      <c r="H1070"/>
      <c r="J1070" s="222"/>
      <c r="K1070" s="222"/>
      <c r="L1070"/>
      <c r="M1070"/>
      <c r="N1070"/>
      <c r="P1070" s="222">
        <v>32.297899999999998</v>
      </c>
      <c r="Q1070" s="222">
        <v>35.649099999999997</v>
      </c>
    </row>
    <row r="1071" spans="2:17" x14ac:dyDescent="0.35">
      <c r="B1071" s="222"/>
      <c r="C1071"/>
      <c r="E1071" s="222"/>
      <c r="F1071" s="222"/>
      <c r="G1071" s="222"/>
      <c r="H1071"/>
      <c r="J1071" s="222"/>
      <c r="K1071" s="222"/>
      <c r="L1071"/>
      <c r="M1071"/>
      <c r="N1071"/>
      <c r="P1071" s="222">
        <v>32.2072</v>
      </c>
      <c r="Q1071" s="222">
        <v>37.320999999999998</v>
      </c>
    </row>
    <row r="1072" spans="2:17" x14ac:dyDescent="0.35">
      <c r="B1072" s="222"/>
      <c r="C1072"/>
      <c r="E1072" s="222"/>
      <c r="F1072" s="222"/>
      <c r="G1072" s="222"/>
      <c r="H1072"/>
      <c r="J1072" s="222"/>
      <c r="K1072" s="222"/>
      <c r="L1072"/>
      <c r="M1072"/>
      <c r="N1072"/>
      <c r="P1072" s="222">
        <v>32.725700000000003</v>
      </c>
      <c r="Q1072" s="222">
        <v>37.413899999999998</v>
      </c>
    </row>
    <row r="1073" spans="2:17" x14ac:dyDescent="0.35">
      <c r="B1073" s="222"/>
      <c r="C1073"/>
      <c r="E1073" s="222"/>
      <c r="F1073" s="222"/>
      <c r="G1073" s="222"/>
      <c r="H1073"/>
      <c r="J1073" s="222"/>
      <c r="K1073" s="222"/>
      <c r="L1073"/>
      <c r="M1073"/>
      <c r="N1073"/>
      <c r="P1073" s="222">
        <v>32.079799999999999</v>
      </c>
      <c r="Q1073" s="222">
        <v>36.267800000000001</v>
      </c>
    </row>
    <row r="1074" spans="2:17" x14ac:dyDescent="0.35">
      <c r="B1074" s="222"/>
      <c r="C1074"/>
      <c r="E1074" s="222"/>
      <c r="F1074" s="222"/>
      <c r="G1074" s="222"/>
      <c r="H1074"/>
      <c r="J1074" s="222"/>
      <c r="K1074" s="222"/>
      <c r="L1074"/>
      <c r="M1074"/>
      <c r="N1074"/>
      <c r="P1074" s="222">
        <v>33.0565</v>
      </c>
      <c r="Q1074" s="222">
        <v>36.269100000000002</v>
      </c>
    </row>
    <row r="1075" spans="2:17" x14ac:dyDescent="0.35">
      <c r="B1075" s="222"/>
      <c r="C1075"/>
      <c r="E1075" s="222"/>
      <c r="F1075" s="222"/>
      <c r="G1075" s="222"/>
      <c r="H1075"/>
      <c r="J1075" s="222"/>
      <c r="K1075" s="222"/>
      <c r="L1075"/>
      <c r="M1075"/>
      <c r="N1075"/>
      <c r="P1075" s="222">
        <v>34.132300000000001</v>
      </c>
      <c r="Q1075" s="222">
        <v>31.231200000000001</v>
      </c>
    </row>
    <row r="1076" spans="2:17" x14ac:dyDescent="0.35">
      <c r="B1076" s="222"/>
      <c r="C1076"/>
      <c r="E1076" s="222"/>
      <c r="F1076" s="222"/>
      <c r="G1076" s="222"/>
      <c r="H1076"/>
      <c r="J1076" s="222"/>
      <c r="K1076" s="222"/>
      <c r="L1076"/>
      <c r="M1076"/>
      <c r="N1076"/>
      <c r="P1076" s="222">
        <v>34.135100000000001</v>
      </c>
      <c r="Q1076" s="222">
        <v>31.089600000000001</v>
      </c>
    </row>
    <row r="1077" spans="2:17" x14ac:dyDescent="0.35">
      <c r="B1077" s="222"/>
      <c r="C1077"/>
      <c r="E1077" s="222"/>
      <c r="F1077" s="222"/>
      <c r="G1077" s="222"/>
      <c r="H1077"/>
      <c r="J1077" s="222"/>
      <c r="K1077" s="222"/>
      <c r="L1077"/>
      <c r="M1077"/>
      <c r="N1077"/>
      <c r="P1077" s="222">
        <v>33.813800000000001</v>
      </c>
      <c r="Q1077" s="222">
        <v>31.107800000000001</v>
      </c>
    </row>
    <row r="1078" spans="2:17" x14ac:dyDescent="0.35">
      <c r="B1078" s="222"/>
      <c r="C1078"/>
      <c r="E1078" s="222"/>
      <c r="F1078" s="222"/>
      <c r="G1078" s="222"/>
      <c r="H1078"/>
      <c r="J1078" s="222"/>
      <c r="K1078" s="222"/>
      <c r="L1078"/>
      <c r="M1078"/>
      <c r="N1078"/>
      <c r="P1078" s="222">
        <v>34.270200000000003</v>
      </c>
      <c r="Q1078" s="222">
        <v>30.463699999999999</v>
      </c>
    </row>
    <row r="1079" spans="2:17" x14ac:dyDescent="0.35">
      <c r="B1079" s="222"/>
      <c r="C1079"/>
      <c r="E1079" s="222"/>
      <c r="F1079" s="222"/>
      <c r="G1079" s="222"/>
      <c r="H1079"/>
      <c r="J1079" s="222"/>
      <c r="K1079" s="222"/>
      <c r="L1079"/>
      <c r="M1079"/>
      <c r="N1079"/>
      <c r="P1079" s="222">
        <v>34.1875</v>
      </c>
      <c r="Q1079" s="222">
        <v>30.3</v>
      </c>
    </row>
    <row r="1080" spans="2:17" x14ac:dyDescent="0.35">
      <c r="B1080" s="222"/>
      <c r="C1080"/>
      <c r="E1080" s="222"/>
      <c r="F1080" s="222"/>
      <c r="G1080" s="222"/>
      <c r="H1080"/>
      <c r="J1080" s="222"/>
      <c r="K1080" s="222"/>
      <c r="L1080"/>
      <c r="M1080"/>
      <c r="N1080"/>
      <c r="P1080" s="222">
        <v>33.981699999999996</v>
      </c>
      <c r="Q1080" s="222">
        <v>29.589400000000001</v>
      </c>
    </row>
    <row r="1081" spans="2:17" x14ac:dyDescent="0.35">
      <c r="B1081" s="222"/>
      <c r="C1081"/>
      <c r="E1081" s="222"/>
      <c r="F1081" s="222"/>
      <c r="G1081" s="222"/>
      <c r="H1081"/>
      <c r="J1081" s="222"/>
      <c r="K1081" s="222"/>
      <c r="L1081"/>
      <c r="M1081"/>
      <c r="N1081"/>
      <c r="P1081" s="222">
        <v>34.130899999999997</v>
      </c>
      <c r="Q1081" s="222">
        <v>30.802</v>
      </c>
    </row>
    <row r="1082" spans="2:17" x14ac:dyDescent="0.35">
      <c r="B1082" s="222"/>
      <c r="C1082"/>
      <c r="E1082" s="222"/>
      <c r="F1082" s="222"/>
      <c r="G1082" s="222"/>
      <c r="H1082"/>
      <c r="J1082" s="222"/>
      <c r="K1082" s="222"/>
      <c r="L1082"/>
      <c r="M1082"/>
      <c r="N1082"/>
      <c r="P1082" s="222">
        <v>34.1267</v>
      </c>
      <c r="Q1082" s="222">
        <v>27.6218</v>
      </c>
    </row>
    <row r="1083" spans="2:17" x14ac:dyDescent="0.35">
      <c r="B1083" s="222"/>
      <c r="C1083"/>
      <c r="E1083" s="222"/>
      <c r="F1083" s="222"/>
      <c r="G1083" s="222"/>
      <c r="H1083"/>
      <c r="J1083" s="222"/>
      <c r="K1083" s="222"/>
      <c r="L1083"/>
      <c r="M1083"/>
      <c r="N1083"/>
      <c r="P1083" s="222">
        <v>35.010899999999999</v>
      </c>
      <c r="Q1083" s="222">
        <v>26.0138</v>
      </c>
    </row>
    <row r="1084" spans="2:17" x14ac:dyDescent="0.35">
      <c r="B1084" s="222"/>
      <c r="C1084"/>
      <c r="E1084" s="222"/>
      <c r="F1084" s="222"/>
      <c r="G1084" s="222"/>
      <c r="H1084"/>
      <c r="J1084" s="222"/>
      <c r="K1084" s="222"/>
      <c r="L1084"/>
      <c r="M1084"/>
      <c r="N1084"/>
      <c r="P1084" s="222">
        <v>33.640300000000003</v>
      </c>
      <c r="Q1084" s="222">
        <v>29.5168</v>
      </c>
    </row>
    <row r="1085" spans="2:17" x14ac:dyDescent="0.35">
      <c r="B1085" s="222"/>
      <c r="C1085"/>
      <c r="E1085" s="222"/>
      <c r="F1085" s="222"/>
      <c r="G1085" s="222"/>
      <c r="H1085"/>
      <c r="J1085" s="222"/>
      <c r="K1085" s="222"/>
      <c r="L1085"/>
      <c r="M1085"/>
      <c r="N1085"/>
      <c r="P1085" s="222">
        <v>33.954099999999997</v>
      </c>
      <c r="Q1085" s="222">
        <v>28.683700000000002</v>
      </c>
    </row>
    <row r="1086" spans="2:17" x14ac:dyDescent="0.35">
      <c r="B1086" s="222"/>
      <c r="C1086"/>
      <c r="E1086" s="222"/>
      <c r="F1086" s="222"/>
      <c r="G1086" s="222"/>
      <c r="H1086"/>
      <c r="J1086" s="222"/>
      <c r="K1086" s="222"/>
      <c r="L1086"/>
      <c r="M1086"/>
      <c r="N1086"/>
      <c r="P1086" s="222">
        <v>34.5777</v>
      </c>
      <c r="Q1086" s="222">
        <v>28.6767</v>
      </c>
    </row>
    <row r="1087" spans="2:17" x14ac:dyDescent="0.35">
      <c r="B1087" s="222"/>
      <c r="C1087"/>
      <c r="E1087" s="222"/>
      <c r="F1087" s="222"/>
      <c r="G1087" s="222"/>
      <c r="H1087"/>
      <c r="J1087" s="222"/>
      <c r="K1087" s="222"/>
      <c r="L1087"/>
      <c r="M1087"/>
      <c r="N1087"/>
      <c r="P1087" s="222">
        <v>34.092700000000001</v>
      </c>
      <c r="Q1087" s="222">
        <v>30.534199999999998</v>
      </c>
    </row>
    <row r="1088" spans="2:17" x14ac:dyDescent="0.35">
      <c r="B1088" s="222"/>
      <c r="C1088"/>
      <c r="E1088" s="222"/>
      <c r="F1088" s="222"/>
      <c r="G1088" s="222"/>
      <c r="H1088"/>
      <c r="J1088" s="222"/>
      <c r="K1088" s="222"/>
      <c r="L1088"/>
      <c r="M1088"/>
      <c r="N1088"/>
      <c r="P1088" s="222">
        <v>33.977499999999999</v>
      </c>
      <c r="Q1088" s="222">
        <v>30.5534</v>
      </c>
    </row>
    <row r="1089" spans="2:17" x14ac:dyDescent="0.35">
      <c r="B1089" s="222"/>
      <c r="C1089"/>
      <c r="E1089" s="222"/>
      <c r="F1089" s="222"/>
      <c r="G1089" s="222"/>
      <c r="H1089"/>
      <c r="J1089" s="222"/>
      <c r="K1089" s="222"/>
      <c r="L1089"/>
      <c r="M1089"/>
      <c r="N1089"/>
      <c r="P1089" s="222">
        <v>32.585299999999997</v>
      </c>
      <c r="Q1089" s="222">
        <v>29.502800000000001</v>
      </c>
    </row>
    <row r="1090" spans="2:17" x14ac:dyDescent="0.35">
      <c r="B1090" s="222"/>
      <c r="C1090"/>
      <c r="E1090" s="222"/>
      <c r="F1090" s="222"/>
      <c r="G1090" s="222"/>
      <c r="H1090"/>
      <c r="J1090" s="222"/>
      <c r="K1090" s="222"/>
      <c r="L1090"/>
      <c r="M1090"/>
      <c r="N1090"/>
      <c r="P1090" s="222">
        <v>32.933399999999999</v>
      </c>
      <c r="Q1090" s="222">
        <v>28.232600000000001</v>
      </c>
    </row>
    <row r="1091" spans="2:17" x14ac:dyDescent="0.35">
      <c r="B1091" s="222"/>
      <c r="C1091"/>
      <c r="E1091" s="222"/>
      <c r="F1091" s="222"/>
      <c r="G1091" s="222"/>
      <c r="H1091"/>
      <c r="J1091" s="222"/>
      <c r="K1091" s="222"/>
      <c r="L1091"/>
      <c r="M1091"/>
      <c r="N1091"/>
      <c r="P1091" s="222">
        <v>33.400500000000001</v>
      </c>
      <c r="Q1091" s="222">
        <v>24.297699999999999</v>
      </c>
    </row>
    <row r="1092" spans="2:17" x14ac:dyDescent="0.35">
      <c r="B1092" s="222"/>
      <c r="C1092"/>
      <c r="E1092" s="222"/>
      <c r="F1092" s="222"/>
      <c r="G1092" s="222"/>
      <c r="H1092"/>
      <c r="J1092" s="222"/>
      <c r="K1092" s="222"/>
      <c r="L1092"/>
      <c r="M1092"/>
      <c r="N1092"/>
      <c r="P1092" s="222">
        <v>34.508600000000001</v>
      </c>
      <c r="Q1092" s="222">
        <v>22.933700000000002</v>
      </c>
    </row>
    <row r="1093" spans="2:17" x14ac:dyDescent="0.35">
      <c r="B1093" s="222"/>
      <c r="C1093"/>
      <c r="E1093" s="222"/>
      <c r="F1093" s="222"/>
      <c r="G1093" s="222"/>
      <c r="H1093"/>
      <c r="J1093" s="222"/>
      <c r="K1093" s="222"/>
      <c r="L1093"/>
      <c r="M1093"/>
      <c r="N1093"/>
      <c r="P1093" s="222">
        <v>34.735999999999997</v>
      </c>
      <c r="Q1093" s="222">
        <v>21.413499999999999</v>
      </c>
    </row>
    <row r="1094" spans="2:17" x14ac:dyDescent="0.35">
      <c r="B1094" s="222"/>
      <c r="C1094"/>
      <c r="E1094" s="222"/>
      <c r="F1094" s="222"/>
      <c r="G1094" s="222"/>
      <c r="H1094"/>
      <c r="J1094" s="222"/>
      <c r="K1094" s="222"/>
      <c r="L1094"/>
      <c r="M1094"/>
      <c r="N1094"/>
      <c r="P1094" s="222">
        <v>34.8508</v>
      </c>
      <c r="Q1094" s="222">
        <v>20.908999999999999</v>
      </c>
    </row>
    <row r="1095" spans="2:17" x14ac:dyDescent="0.35">
      <c r="B1095" s="222"/>
      <c r="C1095"/>
      <c r="E1095" s="222"/>
      <c r="F1095" s="222"/>
      <c r="G1095" s="222"/>
      <c r="H1095"/>
      <c r="J1095" s="222"/>
      <c r="K1095" s="222"/>
      <c r="L1095"/>
      <c r="M1095"/>
      <c r="N1095"/>
      <c r="P1095" s="222">
        <v>34.573399999999999</v>
      </c>
      <c r="Q1095" s="222">
        <v>20.677099999999999</v>
      </c>
    </row>
    <row r="1096" spans="2:17" x14ac:dyDescent="0.35">
      <c r="B1096" s="222"/>
      <c r="C1096"/>
      <c r="E1096" s="222"/>
      <c r="F1096" s="222"/>
      <c r="G1096" s="222"/>
      <c r="H1096"/>
      <c r="J1096" s="222"/>
      <c r="K1096" s="222"/>
      <c r="L1096"/>
      <c r="M1096"/>
      <c r="N1096"/>
      <c r="P1096" s="222">
        <v>34.754800000000003</v>
      </c>
      <c r="Q1096" s="222">
        <v>25.142199999999999</v>
      </c>
    </row>
    <row r="1097" spans="2:17" x14ac:dyDescent="0.35">
      <c r="B1097" s="222"/>
      <c r="C1097"/>
      <c r="E1097" s="222"/>
      <c r="F1097" s="222"/>
      <c r="G1097" s="222"/>
      <c r="H1097"/>
      <c r="J1097" s="222"/>
      <c r="K1097" s="222"/>
      <c r="L1097"/>
      <c r="M1097"/>
      <c r="N1097"/>
      <c r="P1097" s="222">
        <v>35.305599999999998</v>
      </c>
      <c r="Q1097" s="222">
        <v>27.2913</v>
      </c>
    </row>
    <row r="1098" spans="2:17" x14ac:dyDescent="0.35">
      <c r="B1098" s="222"/>
      <c r="C1098"/>
      <c r="E1098" s="222"/>
      <c r="F1098" s="222"/>
      <c r="G1098" s="222"/>
      <c r="H1098"/>
      <c r="J1098" s="222"/>
      <c r="K1098" s="222"/>
      <c r="L1098"/>
      <c r="M1098"/>
      <c r="N1098"/>
      <c r="P1098" s="222">
        <v>36.049399999999999</v>
      </c>
      <c r="Q1098" s="222">
        <v>22.8979</v>
      </c>
    </row>
    <row r="1099" spans="2:17" x14ac:dyDescent="0.35">
      <c r="B1099" s="222"/>
      <c r="C1099"/>
      <c r="E1099" s="222"/>
      <c r="F1099" s="222"/>
      <c r="G1099" s="222"/>
      <c r="H1099"/>
      <c r="J1099" s="222"/>
      <c r="K1099" s="222"/>
      <c r="L1099"/>
      <c r="M1099"/>
      <c r="N1099"/>
      <c r="P1099" s="222">
        <v>34.872</v>
      </c>
      <c r="Q1099" s="222">
        <v>23.056699999999999</v>
      </c>
    </row>
    <row r="1100" spans="2:17" x14ac:dyDescent="0.35">
      <c r="B1100" s="222"/>
      <c r="C1100"/>
      <c r="E1100" s="222"/>
      <c r="F1100" s="222"/>
      <c r="G1100" s="222"/>
      <c r="H1100"/>
      <c r="J1100" s="222"/>
      <c r="K1100" s="222"/>
      <c r="L1100"/>
      <c r="M1100"/>
      <c r="N1100"/>
      <c r="P1100" s="222">
        <v>35.595799999999997</v>
      </c>
      <c r="Q1100" s="222">
        <v>19.501300000000001</v>
      </c>
    </row>
    <row r="1101" spans="2:17" x14ac:dyDescent="0.35">
      <c r="B1101" s="222"/>
      <c r="C1101"/>
      <c r="E1101" s="222"/>
      <c r="F1101" s="222"/>
      <c r="G1101" s="222"/>
      <c r="H1101"/>
      <c r="J1101" s="222"/>
      <c r="K1101" s="222"/>
      <c r="L1101"/>
      <c r="M1101"/>
      <c r="N1101"/>
      <c r="P1101" s="222">
        <v>36.691800000000001</v>
      </c>
      <c r="Q1101" s="222">
        <v>18.511299999999999</v>
      </c>
    </row>
    <row r="1102" spans="2:17" x14ac:dyDescent="0.35">
      <c r="B1102" s="222"/>
      <c r="C1102"/>
      <c r="E1102" s="222"/>
      <c r="F1102" s="222"/>
      <c r="G1102" s="222"/>
      <c r="H1102"/>
      <c r="J1102" s="222"/>
      <c r="K1102" s="222"/>
      <c r="L1102"/>
      <c r="M1102"/>
      <c r="N1102"/>
      <c r="P1102" s="222">
        <v>38.351900000000001</v>
      </c>
      <c r="Q1102" s="222">
        <v>17.9422</v>
      </c>
    </row>
    <row r="1103" spans="2:17" x14ac:dyDescent="0.35">
      <c r="B1103" s="222"/>
      <c r="C1103"/>
      <c r="E1103" s="222"/>
      <c r="F1103" s="222"/>
      <c r="G1103" s="222"/>
      <c r="H1103"/>
      <c r="J1103" s="222"/>
      <c r="K1103" s="222"/>
      <c r="L1103"/>
      <c r="M1103"/>
      <c r="N1103"/>
      <c r="P1103" s="222">
        <v>33.5779</v>
      </c>
      <c r="Q1103" s="222">
        <v>25.2502</v>
      </c>
    </row>
    <row r="1104" spans="2:17" x14ac:dyDescent="0.35">
      <c r="B1104" s="222"/>
      <c r="C1104"/>
      <c r="E1104" s="222"/>
      <c r="F1104" s="222"/>
      <c r="G1104" s="222"/>
      <c r="H1104"/>
      <c r="J1104" s="222"/>
      <c r="K1104" s="222"/>
      <c r="L1104"/>
      <c r="M1104"/>
      <c r="N1104"/>
      <c r="P1104" s="222">
        <v>32.938800000000001</v>
      </c>
      <c r="Q1104" s="222">
        <v>28.6877</v>
      </c>
    </row>
    <row r="1105" spans="2:17" x14ac:dyDescent="0.35">
      <c r="B1105" s="222"/>
      <c r="C1105"/>
      <c r="E1105" s="222"/>
      <c r="F1105" s="222"/>
      <c r="G1105" s="222"/>
      <c r="H1105"/>
      <c r="J1105" s="222"/>
      <c r="K1105" s="222"/>
      <c r="L1105"/>
      <c r="M1105"/>
      <c r="N1105"/>
      <c r="P1105" s="222">
        <v>33.640999999999998</v>
      </c>
      <c r="Q1105" s="222">
        <v>29.197500000000002</v>
      </c>
    </row>
    <row r="1106" spans="2:17" x14ac:dyDescent="0.35">
      <c r="B1106" s="222"/>
      <c r="C1106"/>
      <c r="E1106" s="222"/>
      <c r="F1106" s="222"/>
      <c r="G1106" s="222"/>
      <c r="H1106"/>
      <c r="J1106" s="222"/>
      <c r="K1106" s="222"/>
      <c r="L1106"/>
      <c r="M1106"/>
      <c r="N1106"/>
      <c r="P1106" s="222">
        <v>33.597900000000003</v>
      </c>
      <c r="Q1106" s="222">
        <v>29.9864</v>
      </c>
    </row>
    <row r="1107" spans="2:17" x14ac:dyDescent="0.35">
      <c r="B1107" s="222"/>
      <c r="C1107"/>
      <c r="E1107" s="222"/>
      <c r="F1107" s="222"/>
      <c r="G1107" s="222"/>
      <c r="H1107"/>
      <c r="J1107" s="222"/>
      <c r="K1107" s="222"/>
      <c r="L1107"/>
      <c r="M1107"/>
      <c r="N1107"/>
      <c r="P1107" s="222">
        <v>33.659199999999998</v>
      </c>
      <c r="Q1107" s="222">
        <v>30.056000000000001</v>
      </c>
    </row>
    <row r="1108" spans="2:17" x14ac:dyDescent="0.35">
      <c r="B1108" s="222"/>
      <c r="C1108"/>
      <c r="E1108" s="222"/>
      <c r="F1108" s="222"/>
      <c r="G1108" s="222"/>
      <c r="H1108"/>
      <c r="J1108" s="222"/>
      <c r="K1108" s="222"/>
      <c r="L1108"/>
      <c r="M1108"/>
      <c r="N1108"/>
      <c r="P1108" s="222">
        <v>33.194899999999997</v>
      </c>
      <c r="Q1108" s="222">
        <v>28.914899999999999</v>
      </c>
    </row>
    <row r="1109" spans="2:17" x14ac:dyDescent="0.35">
      <c r="B1109" s="222"/>
      <c r="C1109"/>
      <c r="E1109" s="222"/>
      <c r="F1109" s="222"/>
      <c r="G1109" s="222"/>
      <c r="H1109"/>
      <c r="J1109" s="222"/>
      <c r="K1109" s="222"/>
      <c r="L1109"/>
      <c r="M1109"/>
      <c r="N1109"/>
      <c r="P1109" s="222">
        <v>33.954000000000001</v>
      </c>
      <c r="Q1109" s="222">
        <v>28.469000000000001</v>
      </c>
    </row>
    <row r="1110" spans="2:17" x14ac:dyDescent="0.35">
      <c r="B1110" s="222"/>
      <c r="C1110"/>
      <c r="E1110" s="222"/>
      <c r="F1110" s="222"/>
      <c r="G1110" s="222"/>
      <c r="H1110"/>
      <c r="J1110" s="222"/>
      <c r="K1110" s="222"/>
      <c r="L1110"/>
      <c r="M1110"/>
      <c r="N1110"/>
      <c r="P1110" s="222">
        <v>31.635000000000002</v>
      </c>
      <c r="Q1110" s="222">
        <v>31.404499999999999</v>
      </c>
    </row>
    <row r="1111" spans="2:17" x14ac:dyDescent="0.35">
      <c r="B1111" s="222"/>
      <c r="C1111"/>
      <c r="E1111" s="222"/>
      <c r="F1111" s="222"/>
      <c r="G1111" s="222"/>
      <c r="H1111"/>
      <c r="J1111" s="222"/>
      <c r="K1111" s="222"/>
      <c r="L1111"/>
      <c r="M1111"/>
      <c r="N1111"/>
      <c r="P1111" s="222">
        <v>31.284700000000001</v>
      </c>
      <c r="Q1111" s="222">
        <v>31.267299999999999</v>
      </c>
    </row>
    <row r="1112" spans="2:17" x14ac:dyDescent="0.35">
      <c r="B1112" s="222"/>
      <c r="C1112"/>
      <c r="E1112" s="222"/>
      <c r="F1112" s="222"/>
      <c r="G1112" s="222"/>
      <c r="H1112"/>
      <c r="J1112" s="222"/>
      <c r="K1112" s="222"/>
      <c r="L1112"/>
      <c r="M1112"/>
      <c r="N1112"/>
      <c r="P1112" s="222">
        <v>31.597899999999999</v>
      </c>
      <c r="Q1112" s="222">
        <v>29.789400000000001</v>
      </c>
    </row>
    <row r="1113" spans="2:17" x14ac:dyDescent="0.35">
      <c r="B1113" s="222"/>
      <c r="C1113"/>
      <c r="E1113" s="222"/>
      <c r="F1113" s="222"/>
      <c r="G1113" s="222"/>
      <c r="H1113"/>
      <c r="J1113" s="222"/>
      <c r="K1113" s="222"/>
      <c r="L1113"/>
      <c r="M1113"/>
      <c r="N1113"/>
      <c r="P1113" s="222">
        <v>31.823399999999999</v>
      </c>
      <c r="Q1113" s="222">
        <v>30.532399999999999</v>
      </c>
    </row>
    <row r="1114" spans="2:17" x14ac:dyDescent="0.35">
      <c r="B1114" s="222"/>
      <c r="C1114"/>
      <c r="E1114" s="222"/>
      <c r="F1114" s="222"/>
      <c r="G1114" s="222"/>
      <c r="H1114"/>
      <c r="J1114" s="222"/>
      <c r="K1114" s="222"/>
      <c r="L1114"/>
      <c r="M1114"/>
      <c r="N1114"/>
      <c r="P1114" s="222">
        <v>32.726399999999998</v>
      </c>
      <c r="Q1114" s="222">
        <v>30.252400000000002</v>
      </c>
    </row>
    <row r="1115" spans="2:17" x14ac:dyDescent="0.35">
      <c r="B1115" s="222"/>
      <c r="C1115"/>
      <c r="E1115" s="222"/>
      <c r="F1115" s="222"/>
      <c r="G1115" s="222"/>
      <c r="H1115"/>
      <c r="J1115" s="222"/>
      <c r="K1115" s="222"/>
      <c r="L1115"/>
      <c r="M1115"/>
      <c r="N1115"/>
      <c r="P1115" s="222">
        <v>33.829500000000003</v>
      </c>
      <c r="Q1115" s="222">
        <v>28.667200000000001</v>
      </c>
    </row>
    <row r="1116" spans="2:17" x14ac:dyDescent="0.35">
      <c r="B1116" s="222"/>
      <c r="C1116"/>
      <c r="E1116" s="222"/>
      <c r="F1116" s="222"/>
      <c r="G1116" s="222"/>
      <c r="H1116"/>
      <c r="J1116" s="222"/>
      <c r="K1116" s="222"/>
      <c r="L1116"/>
      <c r="M1116"/>
      <c r="N1116"/>
      <c r="P1116" s="222">
        <v>33.431100000000001</v>
      </c>
      <c r="Q1116" s="222">
        <v>28.044599999999999</v>
      </c>
    </row>
    <row r="1117" spans="2:17" x14ac:dyDescent="0.35">
      <c r="B1117" s="222"/>
      <c r="C1117"/>
      <c r="E1117" s="222"/>
      <c r="F1117" s="222"/>
      <c r="G1117" s="222"/>
      <c r="H1117"/>
      <c r="J1117" s="222"/>
      <c r="K1117" s="222"/>
      <c r="L1117"/>
      <c r="M1117"/>
      <c r="N1117"/>
      <c r="P1117" s="222">
        <v>33.4437</v>
      </c>
      <c r="Q1117" s="222">
        <v>28.319900000000001</v>
      </c>
    </row>
    <row r="1118" spans="2:17" x14ac:dyDescent="0.35">
      <c r="B1118" s="222"/>
      <c r="C1118"/>
      <c r="E1118" s="222"/>
      <c r="F1118" s="222"/>
      <c r="G1118" s="222"/>
      <c r="H1118"/>
      <c r="J1118" s="222"/>
      <c r="K1118" s="222"/>
      <c r="L1118"/>
      <c r="M1118"/>
      <c r="N1118"/>
      <c r="P1118" s="222">
        <v>33.5092</v>
      </c>
      <c r="Q1118" s="222">
        <v>32.7239</v>
      </c>
    </row>
    <row r="1119" spans="2:17" x14ac:dyDescent="0.35">
      <c r="B1119" s="222"/>
      <c r="C1119"/>
      <c r="E1119" s="222"/>
      <c r="F1119" s="222"/>
      <c r="G1119" s="222"/>
      <c r="H1119"/>
      <c r="J1119" s="222"/>
      <c r="K1119" s="222"/>
      <c r="L1119"/>
      <c r="M1119"/>
      <c r="N1119"/>
      <c r="P1119" s="222">
        <v>31.707699999999999</v>
      </c>
      <c r="Q1119" s="222">
        <v>32.087200000000003</v>
      </c>
    </row>
    <row r="1120" spans="2:17" x14ac:dyDescent="0.35">
      <c r="B1120" s="222"/>
      <c r="C1120"/>
      <c r="E1120" s="222"/>
      <c r="F1120" s="222"/>
      <c r="G1120" s="222"/>
      <c r="H1120"/>
      <c r="J1120" s="222"/>
      <c r="K1120" s="222"/>
      <c r="L1120"/>
      <c r="M1120"/>
      <c r="N1120"/>
      <c r="P1120" s="222">
        <v>28.485199999999999</v>
      </c>
      <c r="Q1120" s="222">
        <v>33.1541</v>
      </c>
    </row>
    <row r="1121" spans="2:17" x14ac:dyDescent="0.35">
      <c r="B1121" s="222"/>
      <c r="C1121"/>
      <c r="E1121" s="222"/>
      <c r="F1121" s="222"/>
      <c r="G1121" s="222"/>
      <c r="H1121"/>
      <c r="J1121" s="222"/>
      <c r="K1121" s="222"/>
      <c r="L1121"/>
      <c r="M1121"/>
      <c r="N1121"/>
      <c r="P1121" s="222">
        <v>28.341100000000001</v>
      </c>
      <c r="Q1121" s="222">
        <v>33.444800000000001</v>
      </c>
    </row>
    <row r="1122" spans="2:17" x14ac:dyDescent="0.35">
      <c r="B1122" s="222"/>
      <c r="C1122"/>
      <c r="E1122" s="222"/>
      <c r="F1122" s="222"/>
      <c r="G1122" s="222"/>
      <c r="H1122"/>
      <c r="J1122" s="222"/>
      <c r="K1122" s="222"/>
      <c r="L1122"/>
      <c r="M1122"/>
      <c r="N1122"/>
      <c r="P1122" s="222">
        <v>29.024699999999999</v>
      </c>
      <c r="Q1122" s="222">
        <v>30.9495</v>
      </c>
    </row>
    <row r="1123" spans="2:17" x14ac:dyDescent="0.35">
      <c r="B1123" s="222"/>
      <c r="C1123"/>
      <c r="E1123" s="222"/>
      <c r="F1123" s="222"/>
      <c r="G1123" s="222"/>
      <c r="H1123"/>
      <c r="J1123" s="222"/>
      <c r="K1123" s="222"/>
      <c r="L1123"/>
      <c r="M1123"/>
      <c r="N1123"/>
      <c r="P1123" s="222">
        <v>28.6447</v>
      </c>
      <c r="Q1123" s="222">
        <v>28.941199999999998</v>
      </c>
    </row>
    <row r="1124" spans="2:17" x14ac:dyDescent="0.35">
      <c r="B1124" s="222"/>
      <c r="C1124"/>
      <c r="E1124" s="222"/>
      <c r="F1124" s="222"/>
      <c r="G1124" s="222"/>
      <c r="H1124"/>
      <c r="J1124" s="222"/>
      <c r="K1124" s="222"/>
      <c r="L1124"/>
      <c r="M1124"/>
      <c r="N1124"/>
      <c r="P1124" s="222">
        <v>27.070799999999998</v>
      </c>
      <c r="Q1124" s="222">
        <v>34.508200000000002</v>
      </c>
    </row>
    <row r="1125" spans="2:17" x14ac:dyDescent="0.35">
      <c r="B1125" s="222"/>
      <c r="C1125"/>
      <c r="E1125" s="222"/>
      <c r="F1125" s="222"/>
      <c r="G1125" s="222"/>
      <c r="H1125"/>
      <c r="J1125" s="222"/>
      <c r="K1125" s="222"/>
      <c r="L1125"/>
      <c r="M1125"/>
      <c r="N1125"/>
      <c r="P1125" s="222">
        <v>26.982399999999998</v>
      </c>
      <c r="Q1125" s="222">
        <v>33.508499999999998</v>
      </c>
    </row>
    <row r="1126" spans="2:17" x14ac:dyDescent="0.35">
      <c r="B1126" s="222"/>
      <c r="C1126"/>
      <c r="E1126" s="222"/>
      <c r="F1126" s="222"/>
      <c r="G1126" s="222"/>
      <c r="H1126"/>
      <c r="J1126" s="222"/>
      <c r="K1126" s="222"/>
      <c r="L1126"/>
      <c r="M1126"/>
      <c r="N1126"/>
      <c r="P1126" s="222">
        <v>27.091000000000001</v>
      </c>
      <c r="Q1126" s="222">
        <v>31.597300000000001</v>
      </c>
    </row>
    <row r="1127" spans="2:17" x14ac:dyDescent="0.35">
      <c r="B1127" s="222"/>
      <c r="C1127"/>
      <c r="E1127" s="222"/>
      <c r="F1127" s="222"/>
      <c r="G1127" s="222"/>
      <c r="H1127"/>
      <c r="J1127" s="222"/>
      <c r="K1127" s="222"/>
      <c r="L1127"/>
      <c r="M1127"/>
      <c r="N1127"/>
      <c r="P1127" s="222">
        <v>26.372399999999999</v>
      </c>
      <c r="Q1127" s="222">
        <v>30.536300000000001</v>
      </c>
    </row>
    <row r="1128" spans="2:17" x14ac:dyDescent="0.35">
      <c r="B1128" s="222"/>
      <c r="C1128"/>
      <c r="E1128" s="222"/>
      <c r="F1128" s="222"/>
      <c r="G1128" s="222"/>
      <c r="H1128"/>
      <c r="J1128" s="222"/>
      <c r="K1128" s="222"/>
      <c r="L1128"/>
      <c r="M1128"/>
      <c r="N1128"/>
      <c r="P1128" s="222">
        <v>26.764500000000002</v>
      </c>
      <c r="Q1128" s="222">
        <v>31.299600000000002</v>
      </c>
    </row>
    <row r="1129" spans="2:17" x14ac:dyDescent="0.35">
      <c r="B1129" s="222"/>
      <c r="C1129"/>
      <c r="E1129" s="222"/>
      <c r="F1129" s="222"/>
      <c r="G1129" s="222"/>
      <c r="H1129"/>
      <c r="J1129" s="222"/>
      <c r="K1129" s="222"/>
      <c r="L1129"/>
      <c r="M1129"/>
      <c r="N1129"/>
      <c r="P1129" s="222">
        <v>26.770299999999999</v>
      </c>
      <c r="Q1129" s="222">
        <v>30.4816</v>
      </c>
    </row>
    <row r="1130" spans="2:17" x14ac:dyDescent="0.35">
      <c r="B1130" s="222"/>
      <c r="C1130"/>
      <c r="E1130" s="222"/>
      <c r="F1130" s="222"/>
      <c r="G1130" s="222"/>
      <c r="H1130"/>
      <c r="J1130" s="222"/>
      <c r="K1130" s="222"/>
      <c r="L1130"/>
      <c r="M1130"/>
      <c r="N1130"/>
      <c r="P1130" s="222">
        <v>27.409400000000002</v>
      </c>
      <c r="Q1130" s="222">
        <v>32.401800000000001</v>
      </c>
    </row>
    <row r="1131" spans="2:17" x14ac:dyDescent="0.35">
      <c r="B1131" s="222"/>
      <c r="C1131"/>
      <c r="E1131" s="222"/>
      <c r="F1131" s="222"/>
      <c r="G1131" s="222"/>
      <c r="H1131"/>
      <c r="J1131" s="222"/>
      <c r="K1131" s="222"/>
      <c r="L1131"/>
      <c r="M1131"/>
      <c r="N1131"/>
      <c r="P1131" s="222">
        <v>29.764299999999999</v>
      </c>
      <c r="Q1131" s="222">
        <v>33.301000000000002</v>
      </c>
    </row>
    <row r="1132" spans="2:17" x14ac:dyDescent="0.35">
      <c r="B1132" s="222"/>
      <c r="C1132"/>
      <c r="E1132" s="222"/>
      <c r="F1132" s="222"/>
      <c r="G1132" s="222"/>
      <c r="H1132"/>
      <c r="J1132" s="222"/>
      <c r="K1132" s="222"/>
      <c r="L1132"/>
      <c r="M1132"/>
      <c r="N1132"/>
      <c r="P1132" s="222">
        <v>29.715800000000002</v>
      </c>
      <c r="Q1132" s="222">
        <v>34.428400000000003</v>
      </c>
    </row>
    <row r="1133" spans="2:17" x14ac:dyDescent="0.35">
      <c r="B1133" s="222"/>
      <c r="C1133"/>
      <c r="E1133" s="222"/>
      <c r="F1133" s="222"/>
      <c r="G1133" s="222"/>
      <c r="H1133"/>
      <c r="J1133" s="222"/>
      <c r="K1133" s="222"/>
      <c r="L1133"/>
      <c r="M1133"/>
      <c r="N1133"/>
      <c r="P1133" s="222">
        <v>31.3522</v>
      </c>
      <c r="Q1133" s="222">
        <v>29.847300000000001</v>
      </c>
    </row>
    <row r="1134" spans="2:17" x14ac:dyDescent="0.35">
      <c r="B1134" s="222"/>
      <c r="C1134"/>
      <c r="E1134" s="222"/>
      <c r="F1134" s="222"/>
      <c r="G1134" s="222"/>
      <c r="H1134"/>
      <c r="J1134" s="222"/>
      <c r="K1134" s="222"/>
      <c r="L1134"/>
      <c r="M1134"/>
      <c r="N1134"/>
      <c r="P1134" s="222">
        <v>30.709800000000001</v>
      </c>
      <c r="Q1134" s="222">
        <v>28.889600000000002</v>
      </c>
    </row>
    <row r="1135" spans="2:17" x14ac:dyDescent="0.35">
      <c r="B1135" s="222"/>
      <c r="C1135"/>
      <c r="E1135" s="222"/>
      <c r="F1135" s="222"/>
      <c r="G1135" s="222"/>
      <c r="H1135"/>
      <c r="J1135" s="222"/>
      <c r="K1135" s="222"/>
      <c r="L1135"/>
      <c r="M1135"/>
      <c r="N1135"/>
      <c r="P1135" s="222">
        <v>31.272600000000001</v>
      </c>
      <c r="Q1135" s="222">
        <v>30.219100000000001</v>
      </c>
    </row>
    <row r="1136" spans="2:17" x14ac:dyDescent="0.35">
      <c r="B1136" s="222"/>
      <c r="C1136"/>
      <c r="E1136" s="222"/>
      <c r="F1136" s="222"/>
      <c r="G1136" s="222"/>
      <c r="H1136"/>
      <c r="J1136" s="222"/>
      <c r="K1136" s="222"/>
      <c r="L1136"/>
      <c r="M1136"/>
      <c r="N1136"/>
      <c r="P1136" s="222">
        <v>31.157900000000001</v>
      </c>
      <c r="Q1136" s="222">
        <v>32.2883</v>
      </c>
    </row>
    <row r="1137" spans="2:17" x14ac:dyDescent="0.35">
      <c r="B1137" s="222"/>
      <c r="C1137"/>
      <c r="E1137" s="222"/>
      <c r="F1137" s="222"/>
      <c r="G1137" s="222"/>
      <c r="H1137"/>
      <c r="J1137" s="222"/>
      <c r="K1137" s="222"/>
      <c r="L1137"/>
      <c r="M1137"/>
      <c r="N1137"/>
      <c r="P1137" s="222">
        <v>24.7821</v>
      </c>
      <c r="Q1137" s="222">
        <v>38.368200000000002</v>
      </c>
    </row>
    <row r="1138" spans="2:17" x14ac:dyDescent="0.35">
      <c r="B1138" s="222"/>
      <c r="C1138"/>
      <c r="E1138" s="222"/>
      <c r="F1138" s="222"/>
      <c r="G1138" s="222"/>
      <c r="H1138"/>
      <c r="J1138" s="222"/>
      <c r="K1138" s="222"/>
      <c r="L1138"/>
      <c r="M1138"/>
      <c r="N1138"/>
      <c r="P1138" s="222">
        <v>24.108599999999999</v>
      </c>
      <c r="Q1138" s="222">
        <v>37.678699999999999</v>
      </c>
    </row>
    <row r="1139" spans="2:17" x14ac:dyDescent="0.35">
      <c r="B1139" s="222"/>
      <c r="C1139"/>
      <c r="E1139" s="222"/>
      <c r="F1139" s="222"/>
      <c r="G1139" s="222"/>
      <c r="H1139"/>
      <c r="J1139" s="222"/>
      <c r="K1139" s="222"/>
      <c r="L1139"/>
      <c r="M1139"/>
      <c r="N1139"/>
      <c r="P1139" s="222">
        <v>24.201699999999999</v>
      </c>
      <c r="Q1139" s="222">
        <v>37.506100000000004</v>
      </c>
    </row>
    <row r="1140" spans="2:17" x14ac:dyDescent="0.35">
      <c r="B1140" s="222"/>
      <c r="C1140"/>
      <c r="E1140" s="222"/>
      <c r="F1140" s="222"/>
      <c r="G1140" s="222"/>
      <c r="H1140"/>
      <c r="J1140" s="222"/>
      <c r="K1140" s="222"/>
      <c r="L1140"/>
      <c r="M1140"/>
      <c r="N1140"/>
      <c r="P1140" s="222">
        <v>24.6037</v>
      </c>
      <c r="Q1140" s="222">
        <v>38.806199999999997</v>
      </c>
    </row>
    <row r="1141" spans="2:17" x14ac:dyDescent="0.35">
      <c r="B1141" s="222"/>
      <c r="C1141"/>
      <c r="E1141" s="222"/>
      <c r="F1141" s="222"/>
      <c r="G1141" s="222"/>
      <c r="H1141"/>
      <c r="J1141" s="222"/>
      <c r="K1141" s="222"/>
      <c r="L1141"/>
      <c r="M1141"/>
      <c r="N1141"/>
      <c r="P1141" s="222">
        <v>24.959199999999999</v>
      </c>
      <c r="Q1141" s="222">
        <v>38.673499999999997</v>
      </c>
    </row>
    <row r="1142" spans="2:17" x14ac:dyDescent="0.35">
      <c r="B1142" s="222"/>
      <c r="C1142"/>
      <c r="E1142" s="222"/>
      <c r="F1142" s="222"/>
      <c r="G1142" s="222"/>
      <c r="H1142"/>
      <c r="J1142" s="222"/>
      <c r="K1142" s="222"/>
      <c r="L1142"/>
      <c r="M1142"/>
      <c r="N1142"/>
      <c r="P1142" s="222">
        <v>24.821899999999999</v>
      </c>
      <c r="Q1142" s="222">
        <v>38.4377</v>
      </c>
    </row>
    <row r="1143" spans="2:17" x14ac:dyDescent="0.35">
      <c r="B1143" s="222"/>
      <c r="C1143"/>
      <c r="E1143" s="222"/>
      <c r="F1143" s="222"/>
      <c r="G1143" s="222"/>
      <c r="H1143"/>
      <c r="J1143" s="222"/>
      <c r="K1143" s="222"/>
      <c r="L1143"/>
      <c r="M1143"/>
      <c r="N1143"/>
      <c r="P1143" s="222">
        <v>24.484000000000002</v>
      </c>
      <c r="Q1143" s="222">
        <v>38.486600000000003</v>
      </c>
    </row>
    <row r="1144" spans="2:17" x14ac:dyDescent="0.35">
      <c r="B1144" s="222"/>
      <c r="C1144"/>
      <c r="E1144" s="222"/>
      <c r="F1144" s="222"/>
      <c r="G1144" s="222"/>
      <c r="H1144"/>
      <c r="J1144" s="222"/>
      <c r="K1144" s="222"/>
      <c r="L1144"/>
      <c r="M1144"/>
      <c r="N1144"/>
      <c r="P1144" s="222">
        <v>23.729399999999998</v>
      </c>
      <c r="Q1144" s="222">
        <v>38.410299999999999</v>
      </c>
    </row>
    <row r="1145" spans="2:17" x14ac:dyDescent="0.35">
      <c r="B1145" s="222"/>
      <c r="C1145"/>
      <c r="E1145" s="222"/>
      <c r="F1145" s="222"/>
      <c r="G1145" s="222"/>
      <c r="H1145"/>
      <c r="J1145" s="222"/>
      <c r="K1145" s="222"/>
      <c r="L1145"/>
      <c r="M1145"/>
      <c r="N1145"/>
      <c r="P1145" s="222">
        <v>23.6402</v>
      </c>
      <c r="Q1145" s="222">
        <v>37.499600000000001</v>
      </c>
    </row>
    <row r="1146" spans="2:17" x14ac:dyDescent="0.35">
      <c r="B1146" s="222"/>
      <c r="C1146"/>
      <c r="E1146" s="222"/>
      <c r="F1146" s="222"/>
      <c r="G1146" s="222"/>
      <c r="H1146"/>
      <c r="J1146" s="222"/>
      <c r="K1146" s="222"/>
      <c r="L1146"/>
      <c r="M1146"/>
      <c r="N1146"/>
      <c r="P1146" s="222">
        <v>24.502300000000002</v>
      </c>
      <c r="Q1146" s="222">
        <v>37.784999999999997</v>
      </c>
    </row>
    <row r="1147" spans="2:17" x14ac:dyDescent="0.35">
      <c r="B1147" s="222"/>
      <c r="C1147"/>
      <c r="E1147" s="222"/>
      <c r="F1147" s="222"/>
      <c r="G1147" s="222"/>
      <c r="H1147"/>
      <c r="J1147" s="222"/>
      <c r="K1147" s="222"/>
      <c r="L1147"/>
      <c r="M1147"/>
      <c r="N1147"/>
      <c r="P1147" s="222">
        <v>25.467099999999999</v>
      </c>
      <c r="Q1147" s="222">
        <v>38.394100000000002</v>
      </c>
    </row>
    <row r="1148" spans="2:17" x14ac:dyDescent="0.35">
      <c r="B1148" s="222"/>
      <c r="C1148"/>
      <c r="E1148" s="222"/>
      <c r="F1148" s="222"/>
      <c r="G1148" s="222"/>
      <c r="H1148"/>
      <c r="J1148" s="222"/>
      <c r="K1148" s="222"/>
      <c r="L1148"/>
      <c r="M1148"/>
      <c r="N1148"/>
      <c r="P1148" s="222">
        <v>26.758600000000001</v>
      </c>
      <c r="Q1148" s="222">
        <v>38.121899999999997</v>
      </c>
    </row>
    <row r="1149" spans="2:17" x14ac:dyDescent="0.35">
      <c r="B1149" s="222"/>
      <c r="C1149"/>
      <c r="E1149" s="222"/>
      <c r="F1149" s="222"/>
      <c r="G1149" s="222"/>
      <c r="H1149"/>
      <c r="J1149" s="222"/>
      <c r="K1149" s="222"/>
      <c r="L1149"/>
      <c r="M1149"/>
      <c r="N1149"/>
      <c r="P1149" s="222">
        <v>26.144200000000001</v>
      </c>
      <c r="Q1149" s="222">
        <v>36.006700000000002</v>
      </c>
    </row>
    <row r="1150" spans="2:17" x14ac:dyDescent="0.35">
      <c r="B1150" s="222"/>
      <c r="C1150"/>
      <c r="E1150" s="222"/>
      <c r="F1150" s="222"/>
      <c r="G1150" s="222"/>
      <c r="H1150"/>
      <c r="J1150" s="222"/>
      <c r="K1150" s="222"/>
      <c r="L1150"/>
      <c r="M1150"/>
      <c r="N1150"/>
      <c r="P1150" s="222">
        <v>23.184799999999999</v>
      </c>
      <c r="Q1150" s="222">
        <v>34.720599999999997</v>
      </c>
    </row>
    <row r="1151" spans="2:17" x14ac:dyDescent="0.35">
      <c r="B1151" s="222"/>
      <c r="C1151"/>
      <c r="E1151" s="222"/>
      <c r="F1151" s="222"/>
      <c r="G1151" s="222"/>
      <c r="H1151"/>
      <c r="J1151" s="222"/>
      <c r="K1151" s="222"/>
      <c r="L1151"/>
      <c r="M1151"/>
      <c r="N1151"/>
      <c r="P1151" s="222">
        <v>24.508500000000002</v>
      </c>
      <c r="Q1151" s="222">
        <v>40.762799999999999</v>
      </c>
    </row>
    <row r="1152" spans="2:17" x14ac:dyDescent="0.35">
      <c r="B1152" s="222"/>
      <c r="C1152"/>
      <c r="E1152" s="222"/>
      <c r="F1152" s="222"/>
      <c r="G1152" s="222"/>
      <c r="H1152"/>
      <c r="J1152" s="222"/>
      <c r="K1152" s="222"/>
      <c r="L1152"/>
      <c r="M1152"/>
      <c r="N1152"/>
      <c r="P1152" s="222">
        <v>24.741</v>
      </c>
      <c r="Q1152" s="222">
        <v>41.065100000000001</v>
      </c>
    </row>
    <row r="1153" spans="2:17" x14ac:dyDescent="0.35">
      <c r="B1153" s="222"/>
      <c r="C1153"/>
      <c r="E1153" s="222"/>
      <c r="F1153" s="222"/>
      <c r="G1153" s="222"/>
      <c r="H1153"/>
      <c r="J1153" s="222"/>
      <c r="K1153" s="222"/>
      <c r="L1153"/>
      <c r="M1153"/>
      <c r="N1153"/>
      <c r="P1153" s="222">
        <v>23.930700000000002</v>
      </c>
      <c r="Q1153" s="222">
        <v>39.104300000000002</v>
      </c>
    </row>
    <row r="1154" spans="2:17" x14ac:dyDescent="0.35">
      <c r="B1154" s="222"/>
      <c r="C1154"/>
      <c r="E1154" s="222"/>
      <c r="F1154" s="222"/>
      <c r="G1154" s="222"/>
      <c r="H1154"/>
      <c r="J1154" s="222"/>
      <c r="K1154" s="222"/>
      <c r="L1154"/>
      <c r="M1154"/>
      <c r="N1154"/>
      <c r="P1154" s="222">
        <v>22.8187</v>
      </c>
      <c r="Q1154" s="222">
        <v>41.995199999999997</v>
      </c>
    </row>
    <row r="1155" spans="2:17" x14ac:dyDescent="0.35">
      <c r="B1155" s="222"/>
      <c r="C1155"/>
      <c r="E1155" s="222"/>
      <c r="F1155" s="222"/>
      <c r="G1155" s="222"/>
      <c r="H1155"/>
      <c r="J1155" s="222"/>
      <c r="K1155" s="222"/>
      <c r="L1155"/>
      <c r="M1155"/>
      <c r="N1155"/>
      <c r="P1155" s="222">
        <v>22.7453</v>
      </c>
      <c r="Q1155" s="222">
        <v>45.048499999999997</v>
      </c>
    </row>
    <row r="1156" spans="2:17" x14ac:dyDescent="0.35">
      <c r="B1156" s="222"/>
      <c r="C1156"/>
      <c r="E1156" s="222"/>
      <c r="F1156" s="222"/>
      <c r="G1156" s="222"/>
      <c r="H1156"/>
      <c r="J1156" s="222"/>
      <c r="K1156" s="222"/>
      <c r="L1156"/>
      <c r="M1156"/>
      <c r="N1156"/>
      <c r="P1156" s="222">
        <v>22.919799999999999</v>
      </c>
      <c r="Q1156" s="222">
        <v>40.891199999999998</v>
      </c>
    </row>
    <row r="1157" spans="2:17" x14ac:dyDescent="0.35">
      <c r="B1157" s="222"/>
      <c r="C1157"/>
      <c r="E1157" s="222"/>
      <c r="F1157" s="222"/>
      <c r="G1157" s="222"/>
      <c r="H1157"/>
      <c r="J1157" s="222"/>
      <c r="K1157" s="222"/>
      <c r="L1157"/>
      <c r="M1157"/>
      <c r="N1157"/>
      <c r="P1157" s="222">
        <v>22.605699999999999</v>
      </c>
      <c r="Q1157" s="222">
        <v>41.347999999999999</v>
      </c>
    </row>
    <row r="1158" spans="2:17" x14ac:dyDescent="0.35">
      <c r="B1158" s="222"/>
      <c r="C1158"/>
      <c r="E1158" s="222"/>
      <c r="F1158" s="222"/>
      <c r="G1158" s="222"/>
      <c r="H1158"/>
      <c r="J1158" s="222"/>
      <c r="K1158" s="222"/>
      <c r="L1158"/>
      <c r="M1158"/>
      <c r="N1158"/>
      <c r="P1158" s="222">
        <v>22.125299999999999</v>
      </c>
      <c r="Q1158" s="222">
        <v>42.478000000000002</v>
      </c>
    </row>
    <row r="1159" spans="2:17" x14ac:dyDescent="0.35">
      <c r="B1159" s="222"/>
      <c r="C1159"/>
      <c r="E1159" s="222"/>
      <c r="F1159" s="222"/>
      <c r="G1159" s="222"/>
      <c r="H1159"/>
      <c r="J1159" s="222"/>
      <c r="K1159" s="222"/>
      <c r="L1159"/>
      <c r="M1159"/>
      <c r="N1159"/>
      <c r="P1159" s="222">
        <v>22.550799999999999</v>
      </c>
      <c r="Q1159" s="222">
        <v>42.008800000000001</v>
      </c>
    </row>
    <row r="1160" spans="2:17" x14ac:dyDescent="0.35">
      <c r="B1160" s="222"/>
      <c r="C1160"/>
      <c r="E1160" s="222"/>
      <c r="F1160" s="222"/>
      <c r="G1160" s="222"/>
      <c r="H1160"/>
      <c r="J1160" s="222"/>
      <c r="K1160" s="222"/>
      <c r="L1160"/>
      <c r="M1160"/>
      <c r="N1160"/>
      <c r="P1160" s="222">
        <v>23.494900000000001</v>
      </c>
      <c r="Q1160" s="222">
        <v>38.863900000000001</v>
      </c>
    </row>
    <row r="1161" spans="2:17" x14ac:dyDescent="0.35">
      <c r="B1161" s="222"/>
      <c r="C1161"/>
      <c r="E1161" s="222"/>
      <c r="F1161" s="222"/>
      <c r="G1161" s="222"/>
      <c r="H1161"/>
      <c r="J1161" s="222"/>
      <c r="K1161" s="222"/>
      <c r="L1161"/>
      <c r="M1161"/>
      <c r="N1161"/>
      <c r="P1161" s="222">
        <v>24.3674</v>
      </c>
      <c r="Q1161" s="222">
        <v>37.961399999999998</v>
      </c>
    </row>
    <row r="1162" spans="2:17" x14ac:dyDescent="0.35">
      <c r="B1162" s="222"/>
      <c r="C1162"/>
      <c r="E1162" s="222"/>
      <c r="F1162" s="222"/>
      <c r="G1162" s="222"/>
      <c r="H1162"/>
      <c r="J1162" s="222"/>
      <c r="K1162" s="222"/>
      <c r="L1162"/>
      <c r="M1162"/>
      <c r="N1162"/>
      <c r="P1162" s="222">
        <v>27.0715</v>
      </c>
      <c r="Q1162" s="222">
        <v>35.577500000000001</v>
      </c>
    </row>
    <row r="1163" spans="2:17" x14ac:dyDescent="0.35">
      <c r="B1163" s="222"/>
      <c r="C1163"/>
      <c r="E1163" s="222"/>
      <c r="F1163" s="222"/>
      <c r="G1163" s="222"/>
      <c r="H1163"/>
      <c r="J1163" s="222"/>
      <c r="K1163" s="222"/>
      <c r="L1163"/>
      <c r="M1163"/>
      <c r="N1163"/>
      <c r="P1163" s="222">
        <v>27.6754</v>
      </c>
      <c r="Q1163" s="222">
        <v>39.046399999999998</v>
      </c>
    </row>
    <row r="1164" spans="2:17" x14ac:dyDescent="0.35">
      <c r="B1164" s="222"/>
      <c r="C1164"/>
      <c r="E1164" s="222"/>
      <c r="F1164" s="222"/>
      <c r="G1164" s="222"/>
      <c r="H1164"/>
      <c r="J1164" s="222"/>
      <c r="K1164" s="222"/>
      <c r="L1164"/>
      <c r="M1164"/>
      <c r="N1164"/>
      <c r="P1164" s="222">
        <v>27.735399999999998</v>
      </c>
      <c r="Q1164" s="222">
        <v>39.7408</v>
      </c>
    </row>
    <row r="1165" spans="2:17" x14ac:dyDescent="0.35">
      <c r="B1165" s="222"/>
      <c r="C1165"/>
      <c r="E1165" s="222"/>
      <c r="F1165" s="222"/>
      <c r="G1165" s="222"/>
      <c r="H1165"/>
      <c r="J1165" s="222"/>
      <c r="K1165" s="222"/>
      <c r="L1165"/>
      <c r="M1165"/>
      <c r="N1165"/>
      <c r="P1165" s="222">
        <v>29.069500000000001</v>
      </c>
      <c r="Q1165" s="222">
        <v>37.777700000000003</v>
      </c>
    </row>
    <row r="1166" spans="2:17" x14ac:dyDescent="0.35">
      <c r="B1166" s="222"/>
      <c r="C1166"/>
      <c r="E1166" s="222"/>
      <c r="F1166" s="222"/>
      <c r="G1166" s="222"/>
      <c r="H1166"/>
      <c r="J1166" s="222"/>
      <c r="K1166" s="222"/>
      <c r="L1166"/>
      <c r="M1166"/>
      <c r="N1166"/>
      <c r="P1166" s="222">
        <v>30.361899999999999</v>
      </c>
      <c r="Q1166" s="222">
        <v>36.455500000000001</v>
      </c>
    </row>
    <row r="1167" spans="2:17" x14ac:dyDescent="0.35">
      <c r="B1167" s="222"/>
      <c r="C1167"/>
      <c r="E1167" s="222"/>
      <c r="F1167" s="222"/>
      <c r="G1167" s="222"/>
      <c r="H1167"/>
      <c r="J1167" s="222"/>
      <c r="K1167" s="222"/>
      <c r="L1167"/>
      <c r="M1167"/>
      <c r="N1167"/>
      <c r="P1167" s="222">
        <v>31.507200000000001</v>
      </c>
      <c r="Q1167" s="222">
        <v>37.015000000000001</v>
      </c>
    </row>
    <row r="1168" spans="2:17" x14ac:dyDescent="0.35">
      <c r="B1168" s="222"/>
      <c r="C1168"/>
      <c r="E1168" s="222"/>
      <c r="F1168" s="222"/>
      <c r="G1168" s="222"/>
      <c r="H1168"/>
      <c r="J1168" s="222"/>
      <c r="K1168" s="222"/>
      <c r="L1168"/>
      <c r="M1168"/>
      <c r="N1168"/>
      <c r="P1168" s="222">
        <v>31.755600000000001</v>
      </c>
      <c r="Q1168" s="222">
        <v>40.568899999999999</v>
      </c>
    </row>
    <row r="1169" spans="2:17" x14ac:dyDescent="0.35">
      <c r="B1169" s="222"/>
      <c r="C1169"/>
      <c r="E1169" s="222"/>
      <c r="F1169" s="222"/>
      <c r="G1169" s="222"/>
      <c r="H1169"/>
      <c r="J1169" s="222"/>
      <c r="K1169" s="222"/>
      <c r="L1169"/>
      <c r="M1169"/>
      <c r="N1169"/>
      <c r="P1169" s="222">
        <v>31.779499999999999</v>
      </c>
      <c r="Q1169" s="222">
        <v>40.2288</v>
      </c>
    </row>
    <row r="1170" spans="2:17" x14ac:dyDescent="0.35">
      <c r="B1170" s="222"/>
      <c r="C1170"/>
      <c r="E1170" s="222"/>
      <c r="F1170" s="222"/>
      <c r="G1170" s="222"/>
      <c r="H1170"/>
      <c r="J1170" s="222"/>
      <c r="K1170" s="222"/>
      <c r="L1170"/>
      <c r="M1170"/>
      <c r="N1170"/>
      <c r="P1170" s="222">
        <v>31.721399999999999</v>
      </c>
      <c r="Q1170" s="222">
        <v>40.059199999999997</v>
      </c>
    </row>
    <row r="1171" spans="2:17" x14ac:dyDescent="0.35">
      <c r="B1171" s="222"/>
      <c r="C1171"/>
      <c r="E1171" s="222"/>
      <c r="F1171" s="222"/>
      <c r="G1171" s="222"/>
      <c r="H1171"/>
      <c r="J1171" s="222"/>
      <c r="K1171" s="222"/>
      <c r="L1171"/>
      <c r="M1171"/>
      <c r="N1171"/>
      <c r="P1171" s="222">
        <v>31.1083</v>
      </c>
      <c r="Q1171" s="222">
        <v>40.804699999999997</v>
      </c>
    </row>
    <row r="1172" spans="2:17" x14ac:dyDescent="0.35">
      <c r="B1172" s="222"/>
      <c r="C1172"/>
      <c r="E1172" s="222"/>
      <c r="F1172" s="222"/>
      <c r="G1172" s="222"/>
      <c r="H1172"/>
      <c r="J1172" s="222"/>
      <c r="K1172" s="222"/>
      <c r="L1172"/>
      <c r="M1172"/>
      <c r="N1172"/>
      <c r="P1172" s="222">
        <v>30.252600000000001</v>
      </c>
      <c r="Q1172" s="222">
        <v>44.693100000000001</v>
      </c>
    </row>
    <row r="1173" spans="2:17" x14ac:dyDescent="0.35">
      <c r="B1173" s="222"/>
      <c r="C1173"/>
      <c r="E1173" s="222"/>
      <c r="F1173" s="222"/>
      <c r="G1173" s="222"/>
      <c r="H1173"/>
      <c r="J1173" s="222"/>
      <c r="K1173" s="222"/>
      <c r="L1173"/>
      <c r="M1173"/>
      <c r="N1173"/>
      <c r="P1173" s="222">
        <v>30.446000000000002</v>
      </c>
      <c r="Q1173" s="222">
        <v>40.0458</v>
      </c>
    </row>
    <row r="1174" spans="2:17" x14ac:dyDescent="0.35">
      <c r="B1174" s="222"/>
      <c r="C1174"/>
      <c r="E1174" s="222"/>
      <c r="F1174" s="222"/>
      <c r="G1174" s="222"/>
      <c r="H1174"/>
      <c r="J1174" s="222"/>
      <c r="K1174" s="222"/>
      <c r="L1174"/>
      <c r="M1174"/>
      <c r="N1174"/>
      <c r="P1174" s="222">
        <v>30.754100000000001</v>
      </c>
      <c r="Q1174" s="222">
        <v>41.709600000000002</v>
      </c>
    </row>
    <row r="1175" spans="2:17" x14ac:dyDescent="0.35">
      <c r="B1175" s="222"/>
      <c r="C1175"/>
      <c r="E1175" s="222"/>
      <c r="F1175" s="222"/>
      <c r="G1175" s="222"/>
      <c r="H1175"/>
      <c r="J1175" s="222"/>
      <c r="K1175" s="222"/>
      <c r="L1175"/>
      <c r="M1175"/>
      <c r="N1175"/>
      <c r="P1175" s="222">
        <v>33.366100000000003</v>
      </c>
      <c r="Q1175" s="222">
        <v>37.6404</v>
      </c>
    </row>
    <row r="1176" spans="2:17" x14ac:dyDescent="0.35">
      <c r="B1176" s="222"/>
      <c r="C1176"/>
      <c r="E1176" s="222"/>
      <c r="F1176" s="222"/>
      <c r="G1176" s="222"/>
      <c r="H1176"/>
      <c r="J1176" s="222"/>
      <c r="K1176" s="222"/>
      <c r="L1176"/>
      <c r="M1176"/>
      <c r="N1176"/>
      <c r="P1176" s="222">
        <v>34.6721</v>
      </c>
      <c r="Q1176" s="222">
        <v>29.752600000000001</v>
      </c>
    </row>
    <row r="1177" spans="2:17" x14ac:dyDescent="0.35">
      <c r="B1177" s="222"/>
      <c r="C1177"/>
      <c r="E1177" s="222"/>
      <c r="F1177" s="222"/>
      <c r="G1177" s="222"/>
      <c r="H1177"/>
      <c r="J1177" s="222"/>
      <c r="K1177" s="222"/>
      <c r="L1177"/>
      <c r="M1177"/>
      <c r="N1177"/>
      <c r="P1177" s="222">
        <v>38.790900000000001</v>
      </c>
      <c r="Q1177" s="222">
        <v>22.616299999999999</v>
      </c>
    </row>
    <row r="1178" spans="2:17" x14ac:dyDescent="0.35">
      <c r="B1178" s="222"/>
      <c r="C1178"/>
      <c r="E1178" s="222"/>
      <c r="F1178" s="222"/>
      <c r="G1178" s="222"/>
      <c r="H1178"/>
      <c r="J1178" s="222"/>
      <c r="K1178" s="222"/>
      <c r="L1178"/>
      <c r="M1178"/>
      <c r="N1178"/>
      <c r="P1178" s="222">
        <v>37.482900000000001</v>
      </c>
      <c r="Q1178" s="222">
        <v>24.485099999999999</v>
      </c>
    </row>
    <row r="1179" spans="2:17" x14ac:dyDescent="0.35">
      <c r="B1179" s="222"/>
      <c r="C1179"/>
      <c r="E1179" s="222"/>
      <c r="F1179" s="222"/>
      <c r="G1179" s="222"/>
      <c r="H1179"/>
      <c r="J1179" s="222"/>
      <c r="K1179" s="222"/>
      <c r="L1179"/>
      <c r="M1179"/>
      <c r="N1179"/>
      <c r="P1179" s="222">
        <v>37.406599999999997</v>
      </c>
      <c r="Q1179" s="222">
        <v>25.9085</v>
      </c>
    </row>
    <row r="1180" spans="2:17" x14ac:dyDescent="0.35">
      <c r="B1180" s="222"/>
      <c r="C1180"/>
      <c r="E1180" s="222"/>
      <c r="F1180" s="222"/>
      <c r="G1180" s="222"/>
      <c r="H1180"/>
      <c r="J1180" s="222"/>
      <c r="K1180" s="222"/>
      <c r="L1180"/>
      <c r="M1180"/>
      <c r="N1180"/>
      <c r="P1180" s="222">
        <v>37.128599999999999</v>
      </c>
      <c r="Q1180" s="222">
        <v>23.068300000000001</v>
      </c>
    </row>
    <row r="1181" spans="2:17" x14ac:dyDescent="0.35">
      <c r="B1181" s="222"/>
      <c r="C1181"/>
      <c r="E1181" s="222"/>
      <c r="F1181" s="222"/>
      <c r="G1181" s="222"/>
      <c r="H1181"/>
      <c r="J1181" s="222"/>
      <c r="K1181" s="222"/>
      <c r="L1181"/>
      <c r="M1181"/>
      <c r="N1181"/>
      <c r="P1181" s="222">
        <v>38.637900000000002</v>
      </c>
      <c r="Q1181" s="222">
        <v>20.780100000000001</v>
      </c>
    </row>
    <row r="1182" spans="2:17" x14ac:dyDescent="0.35">
      <c r="B1182" s="222"/>
      <c r="C1182"/>
      <c r="E1182" s="222"/>
      <c r="F1182" s="222"/>
      <c r="G1182" s="222"/>
      <c r="H1182"/>
      <c r="J1182" s="222"/>
      <c r="K1182" s="222"/>
      <c r="L1182"/>
      <c r="M1182"/>
      <c r="N1182"/>
      <c r="P1182" s="222">
        <v>38.924100000000003</v>
      </c>
      <c r="Q1182" s="222">
        <v>17.349299999999999</v>
      </c>
    </row>
    <row r="1183" spans="2:17" x14ac:dyDescent="0.35">
      <c r="B1183" s="222"/>
      <c r="C1183"/>
      <c r="E1183" s="222"/>
      <c r="F1183" s="222"/>
      <c r="G1183" s="222"/>
      <c r="H1183"/>
      <c r="J1183" s="222"/>
      <c r="K1183" s="222"/>
      <c r="L1183"/>
      <c r="M1183"/>
      <c r="N1183"/>
      <c r="P1183" s="222">
        <v>37.296799999999998</v>
      </c>
      <c r="Q1183" s="222">
        <v>19.995999999999999</v>
      </c>
    </row>
    <row r="1184" spans="2:17" x14ac:dyDescent="0.35">
      <c r="B1184" s="222"/>
      <c r="C1184"/>
      <c r="E1184" s="222"/>
      <c r="F1184" s="222"/>
      <c r="G1184" s="222"/>
      <c r="H1184"/>
      <c r="J1184" s="222"/>
      <c r="K1184" s="222"/>
      <c r="L1184"/>
      <c r="M1184"/>
      <c r="N1184"/>
      <c r="P1184" s="222">
        <v>37.439700000000002</v>
      </c>
      <c r="Q1184" s="222">
        <v>24.1675</v>
      </c>
    </row>
    <row r="1185" spans="2:17" x14ac:dyDescent="0.35">
      <c r="B1185" s="222"/>
      <c r="C1185"/>
      <c r="E1185" s="222"/>
      <c r="F1185" s="222"/>
      <c r="G1185" s="222"/>
      <c r="H1185"/>
      <c r="J1185" s="222"/>
      <c r="K1185" s="222"/>
      <c r="L1185"/>
      <c r="M1185"/>
      <c r="N1185"/>
      <c r="P1185" s="222">
        <v>37.362499999999997</v>
      </c>
      <c r="Q1185" s="222">
        <v>20.649000000000001</v>
      </c>
    </row>
    <row r="1186" spans="2:17" x14ac:dyDescent="0.35">
      <c r="B1186" s="222"/>
      <c r="C1186"/>
      <c r="E1186" s="222"/>
      <c r="F1186" s="222"/>
      <c r="G1186" s="222"/>
      <c r="H1186"/>
      <c r="J1186" s="222"/>
      <c r="K1186" s="222"/>
      <c r="L1186"/>
      <c r="M1186"/>
      <c r="N1186"/>
      <c r="P1186" s="222">
        <v>36.270600000000002</v>
      </c>
      <c r="Q1186" s="222">
        <v>22.169599999999999</v>
      </c>
    </row>
    <row r="1187" spans="2:17" x14ac:dyDescent="0.35">
      <c r="B1187" s="222"/>
      <c r="C1187"/>
      <c r="E1187" s="222"/>
      <c r="F1187" s="222"/>
      <c r="G1187" s="222"/>
      <c r="H1187"/>
      <c r="J1187" s="222"/>
      <c r="K1187" s="222"/>
      <c r="L1187"/>
      <c r="M1187"/>
      <c r="N1187"/>
      <c r="P1187" s="222">
        <v>35.520000000000003</v>
      </c>
      <c r="Q1187" s="222">
        <v>24.054300000000001</v>
      </c>
    </row>
    <row r="1188" spans="2:17" x14ac:dyDescent="0.35">
      <c r="B1188" s="222"/>
      <c r="C1188"/>
      <c r="E1188" s="222"/>
      <c r="F1188" s="222"/>
      <c r="G1188" s="222"/>
      <c r="H1188"/>
      <c r="J1188" s="222"/>
      <c r="K1188" s="222"/>
      <c r="L1188"/>
      <c r="M1188"/>
      <c r="N1188"/>
      <c r="P1188" s="222">
        <v>36.65</v>
      </c>
      <c r="Q1188" s="222">
        <v>28.6937</v>
      </c>
    </row>
    <row r="1189" spans="2:17" x14ac:dyDescent="0.35">
      <c r="B1189" s="222"/>
      <c r="C1189"/>
      <c r="E1189" s="222"/>
      <c r="F1189" s="222"/>
      <c r="G1189" s="222"/>
      <c r="H1189"/>
      <c r="J1189" s="222"/>
      <c r="K1189" s="222"/>
      <c r="L1189"/>
      <c r="M1189"/>
      <c r="N1189"/>
      <c r="P1189" s="222">
        <v>37.208199999999998</v>
      </c>
      <c r="Q1189" s="222">
        <v>26.1326</v>
      </c>
    </row>
    <row r="1190" spans="2:17" x14ac:dyDescent="0.35">
      <c r="B1190" s="222"/>
      <c r="C1190"/>
      <c r="E1190" s="222"/>
      <c r="F1190" s="222"/>
      <c r="G1190" s="222"/>
      <c r="H1190"/>
      <c r="J1190" s="222"/>
      <c r="K1190" s="222"/>
      <c r="L1190"/>
      <c r="M1190"/>
      <c r="N1190"/>
      <c r="P1190" s="222">
        <v>36.886000000000003</v>
      </c>
      <c r="Q1190" s="222">
        <v>27.893699999999999</v>
      </c>
    </row>
    <row r="1191" spans="2:17" x14ac:dyDescent="0.35">
      <c r="B1191" s="222"/>
      <c r="C1191"/>
      <c r="E1191" s="222"/>
      <c r="F1191" s="222"/>
      <c r="G1191" s="222"/>
      <c r="H1191"/>
      <c r="J1191" s="222"/>
      <c r="K1191" s="222"/>
      <c r="L1191"/>
      <c r="M1191"/>
      <c r="N1191"/>
      <c r="P1191" s="222">
        <v>36.784599999999998</v>
      </c>
      <c r="Q1191" s="222">
        <v>27.052700000000002</v>
      </c>
    </row>
    <row r="1192" spans="2:17" x14ac:dyDescent="0.35">
      <c r="B1192" s="222"/>
      <c r="C1192"/>
      <c r="E1192" s="222"/>
      <c r="F1192" s="222"/>
      <c r="G1192" s="222"/>
      <c r="H1192"/>
      <c r="J1192" s="222"/>
      <c r="K1192" s="222"/>
      <c r="L1192"/>
      <c r="M1192"/>
      <c r="N1192"/>
      <c r="P1192" s="222">
        <v>36.396599999999999</v>
      </c>
      <c r="Q1192" s="222">
        <v>32.427599999999998</v>
      </c>
    </row>
    <row r="1193" spans="2:17" x14ac:dyDescent="0.35">
      <c r="B1193" s="222"/>
      <c r="C1193"/>
      <c r="E1193" s="222"/>
      <c r="F1193" s="222"/>
      <c r="G1193" s="222"/>
      <c r="H1193"/>
      <c r="J1193" s="222"/>
      <c r="K1193" s="222"/>
      <c r="L1193"/>
      <c r="M1193"/>
      <c r="N1193"/>
      <c r="P1193" s="222">
        <v>36.101500000000001</v>
      </c>
      <c r="Q1193" s="222">
        <v>32.574199999999998</v>
      </c>
    </row>
    <row r="1194" spans="2:17" x14ac:dyDescent="0.35">
      <c r="B1194" s="222"/>
      <c r="C1194"/>
      <c r="E1194" s="222"/>
      <c r="F1194" s="222"/>
      <c r="G1194" s="222"/>
      <c r="H1194"/>
      <c r="J1194" s="222"/>
      <c r="K1194" s="222"/>
      <c r="L1194"/>
      <c r="M1194"/>
      <c r="N1194"/>
      <c r="P1194" s="222">
        <v>37.166499999999999</v>
      </c>
      <c r="Q1194" s="222">
        <v>28.5718</v>
      </c>
    </row>
    <row r="1195" spans="2:17" x14ac:dyDescent="0.35">
      <c r="B1195" s="222"/>
      <c r="C1195"/>
      <c r="E1195" s="222"/>
      <c r="F1195" s="222"/>
      <c r="G1195" s="222"/>
      <c r="H1195"/>
      <c r="J1195" s="222"/>
      <c r="K1195" s="222"/>
      <c r="L1195"/>
      <c r="M1195"/>
      <c r="N1195"/>
      <c r="P1195" s="222">
        <v>36.678400000000003</v>
      </c>
      <c r="Q1195" s="222">
        <v>24.624199999999998</v>
      </c>
    </row>
    <row r="1196" spans="2:17" x14ac:dyDescent="0.35">
      <c r="B1196" s="222"/>
      <c r="C1196"/>
      <c r="E1196" s="222"/>
      <c r="F1196" s="222"/>
      <c r="G1196" s="222"/>
      <c r="H1196"/>
      <c r="J1196" s="222"/>
      <c r="K1196" s="222"/>
      <c r="L1196"/>
      <c r="M1196"/>
      <c r="N1196"/>
      <c r="P1196" s="222">
        <v>36.234900000000003</v>
      </c>
      <c r="Q1196" s="222">
        <v>25.2349</v>
      </c>
    </row>
    <row r="1197" spans="2:17" x14ac:dyDescent="0.35">
      <c r="B1197" s="222"/>
      <c r="C1197"/>
      <c r="E1197" s="222"/>
      <c r="F1197" s="222"/>
      <c r="G1197" s="222"/>
      <c r="H1197"/>
      <c r="J1197" s="222"/>
      <c r="K1197" s="222"/>
      <c r="L1197"/>
      <c r="M1197"/>
      <c r="N1197"/>
      <c r="P1197" s="222">
        <v>36.939599999999999</v>
      </c>
      <c r="Q1197" s="222">
        <v>30.401399999999999</v>
      </c>
    </row>
    <row r="1198" spans="2:17" x14ac:dyDescent="0.35">
      <c r="B1198" s="222"/>
      <c r="C1198"/>
      <c r="E1198" s="222"/>
      <c r="F1198" s="222"/>
      <c r="G1198" s="222"/>
      <c r="H1198"/>
      <c r="J1198" s="222"/>
      <c r="K1198" s="222"/>
      <c r="L1198"/>
      <c r="M1198"/>
      <c r="N1198"/>
      <c r="P1198" s="222">
        <v>36.862900000000003</v>
      </c>
      <c r="Q1198" s="222">
        <v>28.777899999999999</v>
      </c>
    </row>
    <row r="1199" spans="2:17" x14ac:dyDescent="0.35">
      <c r="B1199" s="222"/>
      <c r="C1199"/>
      <c r="E1199" s="222"/>
      <c r="F1199" s="222"/>
      <c r="G1199" s="222"/>
      <c r="H1199"/>
      <c r="J1199" s="222"/>
      <c r="K1199" s="222"/>
      <c r="L1199"/>
      <c r="M1199"/>
      <c r="N1199"/>
      <c r="P1199" s="222">
        <v>37.1858</v>
      </c>
      <c r="Q1199" s="222">
        <v>27.491299999999999</v>
      </c>
    </row>
    <row r="1200" spans="2:17" x14ac:dyDescent="0.35">
      <c r="B1200" s="222"/>
      <c r="C1200"/>
      <c r="E1200" s="222"/>
      <c r="F1200" s="222"/>
      <c r="G1200" s="222"/>
      <c r="H1200"/>
      <c r="J1200" s="222"/>
      <c r="K1200" s="222"/>
      <c r="L1200"/>
      <c r="M1200"/>
      <c r="N1200"/>
      <c r="P1200" s="222">
        <v>37.235799999999998</v>
      </c>
      <c r="Q1200" s="222">
        <v>31.7517</v>
      </c>
    </row>
    <row r="1201" spans="2:17" x14ac:dyDescent="0.35">
      <c r="B1201" s="222"/>
      <c r="C1201"/>
      <c r="E1201" s="222"/>
      <c r="F1201" s="222"/>
      <c r="G1201" s="222"/>
      <c r="H1201"/>
      <c r="J1201" s="222"/>
      <c r="K1201" s="222"/>
      <c r="L1201"/>
      <c r="M1201"/>
      <c r="N1201"/>
      <c r="P1201" s="222">
        <v>38.062199999999997</v>
      </c>
      <c r="Q1201" s="222">
        <v>35.2361</v>
      </c>
    </row>
    <row r="1202" spans="2:17" x14ac:dyDescent="0.35">
      <c r="B1202" s="222"/>
      <c r="C1202"/>
      <c r="E1202" s="222"/>
      <c r="F1202" s="222"/>
      <c r="G1202" s="222"/>
      <c r="H1202"/>
      <c r="J1202" s="222"/>
      <c r="K1202" s="222"/>
      <c r="L1202"/>
      <c r="M1202"/>
      <c r="N1202"/>
      <c r="P1202" s="222">
        <v>38.588900000000002</v>
      </c>
      <c r="Q1202" s="222">
        <v>30.4011</v>
      </c>
    </row>
    <row r="1203" spans="2:17" x14ac:dyDescent="0.35">
      <c r="B1203" s="222"/>
      <c r="C1203"/>
      <c r="E1203" s="222"/>
      <c r="F1203" s="222"/>
      <c r="G1203" s="222"/>
      <c r="H1203"/>
      <c r="J1203" s="222"/>
      <c r="K1203" s="222"/>
      <c r="L1203"/>
      <c r="M1203"/>
      <c r="N1203"/>
      <c r="P1203" s="222">
        <v>39.560699999999997</v>
      </c>
      <c r="Q1203" s="222">
        <v>30.991399999999999</v>
      </c>
    </row>
    <row r="1204" spans="2:17" x14ac:dyDescent="0.35">
      <c r="B1204" s="222"/>
      <c r="C1204"/>
      <c r="E1204" s="222"/>
      <c r="F1204" s="222"/>
      <c r="G1204" s="222"/>
      <c r="H1204"/>
      <c r="J1204" s="222"/>
      <c r="K1204" s="222"/>
      <c r="L1204"/>
      <c r="M1204"/>
      <c r="N1204"/>
      <c r="P1204" s="222">
        <v>39.434800000000003</v>
      </c>
      <c r="Q1204" s="222">
        <v>34.47</v>
      </c>
    </row>
    <row r="1205" spans="2:17" x14ac:dyDescent="0.35">
      <c r="B1205" s="222"/>
      <c r="C1205"/>
      <c r="E1205" s="222"/>
      <c r="F1205" s="222"/>
      <c r="G1205" s="222"/>
      <c r="H1205"/>
      <c r="J1205" s="222"/>
      <c r="K1205" s="222"/>
      <c r="L1205"/>
      <c r="M1205"/>
      <c r="N1205"/>
      <c r="P1205" s="222">
        <v>37.9099</v>
      </c>
      <c r="Q1205" s="222">
        <v>32.822899999999997</v>
      </c>
    </row>
    <row r="1206" spans="2:17" x14ac:dyDescent="0.35">
      <c r="B1206" s="222"/>
      <c r="C1206"/>
      <c r="E1206" s="222"/>
      <c r="F1206" s="222"/>
      <c r="G1206" s="222"/>
      <c r="H1206"/>
      <c r="J1206" s="222"/>
      <c r="K1206" s="222"/>
      <c r="L1206"/>
      <c r="M1206"/>
      <c r="N1206"/>
      <c r="P1206" s="222">
        <v>38.173499999999997</v>
      </c>
      <c r="Q1206" s="222">
        <v>27.7883</v>
      </c>
    </row>
    <row r="1207" spans="2:17" x14ac:dyDescent="0.35">
      <c r="B1207" s="222"/>
      <c r="C1207"/>
      <c r="E1207" s="222"/>
      <c r="F1207" s="222"/>
      <c r="G1207" s="222"/>
      <c r="H1207"/>
      <c r="J1207" s="222"/>
      <c r="K1207" s="222"/>
      <c r="L1207"/>
      <c r="M1207"/>
      <c r="N1207"/>
      <c r="P1207" s="222">
        <v>37.711300000000001</v>
      </c>
      <c r="Q1207" s="222">
        <v>28.002099999999999</v>
      </c>
    </row>
    <row r="1208" spans="2:17" x14ac:dyDescent="0.35">
      <c r="B1208" s="222"/>
      <c r="C1208"/>
      <c r="E1208" s="222"/>
      <c r="F1208" s="222"/>
      <c r="G1208" s="222"/>
      <c r="H1208"/>
      <c r="J1208" s="222"/>
      <c r="K1208" s="222"/>
      <c r="L1208"/>
      <c r="M1208"/>
      <c r="N1208"/>
      <c r="P1208" s="222">
        <v>38.858400000000003</v>
      </c>
      <c r="Q1208" s="222">
        <v>30.529499999999999</v>
      </c>
    </row>
    <row r="1209" spans="2:17" x14ac:dyDescent="0.35">
      <c r="B1209" s="222"/>
      <c r="C1209"/>
      <c r="E1209" s="222"/>
      <c r="F1209" s="222"/>
      <c r="G1209" s="222"/>
      <c r="H1209"/>
      <c r="J1209" s="222"/>
      <c r="K1209" s="222"/>
      <c r="L1209"/>
      <c r="M1209"/>
      <c r="N1209"/>
      <c r="P1209" s="222">
        <v>39.635300000000001</v>
      </c>
      <c r="Q1209" s="222">
        <v>28.439</v>
      </c>
    </row>
    <row r="1210" spans="2:17" x14ac:dyDescent="0.35">
      <c r="B1210" s="222"/>
      <c r="C1210"/>
      <c r="E1210" s="222"/>
      <c r="F1210" s="222"/>
      <c r="G1210" s="222"/>
      <c r="H1210"/>
      <c r="J1210" s="222"/>
      <c r="K1210" s="222"/>
      <c r="L1210"/>
      <c r="M1210"/>
      <c r="N1210"/>
      <c r="P1210" s="222">
        <v>38.492199999999997</v>
      </c>
      <c r="Q1210" s="222">
        <v>33.754800000000003</v>
      </c>
    </row>
  </sheetData>
  <sortState xmlns:xlrd2="http://schemas.microsoft.com/office/spreadsheetml/2017/richdata2" ref="O1:Q859">
    <sortCondition descending="1" ref="O1"/>
  </sortState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R35"/>
  <sheetViews>
    <sheetView workbookViewId="0">
      <selection activeCell="G1" sqref="G1:N2"/>
    </sheetView>
  </sheetViews>
  <sheetFormatPr defaultRowHeight="14.15" x14ac:dyDescent="0.35"/>
  <sheetData>
    <row r="1" spans="1:70" s="26" customFormat="1" ht="13.5" customHeight="1" x14ac:dyDescent="0.3">
      <c r="A1" s="10" t="s">
        <v>663</v>
      </c>
      <c r="B1" s="11" t="s">
        <v>664</v>
      </c>
      <c r="C1" s="12" t="s">
        <v>665</v>
      </c>
      <c r="D1" s="13" t="s">
        <v>666</v>
      </c>
      <c r="E1" s="14" t="s">
        <v>667</v>
      </c>
      <c r="F1" s="15" t="s">
        <v>668</v>
      </c>
      <c r="G1" s="16" t="s">
        <v>669</v>
      </c>
      <c r="H1" s="17" t="s">
        <v>670</v>
      </c>
      <c r="I1" s="18" t="s">
        <v>671</v>
      </c>
      <c r="J1" s="19" t="s">
        <v>672</v>
      </c>
      <c r="K1" s="20" t="s">
        <v>673</v>
      </c>
      <c r="L1" s="20" t="s">
        <v>674</v>
      </c>
      <c r="M1" s="20" t="s">
        <v>675</v>
      </c>
      <c r="N1" s="21" t="s">
        <v>676</v>
      </c>
      <c r="O1" s="21"/>
      <c r="P1" s="22" t="s">
        <v>677</v>
      </c>
      <c r="Q1" s="23"/>
      <c r="R1" s="24"/>
      <c r="S1" s="24"/>
      <c r="T1" s="24"/>
      <c r="U1" s="24"/>
      <c r="V1" s="24"/>
      <c r="W1" s="24"/>
      <c r="X1" s="24"/>
      <c r="Y1" s="25"/>
      <c r="AH1" s="27"/>
      <c r="AI1" s="28"/>
      <c r="AL1" s="29"/>
      <c r="AO1" s="27"/>
      <c r="AP1" s="28"/>
      <c r="BA1" s="27"/>
      <c r="BB1" s="28"/>
      <c r="BF1" s="27"/>
      <c r="BM1" s="30"/>
    </row>
    <row r="2" spans="1:70" s="26" customFormat="1" ht="12.75" customHeight="1" thickBot="1" x14ac:dyDescent="0.35">
      <c r="A2" s="31">
        <v>44199</v>
      </c>
      <c r="B2" s="32">
        <v>43451</v>
      </c>
      <c r="C2" s="32">
        <v>44196</v>
      </c>
      <c r="D2" s="32">
        <v>44196</v>
      </c>
      <c r="E2" s="32">
        <v>44199</v>
      </c>
      <c r="F2" s="33">
        <v>2.35</v>
      </c>
      <c r="G2" s="34" t="s">
        <v>678</v>
      </c>
      <c r="H2" s="35" t="s">
        <v>806</v>
      </c>
      <c r="I2" s="18">
        <v>0</v>
      </c>
      <c r="J2" s="36">
        <v>0</v>
      </c>
      <c r="K2" s="36">
        <v>1.7167202228339637</v>
      </c>
      <c r="L2" s="36">
        <v>2.2657455730187976</v>
      </c>
      <c r="M2" s="36">
        <v>1.908164335857486</v>
      </c>
      <c r="N2" s="36">
        <v>-0.17826219822756154</v>
      </c>
      <c r="O2" s="21"/>
      <c r="P2" s="37" t="e">
        <v>#DIV/0!</v>
      </c>
      <c r="Q2" s="37" t="e">
        <v>#DIV/0!</v>
      </c>
      <c r="R2" s="37" t="e">
        <v>#DIV/0!</v>
      </c>
      <c r="S2" s="37" t="e">
        <v>#DIV/0!</v>
      </c>
      <c r="T2" s="37" t="e">
        <v>#DIV/0!</v>
      </c>
      <c r="U2" s="38" t="e">
        <v>#DIV/0!</v>
      </c>
      <c r="V2" s="38" t="e">
        <v>#DIV/0!</v>
      </c>
      <c r="W2" s="37" t="e">
        <v>#DIV/0!</v>
      </c>
      <c r="X2" s="39" t="e">
        <v>#DIV/0!</v>
      </c>
      <c r="Y2" s="37" t="e">
        <v>#DIV/0!</v>
      </c>
      <c r="Z2" s="37" t="e">
        <v>#DIV/0!</v>
      </c>
      <c r="AA2" s="37" t="e">
        <v>#DIV/0!</v>
      </c>
      <c r="AB2" s="37" t="e">
        <v>#DIV/0!</v>
      </c>
      <c r="AC2" s="37" t="e">
        <v>#DIV/0!</v>
      </c>
      <c r="AD2" s="40" t="e">
        <v>#DIV/0!</v>
      </c>
      <c r="AE2" s="40" t="e">
        <v>#DIV/0!</v>
      </c>
      <c r="AF2" s="37" t="e">
        <v>#DIV/0!</v>
      </c>
      <c r="AG2" s="37" t="e">
        <v>#DIV/0!</v>
      </c>
      <c r="AH2" s="37" t="e">
        <v>#DIV/0!</v>
      </c>
      <c r="AI2" s="28"/>
      <c r="AL2" s="29"/>
      <c r="AO2" s="27"/>
      <c r="AX2" s="27"/>
      <c r="AY2" s="28"/>
      <c r="BM2" s="30"/>
    </row>
    <row r="3" spans="1:70" s="42" customFormat="1" ht="15.45" thickBot="1" x14ac:dyDescent="0.35">
      <c r="A3" s="41"/>
      <c r="B3" s="521" t="s">
        <v>679</v>
      </c>
      <c r="C3" s="522"/>
      <c r="D3" s="522" t="s">
        <v>680</v>
      </c>
      <c r="E3" s="522"/>
      <c r="F3" s="522"/>
      <c r="G3" s="522"/>
      <c r="H3" s="522"/>
      <c r="I3" s="522"/>
      <c r="J3" s="522"/>
      <c r="K3" s="522"/>
      <c r="L3" s="522"/>
      <c r="M3" s="523"/>
      <c r="Y3" s="518"/>
      <c r="Z3" s="519"/>
      <c r="AA3" s="519"/>
      <c r="AB3" s="519"/>
      <c r="AC3" s="519"/>
      <c r="AD3" s="519"/>
      <c r="AE3" s="519"/>
      <c r="AF3" s="519"/>
      <c r="AG3" s="519"/>
      <c r="AH3" s="520"/>
      <c r="AI3" s="515" t="s">
        <v>683</v>
      </c>
      <c r="AJ3" s="516"/>
      <c r="AK3" s="516"/>
      <c r="AL3" s="516"/>
      <c r="AM3" s="516"/>
      <c r="AN3" s="516"/>
      <c r="AO3" s="516"/>
      <c r="AP3" s="516"/>
      <c r="AQ3" s="516"/>
      <c r="AR3" s="516"/>
      <c r="AS3" s="516"/>
      <c r="AT3" s="516"/>
      <c r="AU3" s="516"/>
      <c r="AV3" s="516"/>
      <c r="AW3" s="516"/>
      <c r="AX3" s="516"/>
      <c r="AY3" s="516"/>
      <c r="AZ3" s="516"/>
      <c r="BA3" s="516"/>
      <c r="BB3" s="516"/>
      <c r="BC3" s="516"/>
      <c r="BD3" s="516"/>
      <c r="BE3" s="516"/>
      <c r="BF3" s="516"/>
      <c r="BG3" s="516"/>
      <c r="BH3" s="516"/>
      <c r="BI3" s="516"/>
      <c r="BJ3" s="516"/>
      <c r="BK3" s="516"/>
      <c r="BM3" s="43"/>
    </row>
    <row r="4" spans="1:70" s="45" customFormat="1" ht="11.25" customHeight="1" x14ac:dyDescent="0.25">
      <c r="A4" s="73"/>
      <c r="B4" s="74" t="s">
        <v>684</v>
      </c>
      <c r="C4" s="74" t="s">
        <v>685</v>
      </c>
      <c r="D4" s="75" t="s">
        <v>686</v>
      </c>
      <c r="E4" s="76" t="s">
        <v>687</v>
      </c>
      <c r="F4" s="77" t="s">
        <v>688</v>
      </c>
      <c r="G4" s="76" t="s">
        <v>689</v>
      </c>
      <c r="H4" s="76" t="s">
        <v>689</v>
      </c>
      <c r="I4" s="76" t="s">
        <v>690</v>
      </c>
      <c r="J4" s="76" t="s">
        <v>690</v>
      </c>
      <c r="K4" s="76" t="s">
        <v>691</v>
      </c>
      <c r="L4" s="78" t="s">
        <v>692</v>
      </c>
      <c r="M4" s="79" t="s">
        <v>693</v>
      </c>
      <c r="Y4" s="51"/>
      <c r="Z4" s="48"/>
      <c r="AA4" s="48"/>
      <c r="AB4" s="48"/>
      <c r="AC4" s="48"/>
      <c r="AD4" s="48"/>
      <c r="AE4" s="48"/>
      <c r="AF4" s="48"/>
      <c r="AG4" s="48"/>
      <c r="AH4" s="49"/>
      <c r="AI4" s="51" t="s">
        <v>712</v>
      </c>
      <c r="AJ4" s="48" t="s">
        <v>713</v>
      </c>
      <c r="AK4" s="48" t="s">
        <v>714</v>
      </c>
      <c r="AL4" s="52" t="s">
        <v>715</v>
      </c>
      <c r="AM4" s="52" t="s">
        <v>716</v>
      </c>
      <c r="AN4" s="44" t="s">
        <v>717</v>
      </c>
      <c r="AO4" s="53" t="s">
        <v>718</v>
      </c>
      <c r="AP4" s="54" t="s">
        <v>719</v>
      </c>
      <c r="AQ4" s="47" t="s">
        <v>720</v>
      </c>
      <c r="AR4" s="45" t="s">
        <v>721</v>
      </c>
      <c r="AS4" s="48" t="s">
        <v>722</v>
      </c>
      <c r="AT4" s="48" t="s">
        <v>723</v>
      </c>
      <c r="AU4" s="48" t="s">
        <v>724</v>
      </c>
      <c r="AV4" s="48" t="s">
        <v>725</v>
      </c>
      <c r="AW4" s="48" t="s">
        <v>726</v>
      </c>
      <c r="AX4" s="517" t="s">
        <v>727</v>
      </c>
      <c r="AY4" s="517"/>
      <c r="AZ4" s="517"/>
      <c r="BA4" s="517"/>
      <c r="BB4" s="517"/>
      <c r="BC4" s="44"/>
      <c r="BD4" s="48" t="s">
        <v>728</v>
      </c>
      <c r="BE4" s="55" t="s">
        <v>729</v>
      </c>
      <c r="BF4" s="55" t="s">
        <v>730</v>
      </c>
      <c r="BG4" s="55" t="s">
        <v>731</v>
      </c>
      <c r="BH4" s="55" t="s">
        <v>732</v>
      </c>
      <c r="BI4" s="45" t="s">
        <v>733</v>
      </c>
      <c r="BJ4" s="45" t="s">
        <v>734</v>
      </c>
      <c r="BK4" s="45" t="s">
        <v>735</v>
      </c>
      <c r="BL4" s="45" t="s">
        <v>736</v>
      </c>
      <c r="BM4" s="45" t="s">
        <v>737</v>
      </c>
      <c r="BP4" s="45" t="s">
        <v>738</v>
      </c>
    </row>
    <row r="5" spans="1:70" s="66" customFormat="1" ht="11.25" customHeight="1" thickBot="1" x14ac:dyDescent="0.3">
      <c r="A5" s="80"/>
      <c r="B5" s="81"/>
      <c r="C5" s="82"/>
      <c r="D5" s="83"/>
      <c r="E5" s="84"/>
      <c r="F5" s="85"/>
      <c r="G5" s="84" t="s">
        <v>739</v>
      </c>
      <c r="H5" s="84" t="s">
        <v>740</v>
      </c>
      <c r="I5" s="84" t="s">
        <v>739</v>
      </c>
      <c r="J5" s="84" t="s">
        <v>740</v>
      </c>
      <c r="K5" s="84"/>
      <c r="L5" s="86" t="s">
        <v>741</v>
      </c>
      <c r="M5" s="87" t="s">
        <v>741</v>
      </c>
      <c r="Y5" s="62"/>
      <c r="Z5" s="63"/>
      <c r="AA5" s="63"/>
      <c r="AB5" s="63"/>
      <c r="AC5" s="63"/>
      <c r="AD5" s="63"/>
      <c r="AE5" s="63"/>
      <c r="AF5" s="63"/>
      <c r="AG5" s="63"/>
      <c r="AH5" s="61"/>
      <c r="AI5" s="62" t="s">
        <v>749</v>
      </c>
      <c r="AJ5" s="63" t="s">
        <v>749</v>
      </c>
      <c r="AK5" s="63" t="s">
        <v>749</v>
      </c>
      <c r="AL5" s="64"/>
      <c r="AM5" s="57" t="s">
        <v>750</v>
      </c>
      <c r="AN5" s="56" t="s">
        <v>750</v>
      </c>
      <c r="AO5" s="56" t="s">
        <v>750</v>
      </c>
      <c r="AP5" s="65" t="s">
        <v>751</v>
      </c>
      <c r="AQ5" s="59" t="s">
        <v>752</v>
      </c>
      <c r="AS5" s="63" t="s">
        <v>753</v>
      </c>
      <c r="AT5" s="63" t="s">
        <v>754</v>
      </c>
      <c r="AU5" s="63"/>
      <c r="AV5" s="63" t="s">
        <v>755</v>
      </c>
      <c r="AW5" s="63"/>
      <c r="AX5" s="56">
        <v>1</v>
      </c>
      <c r="AY5" s="56">
        <v>2</v>
      </c>
      <c r="AZ5" s="56">
        <v>3</v>
      </c>
      <c r="BA5" s="56">
        <v>4</v>
      </c>
      <c r="BB5" s="56">
        <v>5</v>
      </c>
      <c r="BC5" s="56">
        <v>6</v>
      </c>
      <c r="BD5" s="56" t="s">
        <v>756</v>
      </c>
      <c r="BE5" s="67"/>
      <c r="BF5" s="67"/>
      <c r="BG5" s="67"/>
      <c r="BH5" s="67"/>
    </row>
    <row r="6" spans="1:70" s="45" customFormat="1" ht="11.25" customHeight="1" x14ac:dyDescent="0.25">
      <c r="A6" s="73"/>
      <c r="B6" s="74" t="s">
        <v>757</v>
      </c>
      <c r="C6" s="74" t="s">
        <v>758</v>
      </c>
      <c r="D6" s="75" t="s">
        <v>759</v>
      </c>
      <c r="E6" s="88" t="s">
        <v>760</v>
      </c>
      <c r="F6" s="77" t="s">
        <v>761</v>
      </c>
      <c r="G6" s="88" t="s">
        <v>762</v>
      </c>
      <c r="H6" s="77" t="s">
        <v>763</v>
      </c>
      <c r="I6" s="76" t="s">
        <v>762</v>
      </c>
      <c r="J6" s="76" t="s">
        <v>763</v>
      </c>
      <c r="K6" s="76" t="s">
        <v>764</v>
      </c>
      <c r="L6" s="78" t="s">
        <v>765</v>
      </c>
      <c r="M6" s="79" t="s">
        <v>766</v>
      </c>
      <c r="Y6" s="51"/>
      <c r="Z6" s="48"/>
      <c r="AA6" s="48"/>
      <c r="AB6" s="48"/>
      <c r="AC6" s="48"/>
      <c r="AD6" s="48"/>
      <c r="AE6" s="48"/>
      <c r="AF6" s="48"/>
      <c r="AG6" s="48"/>
      <c r="AH6" s="49"/>
      <c r="AI6" s="51" t="s">
        <v>712</v>
      </c>
      <c r="AJ6" s="48" t="s">
        <v>713</v>
      </c>
      <c r="AK6" s="48" t="s">
        <v>714</v>
      </c>
      <c r="AL6" s="68" t="s">
        <v>775</v>
      </c>
      <c r="AM6" s="52" t="s">
        <v>776</v>
      </c>
      <c r="AN6" s="44" t="s">
        <v>777</v>
      </c>
      <c r="AO6" s="53" t="s">
        <v>729</v>
      </c>
      <c r="AP6" s="54" t="s">
        <v>719</v>
      </c>
      <c r="AQ6" s="47" t="s">
        <v>720</v>
      </c>
      <c r="AR6" s="45" t="s">
        <v>721</v>
      </c>
      <c r="AS6" s="48" t="s">
        <v>778</v>
      </c>
      <c r="AT6" s="48" t="s">
        <v>779</v>
      </c>
      <c r="AU6" s="48" t="s">
        <v>724</v>
      </c>
      <c r="AV6" s="48" t="s">
        <v>725</v>
      </c>
      <c r="AW6" s="48" t="s">
        <v>780</v>
      </c>
      <c r="AX6" s="517" t="s">
        <v>727</v>
      </c>
      <c r="AY6" s="517"/>
      <c r="AZ6" s="517"/>
      <c r="BA6" s="517"/>
      <c r="BB6" s="517"/>
      <c r="BC6" s="44"/>
      <c r="BD6" s="48" t="s">
        <v>781</v>
      </c>
      <c r="BE6" s="55" t="s">
        <v>729</v>
      </c>
      <c r="BF6" s="55" t="s">
        <v>730</v>
      </c>
      <c r="BG6" s="55" t="s">
        <v>731</v>
      </c>
      <c r="BH6" s="55" t="s">
        <v>782</v>
      </c>
      <c r="BI6" s="45" t="s">
        <v>783</v>
      </c>
      <c r="BJ6" s="45" t="s">
        <v>784</v>
      </c>
      <c r="BK6" s="45" t="s">
        <v>785</v>
      </c>
      <c r="BL6" s="45" t="s">
        <v>786</v>
      </c>
      <c r="BM6" s="45" t="s">
        <v>787</v>
      </c>
      <c r="BN6" s="69" t="s">
        <v>788</v>
      </c>
      <c r="BO6" s="45" t="s">
        <v>789</v>
      </c>
      <c r="BP6" s="45" t="s">
        <v>790</v>
      </c>
      <c r="BQ6" s="45" t="s">
        <v>791</v>
      </c>
      <c r="BR6" s="70" t="s">
        <v>792</v>
      </c>
    </row>
    <row r="7" spans="1:70" s="66" customFormat="1" ht="11.25" customHeight="1" thickBot="1" x14ac:dyDescent="0.3">
      <c r="A7" s="80"/>
      <c r="B7" s="81"/>
      <c r="C7" s="82"/>
      <c r="D7" s="83"/>
      <c r="E7" s="89" t="s">
        <v>793</v>
      </c>
      <c r="F7" s="85"/>
      <c r="G7" s="89" t="s">
        <v>794</v>
      </c>
      <c r="H7" s="85" t="s">
        <v>795</v>
      </c>
      <c r="I7" s="84" t="s">
        <v>796</v>
      </c>
      <c r="J7" s="84" t="s">
        <v>796</v>
      </c>
      <c r="K7" s="89" t="s">
        <v>797</v>
      </c>
      <c r="L7" s="86" t="s">
        <v>741</v>
      </c>
      <c r="M7" s="87" t="s">
        <v>741</v>
      </c>
      <c r="Y7" s="62"/>
      <c r="Z7" s="63"/>
      <c r="AA7" s="63"/>
      <c r="AB7" s="63"/>
      <c r="AC7" s="63"/>
      <c r="AD7" s="63"/>
      <c r="AE7" s="63"/>
      <c r="AF7" s="63"/>
      <c r="AG7" s="63"/>
      <c r="AH7" s="61"/>
      <c r="AI7" s="62" t="s">
        <v>749</v>
      </c>
      <c r="AJ7" s="63" t="s">
        <v>749</v>
      </c>
      <c r="AK7" s="63" t="s">
        <v>749</v>
      </c>
      <c r="AL7" s="64"/>
      <c r="AM7" s="57"/>
      <c r="AN7" s="56"/>
      <c r="AO7" s="56"/>
      <c r="AP7" s="65"/>
      <c r="AQ7" s="59"/>
      <c r="AS7" s="63" t="s">
        <v>802</v>
      </c>
      <c r="AT7" s="63" t="s">
        <v>802</v>
      </c>
      <c r="AU7" s="63"/>
      <c r="AV7" s="63" t="s">
        <v>755</v>
      </c>
      <c r="AW7" s="63"/>
      <c r="AX7" s="56">
        <v>1</v>
      </c>
      <c r="AY7" s="56">
        <v>2</v>
      </c>
      <c r="AZ7" s="56">
        <v>3</v>
      </c>
      <c r="BA7" s="56">
        <v>4</v>
      </c>
      <c r="BB7" s="56">
        <v>5</v>
      </c>
      <c r="BC7" s="56">
        <v>6</v>
      </c>
      <c r="BD7" s="56" t="s">
        <v>803</v>
      </c>
      <c r="BE7" s="71"/>
      <c r="BF7" s="71"/>
      <c r="BG7" s="71"/>
      <c r="BH7" s="71"/>
      <c r="BP7" s="72" t="s">
        <v>804</v>
      </c>
      <c r="BQ7" s="72" t="s">
        <v>805</v>
      </c>
    </row>
    <row r="9" spans="1:70" ht="14.6" thickBot="1" x14ac:dyDescent="0.4"/>
    <row r="10" spans="1:70" ht="14.6" thickBot="1" x14ac:dyDescent="0.35">
      <c r="A10" s="524" t="s">
        <v>681</v>
      </c>
      <c r="B10" s="525"/>
      <c r="C10" s="525"/>
      <c r="D10" s="525"/>
      <c r="E10" s="525"/>
      <c r="F10" s="525"/>
      <c r="G10" s="525"/>
      <c r="H10" s="525"/>
      <c r="I10" s="525"/>
      <c r="J10" s="525"/>
      <c r="K10" s="526"/>
    </row>
    <row r="11" spans="1:70" x14ac:dyDescent="0.25">
      <c r="A11" s="48" t="s">
        <v>694</v>
      </c>
      <c r="B11" s="50" t="s">
        <v>695</v>
      </c>
      <c r="C11" s="50" t="s">
        <v>696</v>
      </c>
      <c r="D11" s="50" t="s">
        <v>697</v>
      </c>
      <c r="E11" s="50" t="s">
        <v>698</v>
      </c>
      <c r="F11" s="50" t="s">
        <v>699</v>
      </c>
      <c r="G11" s="50" t="s">
        <v>700</v>
      </c>
      <c r="H11" s="50" t="s">
        <v>701</v>
      </c>
      <c r="I11" s="50" t="s">
        <v>701</v>
      </c>
      <c r="J11" s="46" t="s">
        <v>702</v>
      </c>
      <c r="K11" s="49" t="s">
        <v>703</v>
      </c>
    </row>
    <row r="12" spans="1:70" ht="14.6" thickBot="1" x14ac:dyDescent="0.3">
      <c r="A12" s="86"/>
      <c r="B12" s="86"/>
      <c r="C12" s="86"/>
      <c r="D12" s="86" t="s">
        <v>742</v>
      </c>
      <c r="E12" s="86" t="s">
        <v>741</v>
      </c>
      <c r="F12" s="86" t="s">
        <v>741</v>
      </c>
      <c r="G12" s="86"/>
      <c r="H12" s="86" t="s">
        <v>741</v>
      </c>
      <c r="I12" s="60" t="s">
        <v>743</v>
      </c>
      <c r="J12" s="58" t="s">
        <v>744</v>
      </c>
      <c r="K12" s="61"/>
    </row>
    <row r="13" spans="1:70" x14ac:dyDescent="0.25">
      <c r="A13" s="78" t="s">
        <v>767</v>
      </c>
      <c r="B13" s="90" t="s">
        <v>768</v>
      </c>
      <c r="C13" s="90" t="s">
        <v>769</v>
      </c>
      <c r="D13" s="90" t="s">
        <v>731</v>
      </c>
      <c r="E13" s="90" t="s">
        <v>770</v>
      </c>
      <c r="F13" s="90" t="s">
        <v>771</v>
      </c>
      <c r="G13" s="90" t="s">
        <v>772</v>
      </c>
      <c r="H13" s="90" t="s">
        <v>701</v>
      </c>
      <c r="I13" s="50" t="s">
        <v>701</v>
      </c>
      <c r="J13" s="46" t="s">
        <v>773</v>
      </c>
      <c r="K13" s="49" t="s">
        <v>774</v>
      </c>
    </row>
    <row r="14" spans="1:70" ht="14.6" thickBot="1" x14ac:dyDescent="0.3">
      <c r="A14" s="86"/>
      <c r="B14" s="86"/>
      <c r="C14" s="86"/>
      <c r="D14" s="86" t="s">
        <v>798</v>
      </c>
      <c r="E14" s="86" t="s">
        <v>741</v>
      </c>
      <c r="F14" s="86" t="s">
        <v>741</v>
      </c>
      <c r="G14" s="86"/>
      <c r="H14" s="86" t="s">
        <v>741</v>
      </c>
      <c r="I14" s="60" t="s">
        <v>743</v>
      </c>
      <c r="J14" s="58" t="s">
        <v>744</v>
      </c>
      <c r="K14" s="61" t="s">
        <v>799</v>
      </c>
    </row>
    <row r="16" spans="1:70" ht="14.6" thickBot="1" x14ac:dyDescent="0.4"/>
    <row r="17" spans="1:29" ht="14.6" thickBot="1" x14ac:dyDescent="0.4">
      <c r="A17" s="518" t="s">
        <v>682</v>
      </c>
      <c r="B17" s="519"/>
      <c r="C17" s="519"/>
      <c r="D17" s="519"/>
      <c r="E17" s="519"/>
      <c r="F17" s="519"/>
      <c r="G17" s="519"/>
      <c r="H17" s="519"/>
      <c r="I17" s="519"/>
      <c r="J17" s="520"/>
    </row>
    <row r="18" spans="1:29" x14ac:dyDescent="0.25">
      <c r="A18" s="51" t="s">
        <v>704</v>
      </c>
      <c r="B18" s="48" t="s">
        <v>704</v>
      </c>
      <c r="C18" s="48" t="s">
        <v>705</v>
      </c>
      <c r="D18" s="48" t="s">
        <v>705</v>
      </c>
      <c r="E18" s="48" t="s">
        <v>706</v>
      </c>
      <c r="F18" s="48" t="s">
        <v>707</v>
      </c>
      <c r="G18" s="48" t="s">
        <v>708</v>
      </c>
      <c r="H18" s="48" t="s">
        <v>709</v>
      </c>
      <c r="I18" s="48" t="s">
        <v>710</v>
      </c>
      <c r="J18" s="49" t="s">
        <v>711</v>
      </c>
    </row>
    <row r="19" spans="1:29" ht="14.6" thickBot="1" x14ac:dyDescent="0.3">
      <c r="A19" s="62" t="s">
        <v>745</v>
      </c>
      <c r="B19" s="63" t="s">
        <v>746</v>
      </c>
      <c r="C19" s="63" t="s">
        <v>747</v>
      </c>
      <c r="D19" s="63" t="s">
        <v>748</v>
      </c>
      <c r="E19" s="63"/>
      <c r="F19" s="63"/>
      <c r="G19" s="63"/>
      <c r="H19" s="63"/>
      <c r="I19" s="63"/>
      <c r="J19" s="61"/>
    </row>
    <row r="20" spans="1:29" x14ac:dyDescent="0.25">
      <c r="A20" s="51" t="s">
        <v>704</v>
      </c>
      <c r="B20" s="48" t="s">
        <v>704</v>
      </c>
      <c r="C20" s="48" t="s">
        <v>705</v>
      </c>
      <c r="D20" s="48" t="s">
        <v>705</v>
      </c>
      <c r="E20" s="48" t="s">
        <v>706</v>
      </c>
      <c r="F20" s="48" t="s">
        <v>707</v>
      </c>
      <c r="G20" s="48" t="s">
        <v>708</v>
      </c>
      <c r="H20" s="48" t="s">
        <v>709</v>
      </c>
      <c r="I20" s="48" t="s">
        <v>710</v>
      </c>
      <c r="J20" s="49" t="s">
        <v>711</v>
      </c>
    </row>
    <row r="21" spans="1:29" ht="14.6" thickBot="1" x14ac:dyDescent="0.3">
      <c r="A21" s="62" t="s">
        <v>800</v>
      </c>
      <c r="B21" s="63" t="s">
        <v>801</v>
      </c>
      <c r="C21" s="63" t="s">
        <v>747</v>
      </c>
      <c r="D21" s="63" t="s">
        <v>748</v>
      </c>
      <c r="E21" s="63"/>
      <c r="F21" s="63"/>
      <c r="G21" s="63"/>
      <c r="H21" s="63"/>
      <c r="I21" s="63"/>
      <c r="J21" s="61"/>
    </row>
    <row r="23" spans="1:29" ht="14.6" thickBot="1" x14ac:dyDescent="0.4"/>
    <row r="24" spans="1:29" ht="14.6" thickBot="1" x14ac:dyDescent="0.4">
      <c r="A24" s="515" t="s">
        <v>683</v>
      </c>
      <c r="B24" s="516"/>
      <c r="C24" s="516"/>
      <c r="D24" s="516"/>
      <c r="E24" s="516"/>
      <c r="F24" s="516"/>
      <c r="G24" s="516"/>
      <c r="H24" s="516"/>
      <c r="I24" s="516"/>
      <c r="J24" s="516"/>
      <c r="K24" s="516"/>
      <c r="L24" s="516"/>
      <c r="M24" s="516"/>
      <c r="N24" s="516"/>
      <c r="O24" s="516"/>
      <c r="P24" s="516"/>
      <c r="Q24" s="516"/>
      <c r="R24" s="516"/>
      <c r="S24" s="516"/>
      <c r="T24" s="516"/>
      <c r="U24" s="516"/>
      <c r="V24" s="516"/>
      <c r="W24" s="516"/>
      <c r="X24" s="516"/>
      <c r="Y24" s="516"/>
      <c r="Z24" s="516"/>
      <c r="AA24" s="516"/>
      <c r="AB24" s="516"/>
      <c r="AC24" s="516"/>
    </row>
    <row r="25" spans="1:29" x14ac:dyDescent="0.25">
      <c r="A25" s="51" t="s">
        <v>712</v>
      </c>
      <c r="B25" s="48" t="s">
        <v>713</v>
      </c>
      <c r="C25" s="48" t="s">
        <v>714</v>
      </c>
      <c r="D25" s="52" t="s">
        <v>715</v>
      </c>
      <c r="E25" s="52" t="s">
        <v>716</v>
      </c>
      <c r="F25" s="44" t="s">
        <v>717</v>
      </c>
      <c r="G25" s="53" t="s">
        <v>718</v>
      </c>
      <c r="H25" s="54" t="s">
        <v>719</v>
      </c>
      <c r="I25" s="47" t="s">
        <v>720</v>
      </c>
      <c r="J25" s="45" t="s">
        <v>721</v>
      </c>
      <c r="K25" s="48" t="s">
        <v>722</v>
      </c>
      <c r="L25" s="48" t="s">
        <v>723</v>
      </c>
      <c r="M25" s="48" t="s">
        <v>724</v>
      </c>
      <c r="N25" s="48" t="s">
        <v>725</v>
      </c>
      <c r="O25" s="48" t="s">
        <v>726</v>
      </c>
      <c r="P25" s="517" t="s">
        <v>727</v>
      </c>
      <c r="Q25" s="517"/>
      <c r="R25" s="517"/>
      <c r="S25" s="517"/>
      <c r="T25" s="517"/>
      <c r="U25" s="44"/>
      <c r="V25" s="48" t="s">
        <v>728</v>
      </c>
      <c r="W25" s="55" t="s">
        <v>729</v>
      </c>
      <c r="X25" s="55" t="s">
        <v>730</v>
      </c>
      <c r="Y25" s="55" t="s">
        <v>731</v>
      </c>
      <c r="Z25" s="55" t="s">
        <v>732</v>
      </c>
      <c r="AA25" s="45" t="s">
        <v>733</v>
      </c>
      <c r="AB25" s="45" t="s">
        <v>734</v>
      </c>
      <c r="AC25" s="45" t="s">
        <v>735</v>
      </c>
    </row>
    <row r="26" spans="1:29" ht="14.6" thickBot="1" x14ac:dyDescent="0.3">
      <c r="A26" s="62" t="s">
        <v>749</v>
      </c>
      <c r="B26" s="63" t="s">
        <v>749</v>
      </c>
      <c r="C26" s="63" t="s">
        <v>749</v>
      </c>
      <c r="D26" s="64"/>
      <c r="E26" s="57" t="s">
        <v>750</v>
      </c>
      <c r="F26" s="56" t="s">
        <v>750</v>
      </c>
      <c r="G26" s="56" t="s">
        <v>750</v>
      </c>
      <c r="H26" s="65" t="s">
        <v>751</v>
      </c>
      <c r="I26" s="59" t="s">
        <v>752</v>
      </c>
      <c r="J26" s="66"/>
      <c r="K26" s="63" t="s">
        <v>753</v>
      </c>
      <c r="L26" s="63" t="s">
        <v>754</v>
      </c>
      <c r="M26" s="63"/>
      <c r="N26" s="63" t="s">
        <v>755</v>
      </c>
      <c r="O26" s="63"/>
      <c r="P26" s="56">
        <v>1</v>
      </c>
      <c r="Q26" s="56">
        <v>2</v>
      </c>
      <c r="R26" s="56">
        <v>3</v>
      </c>
      <c r="S26" s="56">
        <v>4</v>
      </c>
      <c r="T26" s="56">
        <v>5</v>
      </c>
      <c r="U26" s="56">
        <v>6</v>
      </c>
      <c r="V26" s="56" t="s">
        <v>756</v>
      </c>
      <c r="W26" s="67"/>
      <c r="X26" s="67"/>
      <c r="Y26" s="67"/>
      <c r="Z26" s="67"/>
      <c r="AA26" s="66"/>
      <c r="AB26" s="66"/>
      <c r="AC26" s="66"/>
    </row>
    <row r="27" spans="1:29" x14ac:dyDescent="0.25">
      <c r="A27" s="51" t="s">
        <v>712</v>
      </c>
      <c r="B27" s="48" t="s">
        <v>713</v>
      </c>
      <c r="C27" s="48" t="s">
        <v>714</v>
      </c>
      <c r="D27" s="68" t="s">
        <v>775</v>
      </c>
      <c r="E27" s="52" t="s">
        <v>776</v>
      </c>
      <c r="F27" s="44" t="s">
        <v>777</v>
      </c>
      <c r="G27" s="53" t="s">
        <v>729</v>
      </c>
      <c r="H27" s="54" t="s">
        <v>719</v>
      </c>
      <c r="I27" s="47" t="s">
        <v>720</v>
      </c>
      <c r="J27" s="45" t="s">
        <v>721</v>
      </c>
      <c r="K27" s="48" t="s">
        <v>778</v>
      </c>
      <c r="L27" s="48" t="s">
        <v>779</v>
      </c>
      <c r="M27" s="48" t="s">
        <v>724</v>
      </c>
      <c r="N27" s="48" t="s">
        <v>725</v>
      </c>
      <c r="O27" s="48" t="s">
        <v>780</v>
      </c>
      <c r="P27" s="517" t="s">
        <v>727</v>
      </c>
      <c r="Q27" s="517"/>
      <c r="R27" s="517"/>
      <c r="S27" s="517"/>
      <c r="T27" s="517"/>
      <c r="U27" s="44"/>
      <c r="V27" s="48" t="s">
        <v>781</v>
      </c>
      <c r="W27" s="55" t="s">
        <v>729</v>
      </c>
      <c r="X27" s="55" t="s">
        <v>730</v>
      </c>
      <c r="Y27" s="55" t="s">
        <v>731</v>
      </c>
      <c r="Z27" s="55" t="s">
        <v>782</v>
      </c>
      <c r="AA27" s="45" t="s">
        <v>783</v>
      </c>
      <c r="AB27" s="45" t="s">
        <v>784</v>
      </c>
      <c r="AC27" s="45" t="s">
        <v>785</v>
      </c>
    </row>
    <row r="28" spans="1:29" ht="14.6" thickBot="1" x14ac:dyDescent="0.3">
      <c r="A28" s="62" t="s">
        <v>749</v>
      </c>
      <c r="B28" s="63" t="s">
        <v>749</v>
      </c>
      <c r="C28" s="63" t="s">
        <v>749</v>
      </c>
      <c r="D28" s="64"/>
      <c r="E28" s="57"/>
      <c r="F28" s="56"/>
      <c r="G28" s="56"/>
      <c r="H28" s="65"/>
      <c r="I28" s="59"/>
      <c r="J28" s="66"/>
      <c r="K28" s="63" t="s">
        <v>802</v>
      </c>
      <c r="L28" s="63" t="s">
        <v>802</v>
      </c>
      <c r="M28" s="63"/>
      <c r="N28" s="63" t="s">
        <v>755</v>
      </c>
      <c r="O28" s="63"/>
      <c r="P28" s="56">
        <v>1</v>
      </c>
      <c r="Q28" s="56">
        <v>2</v>
      </c>
      <c r="R28" s="56">
        <v>3</v>
      </c>
      <c r="S28" s="56">
        <v>4</v>
      </c>
      <c r="T28" s="56">
        <v>5</v>
      </c>
      <c r="U28" s="56">
        <v>6</v>
      </c>
      <c r="V28" s="56" t="s">
        <v>803</v>
      </c>
      <c r="W28" s="71"/>
      <c r="X28" s="71"/>
      <c r="Y28" s="71"/>
      <c r="Z28" s="71"/>
      <c r="AA28" s="66"/>
      <c r="AB28" s="66"/>
      <c r="AC28" s="66"/>
    </row>
    <row r="31" spans="1:29" ht="14.6" thickBot="1" x14ac:dyDescent="0.4"/>
    <row r="32" spans="1:29" x14ac:dyDescent="0.35">
      <c r="A32" s="45" t="s">
        <v>736</v>
      </c>
      <c r="B32" s="45" t="s">
        <v>737</v>
      </c>
      <c r="C32" s="45"/>
      <c r="D32" s="45"/>
      <c r="E32" s="45" t="s">
        <v>738</v>
      </c>
      <c r="F32" s="45"/>
      <c r="G32" s="45"/>
    </row>
    <row r="33" spans="1:7" ht="14.6" thickBot="1" x14ac:dyDescent="0.4">
      <c r="A33" s="66"/>
      <c r="B33" s="66"/>
      <c r="C33" s="66"/>
      <c r="D33" s="66"/>
      <c r="E33" s="66"/>
      <c r="F33" s="66"/>
      <c r="G33" s="66"/>
    </row>
    <row r="34" spans="1:7" x14ac:dyDescent="0.35">
      <c r="A34" s="45" t="s">
        <v>786</v>
      </c>
      <c r="B34" s="45" t="s">
        <v>787</v>
      </c>
      <c r="C34" s="69" t="s">
        <v>788</v>
      </c>
      <c r="D34" s="45" t="s">
        <v>789</v>
      </c>
      <c r="E34" s="45" t="s">
        <v>790</v>
      </c>
      <c r="F34" s="45" t="s">
        <v>791</v>
      </c>
      <c r="G34" s="70" t="s">
        <v>792</v>
      </c>
    </row>
    <row r="35" spans="1:7" ht="14.6" thickBot="1" x14ac:dyDescent="0.4">
      <c r="A35" s="66"/>
      <c r="B35" s="66"/>
      <c r="C35" s="66"/>
      <c r="D35" s="66"/>
      <c r="E35" s="72" t="s">
        <v>804</v>
      </c>
      <c r="F35" s="72" t="s">
        <v>805</v>
      </c>
      <c r="G35" s="66"/>
    </row>
  </sheetData>
  <mergeCells count="11">
    <mergeCell ref="P25:T25"/>
    <mergeCell ref="P27:T27"/>
    <mergeCell ref="B3:C3"/>
    <mergeCell ref="D3:M3"/>
    <mergeCell ref="A10:K10"/>
    <mergeCell ref="AI3:BK3"/>
    <mergeCell ref="AX4:BB4"/>
    <mergeCell ref="AX6:BB6"/>
    <mergeCell ref="A17:J17"/>
    <mergeCell ref="A24:AC24"/>
    <mergeCell ref="Y3:AH3"/>
  </mergeCells>
  <phoneticPr fontId="4" type="noConversion"/>
  <conditionalFormatting sqref="E13:F13 E11:F11 Q1:X1 G11:G14 B11:D14 L7:M7 A14 L5:M5 A12">
    <cfRule type="cellIs" dxfId="7" priority="11" stopIfTrue="1" operator="lessThanOrEqual">
      <formula>0</formula>
    </cfRule>
  </conditionalFormatting>
  <conditionalFormatting sqref="B1:B7">
    <cfRule type="duplicateValues" dxfId="6" priority="10"/>
  </conditionalFormatting>
  <conditionalFormatting sqref="J2:N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{C1F39265-8DC5-49E1-BBC4-8C47823DE5D9}</x14:id>
        </ext>
      </extLst>
    </cfRule>
  </conditionalFormatting>
  <conditionalFormatting sqref="N2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{708E2201-D658-4F5D-819B-390A9D3B8D75}</x14:id>
        </ext>
      </extLst>
    </cfRule>
  </conditionalFormatting>
  <conditionalFormatting sqref="J2:N2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{F2568814-AC57-4E63-8C39-37F96EB87868}</x14:id>
        </ext>
      </extLst>
    </cfRule>
  </conditionalFormatting>
  <conditionalFormatting sqref="C2">
    <cfRule type="duplicateValues" dxfId="5" priority="6"/>
  </conditionalFormatting>
  <conditionalFormatting sqref="C2">
    <cfRule type="duplicateValues" dxfId="4" priority="5"/>
  </conditionalFormatting>
  <conditionalFormatting sqref="E2">
    <cfRule type="duplicateValues" dxfId="3" priority="2"/>
  </conditionalFormatting>
  <conditionalFormatting sqref="E2">
    <cfRule type="duplicateValues" dxfId="2" priority="1"/>
  </conditionalFormatting>
  <conditionalFormatting sqref="D2">
    <cfRule type="duplicateValues" dxfId="1" priority="4"/>
  </conditionalFormatting>
  <conditionalFormatting sqref="D2">
    <cfRule type="duplicateValues" dxfId="0" priority="3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1F39265-8DC5-49E1-BBC4-8C47823DE5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J2:N2</xm:sqref>
        </x14:conditionalFormatting>
        <x14:conditionalFormatting xmlns:xm="http://schemas.microsoft.com/office/excel/2006/main">
          <x14:cfRule type="dataBar" id="{708E2201-D658-4F5D-819B-390A9D3B8D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</xm:sqref>
        </x14:conditionalFormatting>
        <x14:conditionalFormatting xmlns:xm="http://schemas.microsoft.com/office/excel/2006/main">
          <x14:cfRule type="dataBar" id="{F2568814-AC57-4E63-8C39-37F96EB878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J2:N2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【华泰固收|使用说明】</vt:lpstr>
      <vt:lpstr>Monitor</vt:lpstr>
      <vt:lpstr>条款概览</vt:lpstr>
      <vt:lpstr>正股信息</vt:lpstr>
      <vt:lpstr>个券分析</vt:lpstr>
      <vt:lpstr>个券数据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殷超</dc:creator>
  <cp:lastModifiedBy>Xinyu Zhou</cp:lastModifiedBy>
  <cp:lastPrinted>2021-03-04T10:03:43Z</cp:lastPrinted>
  <dcterms:created xsi:type="dcterms:W3CDTF">2021-01-02T11:14:45Z</dcterms:created>
  <dcterms:modified xsi:type="dcterms:W3CDTF">2021-09-24T10:52:02Z</dcterms:modified>
</cp:coreProperties>
</file>